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28830" windowHeight="6705" firstSheet="3" activeTab="3"/>
  </bookViews>
  <sheets>
    <sheet name="MWare_Cached" sheetId="26" state="veryHidden" r:id="rId1"/>
    <sheet name="MW-Cache" sheetId="28" state="veryHidden" r:id="rId2"/>
    <sheet name="mStartup" sheetId="20" state="veryHidden" r:id=""/>
    <sheet name="ImportantDisclosures" sheetId="146" r:id="rId3"/>
    <sheet name="Cover " sheetId="135" r:id="rId4"/>
    <sheet name="Valuation" sheetId="136" r:id="rId5"/>
    <sheet name="Model" sheetId="29" r:id="rId6"/>
    <sheet name="IndexInformation" sheetId="147" r:id="rId7"/>
    <sheet name="ModPubIndex" sheetId="148" r:id="rId8"/>
    <sheet name="__FDSCACHE__" sheetId="83" state="veryHidden"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_FDS_HYPERLINK_TOGGLE_STATE__" hidden="1">"ON"</definedName>
    <definedName name="__FDS_UNIQUE_RANGE_ID_GENERATOR_COUNTER" hidden="1">451</definedName>
    <definedName name="_1__123Graph_ACHART_1E" hidden="1">[1]Aerospace!$AI$342:$AI$355</definedName>
    <definedName name="_1__FDSAUDITLINK__" hidden="1">{"fdsup://directions/FAT Viewer?action=UPDATE&amp;creator=factset&amp;DYN_ARGS=TRUE&amp;DOC_NAME=FAT:FQL_AUDITING_CLIENT_TEMPLATE.FAT&amp;display_string=Audit&amp;VAR:KEY=OHKHQTCVEB&amp;VAR:QUERY=RkZfRU5UUlBSX1ZBTF9EQUlMWSgwNy8yNi8yMDExLCwsLCwnRElMJykvRUNBX01FQU5fU0FMRVMoMjAxMiwwN","y8yNi8yMDExKQ==&amp;WINDOW=FIRST_POPUP&amp;HEIGHT=450&amp;WIDTH=450&amp;START_MAXIMIZED=FALSE&amp;VAR:CALENDAR=FIVEDAY&amp;VAR:SYMBOL=057580&amp;VAR:INDEX=0"}</definedName>
    <definedName name="_10__123Graph_Aｸﾞﾗﾌ_2" hidden="1">[2]単独!$AR$14:$AR$18</definedName>
    <definedName name="_10__123Graph_CCHART_1E" hidden="1">[1]Aerospace!$AK$342:$AK$355</definedName>
    <definedName name="_10__FDSAUDITLINK__" hidden="1">{"fdsup://directions/FAT Viewer?action=UPDATE&amp;creator=factset&amp;DYN_ARGS=TRUE&amp;DOC_NAME=FAT:FQL_AUDITING_CLIENT_TEMPLATE.FAT&amp;display_string=Audit&amp;VAR:KEY=ORQVGRAVMP&amp;VAR:QUERY=RkZfRU5UUlBSX1ZBTF9EQUlMWSgwNy8yNi8yMDExLCwsLCwnRElMJykvRUNBX01FQU5fU0FMRVMoMjAxMiwwN","y8yNi8yMDExKQ==&amp;WINDOW=FIRST_POPUP&amp;HEIGHT=450&amp;WIDTH=450&amp;START_MAXIMIZED=FALSE&amp;VAR:CALENDAR=FIVEDAY&amp;VAR:SYMBOL=PCP&amp;VAR:INDEX=0"}</definedName>
    <definedName name="_100__FDSAUDITLINK__" hidden="1">{"fdsup://directions/FAT Viewer?action=UPDATE&amp;creator=factset&amp;DYN_ARGS=TRUE&amp;DOC_NAME=FAT:FQL_AUDITING_CLIENT_TEMPLATE.FAT&amp;display_string=Audit&amp;VAR:KEY=CDQHIPURMF&amp;VAR:QUERY=RkZfRU5UUlBSX1ZBTF9EQUlMWSgxMC8yNy8yMDEwLCwsLCwnRElMJykvRUNBX01FQU5fU0FMRVMoMjAxMiwxM","C8yNy8yMDEwKQ==&amp;WINDOW=FIRST_POPUP&amp;HEIGHT=450&amp;WIDTH=450&amp;START_MAXIMIZED=FALSE&amp;VAR:CALENDAR=US&amp;VAR:SYMBOL=PCP&amp;VAR:INDEX=0"}</definedName>
    <definedName name="_101__FDSAUDITLINK__" hidden="1">{"fdsup://directions/FAT Viewer?action=UPDATE&amp;creator=factset&amp;DYN_ARGS=TRUE&amp;DOC_NAME=FAT:FQL_AUDITING_CLIENT_TEMPLATE.FAT&amp;display_string=Audit&amp;VAR:KEY=OPKVIXQFUV&amp;VAR:QUERY=RkZfRU5UUlBSX1ZBTF9EQUlMWSgxMC8yNy8yMDEwLCwsLCwnRElMJykvRUNBX01FQU5fU0FMRVMoMjAxMSwxM","C8yNy8yMDEwKQ==&amp;WINDOW=FIRST_POPUP&amp;HEIGHT=450&amp;WIDTH=450&amp;START_MAXIMIZED=FALSE&amp;VAR:CALENDAR=US&amp;VAR:SYMBOL=PCP&amp;VAR:INDEX=0"}</definedName>
    <definedName name="_102__FDSAUDITLINK__" hidden="1">{"fdsup://directions/FAT Viewer?action=UPDATE&amp;creator=factset&amp;DYN_ARGS=TRUE&amp;DOC_NAME=FAT:FQL_AUDITING_CLIENT_TEMPLATE.FAT&amp;display_string=Audit&amp;VAR:KEY=EHGXCFWJWV&amp;VAR:QUERY=RkZfRU5UUlBSX1ZBTF9EQUlMWSgxMC8yNy8yMDEwLCwsLCwnRElMJykvRUNBX01FQU5fU0FMRVMoMjAxMCwxM","C8yNy8yMDEwKQ==&amp;WINDOW=FIRST_POPUP&amp;HEIGHT=450&amp;WIDTH=450&amp;START_MAXIMIZED=FALSE&amp;VAR:CALENDAR=US&amp;VAR:SYMBOL=PCP&amp;VAR:INDEX=0"}</definedName>
    <definedName name="_103__FDSAUDITLINK__" hidden="1">{"fdsup://directions/FAT Viewer?action=UPDATE&amp;creator=factset&amp;DYN_ARGS=TRUE&amp;DOC_NAME=FAT:FQL_AUDITING_CLIENT_TEMPLATE.FAT&amp;display_string=Audit&amp;VAR:KEY=ORAZYNIVYZ&amp;VAR:QUERY=RkZfRU5UUlBSX1ZBTF9EQUlMWSgxMC8yNy8yMDEwLCwsLCwnRElMJykvRUNBX01FQU5fRUJJVCgyMDEyLDEwL","zI3LzIwMTAp&amp;WINDOW=FIRST_POPUP&amp;HEIGHT=450&amp;WIDTH=450&amp;START_MAXIMIZED=FALSE&amp;VAR:CALENDAR=US&amp;VAR:SYMBOL=PCP&amp;VAR:INDEX=0"}</definedName>
    <definedName name="_104__FDSAUDITLINK__" hidden="1">{"fdsup://directions/FAT Viewer?action=UPDATE&amp;creator=factset&amp;DYN_ARGS=TRUE&amp;DOC_NAME=FAT:FQL_AUDITING_CLIENT_TEMPLATE.FAT&amp;display_string=Audit&amp;VAR:KEY=OVWJKLGNQT&amp;VAR:QUERY=RkZfRU5UUlBSX1ZBTF9EQUlMWSgxMC8yNy8yMDEwLCwsLCwnRElMJykvRUNBX01FQU5fRUJJVCgyMDExLDEwL","zI3LzIwMTAp&amp;WINDOW=FIRST_POPUP&amp;HEIGHT=450&amp;WIDTH=450&amp;START_MAXIMIZED=FALSE&amp;VAR:CALENDAR=US&amp;VAR:SYMBOL=PCP&amp;VAR:INDEX=0"}</definedName>
    <definedName name="_105__FDSAUDITLINK__" hidden="1">{"fdsup://directions/FAT Viewer?action=UPDATE&amp;creator=factset&amp;DYN_ARGS=TRUE&amp;DOC_NAME=FAT:FQL_AUDITING_CLIENT_TEMPLATE.FAT&amp;display_string=Audit&amp;VAR:KEY=UPSNGFITQZ&amp;VAR:QUERY=RkZfRU5UUlBSX1ZBTF9EQUlMWSgxMC8yNy8yMDEwLCwsLCwnRElMJykvRUNBX01FQU5fRUJJVCgyMDEwLDEwL","zI3LzIwMTAp&amp;WINDOW=FIRST_POPUP&amp;HEIGHT=450&amp;WIDTH=450&amp;START_MAXIMIZED=FALSE&amp;VAR:CALENDAR=US&amp;VAR:SYMBOL=PCP&amp;VAR:INDEX=0"}</definedName>
    <definedName name="_106__FDSAUDITLINK__" hidden="1">{"fdsup://directions/FAT Viewer?action=UPDATE&amp;creator=factset&amp;DYN_ARGS=TRUE&amp;DOC_NAME=FAT:FQL_AUDITING_CLIENT_TEMPLATE.FAT&amp;display_string=Audit&amp;VAR:KEY=KNCNULQDEH&amp;VAR:QUERY=RkZfRU5UUlBSX1ZBTF9EQUlMWSgxMC8yNy8yMDEwLCwsLCwnRElMJykvRUNBX01FQU5fRUJJVERBKDIwMTIsM","TAvMjcvMjAxMCk=&amp;WINDOW=FIRST_POPUP&amp;HEIGHT=450&amp;WIDTH=450&amp;START_MAXIMIZED=FALSE&amp;VAR:CALENDAR=US&amp;VAR:SYMBOL=PCP&amp;VAR:INDEX=0"}</definedName>
    <definedName name="_107__FDSAUDITLINK__" hidden="1">{"fdsup://directions/FAT Viewer?action=UPDATE&amp;creator=factset&amp;DYN_ARGS=TRUE&amp;DOC_NAME=FAT:FQL_AUDITING_CLIENT_TEMPLATE.FAT&amp;display_string=Audit&amp;VAR:KEY=YTMJGRUPQB&amp;VAR:QUERY=RkZfRU5UUlBSX1ZBTF9EQUlMWSgxMC8yNy8yMDEwLCwsLCwnRElMJykvRUNBX01FQU5fRUJJVERBKDIwMTEsM","TAvMjcvMjAxMCk=&amp;WINDOW=FIRST_POPUP&amp;HEIGHT=450&amp;WIDTH=450&amp;START_MAXIMIZED=FALSE&amp;VAR:CALENDAR=US&amp;VAR:SYMBOL=PCP&amp;VAR:INDEX=0"}</definedName>
    <definedName name="_108__FDSAUDITLINK__" hidden="1">{"fdsup://directions/FAT Viewer?action=UPDATE&amp;creator=factset&amp;DYN_ARGS=TRUE&amp;DOC_NAME=FAT:FQL_AUDITING_CLIENT_TEMPLATE.FAT&amp;display_string=Audit&amp;VAR:KEY=MHMBALAVWD&amp;VAR:QUERY=RkZfRU5UUlBSX1ZBTF9EQUlMWSgxMC8yNy8yMDEwLCwsLCwnRElMJykvRUNBX01FQU5fRUJJVERBKDIwMTAsM","TAvMjcvMjAxMCk=&amp;WINDOW=FIRST_POPUP&amp;HEIGHT=450&amp;WIDTH=450&amp;START_MAXIMIZED=FALSE&amp;VAR:CALENDAR=US&amp;VAR:SYMBOL=PCP&amp;VAR:INDEX=0"}</definedName>
    <definedName name="_109__FDSAUDITLINK__" hidden="1">{"fdsup://directions/FAT Viewer?action=UPDATE&amp;creator=factset&amp;DYN_ARGS=TRUE&amp;DOC_NAME=FAT:FQL_AUDITING_CLIENT_TEMPLATE.FAT&amp;display_string=Audit&amp;VAR:KEY=CZSRCXOXUL&amp;VAR:QUERY=RkZfRU5UUlBSX1ZBTF9EQUlMWSgxMC8yNy8yMDEwLCwsLCwnRElMJykvRUNBX01FQU5fU0FMRVMoMjAxMiwxM","C8yNy8yMDEwKQ==&amp;WINDOW=FIRST_POPUP&amp;HEIGHT=450&amp;WIDTH=450&amp;START_MAXIMIZED=FALSE&amp;VAR:CALENDAR=US&amp;VAR:SYMBOL=MOG.A&amp;VAR:INDEX=0"}</definedName>
    <definedName name="_11__123Graph_CCHART_2E" hidden="1">[1]Aerospace!$R$342:$R$373</definedName>
    <definedName name="_11__FDSAUDITLINK__" hidden="1">{"fdsup://directions/FAT Viewer?action=UPDATE&amp;creator=factset&amp;DYN_ARGS=TRUE&amp;DOC_NAME=FAT:FQL_AUDITING_CLIENT_TEMPLATE.FAT&amp;display_string=Audit&amp;VAR:KEY=YFSJQFSXUZ&amp;VAR:QUERY=RkZfRU5UUlBSX1ZBTF9EQUlMWSgwNy8yNi8yMDExLCwsLCwnRElMJykvRUNBX01FQU5fU0FMRVMoMjAxMSwwN","y8yNi8yMDExKQ==&amp;WINDOW=FIRST_POPUP&amp;HEIGHT=450&amp;WIDTH=450&amp;START_MAXIMIZED=FALSE&amp;VAR:CALENDAR=FIVEDAY&amp;VAR:SYMBOL=PCP&amp;VAR:INDEX=0"}</definedName>
    <definedName name="_110__FDSAUDITLINK__" hidden="1">{"fdsup://directions/FAT Viewer?action=UPDATE&amp;creator=factset&amp;DYN_ARGS=TRUE&amp;DOC_NAME=FAT:FQL_AUDITING_CLIENT_TEMPLATE.FAT&amp;display_string=Audit&amp;VAR:KEY=GHMFYDQBET&amp;VAR:QUERY=RkZfRU5UUlBSX1ZBTF9EQUlMWSgxMC8yNy8yMDEwLCwsLCwnRElMJykvRUNBX01FQU5fU0FMRVMoMjAxMSwxM","C8yNy8yMDEwKQ==&amp;WINDOW=FIRST_POPUP&amp;HEIGHT=450&amp;WIDTH=450&amp;START_MAXIMIZED=FALSE&amp;VAR:CALENDAR=US&amp;VAR:SYMBOL=MOG.A&amp;VAR:INDEX=0"}</definedName>
    <definedName name="_111__FDSAUDITLINK__" hidden="1">{"fdsup://directions/FAT Viewer?action=UPDATE&amp;creator=factset&amp;DYN_ARGS=TRUE&amp;DOC_NAME=FAT:FQL_AUDITING_CLIENT_TEMPLATE.FAT&amp;display_string=Audit&amp;VAR:KEY=YJWDINSPSH&amp;VAR:QUERY=RkZfRU5UUlBSX1ZBTF9EQUlMWSgxMC8yNy8yMDEwLCwsLCwnRElMJykvRUNBX01FQU5fU0FMRVMoMjAxMCwxM","C8yNy8yMDEwKQ==&amp;WINDOW=FIRST_POPUP&amp;HEIGHT=450&amp;WIDTH=450&amp;START_MAXIMIZED=FALSE&amp;VAR:CALENDAR=US&amp;VAR:SYMBOL=MOG.A&amp;VAR:INDEX=0"}</definedName>
    <definedName name="_112__FDSAUDITLINK__" hidden="1">{"fdsup://directions/FAT Viewer?action=UPDATE&amp;creator=factset&amp;DYN_ARGS=TRUE&amp;DOC_NAME=FAT:FQL_AUDITING_CLIENT_TEMPLATE.FAT&amp;display_string=Audit&amp;VAR:KEY=SPQLWZYTEH&amp;VAR:QUERY=RkZfRU5UUlBSX1ZBTF9EQUlMWSgxMC8yNy8yMDEwLCwsLCwnRElMJykvRUNBX01FQU5fRUJJVCgyMDEyLDEwL","zI3LzIwMTAp&amp;WINDOW=FIRST_POPUP&amp;HEIGHT=450&amp;WIDTH=450&amp;START_MAXIMIZED=FALSE&amp;VAR:CALENDAR=US&amp;VAR:SYMBOL=MOG.A&amp;VAR:INDEX=0"}</definedName>
    <definedName name="_113__FDSAUDITLINK__" hidden="1">{"fdsup://directions/FAT Viewer?action=UPDATE&amp;creator=factset&amp;DYN_ARGS=TRUE&amp;DOC_NAME=FAT:FQL_AUDITING_CLIENT_TEMPLATE.FAT&amp;display_string=Audit&amp;VAR:KEY=WJELAXERWP&amp;VAR:QUERY=RkZfRU5UUlBSX1ZBTF9EQUlMWSgxMC8yNy8yMDEwLCwsLCwnRElMJykvRUNBX01FQU5fRUJJVCgyMDExLDEwL","zI3LzIwMTAp&amp;WINDOW=FIRST_POPUP&amp;HEIGHT=450&amp;WIDTH=450&amp;START_MAXIMIZED=FALSE&amp;VAR:CALENDAR=US&amp;VAR:SYMBOL=MOG.A&amp;VAR:INDEX=0"}</definedName>
    <definedName name="_114__FDSAUDITLINK__" hidden="1">{"fdsup://directions/FAT Viewer?action=UPDATE&amp;creator=factset&amp;DYN_ARGS=TRUE&amp;DOC_NAME=FAT:FQL_AUDITING_CLIENT_TEMPLATE.FAT&amp;display_string=Audit&amp;VAR:KEY=ELKDGHGFGT&amp;VAR:QUERY=RkZfRU5UUlBSX1ZBTF9EQUlMWSgxMC8yNy8yMDEwLCwsLCwnRElMJykvRUNBX01FQU5fRUJJVCgyMDEwLDEwL","zI3LzIwMTAp&amp;WINDOW=FIRST_POPUP&amp;HEIGHT=450&amp;WIDTH=450&amp;START_MAXIMIZED=FALSE&amp;VAR:CALENDAR=US&amp;VAR:SYMBOL=MOG.A&amp;VAR:INDEX=0"}</definedName>
    <definedName name="_115__FDSAUDITLINK__" hidden="1">{"fdsup://directions/FAT Viewer?action=UPDATE&amp;creator=factset&amp;DYN_ARGS=TRUE&amp;DOC_NAME=FAT:FQL_AUDITING_CLIENT_TEMPLATE.FAT&amp;display_string=Audit&amp;VAR:KEY=OTORCVAPEL&amp;VAR:QUERY=RkZfRU5UUlBSX1ZBTF9EQUlMWSgxMC8yNy8yMDEwLCwsLCwnRElMJykvRUNBX01FQU5fRUJJVERBKDIwMTIsM","TAvMjcvMjAxMCk=&amp;WINDOW=FIRST_POPUP&amp;HEIGHT=450&amp;WIDTH=450&amp;START_MAXIMIZED=FALSE&amp;VAR:CALENDAR=US&amp;VAR:SYMBOL=MOG.A&amp;VAR:INDEX=0"}</definedName>
    <definedName name="_116__FDSAUDITLINK__" hidden="1">{"fdsup://directions/FAT Viewer?action=UPDATE&amp;creator=factset&amp;DYN_ARGS=TRUE&amp;DOC_NAME=FAT:FQL_AUDITING_CLIENT_TEMPLATE.FAT&amp;display_string=Audit&amp;VAR:KEY=EPAFONWNIF&amp;VAR:QUERY=RkZfRU5UUlBSX1ZBTF9EQUlMWSgxMC8yNy8yMDEwLCwsLCwnRElMJykvRUNBX01FQU5fRUJJVERBKDIwMTEsM","TAvMjcvMjAxMCk=&amp;WINDOW=FIRST_POPUP&amp;HEIGHT=450&amp;WIDTH=450&amp;START_MAXIMIZED=FALSE&amp;VAR:CALENDAR=US&amp;VAR:SYMBOL=MOG.A&amp;VAR:INDEX=0"}</definedName>
    <definedName name="_117__FDSAUDITLINK__" hidden="1">{"fdsup://directions/FAT Viewer?action=UPDATE&amp;creator=factset&amp;DYN_ARGS=TRUE&amp;DOC_NAME=FAT:FQL_AUDITING_CLIENT_TEMPLATE.FAT&amp;display_string=Audit&amp;VAR:KEY=AHYZKHMJKV&amp;VAR:QUERY=RkZfRU5UUlBSX1ZBTF9EQUlMWSgxMC8yNy8yMDEwLCwsLCwnRElMJykvRUNBX01FQU5fRUJJVERBKDIwMTAsM","TAvMjcvMjAxMCk=&amp;WINDOW=FIRST_POPUP&amp;HEIGHT=450&amp;WIDTH=450&amp;START_MAXIMIZED=FALSE&amp;VAR:CALENDAR=US&amp;VAR:SYMBOL=MOG.A&amp;VAR:INDEX=0"}</definedName>
    <definedName name="_118__FDSAUDITLINK__" hidden="1">{"fdsup://directions/FAT Viewer?action=UPDATE&amp;creator=factset&amp;DYN_ARGS=TRUE&amp;DOC_NAME=FAT:FQL_AUDITING_CLIENT_TEMPLATE.FAT&amp;display_string=Audit&amp;VAR:KEY=QBCZEXMFIV&amp;VAR:QUERY=RkZfRU5UUlBSX1ZBTF9EQUlMWSgxMC8yNy8yMDEwLCwsLCwnRElMJykvRUNBX01FQU5fU0FMRVMoMjAxMiwxM","C8yNy8yMDEwKQ==&amp;WINDOW=FIRST_POPUP&amp;HEIGHT=450&amp;WIDTH=450&amp;START_MAXIMIZED=FALSE&amp;VAR:CALENDAR=US&amp;VAR:SYMBOL=COL&amp;VAR:INDEX=0"}</definedName>
    <definedName name="_119__FDSAUDITLINK__" hidden="1">{"fdsup://directions/FAT Viewer?action=UPDATE&amp;creator=factset&amp;DYN_ARGS=TRUE&amp;DOC_NAME=FAT:FQL_AUDITING_CLIENT_TEMPLATE.FAT&amp;display_string=Audit&amp;VAR:KEY=ORKTEBEHUF&amp;VAR:QUERY=RkZfRU5UUlBSX1ZBTF9EQUlMWSgxMC8yNy8yMDEwLCwsLCwnRElMJykvRUNBX01FQU5fU0FMRVMoMjAxMSwxM","C8yNy8yMDEwKQ==&amp;WINDOW=FIRST_POPUP&amp;HEIGHT=450&amp;WIDTH=450&amp;START_MAXIMIZED=FALSE&amp;VAR:CALENDAR=US&amp;VAR:SYMBOL=COL&amp;VAR:INDEX=0"}</definedName>
    <definedName name="_12__123Graph_DCHART_1E" hidden="1">[1]Aerospace!$AL$342:$AL$355</definedName>
    <definedName name="_12__FDSAUDITLINK__" hidden="1">{"fdsup://directions/FAT Viewer?action=UPDATE&amp;creator=factset&amp;DYN_ARGS=TRUE&amp;DOC_NAME=FAT:FQL_AUDITING_CLIENT_TEMPLATE.FAT&amp;display_string=Audit&amp;VAR:KEY=UDAFCFULSP&amp;VAR:QUERY=RkZfRU5UUlBSX1ZBTF9EQUlMWSgwNy8yNi8yMDExLCwsLCwnRElMJykvRUNBX01FQU5fU0FMRVMoMjAxMCwwN","y8yNi8yMDExKQ==&amp;WINDOW=FIRST_POPUP&amp;HEIGHT=450&amp;WIDTH=450&amp;START_MAXIMIZED=FALSE&amp;VAR:CALENDAR=FIVEDAY&amp;VAR:SYMBOL=PCP&amp;VAR:INDEX=0"}</definedName>
    <definedName name="_120__FDSAUDITLINK__" hidden="1">{"fdsup://directions/FAT Viewer?action=UPDATE&amp;creator=factset&amp;DYN_ARGS=TRUE&amp;DOC_NAME=FAT:FQL_AUDITING_CLIENT_TEMPLATE.FAT&amp;display_string=Audit&amp;VAR:KEY=CDERWBKTAN&amp;VAR:QUERY=RkZfRU5UUlBSX1ZBTF9EQUlMWSgxMC8yNy8yMDEwLCwsLCwnRElMJykvRUNBX01FQU5fU0FMRVMoMjAxMCwxM","C8yNy8yMDEwKQ==&amp;WINDOW=FIRST_POPUP&amp;HEIGHT=450&amp;WIDTH=450&amp;START_MAXIMIZED=FALSE&amp;VAR:CALENDAR=US&amp;VAR:SYMBOL=COL&amp;VAR:INDEX=0"}</definedName>
    <definedName name="_121__FDSAUDITLINK__" hidden="1">{"fdsup://directions/FAT Viewer?action=UPDATE&amp;creator=factset&amp;DYN_ARGS=TRUE&amp;DOC_NAME=FAT:FQL_AUDITING_CLIENT_TEMPLATE.FAT&amp;display_string=Audit&amp;VAR:KEY=ULMRUHYBCR&amp;VAR:QUERY=RkZfRU5UUlBSX1ZBTF9EQUlMWSgxMC8yNy8yMDEwLCwsLCwnRElMJykvRUNBX01FQU5fRUJJVCgyMDEyLDEwL","zI3LzIwMTAp&amp;WINDOW=FIRST_POPUP&amp;HEIGHT=450&amp;WIDTH=450&amp;START_MAXIMIZED=FALSE&amp;VAR:CALENDAR=US&amp;VAR:SYMBOL=COL&amp;VAR:INDEX=0"}</definedName>
    <definedName name="_122__FDSAUDITLINK__" hidden="1">{"fdsup://directions/FAT Viewer?action=UPDATE&amp;creator=factset&amp;DYN_ARGS=TRUE&amp;DOC_NAME=FAT:FQL_AUDITING_CLIENT_TEMPLATE.FAT&amp;display_string=Audit&amp;VAR:KEY=KFUJANEBYV&amp;VAR:QUERY=RkZfRU5UUlBSX1ZBTF9EQUlMWSgxMC8yNy8yMDEwLCwsLCwnRElMJykvRUNBX01FQU5fRUJJVCgyMDExLDEwL","zI3LzIwMTAp&amp;WINDOW=FIRST_POPUP&amp;HEIGHT=450&amp;WIDTH=450&amp;START_MAXIMIZED=FALSE&amp;VAR:CALENDAR=US&amp;VAR:SYMBOL=COL&amp;VAR:INDEX=0"}</definedName>
    <definedName name="_123__FDSAUDITLINK__" hidden="1">{"fdsup://directions/FAT Viewer?action=UPDATE&amp;creator=factset&amp;DYN_ARGS=TRUE&amp;DOC_NAME=FAT:FQL_AUDITING_CLIENT_TEMPLATE.FAT&amp;display_string=Audit&amp;VAR:KEY=YBKTAJYTUX&amp;VAR:QUERY=RkZfRU5UUlBSX1ZBTF9EQUlMWSgxMC8yNy8yMDEwLCwsLCwnRElMJykvRUNBX01FQU5fRUJJVCgyMDEwLDEwL","zI3LzIwMTAp&amp;WINDOW=FIRST_POPUP&amp;HEIGHT=450&amp;WIDTH=450&amp;START_MAXIMIZED=FALSE&amp;VAR:CALENDAR=US&amp;VAR:SYMBOL=COL&amp;VAR:INDEX=0"}</definedName>
    <definedName name="_124__FDSAUDITLINK__" hidden="1">{"fdsup://directions/FAT Viewer?action=UPDATE&amp;creator=factset&amp;DYN_ARGS=TRUE&amp;DOC_NAME=FAT:FQL_AUDITING_CLIENT_TEMPLATE.FAT&amp;display_string=Audit&amp;VAR:KEY=ANYRUFMBGV&amp;VAR:QUERY=RkZfRU5UUlBSX1ZBTF9EQUlMWSgxMC8yNy8yMDEwLCwsLCwnRElMJykvRUNBX01FQU5fRUJJVERBKDIwMTIsM","TAvMjcvMjAxMCk=&amp;WINDOW=FIRST_POPUP&amp;HEIGHT=450&amp;WIDTH=450&amp;START_MAXIMIZED=FALSE&amp;VAR:CALENDAR=US&amp;VAR:SYMBOL=COL&amp;VAR:INDEX=0"}</definedName>
    <definedName name="_125__FDSAUDITLINK__" hidden="1">{"fdsup://directions/FAT Viewer?action=UPDATE&amp;creator=factset&amp;DYN_ARGS=TRUE&amp;DOC_NAME=FAT:FQL_AUDITING_CLIENT_TEMPLATE.FAT&amp;display_string=Audit&amp;VAR:KEY=KBQVOTCDAF&amp;VAR:QUERY=RkZfRU5UUlBSX1ZBTF9EQUlMWSgxMC8yNy8yMDEwLCwsLCwnRElMJykvRUNBX01FQU5fRUJJVERBKDIwMTEsM","TAvMjcvMjAxMCk=&amp;WINDOW=FIRST_POPUP&amp;HEIGHT=450&amp;WIDTH=450&amp;START_MAXIMIZED=FALSE&amp;VAR:CALENDAR=US&amp;VAR:SYMBOL=COL&amp;VAR:INDEX=0"}</definedName>
    <definedName name="_126__FDSAUDITLINK__" hidden="1">{"fdsup://directions/FAT Viewer?action=UPDATE&amp;creator=factset&amp;DYN_ARGS=TRUE&amp;DOC_NAME=FAT:FQL_AUDITING_CLIENT_TEMPLATE.FAT&amp;display_string=Audit&amp;VAR:KEY=CDIVYVURGF&amp;VAR:QUERY=RkZfRU5UUlBSX1ZBTF9EQUlMWSgxMC8yNy8yMDEwLCwsLCwnRElMJykvRUNBX01FQU5fRUJJVERBKDIwMTAsM","TAvMjcvMjAxMCk=&amp;WINDOW=FIRST_POPUP&amp;HEIGHT=450&amp;WIDTH=450&amp;START_MAXIMIZED=FALSE&amp;VAR:CALENDAR=US&amp;VAR:SYMBOL=COL&amp;VAR:INDEX=0"}</definedName>
    <definedName name="_127__FDSAUDITLINK__" hidden="1">{"fdsup://directions/FAT Viewer?action=UPDATE&amp;creator=factset&amp;DYN_ARGS=TRUE&amp;DOC_NAME=FAT:FQL_AUDITING_CLIENT_TEMPLATE.FAT&amp;display_string=Audit&amp;VAR:KEY=YTCJEJOPGF&amp;VAR:QUERY=RkZfRU5UUlBSX1ZBTF9EQUlMWSgxMC8yNy8yMDEwLCwsLCwnRElMJykvRUNBX01FQU5fU0FMRVMoMjAxMiwxM","C8yNy8yMDEwKQ==&amp;WINDOW=FIRST_POPUP&amp;HEIGHT=450&amp;WIDTH=450&amp;START_MAXIMIZED=FALSE&amp;VAR:CALENDAR=US&amp;VAR:SYMBOL=BEAV&amp;VAR:INDEX=0"}</definedName>
    <definedName name="_128__FDSAUDITLINK__" hidden="1">{"fdsup://directions/FAT Viewer?action=UPDATE&amp;creator=factset&amp;DYN_ARGS=TRUE&amp;DOC_NAME=FAT:FQL_AUDITING_CLIENT_TEMPLATE.FAT&amp;display_string=Audit&amp;VAR:KEY=YVADKRSJAP&amp;VAR:QUERY=RkZfRU5UUlBSX1ZBTF9EQUlMWSgxMC8yNy8yMDEwLCwsLCwnRElMJykvRUNBX01FQU5fU0FMRVMoMjAxMSwxM","C8yNy8yMDEwKQ==&amp;WINDOW=FIRST_POPUP&amp;HEIGHT=450&amp;WIDTH=450&amp;START_MAXIMIZED=FALSE&amp;VAR:CALENDAR=US&amp;VAR:SYMBOL=BEAV&amp;VAR:INDEX=0"}</definedName>
    <definedName name="_129__FDSAUDITLINK__" hidden="1">{"fdsup://directions/FAT Viewer?action=UPDATE&amp;creator=factset&amp;DYN_ARGS=TRUE&amp;DOC_NAME=FAT:FQL_AUDITING_CLIENT_TEMPLATE.FAT&amp;display_string=Audit&amp;VAR:KEY=OFOPELWVYB&amp;VAR:QUERY=RkZfRU5UUlBSX1ZBTF9EQUlMWSgxMC8yNy8yMDEwLCwsLCwnRElMJykvRUNBX01FQU5fU0FMRVMoMjAxMCwxM","C8yNy8yMDEwKQ==&amp;WINDOW=FIRST_POPUP&amp;HEIGHT=450&amp;WIDTH=450&amp;START_MAXIMIZED=FALSE&amp;VAR:CALENDAR=US&amp;VAR:SYMBOL=BEAV&amp;VAR:INDEX=0"}</definedName>
    <definedName name="_13__123Graph_Dｸﾞﾗﾌ_1" hidden="1">[2]ｾｸﾞﾒﾝﾄ!$E$167:$I$167</definedName>
    <definedName name="_13__FDSAUDITLINK__" hidden="1">{"fdsup://directions/FAT Viewer?action=UPDATE&amp;creator=factset&amp;DYN_ARGS=TRUE&amp;DOC_NAME=FAT:FQL_AUDITING_CLIENT_TEMPLATE.FAT&amp;display_string=Audit&amp;VAR:KEY=KLEJQHIDEX&amp;VAR:QUERY=RkZfRU5UUlBSX1ZBTF9EQUlMWSgwNy8yNi8yMDExLCwsLCwnRElMJykvRUNBX01FQU5fRUJJVCgyMDEyLDA3L","zI2LzIwMTEp&amp;WINDOW=FIRST_POPUP&amp;HEIGHT=450&amp;WIDTH=450&amp;START_MAXIMIZED=FALSE&amp;VAR:CALENDAR=FIVEDAY&amp;VAR:SYMBOL=PCP&amp;VAR:INDEX=0"}</definedName>
    <definedName name="_130__FDSAUDITLINK__" hidden="1">{"fdsup://directions/FAT Viewer?action=UPDATE&amp;creator=factset&amp;DYN_ARGS=TRUE&amp;DOC_NAME=FAT:FQL_AUDITING_CLIENT_TEMPLATE.FAT&amp;display_string=Audit&amp;VAR:KEY=ANQTKTUVQB&amp;VAR:QUERY=RkZfRU5UUlBSX1ZBTF9EQUlMWSgxMC8yNy8yMDEwLCwsLCwnRElMJykvRUNBX01FQU5fRUJJVCgyMDEyLDEwL","zI3LzIwMTAp&amp;WINDOW=FIRST_POPUP&amp;HEIGHT=450&amp;WIDTH=450&amp;START_MAXIMIZED=FALSE&amp;VAR:CALENDAR=US&amp;VAR:SYMBOL=BEAV&amp;VAR:INDEX=0"}</definedName>
    <definedName name="_131__FDSAUDITLINK__" hidden="1">{"fdsup://directions/FAT Viewer?action=UPDATE&amp;creator=factset&amp;DYN_ARGS=TRUE&amp;DOC_NAME=FAT:FQL_AUDITING_CLIENT_TEMPLATE.FAT&amp;display_string=Audit&amp;VAR:KEY=CJSBALYBQL&amp;VAR:QUERY=RkZfRU5UUlBSX1ZBTF9EQUlMWSgxMC8yNy8yMDEwLCwsLCwnRElMJykvRUNBX01FQU5fRUJJVCgyMDExLDEwL","zI3LzIwMTAp&amp;WINDOW=FIRST_POPUP&amp;HEIGHT=450&amp;WIDTH=450&amp;START_MAXIMIZED=FALSE&amp;VAR:CALENDAR=US&amp;VAR:SYMBOL=BEAV&amp;VAR:INDEX=0"}</definedName>
    <definedName name="_132__FDSAUDITLINK__" hidden="1">{"fdsup://directions/FAT Viewer?action=UPDATE&amp;creator=factset&amp;DYN_ARGS=TRUE&amp;DOC_NAME=FAT:FQL_AUDITING_CLIENT_TEMPLATE.FAT&amp;display_string=Audit&amp;VAR:KEY=OTGZKBCPIT&amp;VAR:QUERY=RkZfRU5UUlBSX1ZBTF9EQUlMWSgxMC8yNy8yMDEwLCwsLCwnRElMJykvRUNBX01FQU5fRUJJVCgyMDEwLDEwL","zI3LzIwMTAp&amp;WINDOW=FIRST_POPUP&amp;HEIGHT=450&amp;WIDTH=450&amp;START_MAXIMIZED=FALSE&amp;VAR:CALENDAR=US&amp;VAR:SYMBOL=BEAV&amp;VAR:INDEX=0"}</definedName>
    <definedName name="_133__FDSAUDITLINK__" hidden="1">{"fdsup://directions/FAT Viewer?action=UPDATE&amp;creator=factset&amp;DYN_ARGS=TRUE&amp;DOC_NAME=FAT:FQL_AUDITING_CLIENT_TEMPLATE.FAT&amp;display_string=Audit&amp;VAR:KEY=SVKDQLQLYH&amp;VAR:QUERY=RkZfRU5UUlBSX1ZBTF9EQUlMWSgxMC8yNy8yMDEwLCwsLCwnRElMJykvRUNBX01FQU5fRUJJVERBKDIwMTIsM","TAvMjcvMjAxMCk=&amp;WINDOW=FIRST_POPUP&amp;HEIGHT=450&amp;WIDTH=450&amp;START_MAXIMIZED=FALSE&amp;VAR:CALENDAR=US&amp;VAR:SYMBOL=BEAV&amp;VAR:INDEX=0"}</definedName>
    <definedName name="_134__FDSAUDITLINK__" hidden="1">{"fdsup://directions/FAT Viewer?action=UPDATE&amp;creator=factset&amp;DYN_ARGS=TRUE&amp;DOC_NAME=FAT:FQL_AUDITING_CLIENT_TEMPLATE.FAT&amp;display_string=Audit&amp;VAR:KEY=QFEDKDYHED&amp;VAR:QUERY=RkZfRU5UUlBSX1ZBTF9EQUlMWSgxMC8yNy8yMDEwLCwsLCwnRElMJykvRUNBX01FQU5fRUJJVERBKDIwMTEsM","TAvMjcvMjAxMCk=&amp;WINDOW=FIRST_POPUP&amp;HEIGHT=450&amp;WIDTH=450&amp;START_MAXIMIZED=FALSE&amp;VAR:CALENDAR=US&amp;VAR:SYMBOL=BEAV&amp;VAR:INDEX=0"}</definedName>
    <definedName name="_135__FDSAUDITLINK__" hidden="1">{"fdsup://directions/FAT Viewer?action=UPDATE&amp;creator=factset&amp;DYN_ARGS=TRUE&amp;DOC_NAME=FAT:FQL_AUDITING_CLIENT_TEMPLATE.FAT&amp;display_string=Audit&amp;VAR:KEY=SPQZMRAPSZ&amp;VAR:QUERY=RkZfRU5UUlBSX1ZBTF9EQUlMWSgxMC8yNy8yMDEwLCwsLCwnRElMJykvRUNBX01FQU5fRUJJVERBKDIwMTAsM","TAvMjcvMjAxMCk=&amp;WINDOW=FIRST_POPUP&amp;HEIGHT=450&amp;WIDTH=450&amp;START_MAXIMIZED=FALSE&amp;VAR:CALENDAR=US&amp;VAR:SYMBOL=BEAV&amp;VAR:INDEX=0"}</definedName>
    <definedName name="_136__FDSAUDITLINK__" hidden="1">{"fdsup://directions/FAT Viewer?action=UPDATE&amp;creator=factset&amp;DYN_ARGS=TRUE&amp;DOC_NAME=FAT:FQL_AUDITING_CLIENT_TEMPLATE.FAT&amp;display_string=Audit&amp;VAR:KEY=QHQNSVQDCL&amp;VAR:QUERY=RkZfRU5UUlBSX1ZBTF9EQUlMWSgwMS8xMS8yMDExLCwsLCwnRElMJykvRUNBX01FQU5fU0FMRVMoMjAxMiwwM","S8xMS8yMDExKQ==&amp;WINDOW=FIRST_POPUP&amp;HEIGHT=450&amp;WIDTH=450&amp;START_MAXIMIZED=FALSE&amp;VAR:CALENDAR=US&amp;VAR:SYMBOL=057580&amp;VAR:INDEX=0"}</definedName>
    <definedName name="_137__FDSAUDITLINK__" hidden="1">{"fdsup://directions/FAT Viewer?action=UPDATE&amp;creator=factset&amp;DYN_ARGS=TRUE&amp;DOC_NAME=FAT:FQL_AUDITING_CLIENT_TEMPLATE.FAT&amp;display_string=Audit&amp;VAR:KEY=ENCHUBGRUV&amp;VAR:QUERY=RkZfRU5UUlBSX1ZBTF9EQUlMWSgwMS8xMS8yMDExLCwsLCwnRElMJykvRUNBX01FQU5fU0FMRVMoMjAxMSwwM","S8xMS8yMDExKQ==&amp;WINDOW=FIRST_POPUP&amp;HEIGHT=450&amp;WIDTH=450&amp;START_MAXIMIZED=FALSE&amp;VAR:CALENDAR=US&amp;VAR:SYMBOL=057580&amp;VAR:INDEX=0"}</definedName>
    <definedName name="_138__FDSAUDITLINK__" hidden="1">{"fdsup://directions/FAT Viewer?action=UPDATE&amp;creator=factset&amp;DYN_ARGS=TRUE&amp;DOC_NAME=FAT:FQL_AUDITING_CLIENT_TEMPLATE.FAT&amp;display_string=Audit&amp;VAR:KEY=UJEFKHYZOF&amp;VAR:QUERY=RkZfRU5UUlBSX1ZBTF9EQUlMWSgwMS8xMS8yMDExLCwsLCwnRElMJykvRUNBX01FQU5fU0FMRVMoMjAxMCwwM","S8xMS8yMDExKQ==&amp;WINDOW=FIRST_POPUP&amp;HEIGHT=450&amp;WIDTH=450&amp;START_MAXIMIZED=FALSE&amp;VAR:CALENDAR=US&amp;VAR:SYMBOL=057580&amp;VAR:INDEX=0"}</definedName>
    <definedName name="_139__FDSAUDITLINK__" hidden="1">{"fdsup://directions/FAT Viewer?action=UPDATE&amp;creator=factset&amp;DYN_ARGS=TRUE&amp;DOC_NAME=FAT:FQL_AUDITING_CLIENT_TEMPLATE.FAT&amp;display_string=Audit&amp;VAR:KEY=ATYHCXQJCR&amp;VAR:QUERY=RkZfRU5UUlBSX1ZBTF9EQUlMWSgwMS8xMS8yMDExLCwsLCwnRElMJykvRUNBX01FQU5fRUJJVCgyMDEyLDAxL","zExLzIwMTEp&amp;WINDOW=FIRST_POPUP&amp;HEIGHT=450&amp;WIDTH=450&amp;START_MAXIMIZED=FALSE&amp;VAR:CALENDAR=US&amp;VAR:SYMBOL=057580&amp;VAR:INDEX=0"}</definedName>
    <definedName name="_14__123Graph_XCHART_2E" hidden="1">[1]Aerospace!$A$342:$A$374</definedName>
    <definedName name="_14__FDSAUDITLINK__" hidden="1">{"fdsup://directions/FAT Viewer?action=UPDATE&amp;creator=factset&amp;DYN_ARGS=TRUE&amp;DOC_NAME=FAT:FQL_AUDITING_CLIENT_TEMPLATE.FAT&amp;display_string=Audit&amp;VAR:KEY=OVGJKNKRKZ&amp;VAR:QUERY=RkZfRU5UUlBSX1ZBTF9EQUlMWSgwNy8yNi8yMDExLCwsLCwnRElMJykvRUNBX01FQU5fRUJJVCgyMDExLDA3L","zI2LzIwMTEp&amp;WINDOW=FIRST_POPUP&amp;HEIGHT=450&amp;WIDTH=450&amp;START_MAXIMIZED=FALSE&amp;VAR:CALENDAR=FIVEDAY&amp;VAR:SYMBOL=PCP&amp;VAR:INDEX=0"}</definedName>
    <definedName name="_140__FDSAUDITLINK__" hidden="1">{"fdsup://directions/FAT Viewer?action=UPDATE&amp;creator=factset&amp;DYN_ARGS=TRUE&amp;DOC_NAME=FAT:FQL_AUDITING_CLIENT_TEMPLATE.FAT&amp;display_string=Audit&amp;VAR:KEY=IJOJEFWHKJ&amp;VAR:QUERY=RkZfRU5UUlBSX1ZBTF9EQUlMWSgwMS8xMS8yMDExLCwsLCwnRElMJykvRUNBX01FQU5fRUJJVCgyMDExLDAxL","zExLzIwMTEp&amp;WINDOW=FIRST_POPUP&amp;HEIGHT=450&amp;WIDTH=450&amp;START_MAXIMIZED=FALSE&amp;VAR:CALENDAR=US&amp;VAR:SYMBOL=057580&amp;VAR:INDEX=0"}</definedName>
    <definedName name="_141__FDSAUDITLINK__" hidden="1">{"fdsup://directions/FAT Viewer?action=UPDATE&amp;creator=factset&amp;DYN_ARGS=TRUE&amp;DOC_NAME=FAT:FQL_AUDITING_CLIENT_TEMPLATE.FAT&amp;display_string=Audit&amp;VAR:KEY=QZIVWXWRON&amp;VAR:QUERY=RkZfRU5UUlBSX1ZBTF9EQUlMWSgwMS8xMS8yMDExLCwsLCwnRElMJykvRUNBX01FQU5fRUJJVCgyMDEwLDAxL","zExLzIwMTEp&amp;WINDOW=FIRST_POPUP&amp;HEIGHT=450&amp;WIDTH=450&amp;START_MAXIMIZED=FALSE&amp;VAR:CALENDAR=US&amp;VAR:SYMBOL=057580&amp;VAR:INDEX=0"}</definedName>
    <definedName name="_142__FDSAUDITLINK__" hidden="1">{"fdsup://directions/FAT Viewer?action=UPDATE&amp;creator=factset&amp;DYN_ARGS=TRUE&amp;DOC_NAME=FAT:FQL_AUDITING_CLIENT_TEMPLATE.FAT&amp;display_string=Audit&amp;VAR:KEY=YLMNSTSTAR&amp;VAR:QUERY=RkZfRU5UUlBSX1ZBTF9EQUlMWSgwMS8xMS8yMDExLCwsLCwnRElMJykvRUNBX01FQU5fRUJJVERBKDIwMTIsM","DEvMTEvMjAxMSk=&amp;WINDOW=FIRST_POPUP&amp;HEIGHT=450&amp;WIDTH=450&amp;START_MAXIMIZED=FALSE&amp;VAR:CALENDAR=US&amp;VAR:SYMBOL=057580&amp;VAR:INDEX=0"}</definedName>
    <definedName name="_143__FDSAUDITLINK__" hidden="1">{"fdsup://directions/FAT Viewer?action=UPDATE&amp;creator=factset&amp;DYN_ARGS=TRUE&amp;DOC_NAME=FAT:FQL_AUDITING_CLIENT_TEMPLATE.FAT&amp;display_string=Audit&amp;VAR:KEY=WNCDIPQNUN&amp;VAR:QUERY=RkZfRU5UUlBSX1ZBTF9EQUlMWSgwMS8xMS8yMDExLCwsLCwnRElMJykvRUNBX01FQU5fRUJJVERBKDIwMTEsM","DEvMTEvMjAxMSk=&amp;WINDOW=FIRST_POPUP&amp;HEIGHT=450&amp;WIDTH=450&amp;START_MAXIMIZED=FALSE&amp;VAR:CALENDAR=US&amp;VAR:SYMBOL=057580&amp;VAR:INDEX=0"}</definedName>
    <definedName name="_144__FDSAUDITLINK__" hidden="1">{"fdsup://directions/FAT Viewer?action=UPDATE&amp;creator=factset&amp;DYN_ARGS=TRUE&amp;DOC_NAME=FAT:FQL_AUDITING_CLIENT_TEMPLATE.FAT&amp;display_string=Audit&amp;VAR:KEY=CNUVYLELSV&amp;VAR:QUERY=RkZfRU5UUlBSX1ZBTF9EQUlMWSgwMS8xMS8yMDExLCwsLCwnRElMJykvRUNBX01FQU5fRUJJVERBKDIwMTAsM","DEvMTEvMjAxMSk=&amp;WINDOW=FIRST_POPUP&amp;HEIGHT=450&amp;WIDTH=450&amp;START_MAXIMIZED=FALSE&amp;VAR:CALENDAR=US&amp;VAR:SYMBOL=057580&amp;VAR:INDEX=0"}</definedName>
    <definedName name="_145__FDSAUDITLINK__" hidden="1">{"fdsup://directions/FAT Viewer?action=UPDATE&amp;creator=factset&amp;DYN_ARGS=TRUE&amp;DOC_NAME=FAT:FQL_AUDITING_CLIENT_TEMPLATE.FAT&amp;display_string=Audit&amp;VAR:KEY=GVYVWFUVCH&amp;VAR:QUERY=RkZfRU5UUlBSX1ZBTF9EQUlMWSgwMS8xMS8yMDExLCwsLCwnRElMJykvRUNBX01FQU5fU0FMRVMoMjAxMiwwM","S8xMS8yMDExKQ==&amp;WINDOW=FIRST_POPUP&amp;HEIGHT=450&amp;WIDTH=450&amp;START_MAXIMIZED=FALSE&amp;VAR:CALENDAR=US&amp;VAR:SYMBOL=PCP&amp;VAR:INDEX=0"}</definedName>
    <definedName name="_146__FDSAUDITLINK__" hidden="1">{"fdsup://directions/FAT Viewer?action=UPDATE&amp;creator=factset&amp;DYN_ARGS=TRUE&amp;DOC_NAME=FAT:FQL_AUDITING_CLIENT_TEMPLATE.FAT&amp;display_string=Audit&amp;VAR:KEY=IJQLSJWHWZ&amp;VAR:QUERY=RkZfRU5UUlBSX1ZBTF9EQUlMWSgwMS8xMS8yMDExLCwsLCwnRElMJykvRUNBX01FQU5fU0FMRVMoMjAxMSwwM","S8xMS8yMDExKQ==&amp;WINDOW=FIRST_POPUP&amp;HEIGHT=450&amp;WIDTH=450&amp;START_MAXIMIZED=FALSE&amp;VAR:CALENDAR=US&amp;VAR:SYMBOL=PCP&amp;VAR:INDEX=0"}</definedName>
    <definedName name="_147__FDSAUDITLINK__" hidden="1">{"fdsup://directions/FAT Viewer?action=UPDATE&amp;creator=factset&amp;DYN_ARGS=TRUE&amp;DOC_NAME=FAT:FQL_AUDITING_CLIENT_TEMPLATE.FAT&amp;display_string=Audit&amp;VAR:KEY=OVIHODYJSL&amp;VAR:QUERY=RkZfRU5UUlBSX1ZBTF9EQUlMWSgwMS8xMS8yMDExLCwsLCwnRElMJykvRUNBX01FQU5fU0FMRVMoMjAxMCwwM","S8xMS8yMDExKQ==&amp;WINDOW=FIRST_POPUP&amp;HEIGHT=450&amp;WIDTH=450&amp;START_MAXIMIZED=FALSE&amp;VAR:CALENDAR=US&amp;VAR:SYMBOL=PCP&amp;VAR:INDEX=0"}</definedName>
    <definedName name="_148__FDSAUDITLINK__" hidden="1">{"fdsup://directions/FAT Viewer?action=UPDATE&amp;creator=factset&amp;DYN_ARGS=TRUE&amp;DOC_NAME=FAT:FQL_AUDITING_CLIENT_TEMPLATE.FAT&amp;display_string=Audit&amp;VAR:KEY=YDYVCTWBAZ&amp;VAR:QUERY=RkZfRU5UUlBSX1ZBTF9EQUlMWSgwMS8xMS8yMDExLCwsLCwnRElMJykvRUNBX01FQU5fRUJJVCgyMDEyLDAxL","zExLzIwMTEp&amp;WINDOW=FIRST_POPUP&amp;HEIGHT=450&amp;WIDTH=450&amp;START_MAXIMIZED=FALSE&amp;VAR:CALENDAR=US&amp;VAR:SYMBOL=PCP&amp;VAR:INDEX=0"}</definedName>
    <definedName name="_149__FDSAUDITLINK__" hidden="1">{"fdsup://directions/FAT Viewer?action=UPDATE&amp;creator=factset&amp;DYN_ARGS=TRUE&amp;DOC_NAME=FAT:FQL_AUDITING_CLIENT_TEMPLATE.FAT&amp;display_string=Audit&amp;VAR:KEY=MRMZSJYBOT&amp;VAR:QUERY=RkZfRU5UUlBSX1ZBTF9EQUlMWSgwMS8xMS8yMDExLCwsLCwnRElMJykvRUNBX01FQU5fRUJJVCgyMDExLDAxL","zExLzIwMTEp&amp;WINDOW=FIRST_POPUP&amp;HEIGHT=450&amp;WIDTH=450&amp;START_MAXIMIZED=FALSE&amp;VAR:CALENDAR=US&amp;VAR:SYMBOL=PCP&amp;VAR:INDEX=0"}</definedName>
    <definedName name="_15__FDSAUDITLINK__" hidden="1">{"fdsup://directions/FAT Viewer?action=UPDATE&amp;creator=factset&amp;DYN_ARGS=TRUE&amp;DOC_NAME=FAT:FQL_AUDITING_CLIENT_TEMPLATE.FAT&amp;display_string=Audit&amp;VAR:KEY=ODWHYHEJGN&amp;VAR:QUERY=RkZfRU5UUlBSX1ZBTF9EQUlMWSgwNy8yNi8yMDExLCwsLCwnRElMJykvRUNBX01FQU5fRUJJVCgyMDEwLDA3L","zI2LzIwMTEp&amp;WINDOW=FIRST_POPUP&amp;HEIGHT=450&amp;WIDTH=450&amp;START_MAXIMIZED=FALSE&amp;VAR:CALENDAR=FIVEDAY&amp;VAR:SYMBOL=PCP&amp;VAR:INDEX=0"}</definedName>
    <definedName name="_150__FDSAUDITLINK__" hidden="1">{"fdsup://directions/FAT Viewer?action=UPDATE&amp;creator=factset&amp;DYN_ARGS=TRUE&amp;DOC_NAME=FAT:FQL_AUDITING_CLIENT_TEMPLATE.FAT&amp;display_string=Audit&amp;VAR:KEY=UNGTWNWBWR&amp;VAR:QUERY=RkZfRU5UUlBSX1ZBTF9EQUlMWSgwMS8xMS8yMDExLCwsLCwnRElMJykvRUNBX01FQU5fRUJJVCgyMDEwLDAxL","zExLzIwMTEp&amp;WINDOW=FIRST_POPUP&amp;HEIGHT=450&amp;WIDTH=450&amp;START_MAXIMIZED=FALSE&amp;VAR:CALENDAR=US&amp;VAR:SYMBOL=PCP&amp;VAR:INDEX=0"}</definedName>
    <definedName name="_151__FDSAUDITLINK__" hidden="1">{"fdsup://directions/FAT Viewer?action=UPDATE&amp;creator=factset&amp;DYN_ARGS=TRUE&amp;DOC_NAME=FAT:FQL_AUDITING_CLIENT_TEMPLATE.FAT&amp;display_string=Audit&amp;VAR:KEY=YTAJKVOBEP&amp;VAR:QUERY=RkZfRU5UUlBSX1ZBTF9EQUlMWSgwMS8xMS8yMDExLCwsLCwnRElMJykvRUNBX01FQU5fRUJJVERBKDIwMTIsM","DEvMTEvMjAxMSk=&amp;WINDOW=FIRST_POPUP&amp;HEIGHT=450&amp;WIDTH=450&amp;START_MAXIMIZED=FALSE&amp;VAR:CALENDAR=US&amp;VAR:SYMBOL=PCP&amp;VAR:INDEX=0"}</definedName>
    <definedName name="_152__FDSAUDITLINK__" hidden="1">{"fdsup://directions/FAT Viewer?action=UPDATE&amp;creator=factset&amp;DYN_ARGS=TRUE&amp;DOC_NAME=FAT:FQL_AUDITING_CLIENT_TEMPLATE.FAT&amp;display_string=Audit&amp;VAR:KEY=UNEBYVSXMH&amp;VAR:QUERY=RkZfRU5UUlBSX1ZBTF9EQUlMWSgwMS8xMS8yMDExLCwsLCwnRElMJykvRUNBX01FQU5fRUJJVERBKDIwMTEsM","DEvMTEvMjAxMSk=&amp;WINDOW=FIRST_POPUP&amp;HEIGHT=450&amp;WIDTH=450&amp;START_MAXIMIZED=FALSE&amp;VAR:CALENDAR=US&amp;VAR:SYMBOL=PCP&amp;VAR:INDEX=0"}</definedName>
    <definedName name="_153__FDSAUDITLINK__" hidden="1">{"fdsup://directions/FAT Viewer?action=UPDATE&amp;creator=factset&amp;DYN_ARGS=TRUE&amp;DOC_NAME=FAT:FQL_AUDITING_CLIENT_TEMPLATE.FAT&amp;display_string=Audit&amp;VAR:KEY=GTIZSPITKZ&amp;VAR:QUERY=RkZfRU5UUlBSX1ZBTF9EQUlMWSgwMS8xMS8yMDExLCwsLCwnRElMJykvRUNBX01FQU5fRUJJVERBKDIwMTAsM","DEvMTEvMjAxMSk=&amp;WINDOW=FIRST_POPUP&amp;HEIGHT=450&amp;WIDTH=450&amp;START_MAXIMIZED=FALSE&amp;VAR:CALENDAR=US&amp;VAR:SYMBOL=PCP&amp;VAR:INDEX=0"}</definedName>
    <definedName name="_154__FDSAUDITLINK__" hidden="1">{"fdsup://directions/FAT Viewer?action=UPDATE&amp;creator=factset&amp;DYN_ARGS=TRUE&amp;DOC_NAME=FAT:FQL_AUDITING_CLIENT_TEMPLATE.FAT&amp;display_string=Audit&amp;VAR:KEY=WVWXGJQNMT&amp;VAR:QUERY=RkZfRU5UUlBSX1ZBTF9EQUlMWSgwMS8xMS8yMDExLCwsLCwnRElMJykvRUNBX01FQU5fU0FMRVMoMjAxMiwwM","S8xMS8yMDExKQ==&amp;WINDOW=FIRST_POPUP&amp;HEIGHT=450&amp;WIDTH=450&amp;START_MAXIMIZED=FALSE&amp;VAR:CALENDAR=US&amp;VAR:SYMBOL=MOG.A&amp;VAR:INDEX=0"}</definedName>
    <definedName name="_155__FDSAUDITLINK__" hidden="1">{"fdsup://directions/FAT Viewer?action=UPDATE&amp;creator=factset&amp;DYN_ARGS=TRUE&amp;DOC_NAME=FAT:FQL_AUDITING_CLIENT_TEMPLATE.FAT&amp;display_string=Audit&amp;VAR:KEY=IHYTENQZAB&amp;VAR:QUERY=RkZfRU5UUlBSX1ZBTF9EQUlMWSgwMS8xMS8yMDExLCwsLCwnRElMJykvRUNBX01FQU5fU0FMRVMoMjAxMSwwM","S8xMS8yMDExKQ==&amp;WINDOW=FIRST_POPUP&amp;HEIGHT=450&amp;WIDTH=450&amp;START_MAXIMIZED=FALSE&amp;VAR:CALENDAR=US&amp;VAR:SYMBOL=MOG.A&amp;VAR:INDEX=0"}</definedName>
    <definedName name="_156__FDSAUDITLINK__" hidden="1">{"fdsup://directions/FAT Viewer?action=UPDATE&amp;creator=factset&amp;DYN_ARGS=TRUE&amp;DOC_NAME=FAT:FQL_AUDITING_CLIENT_TEMPLATE.FAT&amp;display_string=Audit&amp;VAR:KEY=CJWXABSZEL&amp;VAR:QUERY=RkZfRU5UUlBSX1ZBTF9EQUlMWSgwMS8xMS8yMDExLCwsLCwnRElMJykvRUNBX01FQU5fU0FMRVMoMjAxMCwwM","S8xMS8yMDExKQ==&amp;WINDOW=FIRST_POPUP&amp;HEIGHT=450&amp;WIDTH=450&amp;START_MAXIMIZED=FALSE&amp;VAR:CALENDAR=US&amp;VAR:SYMBOL=MOG.A&amp;VAR:INDEX=0"}</definedName>
    <definedName name="_157__FDSAUDITLINK__" hidden="1">{"fdsup://directions/FAT Viewer?action=UPDATE&amp;creator=factset&amp;DYN_ARGS=TRUE&amp;DOC_NAME=FAT:FQL_AUDITING_CLIENT_TEMPLATE.FAT&amp;display_string=Audit&amp;VAR:KEY=MBQDQFILAH&amp;VAR:QUERY=RkZfRU5UUlBSX1ZBTF9EQUlMWSgwMS8xMS8yMDExLCwsLCwnRElMJykvRUNBX01FQU5fRUJJVCgyMDEyLDAxL","zExLzIwMTEp&amp;WINDOW=FIRST_POPUP&amp;HEIGHT=450&amp;WIDTH=450&amp;START_MAXIMIZED=FALSE&amp;VAR:CALENDAR=US&amp;VAR:SYMBOL=MOG.A&amp;VAR:INDEX=0"}</definedName>
    <definedName name="_158__FDSAUDITLINK__" hidden="1">{"fdsup://directions/FAT Viewer?action=UPDATE&amp;creator=factset&amp;DYN_ARGS=TRUE&amp;DOC_NAME=FAT:FQL_AUDITING_CLIENT_TEMPLATE.FAT&amp;display_string=Audit&amp;VAR:KEY=ANKHMTUVGT&amp;VAR:QUERY=RkZfRU5UUlBSX1ZBTF9EQUlMWSgwMS8xMS8yMDExLCwsLCwnRElMJykvRUNBX01FQU5fRUJJVCgyMDExLDAxL","zExLzIwMTEp&amp;WINDOW=FIRST_POPUP&amp;HEIGHT=450&amp;WIDTH=450&amp;START_MAXIMIZED=FALSE&amp;VAR:CALENDAR=US&amp;VAR:SYMBOL=MOG.A&amp;VAR:INDEX=0"}</definedName>
    <definedName name="_159__FDSAUDITLINK__" hidden="1">{"fdsup://directions/FAT Viewer?action=UPDATE&amp;creator=factset&amp;DYN_ARGS=TRUE&amp;DOC_NAME=FAT:FQL_AUDITING_CLIENT_TEMPLATE.FAT&amp;display_string=Audit&amp;VAR:KEY=AXWPKPATQP&amp;VAR:QUERY=RkZfRU5UUlBSX1ZBTF9EQUlMWSgwMS8xMS8yMDExLCwsLCwnRElMJykvRUNBX01FQU5fRUJJVCgyMDEwLDAxL","zExLzIwMTEp&amp;WINDOW=FIRST_POPUP&amp;HEIGHT=450&amp;WIDTH=450&amp;START_MAXIMIZED=FALSE&amp;VAR:CALENDAR=US&amp;VAR:SYMBOL=MOG.A&amp;VAR:INDEX=0"}</definedName>
    <definedName name="_16__123Graph_Bｸﾞﾗﾌ_1" hidden="1">[2]ｾｸﾞﾒﾝﾄ!$E$165:$I$165</definedName>
    <definedName name="_16__FDSAUDITLINK__" hidden="1">{"fdsup://directions/FAT Viewer?action=UPDATE&amp;creator=factset&amp;DYN_ARGS=TRUE&amp;DOC_NAME=FAT:FQL_AUDITING_CLIENT_TEMPLATE.FAT&amp;display_string=Audit&amp;VAR:KEY=GTAVKJIZEX&amp;VAR:QUERY=RkZfRU5UUlBSX1ZBTF9EQUlMWSgwNy8yNi8yMDExLCwsLCwnRElMJykvRUNBX01FQU5fRUJJVERBKDIwMTIsM","DcvMjYvMjAxMSk=&amp;WINDOW=FIRST_POPUP&amp;HEIGHT=450&amp;WIDTH=450&amp;START_MAXIMIZED=FALSE&amp;VAR:CALENDAR=FIVEDAY&amp;VAR:SYMBOL=PCP&amp;VAR:INDEX=0"}</definedName>
    <definedName name="_160__FDSAUDITLINK__" hidden="1">{"fdsup://directions/FAT Viewer?action=UPDATE&amp;creator=factset&amp;DYN_ARGS=TRUE&amp;DOC_NAME=FAT:FQL_AUDITING_CLIENT_TEMPLATE.FAT&amp;display_string=Audit&amp;VAR:KEY=AJUHMDWJMX&amp;VAR:QUERY=RkZfRU5UUlBSX1ZBTF9EQUlMWSgwMS8xMS8yMDExLCwsLCwnRElMJykvRUNBX01FQU5fRUJJVERBKDIwMTIsM","DEvMTEvMjAxMSk=&amp;WINDOW=FIRST_POPUP&amp;HEIGHT=450&amp;WIDTH=450&amp;START_MAXIMIZED=FALSE&amp;VAR:CALENDAR=US&amp;VAR:SYMBOL=MOG.A&amp;VAR:INDEX=0"}</definedName>
    <definedName name="_161__FDSAUDITLINK__" hidden="1">{"fdsup://directions/FAT Viewer?action=UPDATE&amp;creator=factset&amp;DYN_ARGS=TRUE&amp;DOC_NAME=FAT:FQL_AUDITING_CLIENT_TEMPLATE.FAT&amp;display_string=Audit&amp;VAR:KEY=QBQJOLWJUZ&amp;VAR:QUERY=RkZfRU5UUlBSX1ZBTF9EQUlMWSgwMS8xMS8yMDExLCwsLCwnRElMJykvRUNBX01FQU5fRUJJVERBKDIwMTEsM","DEvMTEvMjAxMSk=&amp;WINDOW=FIRST_POPUP&amp;HEIGHT=450&amp;WIDTH=450&amp;START_MAXIMIZED=FALSE&amp;VAR:CALENDAR=US&amp;VAR:SYMBOL=MOG.A&amp;VAR:INDEX=0"}</definedName>
    <definedName name="_162__FDSAUDITLINK__" hidden="1">{"fdsup://directions/FAT Viewer?action=UPDATE&amp;creator=factset&amp;DYN_ARGS=TRUE&amp;DOC_NAME=FAT:FQL_AUDITING_CLIENT_TEMPLATE.FAT&amp;display_string=Audit&amp;VAR:KEY=UJIXUNQRWZ&amp;VAR:QUERY=RkZfRU5UUlBSX1ZBTF9EQUlMWSgwMS8xMS8yMDExLCwsLCwnRElMJykvRUNBX01FQU5fRUJJVERBKDIwMTAsM","DEvMTEvMjAxMSk=&amp;WINDOW=FIRST_POPUP&amp;HEIGHT=450&amp;WIDTH=450&amp;START_MAXIMIZED=FALSE&amp;VAR:CALENDAR=US&amp;VAR:SYMBOL=MOG.A&amp;VAR:INDEX=0"}</definedName>
    <definedName name="_163__FDSAUDITLINK__" hidden="1">{"fdsup://directions/FAT Viewer?action=UPDATE&amp;creator=factset&amp;DYN_ARGS=TRUE&amp;DOC_NAME=FAT:FQL_AUDITING_CLIENT_TEMPLATE.FAT&amp;display_string=Audit&amp;VAR:KEY=MZKXWJWPOZ&amp;VAR:QUERY=RkZfRU5UUlBSX1ZBTF9EQUlMWSgwMS8xMS8yMDExLCwsLCwnRElMJykvRUNBX01FQU5fU0FMRVMoMjAxMiwwM","S8xMS8yMDExKQ==&amp;WINDOW=FIRST_POPUP&amp;HEIGHT=450&amp;WIDTH=450&amp;START_MAXIMIZED=FALSE&amp;VAR:CALENDAR=US&amp;VAR:SYMBOL=COL&amp;VAR:INDEX=0"}</definedName>
    <definedName name="_164__FDSAUDITLINK__" hidden="1">{"fdsup://directions/FAT Viewer?action=UPDATE&amp;creator=factset&amp;DYN_ARGS=TRUE&amp;DOC_NAME=FAT:FQL_AUDITING_CLIENT_TEMPLATE.FAT&amp;display_string=Audit&amp;VAR:KEY=ERKXEJEFUZ&amp;VAR:QUERY=RkZfRU5UUlBSX1ZBTF9EQUlMWSgwMS8xMS8yMDExLCwsLCwnRElMJykvRUNBX01FQU5fU0FMRVMoMjAxMSwwM","S8xMS8yMDExKQ==&amp;WINDOW=FIRST_POPUP&amp;HEIGHT=450&amp;WIDTH=450&amp;START_MAXIMIZED=FALSE&amp;VAR:CALENDAR=US&amp;VAR:SYMBOL=COL&amp;VAR:INDEX=0"}</definedName>
    <definedName name="_165__FDSAUDITLINK__" hidden="1">{"fdsup://directions/FAT Viewer?action=UPDATE&amp;creator=factset&amp;DYN_ARGS=TRUE&amp;DOC_NAME=FAT:FQL_AUDITING_CLIENT_TEMPLATE.FAT&amp;display_string=Audit&amp;VAR:KEY=MRQNGPEPCN&amp;VAR:QUERY=RkZfRU5UUlBSX1ZBTF9EQUlMWSgwMS8xMS8yMDExLCwsLCwnRElMJykvRUNBX01FQU5fU0FMRVMoMjAxMCwwM","S8xMS8yMDExKQ==&amp;WINDOW=FIRST_POPUP&amp;HEIGHT=450&amp;WIDTH=450&amp;START_MAXIMIZED=FALSE&amp;VAR:CALENDAR=US&amp;VAR:SYMBOL=COL&amp;VAR:INDEX=0"}</definedName>
    <definedName name="_166__FDSAUDITLINK__" hidden="1">{"fdsup://directions/FAT Viewer?action=UPDATE&amp;creator=factset&amp;DYN_ARGS=TRUE&amp;DOC_NAME=FAT:FQL_AUDITING_CLIENT_TEMPLATE.FAT&amp;display_string=Audit&amp;VAR:KEY=ULWZGBUTAN&amp;VAR:QUERY=RkZfRU5UUlBSX1ZBTF9EQUlMWSgwMS8xMS8yMDExLCwsLCwnRElMJykvRUNBX01FQU5fRUJJVCgyMDEyLDAxL","zExLzIwMTEp&amp;WINDOW=FIRST_POPUP&amp;HEIGHT=450&amp;WIDTH=450&amp;START_MAXIMIZED=FALSE&amp;VAR:CALENDAR=US&amp;VAR:SYMBOL=COL&amp;VAR:INDEX=0"}</definedName>
    <definedName name="_167__FDSAUDITLINK__" hidden="1">{"fdsup://directions/FAT Viewer?action=UPDATE&amp;creator=factset&amp;DYN_ARGS=TRUE&amp;DOC_NAME=FAT:FQL_AUDITING_CLIENT_TEMPLATE.FAT&amp;display_string=Audit&amp;VAR:KEY=QBIDQTKBSD&amp;VAR:QUERY=RkZfRU5UUlBSX1ZBTF9EQUlMWSgwMS8xMS8yMDExLCwsLCwnRElMJykvRUNBX01FQU5fRUJJVCgyMDExLDAxL","zExLzIwMTEp&amp;WINDOW=FIRST_POPUP&amp;HEIGHT=450&amp;WIDTH=450&amp;START_MAXIMIZED=FALSE&amp;VAR:CALENDAR=US&amp;VAR:SYMBOL=COL&amp;VAR:INDEX=0"}</definedName>
    <definedName name="_168__FDSAUDITLINK__" hidden="1">{"fdsup://directions/FAT Viewer?action=UPDATE&amp;creator=factset&amp;DYN_ARGS=TRUE&amp;DOC_NAME=FAT:FQL_AUDITING_CLIENT_TEMPLATE.FAT&amp;display_string=Audit&amp;VAR:KEY=GHCPKZMPUH&amp;VAR:QUERY=RkZfRU5UUlBSX1ZBTF9EQUlMWSgwMS8xMS8yMDExLCwsLCwnRElMJykvRUNBX01FQU5fRUJJVCgyMDEwLDAxL","zExLzIwMTEp&amp;WINDOW=FIRST_POPUP&amp;HEIGHT=450&amp;WIDTH=450&amp;START_MAXIMIZED=FALSE&amp;VAR:CALENDAR=US&amp;VAR:SYMBOL=COL&amp;VAR:INDEX=0"}</definedName>
    <definedName name="_169__FDSAUDITLINK__" hidden="1">{"fdsup://directions/FAT Viewer?action=UPDATE&amp;creator=factset&amp;DYN_ARGS=TRUE&amp;DOC_NAME=FAT:FQL_AUDITING_CLIENT_TEMPLATE.FAT&amp;display_string=Audit&amp;VAR:KEY=SZEJANYHML&amp;VAR:QUERY=RkZfRU5UUlBSX1ZBTF9EQUlMWSgwMS8xMS8yMDExLCwsLCwnRElMJykvRUNBX01FQU5fRUJJVERBKDIwMTIsM","DEvMTEvMjAxMSk=&amp;WINDOW=FIRST_POPUP&amp;HEIGHT=450&amp;WIDTH=450&amp;START_MAXIMIZED=FALSE&amp;VAR:CALENDAR=US&amp;VAR:SYMBOL=COL&amp;VAR:INDEX=0"}</definedName>
    <definedName name="_17__FDSAUDITLINK__" hidden="1">{"fdsup://directions/FAT Viewer?action=UPDATE&amp;creator=factset&amp;DYN_ARGS=TRUE&amp;DOC_NAME=FAT:FQL_AUDITING_CLIENT_TEMPLATE.FAT&amp;display_string=Audit&amp;VAR:KEY=YDGFCPQLMN&amp;VAR:QUERY=RkZfRU5UUlBSX1ZBTF9EQUlMWSgwNy8yNi8yMDExLCwsLCwnRElMJykvRUNBX01FQU5fRUJJVERBKDIwMTEsM","DcvMjYvMjAxMSk=&amp;WINDOW=FIRST_POPUP&amp;HEIGHT=450&amp;WIDTH=450&amp;START_MAXIMIZED=FALSE&amp;VAR:CALENDAR=FIVEDAY&amp;VAR:SYMBOL=PCP&amp;VAR:INDEX=0"}</definedName>
    <definedName name="_170__FDSAUDITLINK__" hidden="1">{"fdsup://directions/FAT Viewer?action=UPDATE&amp;creator=factset&amp;DYN_ARGS=TRUE&amp;DOC_NAME=FAT:FQL_AUDITING_CLIENT_TEMPLATE.FAT&amp;display_string=Audit&amp;VAR:KEY=SRCNKDOZCD&amp;VAR:QUERY=RkZfRU5UUlBSX1ZBTF9EQUlMWSgwMS8xMS8yMDExLCwsLCwnRElMJykvRUNBX01FQU5fRUJJVERBKDIwMTEsM","DEvMTEvMjAxMSk=&amp;WINDOW=FIRST_POPUP&amp;HEIGHT=450&amp;WIDTH=450&amp;START_MAXIMIZED=FALSE&amp;VAR:CALENDAR=US&amp;VAR:SYMBOL=COL&amp;VAR:INDEX=0"}</definedName>
    <definedName name="_171__FDSAUDITLINK__" hidden="1">{"fdsup://directions/FAT Viewer?action=UPDATE&amp;creator=factset&amp;DYN_ARGS=TRUE&amp;DOC_NAME=FAT:FQL_AUDITING_CLIENT_TEMPLATE.FAT&amp;display_string=Audit&amp;VAR:KEY=UPGZGNMDGH&amp;VAR:QUERY=RkZfRU5UUlBSX1ZBTF9EQUlMWSgwMS8xMS8yMDExLCwsLCwnRElMJykvRUNBX01FQU5fRUJJVERBKDIwMTAsM","DEvMTEvMjAxMSk=&amp;WINDOW=FIRST_POPUP&amp;HEIGHT=450&amp;WIDTH=450&amp;START_MAXIMIZED=FALSE&amp;VAR:CALENDAR=US&amp;VAR:SYMBOL=COL&amp;VAR:INDEX=0"}</definedName>
    <definedName name="_172__FDSAUDITLINK__" hidden="1">{"fdsup://directions/FAT Viewer?action=UPDATE&amp;creator=factset&amp;DYN_ARGS=TRUE&amp;DOC_NAME=FAT:FQL_AUDITING_CLIENT_TEMPLATE.FAT&amp;display_string=Audit&amp;VAR:KEY=KZUTSLQVSN&amp;VAR:QUERY=RkZfRU5UUlBSX1ZBTF9EQUlMWSgwMS8xMS8yMDExLCwsLCwnRElMJykvRUNBX01FQU5fU0FMRVMoMjAxMiwwM","S8xMS8yMDExKQ==&amp;WINDOW=FIRST_POPUP&amp;HEIGHT=450&amp;WIDTH=450&amp;START_MAXIMIZED=FALSE&amp;VAR:CALENDAR=US&amp;VAR:SYMBOL=BEAV&amp;VAR:INDEX=0"}</definedName>
    <definedName name="_173__FDSAUDITLINK__" hidden="1">{"fdsup://directions/FAT Viewer?action=UPDATE&amp;creator=factset&amp;DYN_ARGS=TRUE&amp;DOC_NAME=FAT:FQL_AUDITING_CLIENT_TEMPLATE.FAT&amp;display_string=Audit&amp;VAR:KEY=OZMJWDSBKF&amp;VAR:QUERY=RkZfRU5UUlBSX1ZBTF9EQUlMWSgwMS8xMS8yMDExLCwsLCwnRElMJykvRUNBX01FQU5fU0FMRVMoMjAxMSwwM","S8xMS8yMDExKQ==&amp;WINDOW=FIRST_POPUP&amp;HEIGHT=450&amp;WIDTH=450&amp;START_MAXIMIZED=FALSE&amp;VAR:CALENDAR=US&amp;VAR:SYMBOL=BEAV&amp;VAR:INDEX=0"}</definedName>
    <definedName name="_174__FDSAUDITLINK__" hidden="1">{"fdsup://directions/FAT Viewer?action=UPDATE&amp;creator=factset&amp;DYN_ARGS=TRUE&amp;DOC_NAME=FAT:FQL_AUDITING_CLIENT_TEMPLATE.FAT&amp;display_string=Audit&amp;VAR:KEY=EJOHIHGJAX&amp;VAR:QUERY=RkZfRU5UUlBSX1ZBTF9EQUlMWSgwMS8xMS8yMDExLCwsLCwnRElMJykvRUNBX01FQU5fU0FMRVMoMjAxMCwwM","S8xMS8yMDExKQ==&amp;WINDOW=FIRST_POPUP&amp;HEIGHT=450&amp;WIDTH=450&amp;START_MAXIMIZED=FALSE&amp;VAR:CALENDAR=US&amp;VAR:SYMBOL=BEAV&amp;VAR:INDEX=0"}</definedName>
    <definedName name="_175__FDSAUDITLINK__" hidden="1">{"fdsup://directions/FAT Viewer?action=UPDATE&amp;creator=factset&amp;DYN_ARGS=TRUE&amp;DOC_NAME=FAT:FQL_AUDITING_CLIENT_TEMPLATE.FAT&amp;display_string=Audit&amp;VAR:KEY=QDGFKZSVKB&amp;VAR:QUERY=RkZfRU5UUlBSX1ZBTF9EQUlMWSgwMS8xMS8yMDExLCwsLCwnRElMJykvRUNBX01FQU5fRUJJVCgyMDEyLDAxL","zExLzIwMTEp&amp;WINDOW=FIRST_POPUP&amp;HEIGHT=450&amp;WIDTH=450&amp;START_MAXIMIZED=FALSE&amp;VAR:CALENDAR=US&amp;VAR:SYMBOL=BEAV&amp;VAR:INDEX=0"}</definedName>
    <definedName name="_176__FDSAUDITLINK__" hidden="1">{"fdsup://directions/FAT Viewer?action=UPDATE&amp;creator=factset&amp;DYN_ARGS=TRUE&amp;DOC_NAME=FAT:FQL_AUDITING_CLIENT_TEMPLATE.FAT&amp;display_string=Audit&amp;VAR:KEY=EVAPAVCFOR&amp;VAR:QUERY=RkZfRU5UUlBSX1ZBTF9EQUlMWSgwMS8xMS8yMDExLCwsLCwnRElMJykvRUNBX01FQU5fRUJJVCgyMDExLDAxL","zExLzIwMTEp&amp;WINDOW=FIRST_POPUP&amp;HEIGHT=450&amp;WIDTH=450&amp;START_MAXIMIZED=FALSE&amp;VAR:CALENDAR=US&amp;VAR:SYMBOL=BEAV&amp;VAR:INDEX=0"}</definedName>
    <definedName name="_177__FDSAUDITLINK__" hidden="1">{"fdsup://directions/FAT Viewer?action=UPDATE&amp;creator=factset&amp;DYN_ARGS=TRUE&amp;DOC_NAME=FAT:FQL_AUDITING_CLIENT_TEMPLATE.FAT&amp;display_string=Audit&amp;VAR:KEY=QJMNWHAFYV&amp;VAR:QUERY=RkZfRU5UUlBSX1ZBTF9EQUlMWSgwMS8xMS8yMDExLCwsLCwnRElMJykvRUNBX01FQU5fRUJJVCgyMDEwLDAxL","zExLzIwMTEp&amp;WINDOW=FIRST_POPUP&amp;HEIGHT=450&amp;WIDTH=450&amp;START_MAXIMIZED=FALSE&amp;VAR:CALENDAR=US&amp;VAR:SYMBOL=BEAV&amp;VAR:INDEX=0"}</definedName>
    <definedName name="_178__FDSAUDITLINK__" hidden="1">{"fdsup://directions/FAT Viewer?action=UPDATE&amp;creator=factset&amp;DYN_ARGS=TRUE&amp;DOC_NAME=FAT:FQL_AUDITING_CLIENT_TEMPLATE.FAT&amp;display_string=Audit&amp;VAR:KEY=MXKVWNOJAD&amp;VAR:QUERY=RkZfRU5UUlBSX1ZBTF9EQUlMWSgwMS8xMS8yMDExLCwsLCwnRElMJykvRUNBX01FQU5fRUJJVERBKDIwMTIsM","DEvMTEvMjAxMSk=&amp;WINDOW=FIRST_POPUP&amp;HEIGHT=450&amp;WIDTH=450&amp;START_MAXIMIZED=FALSE&amp;VAR:CALENDAR=US&amp;VAR:SYMBOL=BEAV&amp;VAR:INDEX=0"}</definedName>
    <definedName name="_179__FDSAUDITLINK__" hidden="1">{"fdsup://directions/FAT Viewer?action=UPDATE&amp;creator=factset&amp;DYN_ARGS=TRUE&amp;DOC_NAME=FAT:FQL_AUDITING_CLIENT_TEMPLATE.FAT&amp;display_string=Audit&amp;VAR:KEY=WJQTQTQFYD&amp;VAR:QUERY=RkZfRU5UUlBSX1ZBTF9EQUlMWSgwMS8xMS8yMDExLCwsLCwnRElMJykvRUNBX01FQU5fRUJJVERBKDIwMTEsM","DEvMTEvMjAxMSk=&amp;WINDOW=FIRST_POPUP&amp;HEIGHT=450&amp;WIDTH=450&amp;START_MAXIMIZED=FALSE&amp;VAR:CALENDAR=US&amp;VAR:SYMBOL=BEAV&amp;VAR:INDEX=0"}</definedName>
    <definedName name="_18__FDSAUDITLINK__" hidden="1">{"fdsup://directions/FAT Viewer?action=UPDATE&amp;creator=factset&amp;DYN_ARGS=TRUE&amp;DOC_NAME=FAT:FQL_AUDITING_CLIENT_TEMPLATE.FAT&amp;display_string=Audit&amp;VAR:KEY=STSDOVKDQN&amp;VAR:QUERY=RkZfRU5UUlBSX1ZBTF9EQUlMWSgwNy8yNi8yMDExLCwsLCwnRElMJykvRUNBX01FQU5fRUJJVERBKDIwMTAsM","DcvMjYvMjAxMSk=&amp;WINDOW=FIRST_POPUP&amp;HEIGHT=450&amp;WIDTH=450&amp;START_MAXIMIZED=FALSE&amp;VAR:CALENDAR=FIVEDAY&amp;VAR:SYMBOL=PCP&amp;VAR:INDEX=0"}</definedName>
    <definedName name="_180__FDSAUDITLINK__" hidden="1">{"fdsup://directions/FAT Viewer?action=UPDATE&amp;creator=factset&amp;DYN_ARGS=TRUE&amp;DOC_NAME=FAT:FQL_AUDITING_CLIENT_TEMPLATE.FAT&amp;display_string=Audit&amp;VAR:KEY=ATWNKBUDUR&amp;VAR:QUERY=RkZfRU5UUlBSX1ZBTF9EQUlMWSgwMS8xMS8yMDExLCwsLCwnRElMJykvRUNBX01FQU5fRUJJVERBKDIwMTAsM","DEvMTEvMjAxMSk=&amp;WINDOW=FIRST_POPUP&amp;HEIGHT=450&amp;WIDTH=450&amp;START_MAXIMIZED=FALSE&amp;VAR:CALENDAR=US&amp;VAR:SYMBOL=BEAV&amp;VAR:INDEX=0"}</definedName>
    <definedName name="_181__FDSAUDITLINK__" hidden="1">{"fdsup://directions/FAT Viewer?action=UPDATE&amp;creator=factset&amp;DYN_ARGS=TRUE&amp;DOC_NAME=FAT:FQL_AUDITING_CLIENT_TEMPLATE.FAT&amp;display_string=Audit&amp;VAR:KEY=GJKXWJCZEP&amp;VAR:QUERY=RkZfRU5UUlBSX1ZBTF9EQUlMWSgwMS8xMS8yMDExLCwsLCwnRElMJykvRUNBX01FQU5fU0FMRVMoMjAxMiwwM","S8xMS8yMDExKQ==&amp;WINDOW=FIRST_POPUP&amp;HEIGHT=450&amp;WIDTH=450&amp;START_MAXIMIZED=FALSE&amp;VAR:CALENDAR=FIVEDAY&amp;VAR:SYMBOL=057580&amp;VAR:INDEX=0"}</definedName>
    <definedName name="_182__FDSAUDITLINK__" hidden="1">{"fdsup://directions/FAT Viewer?action=UPDATE&amp;creator=factset&amp;DYN_ARGS=TRUE&amp;DOC_NAME=FAT:FQL_AUDITING_CLIENT_TEMPLATE.FAT&amp;display_string=Audit&amp;VAR:KEY=SPAXABUVSH&amp;VAR:QUERY=RkZfRU5UUlBSX1ZBTF9EQUlMWSgwMS8xMS8yMDExLCwsLCwnRElMJykvRUNBX01FQU5fU0FMRVMoMjAxMSwwM","S8xMS8yMDExKQ==&amp;WINDOW=FIRST_POPUP&amp;HEIGHT=450&amp;WIDTH=450&amp;START_MAXIMIZED=FALSE&amp;VAR:CALENDAR=FIVEDAY&amp;VAR:SYMBOL=057580&amp;VAR:INDEX=0"}</definedName>
    <definedName name="_183__FDSAUDITLINK__" hidden="1">{"fdsup://directions/FAT Viewer?action=UPDATE&amp;creator=factset&amp;DYN_ARGS=TRUE&amp;DOC_NAME=FAT:FQL_AUDITING_CLIENT_TEMPLATE.FAT&amp;display_string=Audit&amp;VAR:KEY=SNYJOVEDIX&amp;VAR:QUERY=RkZfRU5UUlBSX1ZBTF9EQUlMWSgwMS8xMS8yMDExLCwsLCwnRElMJykvRUNBX01FQU5fU0FMRVMoMjAxMCwwM","S8xMS8yMDExKQ==&amp;WINDOW=FIRST_POPUP&amp;HEIGHT=450&amp;WIDTH=450&amp;START_MAXIMIZED=FALSE&amp;VAR:CALENDAR=FIVEDAY&amp;VAR:SYMBOL=057580&amp;VAR:INDEX=0"}</definedName>
    <definedName name="_184__FDSAUDITLINK__" hidden="1">{"fdsup://directions/FAT Viewer?action=UPDATE&amp;creator=factset&amp;DYN_ARGS=TRUE&amp;DOC_NAME=FAT:FQL_AUDITING_CLIENT_TEMPLATE.FAT&amp;display_string=Audit&amp;VAR:KEY=OVMZWVYBSL&amp;VAR:QUERY=RkZfRU5UUlBSX1ZBTF9EQUlMWSgwMS8xMS8yMDExLCwsLCwnRElMJykvRUNBX01FQU5fRUJJVCgyMDEyLDAxL","zExLzIwMTEp&amp;WINDOW=FIRST_POPUP&amp;HEIGHT=450&amp;WIDTH=450&amp;START_MAXIMIZED=FALSE&amp;VAR:CALENDAR=FIVEDAY&amp;VAR:SYMBOL=057580&amp;VAR:INDEX=0"}</definedName>
    <definedName name="_185__FDSAUDITLINK__" hidden="1">{"fdsup://directions/FAT Viewer?action=UPDATE&amp;creator=factset&amp;DYN_ARGS=TRUE&amp;DOC_NAME=FAT:FQL_AUDITING_CLIENT_TEMPLATE.FAT&amp;display_string=Audit&amp;VAR:KEY=ETWJSXEDIP&amp;VAR:QUERY=RkZfRU5UUlBSX1ZBTF9EQUlMWSgwMS8xMS8yMDExLCwsLCwnRElMJykvRUNBX01FQU5fRUJJVCgyMDExLDAxL","zExLzIwMTEp&amp;WINDOW=FIRST_POPUP&amp;HEIGHT=450&amp;WIDTH=450&amp;START_MAXIMIZED=FALSE&amp;VAR:CALENDAR=FIVEDAY&amp;VAR:SYMBOL=057580&amp;VAR:INDEX=0"}</definedName>
    <definedName name="_186__FDSAUDITLINK__" hidden="1">{"fdsup://directions/FAT Viewer?action=UPDATE&amp;creator=factset&amp;DYN_ARGS=TRUE&amp;DOC_NAME=FAT:FQL_AUDITING_CLIENT_TEMPLATE.FAT&amp;display_string=Audit&amp;VAR:KEY=ENQZMFWXSL&amp;VAR:QUERY=RkZfRU5UUlBSX1ZBTF9EQUlMWSgwMS8xMS8yMDExLCwsLCwnRElMJykvRUNBX01FQU5fRUJJVCgyMDEwLDAxL","zExLzIwMTEp&amp;WINDOW=FIRST_POPUP&amp;HEIGHT=450&amp;WIDTH=450&amp;START_MAXIMIZED=FALSE&amp;VAR:CALENDAR=FIVEDAY&amp;VAR:SYMBOL=057580&amp;VAR:INDEX=0"}</definedName>
    <definedName name="_187__FDSAUDITLINK__" hidden="1">{"fdsup://directions/FAT Viewer?action=UPDATE&amp;creator=factset&amp;DYN_ARGS=TRUE&amp;DOC_NAME=FAT:FQL_AUDITING_CLIENT_TEMPLATE.FAT&amp;display_string=Audit&amp;VAR:KEY=SHQBQZIVMX&amp;VAR:QUERY=RkZfRU5UUlBSX1ZBTF9EQUlMWSgwMS8xMS8yMDExLCwsLCwnRElMJykvRUNBX01FQU5fRUJJVERBKDIwMTIsM","DEvMTEvMjAxMSk=&amp;WINDOW=FIRST_POPUP&amp;HEIGHT=450&amp;WIDTH=450&amp;START_MAXIMIZED=FALSE&amp;VAR:CALENDAR=FIVEDAY&amp;VAR:SYMBOL=057580&amp;VAR:INDEX=0"}</definedName>
    <definedName name="_188__FDSAUDITLINK__" hidden="1">{"fdsup://directions/FAT Viewer?action=UPDATE&amp;creator=factset&amp;DYN_ARGS=TRUE&amp;DOC_NAME=FAT:FQL_AUDITING_CLIENT_TEMPLATE.FAT&amp;display_string=Audit&amp;VAR:KEY=GBEZCBIPGH&amp;VAR:QUERY=RkZfRU5UUlBSX1ZBTF9EQUlMWSgwMS8xMS8yMDExLCwsLCwnRElMJykvRUNBX01FQU5fRUJJVERBKDIwMTEsM","DEvMTEvMjAxMSk=&amp;WINDOW=FIRST_POPUP&amp;HEIGHT=450&amp;WIDTH=450&amp;START_MAXIMIZED=FALSE&amp;VAR:CALENDAR=FIVEDAY&amp;VAR:SYMBOL=057580&amp;VAR:INDEX=0"}</definedName>
    <definedName name="_189__FDSAUDITLINK__" hidden="1">{"fdsup://directions/FAT Viewer?action=UPDATE&amp;creator=factset&amp;DYN_ARGS=TRUE&amp;DOC_NAME=FAT:FQL_AUDITING_CLIENT_TEMPLATE.FAT&amp;display_string=Audit&amp;VAR:KEY=KZAJOTOJMH&amp;VAR:QUERY=RkZfRU5UUlBSX1ZBTF9EQUlMWSgwMS8xMS8yMDExLCwsLCwnRElMJykvRUNBX01FQU5fRUJJVERBKDIwMTAsM","DEvMTEvMjAxMSk=&amp;WINDOW=FIRST_POPUP&amp;HEIGHT=450&amp;WIDTH=450&amp;START_MAXIMIZED=FALSE&amp;VAR:CALENDAR=FIVEDAY&amp;VAR:SYMBOL=057580&amp;VAR:INDEX=0"}</definedName>
    <definedName name="_19__FDSAUDITLINK__" hidden="1">{"fdsup://directions/FAT Viewer?action=UPDATE&amp;creator=factset&amp;DYN_ARGS=TRUE&amp;DOC_NAME=FAT:FQL_AUDITING_CLIENT_TEMPLATE.FAT&amp;display_string=Audit&amp;VAR:KEY=KXQFYTULEJ&amp;VAR:QUERY=RkZfRU5UUlBSX1ZBTF9EQUlMWSgwNy8yNi8yMDExLCwsLCwnRElMJykvRUNBX01FQU5fU0FMRVMoMjAxMiwwN","y8yNi8yMDExKQ==&amp;WINDOW=FIRST_POPUP&amp;HEIGHT=450&amp;WIDTH=450&amp;START_MAXIMIZED=FALSE&amp;VAR:CALENDAR=FIVEDAY&amp;VAR:SYMBOL=MOG.A&amp;VAR:INDEX=0"}</definedName>
    <definedName name="_190__FDSAUDITLINK__" hidden="1">{"fdsup://directions/FAT Viewer?action=UPDATE&amp;creator=factset&amp;DYN_ARGS=TRUE&amp;DOC_NAME=FAT:FQL_AUDITING_CLIENT_TEMPLATE.FAT&amp;display_string=Audit&amp;VAR:KEY=MXUFCXYFCH&amp;VAR:QUERY=RkZfRU5UUlBSX1ZBTF9EQUlMWSgwMS8xMS8yMDExLCwsLCwnRElMJykvRUNBX01FQU5fU0FMRVMoMjAxMiwwM","S8xMS8yMDExKQ==&amp;WINDOW=FIRST_POPUP&amp;HEIGHT=450&amp;WIDTH=450&amp;START_MAXIMIZED=FALSE&amp;VAR:CALENDAR=FIVEDAY&amp;VAR:SYMBOL=PCP&amp;VAR:INDEX=0"}</definedName>
    <definedName name="_191__FDSAUDITLINK__" hidden="1">{"fdsup://directions/FAT Viewer?action=UPDATE&amp;creator=factset&amp;DYN_ARGS=TRUE&amp;DOC_NAME=FAT:FQL_AUDITING_CLIENT_TEMPLATE.FAT&amp;display_string=Audit&amp;VAR:KEY=ILAZWDYLGN&amp;VAR:QUERY=RkZfRU5UUlBSX1ZBTF9EQUlMWSgwMS8xMS8yMDExLCwsLCwnRElMJykvRUNBX01FQU5fU0FMRVMoMjAxMSwwM","S8xMS8yMDExKQ==&amp;WINDOW=FIRST_POPUP&amp;HEIGHT=450&amp;WIDTH=450&amp;START_MAXIMIZED=FALSE&amp;VAR:CALENDAR=FIVEDAY&amp;VAR:SYMBOL=PCP&amp;VAR:INDEX=0"}</definedName>
    <definedName name="_192__FDSAUDITLINK__" hidden="1">{"fdsup://directions/FAT Viewer?action=UPDATE&amp;creator=factset&amp;DYN_ARGS=TRUE&amp;DOC_NAME=FAT:FQL_AUDITING_CLIENT_TEMPLATE.FAT&amp;display_string=Audit&amp;VAR:KEY=MDKBYZORMP&amp;VAR:QUERY=RkZfRU5UUlBSX1ZBTF9EQUlMWSgwMS8xMS8yMDExLCwsLCwnRElMJykvRUNBX01FQU5fU0FMRVMoMjAxMCwwM","S8xMS8yMDExKQ==&amp;WINDOW=FIRST_POPUP&amp;HEIGHT=450&amp;WIDTH=450&amp;START_MAXIMIZED=FALSE&amp;VAR:CALENDAR=FIVEDAY&amp;VAR:SYMBOL=PCP&amp;VAR:INDEX=0"}</definedName>
    <definedName name="_193__FDSAUDITLINK__" hidden="1">{"fdsup://directions/FAT Viewer?action=UPDATE&amp;creator=factset&amp;DYN_ARGS=TRUE&amp;DOC_NAME=FAT:FQL_AUDITING_CLIENT_TEMPLATE.FAT&amp;display_string=Audit&amp;VAR:KEY=EDSRAHIDAT&amp;VAR:QUERY=RkZfRU5UUlBSX1ZBTF9EQUlMWSgwMS8xMS8yMDExLCwsLCwnRElMJykvRUNBX01FQU5fRUJJVCgyMDEyLDAxL","zExLzIwMTEp&amp;WINDOW=FIRST_POPUP&amp;HEIGHT=450&amp;WIDTH=450&amp;START_MAXIMIZED=FALSE&amp;VAR:CALENDAR=FIVEDAY&amp;VAR:SYMBOL=PCP&amp;VAR:INDEX=0"}</definedName>
    <definedName name="_194__FDSAUDITLINK__" hidden="1">{"fdsup://directions/FAT Viewer?action=UPDATE&amp;creator=factset&amp;DYN_ARGS=TRUE&amp;DOC_NAME=FAT:FQL_AUDITING_CLIENT_TEMPLATE.FAT&amp;display_string=Audit&amp;VAR:KEY=YDYTENQBOT&amp;VAR:QUERY=RkZfRU5UUlBSX1ZBTF9EQUlMWSgwMS8xMS8yMDExLCwsLCwnRElMJykvRUNBX01FQU5fRUJJVCgyMDExLDAxL","zExLzIwMTEp&amp;WINDOW=FIRST_POPUP&amp;HEIGHT=450&amp;WIDTH=450&amp;START_MAXIMIZED=FALSE&amp;VAR:CALENDAR=FIVEDAY&amp;VAR:SYMBOL=PCP&amp;VAR:INDEX=0"}</definedName>
    <definedName name="_195__FDSAUDITLINK__" hidden="1">{"fdsup://directions/FAT Viewer?action=UPDATE&amp;creator=factset&amp;DYN_ARGS=TRUE&amp;DOC_NAME=FAT:FQL_AUDITING_CLIENT_TEMPLATE.FAT&amp;display_string=Audit&amp;VAR:KEY=OHWBIJUDWP&amp;VAR:QUERY=RkZfRU5UUlBSX1ZBTF9EQUlMWSgwMS8xMS8yMDExLCwsLCwnRElMJykvRUNBX01FQU5fRUJJVCgyMDEwLDAxL","zExLzIwMTEp&amp;WINDOW=FIRST_POPUP&amp;HEIGHT=450&amp;WIDTH=450&amp;START_MAXIMIZED=FALSE&amp;VAR:CALENDAR=FIVEDAY&amp;VAR:SYMBOL=PCP&amp;VAR:INDEX=0"}</definedName>
    <definedName name="_196__FDSAUDITLINK__" hidden="1">{"fdsup://directions/FAT Viewer?action=UPDATE&amp;creator=factset&amp;DYN_ARGS=TRUE&amp;DOC_NAME=FAT:FQL_AUDITING_CLIENT_TEMPLATE.FAT&amp;display_string=Audit&amp;VAR:KEY=CJGBOFAPUN&amp;VAR:QUERY=RkZfRU5UUlBSX1ZBTF9EQUlMWSgwMS8xMS8yMDExLCwsLCwnRElMJykvRUNBX01FQU5fRUJJVERBKDIwMTIsM","DEvMTEvMjAxMSk=&amp;WINDOW=FIRST_POPUP&amp;HEIGHT=450&amp;WIDTH=450&amp;START_MAXIMIZED=FALSE&amp;VAR:CALENDAR=FIVEDAY&amp;VAR:SYMBOL=PCP&amp;VAR:INDEX=0"}</definedName>
    <definedName name="_197__FDSAUDITLINK__" hidden="1">{"fdsup://directions/FAT Viewer?action=UPDATE&amp;creator=factset&amp;DYN_ARGS=TRUE&amp;DOC_NAME=FAT:FQL_AUDITING_CLIENT_TEMPLATE.FAT&amp;display_string=Audit&amp;VAR:KEY=UJCNCDWZYH&amp;VAR:QUERY=RkZfRU5UUlBSX1ZBTF9EQUlMWSgwMS8xMS8yMDExLCwsLCwnRElMJykvRUNBX01FQU5fRUJJVERBKDIwMTEsM","DEvMTEvMjAxMSk=&amp;WINDOW=FIRST_POPUP&amp;HEIGHT=450&amp;WIDTH=450&amp;START_MAXIMIZED=FALSE&amp;VAR:CALENDAR=FIVEDAY&amp;VAR:SYMBOL=PCP&amp;VAR:INDEX=0"}</definedName>
    <definedName name="_198__FDSAUDITLINK__" hidden="1">{"fdsup://directions/FAT Viewer?action=UPDATE&amp;creator=factset&amp;DYN_ARGS=TRUE&amp;DOC_NAME=FAT:FQL_AUDITING_CLIENT_TEMPLATE.FAT&amp;display_string=Audit&amp;VAR:KEY=ULILIHILQP&amp;VAR:QUERY=RkZfRU5UUlBSX1ZBTF9EQUlMWSgwMS8xMS8yMDExLCwsLCwnRElMJykvRUNBX01FQU5fRUJJVERBKDIwMTAsM","DEvMTEvMjAxMSk=&amp;WINDOW=FIRST_POPUP&amp;HEIGHT=450&amp;WIDTH=450&amp;START_MAXIMIZED=FALSE&amp;VAR:CALENDAR=FIVEDAY&amp;VAR:SYMBOL=PCP&amp;VAR:INDEX=0"}</definedName>
    <definedName name="_199__FDSAUDITLINK__" hidden="1">{"fdsup://directions/FAT Viewer?action=UPDATE&amp;creator=factset&amp;DYN_ARGS=TRUE&amp;DOC_NAME=FAT:FQL_AUDITING_CLIENT_TEMPLATE.FAT&amp;display_string=Audit&amp;VAR:KEY=ALWBKHSXEZ&amp;VAR:QUERY=RkZfRU5UUlBSX1ZBTF9EQUlMWSgwMS8xMS8yMDExLCwsLCwnRElMJykvRUNBX01FQU5fU0FMRVMoMjAxMiwwM","S8xMS8yMDExKQ==&amp;WINDOW=FIRST_POPUP&amp;HEIGHT=450&amp;WIDTH=450&amp;START_MAXIMIZED=FALSE&amp;VAR:CALENDAR=FIVEDAY&amp;VAR:SYMBOL=MOG.A&amp;VAR:INDEX=0"}</definedName>
    <definedName name="_2__123Graph_ACHART_2E" hidden="1">[1]Aerospace!$L$342:$L$373</definedName>
    <definedName name="_2__123Graph_Aｸﾞﾗﾌ_1" hidden="1">[2]ｾｸﾞﾒﾝﾄ!$E$164:$I$164</definedName>
    <definedName name="_2__FDSAUDITLINK__" hidden="1">{"fdsup://directions/FAT Viewer?action=UPDATE&amp;creator=factset&amp;DYN_ARGS=TRUE&amp;DOC_NAME=FAT:FQL_AUDITING_CLIENT_TEMPLATE.FAT&amp;display_string=Audit&amp;VAR:KEY=CLOBMTIDMF&amp;VAR:QUERY=RkZfRU5UUlBSX1ZBTF9EQUlMWSgwNy8yNi8yMDExLCwsLCwnRElMJykvRUNBX01FQU5fU0FMRVMoMjAxMSwwN","y8yNi8yMDExKQ==&amp;WINDOW=FIRST_POPUP&amp;HEIGHT=450&amp;WIDTH=450&amp;START_MAXIMIZED=FALSE&amp;VAR:CALENDAR=FIVEDAY&amp;VAR:SYMBOL=057580&amp;VAR:INDEX=0"}</definedName>
    <definedName name="_20__FDSAUDITLINK__" hidden="1">{"fdsup://directions/FAT Viewer?action=UPDATE&amp;creator=factset&amp;DYN_ARGS=TRUE&amp;DOC_NAME=FAT:FQL_AUDITING_CLIENT_TEMPLATE.FAT&amp;display_string=Audit&amp;VAR:KEY=YFUVUPKDQN&amp;VAR:QUERY=RkZfRU5UUlBSX1ZBTF9EQUlMWSgwNy8yNi8yMDExLCwsLCwnRElMJykvRUNBX01FQU5fU0FMRVMoMjAxMSwwN","y8yNi8yMDExKQ==&amp;WINDOW=FIRST_POPUP&amp;HEIGHT=450&amp;WIDTH=450&amp;START_MAXIMIZED=FALSE&amp;VAR:CALENDAR=FIVEDAY&amp;VAR:SYMBOL=MOG.A&amp;VAR:INDEX=0"}</definedName>
    <definedName name="_200__FDSAUDITLINK__" hidden="1">{"fdsup://directions/FAT Viewer?action=UPDATE&amp;creator=factset&amp;DYN_ARGS=TRUE&amp;DOC_NAME=FAT:FQL_AUDITING_CLIENT_TEMPLATE.FAT&amp;display_string=Audit&amp;VAR:KEY=UJKNYZOXGH&amp;VAR:QUERY=RkZfRU5UUlBSX1ZBTF9EQUlMWSgwMS8xMS8yMDExLCwsLCwnRElMJykvRUNBX01FQU5fU0FMRVMoMjAxMSwwM","S8xMS8yMDExKQ==&amp;WINDOW=FIRST_POPUP&amp;HEIGHT=450&amp;WIDTH=450&amp;START_MAXIMIZED=FALSE&amp;VAR:CALENDAR=FIVEDAY&amp;VAR:SYMBOL=MOG.A&amp;VAR:INDEX=0"}</definedName>
    <definedName name="_201__FDSAUDITLINK__" hidden="1">{"fdsup://directions/FAT Viewer?action=UPDATE&amp;creator=factset&amp;DYN_ARGS=TRUE&amp;DOC_NAME=FAT:FQL_AUDITING_CLIENT_TEMPLATE.FAT&amp;display_string=Audit&amp;VAR:KEY=UZINYXYJIP&amp;VAR:QUERY=RkZfRU5UUlBSX1ZBTF9EQUlMWSgwMS8xMS8yMDExLCwsLCwnRElMJykvRUNBX01FQU5fU0FMRVMoMjAxMCwwM","S8xMS8yMDExKQ==&amp;WINDOW=FIRST_POPUP&amp;HEIGHT=450&amp;WIDTH=450&amp;START_MAXIMIZED=FALSE&amp;VAR:CALENDAR=FIVEDAY&amp;VAR:SYMBOL=MOG.A&amp;VAR:INDEX=0"}</definedName>
    <definedName name="_202__FDSAUDITLINK__" hidden="1">{"fdsup://directions/FAT Viewer?action=UPDATE&amp;creator=factset&amp;DYN_ARGS=TRUE&amp;DOC_NAME=FAT:FQL_AUDITING_CLIENT_TEMPLATE.FAT&amp;display_string=Audit&amp;VAR:KEY=KBUNSBMVWP&amp;VAR:QUERY=RkZfRU5UUlBSX1ZBTF9EQUlMWSgwMS8xMS8yMDExLCwsLCwnRElMJykvRUNBX01FQU5fRUJJVCgyMDEyLDAxL","zExLzIwMTEp&amp;WINDOW=FIRST_POPUP&amp;HEIGHT=450&amp;WIDTH=450&amp;START_MAXIMIZED=FALSE&amp;VAR:CALENDAR=FIVEDAY&amp;VAR:SYMBOL=MOG.A&amp;VAR:INDEX=0"}</definedName>
    <definedName name="_203__FDSAUDITLINK__" hidden="1">{"fdsup://directions/FAT Viewer?action=UPDATE&amp;creator=factset&amp;DYN_ARGS=TRUE&amp;DOC_NAME=FAT:FQL_AUDITING_CLIENT_TEMPLATE.FAT&amp;display_string=Audit&amp;VAR:KEY=QTIRGRCNQP&amp;VAR:QUERY=RkZfRU5UUlBSX1ZBTF9EQUlMWSgwMS8xMS8yMDExLCwsLCwnRElMJykvRUNBX01FQU5fRUJJVCgyMDExLDAxL","zExLzIwMTEp&amp;WINDOW=FIRST_POPUP&amp;HEIGHT=450&amp;WIDTH=450&amp;START_MAXIMIZED=FALSE&amp;VAR:CALENDAR=FIVEDAY&amp;VAR:SYMBOL=MOG.A&amp;VAR:INDEX=0"}</definedName>
    <definedName name="_204__FDSAUDITLINK__" hidden="1">{"fdsup://directions/FAT Viewer?action=UPDATE&amp;creator=factset&amp;DYN_ARGS=TRUE&amp;DOC_NAME=FAT:FQL_AUDITING_CLIENT_TEMPLATE.FAT&amp;display_string=Audit&amp;VAR:KEY=GVGNCPODUV&amp;VAR:QUERY=RkZfRU5UUlBSX1ZBTF9EQUlMWSgwMS8xMS8yMDExLCwsLCwnRElMJykvRUNBX01FQU5fRUJJVCgyMDEwLDAxL","zExLzIwMTEp&amp;WINDOW=FIRST_POPUP&amp;HEIGHT=450&amp;WIDTH=450&amp;START_MAXIMIZED=FALSE&amp;VAR:CALENDAR=FIVEDAY&amp;VAR:SYMBOL=MOG.A&amp;VAR:INDEX=0"}</definedName>
    <definedName name="_205__FDSAUDITLINK__" hidden="1">{"fdsup://directions/FAT Viewer?action=UPDATE&amp;creator=factset&amp;DYN_ARGS=TRUE&amp;DOC_NAME=FAT:FQL_AUDITING_CLIENT_TEMPLATE.FAT&amp;display_string=Audit&amp;VAR:KEY=KXGRIVODUV&amp;VAR:QUERY=RkZfRU5UUlBSX1ZBTF9EQUlMWSgwMS8xMS8yMDExLCwsLCwnRElMJykvRUNBX01FQU5fRUJJVERBKDIwMTIsM","DEvMTEvMjAxMSk=&amp;WINDOW=FIRST_POPUP&amp;HEIGHT=450&amp;WIDTH=450&amp;START_MAXIMIZED=FALSE&amp;VAR:CALENDAR=FIVEDAY&amp;VAR:SYMBOL=MOG.A&amp;VAR:INDEX=0"}</definedName>
    <definedName name="_206__FDSAUDITLINK__" hidden="1">{"fdsup://directions/FAT Viewer?action=UPDATE&amp;creator=factset&amp;DYN_ARGS=TRUE&amp;DOC_NAME=FAT:FQL_AUDITING_CLIENT_TEMPLATE.FAT&amp;display_string=Audit&amp;VAR:KEY=CRANOROXQD&amp;VAR:QUERY=RkZfRU5UUlBSX1ZBTF9EQUlMWSgwMS8xMS8yMDExLCwsLCwnRElMJykvRUNBX01FQU5fRUJJVERBKDIwMTEsM","DEvMTEvMjAxMSk=&amp;WINDOW=FIRST_POPUP&amp;HEIGHT=450&amp;WIDTH=450&amp;START_MAXIMIZED=FALSE&amp;VAR:CALENDAR=FIVEDAY&amp;VAR:SYMBOL=MOG.A&amp;VAR:INDEX=0"}</definedName>
    <definedName name="_207__FDSAUDITLINK__" hidden="1">{"fdsup://directions/FAT Viewer?action=UPDATE&amp;creator=factset&amp;DYN_ARGS=TRUE&amp;DOC_NAME=FAT:FQL_AUDITING_CLIENT_TEMPLATE.FAT&amp;display_string=Audit&amp;VAR:KEY=QLUTQLCLGJ&amp;VAR:QUERY=RkZfRU5UUlBSX1ZBTF9EQUlMWSgwMS8xMS8yMDExLCwsLCwnRElMJykvRUNBX01FQU5fRUJJVERBKDIwMTAsM","DEvMTEvMjAxMSk=&amp;WINDOW=FIRST_POPUP&amp;HEIGHT=450&amp;WIDTH=450&amp;START_MAXIMIZED=FALSE&amp;VAR:CALENDAR=FIVEDAY&amp;VAR:SYMBOL=MOG.A&amp;VAR:INDEX=0"}</definedName>
    <definedName name="_208__FDSAUDITLINK__" hidden="1">{"fdsup://directions/FAT Viewer?action=UPDATE&amp;creator=factset&amp;DYN_ARGS=TRUE&amp;DOC_NAME=FAT:FQL_AUDITING_CLIENT_TEMPLATE.FAT&amp;display_string=Audit&amp;VAR:KEY=EZGTCLSBAD&amp;VAR:QUERY=RkZfRU5UUlBSX1ZBTF9EQUlMWSgwMS8xMS8yMDExLCwsLCwnRElMJykvRUNBX01FQU5fU0FMRVMoMjAxMiwwM","S8xMS8yMDExKQ==&amp;WINDOW=FIRST_POPUP&amp;HEIGHT=450&amp;WIDTH=450&amp;START_MAXIMIZED=FALSE&amp;VAR:CALENDAR=FIVEDAY&amp;VAR:SYMBOL=COL&amp;VAR:INDEX=0"}</definedName>
    <definedName name="_209__FDSAUDITLINK__" hidden="1">{"fdsup://directions/FAT Viewer?action=UPDATE&amp;creator=factset&amp;DYN_ARGS=TRUE&amp;DOC_NAME=FAT:FQL_AUDITING_CLIENT_TEMPLATE.FAT&amp;display_string=Audit&amp;VAR:KEY=YJKTCVWVCX&amp;VAR:QUERY=RkZfRU5UUlBSX1ZBTF9EQUlMWSgwMS8xMS8yMDExLCwsLCwnRElMJykvRUNBX01FQU5fU0FMRVMoMjAxMSwwM","S8xMS8yMDExKQ==&amp;WINDOW=FIRST_POPUP&amp;HEIGHT=450&amp;WIDTH=450&amp;START_MAXIMIZED=FALSE&amp;VAR:CALENDAR=FIVEDAY&amp;VAR:SYMBOL=COL&amp;VAR:INDEX=0"}</definedName>
    <definedName name="_21__FDSAUDITLINK__" hidden="1">{"fdsup://directions/FAT Viewer?action=UPDATE&amp;creator=factset&amp;DYN_ARGS=TRUE&amp;DOC_NAME=FAT:FQL_AUDITING_CLIENT_TEMPLATE.FAT&amp;display_string=Audit&amp;VAR:KEY=SXQPARKXCB&amp;VAR:QUERY=RkZfRU5UUlBSX1ZBTF9EQUlMWSgwNy8yNi8yMDExLCwsLCwnRElMJykvRUNBX01FQU5fU0FMRVMoMjAxMCwwN","y8yNi8yMDExKQ==&amp;WINDOW=FIRST_POPUP&amp;HEIGHT=450&amp;WIDTH=450&amp;START_MAXIMIZED=FALSE&amp;VAR:CALENDAR=FIVEDAY&amp;VAR:SYMBOL=MOG.A&amp;VAR:INDEX=0"}</definedName>
    <definedName name="_210__FDSAUDITLINK__" hidden="1">{"fdsup://directions/FAT Viewer?action=UPDATE&amp;creator=factset&amp;DYN_ARGS=TRUE&amp;DOC_NAME=FAT:FQL_AUDITING_CLIENT_TEMPLATE.FAT&amp;display_string=Audit&amp;VAR:KEY=ENIFKRWBWP&amp;VAR:QUERY=RkZfRU5UUlBSX1ZBTF9EQUlMWSgwMS8xMS8yMDExLCwsLCwnRElMJykvRUNBX01FQU5fU0FMRVMoMjAxMCwwM","S8xMS8yMDExKQ==&amp;WINDOW=FIRST_POPUP&amp;HEIGHT=450&amp;WIDTH=450&amp;START_MAXIMIZED=FALSE&amp;VAR:CALENDAR=FIVEDAY&amp;VAR:SYMBOL=COL&amp;VAR:INDEX=0"}</definedName>
    <definedName name="_211__FDSAUDITLINK__" hidden="1">{"fdsup://directions/FAT Viewer?action=UPDATE&amp;creator=factset&amp;DYN_ARGS=TRUE&amp;DOC_NAME=FAT:FQL_AUDITING_CLIENT_TEMPLATE.FAT&amp;display_string=Audit&amp;VAR:KEY=CDCBWBYDQB&amp;VAR:QUERY=RkZfRU5UUlBSX1ZBTF9EQUlMWSgwMS8xMS8yMDExLCwsLCwnRElMJykvRUNBX01FQU5fRUJJVCgyMDEyLDAxL","zExLzIwMTEp&amp;WINDOW=FIRST_POPUP&amp;HEIGHT=450&amp;WIDTH=450&amp;START_MAXIMIZED=FALSE&amp;VAR:CALENDAR=FIVEDAY&amp;VAR:SYMBOL=COL&amp;VAR:INDEX=0"}</definedName>
    <definedName name="_212__FDSAUDITLINK__" hidden="1">{"fdsup://directions/FAT Viewer?action=UPDATE&amp;creator=factset&amp;DYN_ARGS=TRUE&amp;DOC_NAME=FAT:FQL_AUDITING_CLIENT_TEMPLATE.FAT&amp;display_string=Audit&amp;VAR:KEY=MRELINIDUN&amp;VAR:QUERY=RkZfRU5UUlBSX1ZBTF9EQUlMWSgwMS8xMS8yMDExLCwsLCwnRElMJykvRUNBX01FQU5fRUJJVCgyMDExLDAxL","zExLzIwMTEp&amp;WINDOW=FIRST_POPUP&amp;HEIGHT=450&amp;WIDTH=450&amp;START_MAXIMIZED=FALSE&amp;VAR:CALENDAR=FIVEDAY&amp;VAR:SYMBOL=COL&amp;VAR:INDEX=0"}</definedName>
    <definedName name="_213__FDSAUDITLINK__" hidden="1">{"fdsup://directions/FAT Viewer?action=UPDATE&amp;creator=factset&amp;DYN_ARGS=TRUE&amp;DOC_NAME=FAT:FQL_AUDITING_CLIENT_TEMPLATE.FAT&amp;display_string=Audit&amp;VAR:KEY=IFODUDADIP&amp;VAR:QUERY=RkZfRU5UUlBSX1ZBTF9EQUlMWSgwMS8xMS8yMDExLCwsLCwnRElMJykvRUNBX01FQU5fRUJJVCgyMDEwLDAxL","zExLzIwMTEp&amp;WINDOW=FIRST_POPUP&amp;HEIGHT=450&amp;WIDTH=450&amp;START_MAXIMIZED=FALSE&amp;VAR:CALENDAR=FIVEDAY&amp;VAR:SYMBOL=COL&amp;VAR:INDEX=0"}</definedName>
    <definedName name="_214__FDSAUDITLINK__" hidden="1">{"fdsup://directions/FAT Viewer?action=UPDATE&amp;creator=factset&amp;DYN_ARGS=TRUE&amp;DOC_NAME=FAT:FQL_AUDITING_CLIENT_TEMPLATE.FAT&amp;display_string=Audit&amp;VAR:KEY=IVYHOZMZUD&amp;VAR:QUERY=RkZfRU5UUlBSX1ZBTF9EQUlMWSgwMS8xMS8yMDExLCwsLCwnRElMJykvRUNBX01FQU5fRUJJVERBKDIwMTIsM","DEvMTEvMjAxMSk=&amp;WINDOW=FIRST_POPUP&amp;HEIGHT=450&amp;WIDTH=450&amp;START_MAXIMIZED=FALSE&amp;VAR:CALENDAR=FIVEDAY&amp;VAR:SYMBOL=COL&amp;VAR:INDEX=0"}</definedName>
    <definedName name="_215__FDSAUDITLINK__" hidden="1">{"fdsup://directions/FAT Viewer?action=UPDATE&amp;creator=factset&amp;DYN_ARGS=TRUE&amp;DOC_NAME=FAT:FQL_AUDITING_CLIENT_TEMPLATE.FAT&amp;display_string=Audit&amp;VAR:KEY=KPUZOZGRKX&amp;VAR:QUERY=RkZfRU5UUlBSX1ZBTF9EQUlMWSgwMS8xMS8yMDExLCwsLCwnRElMJykvRUNBX01FQU5fRUJJVERBKDIwMTEsM","DEvMTEvMjAxMSk=&amp;WINDOW=FIRST_POPUP&amp;HEIGHT=450&amp;WIDTH=450&amp;START_MAXIMIZED=FALSE&amp;VAR:CALENDAR=FIVEDAY&amp;VAR:SYMBOL=COL&amp;VAR:INDEX=0"}</definedName>
    <definedName name="_216__FDSAUDITLINK__" hidden="1">{"fdsup://directions/FAT Viewer?action=UPDATE&amp;creator=factset&amp;DYN_ARGS=TRUE&amp;DOC_NAME=FAT:FQL_AUDITING_CLIENT_TEMPLATE.FAT&amp;display_string=Audit&amp;VAR:KEY=YHQTSVONSR&amp;VAR:QUERY=RkZfRU5UUlBSX1ZBTF9EQUlMWSgwMS8xMS8yMDExLCwsLCwnRElMJykvRUNBX01FQU5fRUJJVERBKDIwMTAsM","DEvMTEvMjAxMSk=&amp;WINDOW=FIRST_POPUP&amp;HEIGHT=450&amp;WIDTH=450&amp;START_MAXIMIZED=FALSE&amp;VAR:CALENDAR=FIVEDAY&amp;VAR:SYMBOL=COL&amp;VAR:INDEX=0"}</definedName>
    <definedName name="_217__FDSAUDITLINK__" hidden="1">{"fdsup://directions/FAT Viewer?action=UPDATE&amp;creator=factset&amp;DYN_ARGS=TRUE&amp;DOC_NAME=FAT:FQL_AUDITING_CLIENT_TEMPLATE.FAT&amp;display_string=Audit&amp;VAR:KEY=KLSZKFETWB&amp;VAR:QUERY=RkZfRU5UUlBSX1ZBTF9EQUlMWSgwMS8xMS8yMDExLCwsLCwnRElMJykvRUNBX01FQU5fU0FMRVMoMjAxMiwwM","S8xMS8yMDExKQ==&amp;WINDOW=FIRST_POPUP&amp;HEIGHT=450&amp;WIDTH=450&amp;START_MAXIMIZED=FALSE&amp;VAR:CALENDAR=FIVEDAY&amp;VAR:SYMBOL=BEAV&amp;VAR:INDEX=0"}</definedName>
    <definedName name="_218__FDSAUDITLINK__" hidden="1">{"fdsup://directions/FAT Viewer?action=UPDATE&amp;creator=factset&amp;DYN_ARGS=TRUE&amp;DOC_NAME=FAT:FQL_AUDITING_CLIENT_TEMPLATE.FAT&amp;display_string=Audit&amp;VAR:KEY=WFALUTYBGP&amp;VAR:QUERY=RkZfRU5UUlBSX1ZBTF9EQUlMWSgwMS8xMS8yMDExLCwsLCwnRElMJykvRUNBX01FQU5fU0FMRVMoMjAxMSwwM","S8xMS8yMDExKQ==&amp;WINDOW=FIRST_POPUP&amp;HEIGHT=450&amp;WIDTH=450&amp;START_MAXIMIZED=FALSE&amp;VAR:CALENDAR=FIVEDAY&amp;VAR:SYMBOL=BEAV&amp;VAR:INDEX=0"}</definedName>
    <definedName name="_219__FDSAUDITLINK__" hidden="1">{"fdsup://directions/FAT Viewer?action=UPDATE&amp;creator=factset&amp;DYN_ARGS=TRUE&amp;DOC_NAME=FAT:FQL_AUDITING_CLIENT_TEMPLATE.FAT&amp;display_string=Audit&amp;VAR:KEY=ODYHONQXAZ&amp;VAR:QUERY=RkZfRU5UUlBSX1ZBTF9EQUlMWSgwMS8xMS8yMDExLCwsLCwnRElMJykvRUNBX01FQU5fU0FMRVMoMjAxMCwwM","S8xMS8yMDExKQ==&amp;WINDOW=FIRST_POPUP&amp;HEIGHT=450&amp;WIDTH=450&amp;START_MAXIMIZED=FALSE&amp;VAR:CALENDAR=FIVEDAY&amp;VAR:SYMBOL=BEAV&amp;VAR:INDEX=0"}</definedName>
    <definedName name="_22__FDSAUDITLINK__" hidden="1">{"fdsup://directions/FAT Viewer?action=UPDATE&amp;creator=factset&amp;DYN_ARGS=TRUE&amp;DOC_NAME=FAT:FQL_AUDITING_CLIENT_TEMPLATE.FAT&amp;display_string=Audit&amp;VAR:KEY=YZABQJKFQX&amp;VAR:QUERY=RkZfRU5UUlBSX1ZBTF9EQUlMWSgwNy8yNi8yMDExLCwsLCwnRElMJykvRUNBX01FQU5fRUJJVCgyMDEyLDA3L","zI2LzIwMTEp&amp;WINDOW=FIRST_POPUP&amp;HEIGHT=450&amp;WIDTH=450&amp;START_MAXIMIZED=FALSE&amp;VAR:CALENDAR=FIVEDAY&amp;VAR:SYMBOL=MOG.A&amp;VAR:INDEX=0"}</definedName>
    <definedName name="_220__FDSAUDITLINK__" hidden="1">{"fdsup://directions/FAT Viewer?action=UPDATE&amp;creator=factset&amp;DYN_ARGS=TRUE&amp;DOC_NAME=FAT:FQL_AUDITING_CLIENT_TEMPLATE.FAT&amp;display_string=Audit&amp;VAR:KEY=YDGFSNGJUZ&amp;VAR:QUERY=RkZfRU5UUlBSX1ZBTF9EQUlMWSgwMS8xMS8yMDExLCwsLCwnRElMJykvRUNBX01FQU5fRUJJVCgyMDEyLDAxL","zExLzIwMTEp&amp;WINDOW=FIRST_POPUP&amp;HEIGHT=450&amp;WIDTH=450&amp;START_MAXIMIZED=FALSE&amp;VAR:CALENDAR=FIVEDAY&amp;VAR:SYMBOL=BEAV&amp;VAR:INDEX=0"}</definedName>
    <definedName name="_221__FDSAUDITLINK__" hidden="1">{"fdsup://directions/FAT Viewer?action=UPDATE&amp;creator=factset&amp;DYN_ARGS=TRUE&amp;DOC_NAME=FAT:FQL_AUDITING_CLIENT_TEMPLATE.FAT&amp;display_string=Audit&amp;VAR:KEY=YBCBUFQRWT&amp;VAR:QUERY=RkZfRU5UUlBSX1ZBTF9EQUlMWSgwMS8xMS8yMDExLCwsLCwnRElMJykvRUNBX01FQU5fRUJJVCgyMDExLDAxL","zExLzIwMTEp&amp;WINDOW=FIRST_POPUP&amp;HEIGHT=450&amp;WIDTH=450&amp;START_MAXIMIZED=FALSE&amp;VAR:CALENDAR=FIVEDAY&amp;VAR:SYMBOL=BEAV&amp;VAR:INDEX=0"}</definedName>
    <definedName name="_222__FDSAUDITLINK__" hidden="1">{"fdsup://directions/FAT Viewer?action=UPDATE&amp;creator=factset&amp;DYN_ARGS=TRUE&amp;DOC_NAME=FAT:FQL_AUDITING_CLIENT_TEMPLATE.FAT&amp;display_string=Audit&amp;VAR:KEY=SVCFMTMNEH&amp;VAR:QUERY=RkZfRU5UUlBSX1ZBTF9EQUlMWSgwMS8xMS8yMDExLCwsLCwnRElMJykvRUNBX01FQU5fRUJJVCgyMDEwLDAxL","zExLzIwMTEp&amp;WINDOW=FIRST_POPUP&amp;HEIGHT=450&amp;WIDTH=450&amp;START_MAXIMIZED=FALSE&amp;VAR:CALENDAR=FIVEDAY&amp;VAR:SYMBOL=BEAV&amp;VAR:INDEX=0"}</definedName>
    <definedName name="_223__FDSAUDITLINK__" hidden="1">{"fdsup://directions/FAT Viewer?action=UPDATE&amp;creator=factset&amp;DYN_ARGS=TRUE&amp;DOC_NAME=FAT:FQL_AUDITING_CLIENT_TEMPLATE.FAT&amp;display_string=Audit&amp;VAR:KEY=UPEPWDAVAV&amp;VAR:QUERY=RkZfRU5UUlBSX1ZBTF9EQUlMWSgwMS8xMS8yMDExLCwsLCwnRElMJykvRUNBX01FQU5fRUJJVERBKDIwMTIsM","DEvMTEvMjAxMSk=&amp;WINDOW=FIRST_POPUP&amp;HEIGHT=450&amp;WIDTH=450&amp;START_MAXIMIZED=FALSE&amp;VAR:CALENDAR=FIVEDAY&amp;VAR:SYMBOL=BEAV&amp;VAR:INDEX=0"}</definedName>
    <definedName name="_224__FDSAUDITLINK__" hidden="1">{"fdsup://directions/FAT Viewer?action=UPDATE&amp;creator=factset&amp;DYN_ARGS=TRUE&amp;DOC_NAME=FAT:FQL_AUDITING_CLIENT_TEMPLATE.FAT&amp;display_string=Audit&amp;VAR:KEY=GZENALIHQZ&amp;VAR:QUERY=RkZfRU5UUlBSX1ZBTF9EQUlMWSgwMS8xMS8yMDExLCwsLCwnRElMJykvRUNBX01FQU5fRUJJVERBKDIwMTEsM","DEvMTEvMjAxMSk=&amp;WINDOW=FIRST_POPUP&amp;HEIGHT=450&amp;WIDTH=450&amp;START_MAXIMIZED=FALSE&amp;VAR:CALENDAR=FIVEDAY&amp;VAR:SYMBOL=BEAV&amp;VAR:INDEX=0"}</definedName>
    <definedName name="_225__FDSAUDITLINK__" hidden="1">{"fdsup://directions/FAT Viewer?action=UPDATE&amp;creator=factset&amp;DYN_ARGS=TRUE&amp;DOC_NAME=FAT:FQL_AUDITING_CLIENT_TEMPLATE.FAT&amp;display_string=Audit&amp;VAR:KEY=ANEFKFOZQB&amp;VAR:QUERY=RkZfRU5UUlBSX1ZBTF9EQUlMWSgwMS8xMS8yMDExLCwsLCwnRElMJykvRUNBX01FQU5fRUJJVERBKDIwMTAsM","DEvMTEvMjAxMSk=&amp;WINDOW=FIRST_POPUP&amp;HEIGHT=450&amp;WIDTH=450&amp;START_MAXIMIZED=FALSE&amp;VAR:CALENDAR=FIVEDAY&amp;VAR:SYMBOL=BEAV&amp;VAR:INDEX=0"}</definedName>
    <definedName name="_226__FDSAUDITLINK__" hidden="1">{"fdsup://directions/FAT Viewer?action=UPDATE&amp;creator=factset&amp;DYN_ARGS=TRUE&amp;DOC_NAME=FAT:FQL_AUDITING_CLIENT_TEMPLATE.FAT&amp;display_string=Audit&amp;VAR:KEY=URQXKTSLOB&amp;VAR:QUERY=RkZfRU5UUlBSX1ZBTF9EQUlMWSgwNC8xNS8yMDExLCwsLCwnRElMJykvRUNBX01FQU5fU0FMRVMoMjAxMiwwN","C8xNS8yMDExKQ==&amp;WINDOW=FIRST_POPUP&amp;HEIGHT=450&amp;WIDTH=450&amp;START_MAXIMIZED=FALSE&amp;VAR:CALENDAR=FIVEDAY&amp;VAR:SYMBOL=057580&amp;VAR:INDEX=0"}</definedName>
    <definedName name="_227__FDSAUDITLINK__" hidden="1">{"fdsup://directions/FAT Viewer?action=UPDATE&amp;creator=factset&amp;DYN_ARGS=TRUE&amp;DOC_NAME=FAT:FQL_AUDITING_CLIENT_TEMPLATE.FAT&amp;display_string=Audit&amp;VAR:KEY=CZUVWJCPEZ&amp;VAR:QUERY=RkZfRU5UUlBSX1ZBTF9EQUlMWSgwNC8xNS8yMDExLCwsLCwnRElMJykvRUNBX01FQU5fU0FMRVMoMjAxMSwwN","C8xNS8yMDExKQ==&amp;WINDOW=FIRST_POPUP&amp;HEIGHT=450&amp;WIDTH=450&amp;START_MAXIMIZED=FALSE&amp;VAR:CALENDAR=FIVEDAY&amp;VAR:SYMBOL=057580&amp;VAR:INDEX=0"}</definedName>
    <definedName name="_228__FDSAUDITLINK__" hidden="1">{"fdsup://directions/FAT Viewer?action=UPDATE&amp;creator=factset&amp;DYN_ARGS=TRUE&amp;DOC_NAME=FAT:FQL_AUDITING_CLIENT_TEMPLATE.FAT&amp;display_string=Audit&amp;VAR:KEY=WRYZCLGVAT&amp;VAR:QUERY=RkZfRU5UUlBSX1ZBTF9EQUlMWSgwNC8xNS8yMDExLCwsLCwnRElMJykvRUNBX01FQU5fU0FMRVMoMjAxMCwwN","C8xNS8yMDExKQ==&amp;WINDOW=FIRST_POPUP&amp;HEIGHT=450&amp;WIDTH=450&amp;START_MAXIMIZED=FALSE&amp;VAR:CALENDAR=FIVEDAY&amp;VAR:SYMBOL=057580&amp;VAR:INDEX=0"}</definedName>
    <definedName name="_229__FDSAUDITLINK__" hidden="1">{"fdsup://directions/FAT Viewer?action=UPDATE&amp;creator=factset&amp;DYN_ARGS=TRUE&amp;DOC_NAME=FAT:FQL_AUDITING_CLIENT_TEMPLATE.FAT&amp;display_string=Audit&amp;VAR:KEY=KTEHEXUNKX&amp;VAR:QUERY=RkZfRU5UUlBSX1ZBTF9EQUlMWSgwNC8xNS8yMDExLCwsLCwnRElMJykvRUNBX01FQU5fRUJJVCgyMDEyLDA0L","zE1LzIwMTEp&amp;WINDOW=FIRST_POPUP&amp;HEIGHT=450&amp;WIDTH=450&amp;START_MAXIMIZED=FALSE&amp;VAR:CALENDAR=FIVEDAY&amp;VAR:SYMBOL=057580&amp;VAR:INDEX=0"}</definedName>
    <definedName name="_23__123Graph_Dｸﾞﾗﾌ_1" hidden="1">[2]ｾｸﾞﾒﾝﾄ!$E$167:$I$167</definedName>
    <definedName name="_23__FDSAUDITLINK__" hidden="1">{"fdsup://directions/FAT Viewer?action=UPDATE&amp;creator=factset&amp;DYN_ARGS=TRUE&amp;DOC_NAME=FAT:FQL_AUDITING_CLIENT_TEMPLATE.FAT&amp;display_string=Audit&amp;VAR:KEY=ATYHKPOLOF&amp;VAR:QUERY=RkZfRU5UUlBSX1ZBTF9EQUlMWSgwNy8yNi8yMDExLCwsLCwnRElMJykvRUNBX01FQU5fRUJJVCgyMDExLDA3L","zI2LzIwMTEp&amp;WINDOW=FIRST_POPUP&amp;HEIGHT=450&amp;WIDTH=450&amp;START_MAXIMIZED=FALSE&amp;VAR:CALENDAR=FIVEDAY&amp;VAR:SYMBOL=MOG.A&amp;VAR:INDEX=0"}</definedName>
    <definedName name="_230__FDSAUDITLINK__" hidden="1">{"fdsup://directions/FAT Viewer?action=UPDATE&amp;creator=factset&amp;DYN_ARGS=TRUE&amp;DOC_NAME=FAT:FQL_AUDITING_CLIENT_TEMPLATE.FAT&amp;display_string=Audit&amp;VAR:KEY=SJIXWFSXQJ&amp;VAR:QUERY=RkZfRU5UUlBSX1ZBTF9EQUlMWSgwNC8xNS8yMDExLCwsLCwnRElMJykvRUNBX01FQU5fRUJJVCgyMDExLDA0L","zE1LzIwMTEp&amp;WINDOW=FIRST_POPUP&amp;HEIGHT=450&amp;WIDTH=450&amp;START_MAXIMIZED=FALSE&amp;VAR:CALENDAR=FIVEDAY&amp;VAR:SYMBOL=057580&amp;VAR:INDEX=0"}</definedName>
    <definedName name="_231__FDSAUDITLINK__" hidden="1">{"fdsup://directions/FAT Viewer?action=UPDATE&amp;creator=factset&amp;DYN_ARGS=TRUE&amp;DOC_NAME=FAT:FQL_AUDITING_CLIENT_TEMPLATE.FAT&amp;display_string=Audit&amp;VAR:KEY=QVQBATWZSD&amp;VAR:QUERY=RkZfRU5UUlBSX1ZBTF9EQUlMWSgwNC8xNS8yMDExLCwsLCwnRElMJykvRUNBX01FQU5fRUJJVCgyMDEwLDA0L","zE1LzIwMTEp&amp;WINDOW=FIRST_POPUP&amp;HEIGHT=450&amp;WIDTH=450&amp;START_MAXIMIZED=FALSE&amp;VAR:CALENDAR=FIVEDAY&amp;VAR:SYMBOL=057580&amp;VAR:INDEX=0"}</definedName>
    <definedName name="_232__FDSAUDITLINK__" hidden="1">{"fdsup://directions/FAT Viewer?action=UPDATE&amp;creator=factset&amp;DYN_ARGS=TRUE&amp;DOC_NAME=FAT:FQL_AUDITING_CLIENT_TEMPLATE.FAT&amp;display_string=Audit&amp;VAR:KEY=OFENMVCLCJ&amp;VAR:QUERY=RkZfRU5UUlBSX1ZBTF9EQUlMWSgwNC8xNS8yMDExLCwsLCwnRElMJykvRUNBX01FQU5fRUJJVERBKDIwMTIsM","DQvMTUvMjAxMSk=&amp;WINDOW=FIRST_POPUP&amp;HEIGHT=450&amp;WIDTH=450&amp;START_MAXIMIZED=FALSE&amp;VAR:CALENDAR=FIVEDAY&amp;VAR:SYMBOL=057580&amp;VAR:INDEX=0"}</definedName>
    <definedName name="_233__FDSAUDITLINK__" hidden="1">{"fdsup://directions/FAT Viewer?action=UPDATE&amp;creator=factset&amp;DYN_ARGS=TRUE&amp;DOC_NAME=FAT:FQL_AUDITING_CLIENT_TEMPLATE.FAT&amp;display_string=Audit&amp;VAR:KEY=CBKLCDCTEN&amp;VAR:QUERY=RkZfRU5UUlBSX1ZBTF9EQUlMWSgwNC8xNS8yMDExLCwsLCwnRElMJykvRUNBX01FQU5fRUJJVERBKDIwMTEsM","DQvMTUvMjAxMSk=&amp;WINDOW=FIRST_POPUP&amp;HEIGHT=450&amp;WIDTH=450&amp;START_MAXIMIZED=FALSE&amp;VAR:CALENDAR=FIVEDAY&amp;VAR:SYMBOL=057580&amp;VAR:INDEX=0"}</definedName>
    <definedName name="_234__FDSAUDITLINK__" hidden="1">{"fdsup://directions/FAT Viewer?action=UPDATE&amp;creator=factset&amp;DYN_ARGS=TRUE&amp;DOC_NAME=FAT:FQL_AUDITING_CLIENT_TEMPLATE.FAT&amp;display_string=Audit&amp;VAR:KEY=GXSBOHUDSD&amp;VAR:QUERY=RkZfRU5UUlBSX1ZBTF9EQUlMWSgwNC8xNS8yMDExLCwsLCwnRElMJykvRUNBX01FQU5fRUJJVERBKDIwMTAsM","DQvMTUvMjAxMSk=&amp;WINDOW=FIRST_POPUP&amp;HEIGHT=450&amp;WIDTH=450&amp;START_MAXIMIZED=FALSE&amp;VAR:CALENDAR=FIVEDAY&amp;VAR:SYMBOL=057580&amp;VAR:INDEX=0"}</definedName>
    <definedName name="_235__FDSAUDITLINK__" hidden="1">{"fdsup://directions/FAT Viewer?action=UPDATE&amp;creator=factset&amp;DYN_ARGS=TRUE&amp;DOC_NAME=FAT:FQL_AUDITING_CLIENT_TEMPLATE.FAT&amp;display_string=Audit&amp;VAR:KEY=MBCVAPOVAP&amp;VAR:QUERY=RkZfRU5UUlBSX1ZBTF9EQUlMWSgwNC8xNS8yMDExLCwsLCwnRElMJykvRUNBX01FQU5fU0FMRVMoMjAxMiwwN","C8xNS8yMDExKQ==&amp;WINDOW=FIRST_POPUP&amp;HEIGHT=450&amp;WIDTH=450&amp;START_MAXIMIZED=FALSE&amp;VAR:CALENDAR=FIVEDAY&amp;VAR:SYMBOL=PCP&amp;VAR:INDEX=0"}</definedName>
    <definedName name="_236__FDSAUDITLINK__" hidden="1">{"fdsup://directions/FAT Viewer?action=UPDATE&amp;creator=factset&amp;DYN_ARGS=TRUE&amp;DOC_NAME=FAT:FQL_AUDITING_CLIENT_TEMPLATE.FAT&amp;display_string=Audit&amp;VAR:KEY=UZONWTSFKD&amp;VAR:QUERY=RkZfRU5UUlBSX1ZBTF9EQUlMWSgwNC8xNS8yMDExLCwsLCwnRElMJykvRUNBX01FQU5fU0FMRVMoMjAxMSwwN","C8xNS8yMDExKQ==&amp;WINDOW=FIRST_POPUP&amp;HEIGHT=450&amp;WIDTH=450&amp;START_MAXIMIZED=FALSE&amp;VAR:CALENDAR=FIVEDAY&amp;VAR:SYMBOL=PCP&amp;VAR:INDEX=0"}</definedName>
    <definedName name="_237__FDSAUDITLINK__" hidden="1">{"fdsup://directions/FAT Viewer?action=UPDATE&amp;creator=factset&amp;DYN_ARGS=TRUE&amp;DOC_NAME=FAT:FQL_AUDITING_CLIENT_TEMPLATE.FAT&amp;display_string=Audit&amp;VAR:KEY=CLGRYBUBOJ&amp;VAR:QUERY=RkZfRU5UUlBSX1ZBTF9EQUlMWSgwNC8xNS8yMDExLCwsLCwnRElMJykvRUNBX01FQU5fU0FMRVMoMjAxMCwwN","C8xNS8yMDExKQ==&amp;WINDOW=FIRST_POPUP&amp;HEIGHT=450&amp;WIDTH=450&amp;START_MAXIMIZED=FALSE&amp;VAR:CALENDAR=FIVEDAY&amp;VAR:SYMBOL=PCP&amp;VAR:INDEX=0"}</definedName>
    <definedName name="_238__FDSAUDITLINK__" hidden="1">{"fdsup://directions/FAT Viewer?action=UPDATE&amp;creator=factset&amp;DYN_ARGS=TRUE&amp;DOC_NAME=FAT:FQL_AUDITING_CLIENT_TEMPLATE.FAT&amp;display_string=Audit&amp;VAR:KEY=WTQFQXQBEZ&amp;VAR:QUERY=RkZfRU5UUlBSX1ZBTF9EQUlMWSgwNC8xNS8yMDExLCwsLCwnRElMJykvRUNBX01FQU5fRUJJVCgyMDEyLDA0L","zE1LzIwMTEp&amp;WINDOW=FIRST_POPUP&amp;HEIGHT=450&amp;WIDTH=450&amp;START_MAXIMIZED=FALSE&amp;VAR:CALENDAR=FIVEDAY&amp;VAR:SYMBOL=PCP&amp;VAR:INDEX=0"}</definedName>
    <definedName name="_239__FDSAUDITLINK__" hidden="1">{"fdsup://directions/FAT Viewer?action=UPDATE&amp;creator=factset&amp;DYN_ARGS=TRUE&amp;DOC_NAME=FAT:FQL_AUDITING_CLIENT_TEMPLATE.FAT&amp;display_string=Audit&amp;VAR:KEY=ETIHQFITOP&amp;VAR:QUERY=RkZfRU5UUlBSX1ZBTF9EQUlMWSgwNC8xNS8yMDExLCwsLCwnRElMJykvRUNBX01FQU5fRUJJVCgyMDExLDA0L","zE1LzIwMTEp&amp;WINDOW=FIRST_POPUP&amp;HEIGHT=450&amp;WIDTH=450&amp;START_MAXIMIZED=FALSE&amp;VAR:CALENDAR=FIVEDAY&amp;VAR:SYMBOL=PCP&amp;VAR:INDEX=0"}</definedName>
    <definedName name="_24__FDSAUDITLINK__" hidden="1">{"fdsup://directions/FAT Viewer?action=UPDATE&amp;creator=factset&amp;DYN_ARGS=TRUE&amp;DOC_NAME=FAT:FQL_AUDITING_CLIENT_TEMPLATE.FAT&amp;display_string=Audit&amp;VAR:KEY=INKPEBETEH&amp;VAR:QUERY=RkZfRU5UUlBSX1ZBTF9EQUlMWSgwNy8yNi8yMDExLCwsLCwnRElMJykvRUNBX01FQU5fRUJJVCgyMDEwLDA3L","zI2LzIwMTEp&amp;WINDOW=FIRST_POPUP&amp;HEIGHT=450&amp;WIDTH=450&amp;START_MAXIMIZED=FALSE&amp;VAR:CALENDAR=FIVEDAY&amp;VAR:SYMBOL=MOG.A&amp;VAR:INDEX=0"}</definedName>
    <definedName name="_240__FDSAUDITLINK__" hidden="1">{"fdsup://directions/FAT Viewer?action=UPDATE&amp;creator=factset&amp;DYN_ARGS=TRUE&amp;DOC_NAME=FAT:FQL_AUDITING_CLIENT_TEMPLATE.FAT&amp;display_string=Audit&amp;VAR:KEY=ORIJKZEDGL&amp;VAR:QUERY=RkZfRU5UUlBSX1ZBTF9EQUlMWSgwNC8xNS8yMDExLCwsLCwnRElMJykvRUNBX01FQU5fRUJJVCgyMDEwLDA0L","zE1LzIwMTEp&amp;WINDOW=FIRST_POPUP&amp;HEIGHT=450&amp;WIDTH=450&amp;START_MAXIMIZED=FALSE&amp;VAR:CALENDAR=FIVEDAY&amp;VAR:SYMBOL=PCP&amp;VAR:INDEX=0"}</definedName>
    <definedName name="_241__FDSAUDITLINK__" hidden="1">{"fdsup://directions/FAT Viewer?action=UPDATE&amp;creator=factset&amp;DYN_ARGS=TRUE&amp;DOC_NAME=FAT:FQL_AUDITING_CLIENT_TEMPLATE.FAT&amp;display_string=Audit&amp;VAR:KEY=IXWXABCNQP&amp;VAR:QUERY=RkZfRU5UUlBSX1ZBTF9EQUlMWSgwNC8xNS8yMDExLCwsLCwnRElMJykvRUNBX01FQU5fRUJJVERBKDIwMTIsM","DQvMTUvMjAxMSk=&amp;WINDOW=FIRST_POPUP&amp;HEIGHT=450&amp;WIDTH=450&amp;START_MAXIMIZED=FALSE&amp;VAR:CALENDAR=FIVEDAY&amp;VAR:SYMBOL=PCP&amp;VAR:INDEX=0"}</definedName>
    <definedName name="_242__FDSAUDITLINK__" hidden="1">{"fdsup://directions/FAT Viewer?action=UPDATE&amp;creator=factset&amp;DYN_ARGS=TRUE&amp;DOC_NAME=FAT:FQL_AUDITING_CLIENT_TEMPLATE.FAT&amp;display_string=Audit&amp;VAR:KEY=QFAZMXKHAR&amp;VAR:QUERY=RkZfRU5UUlBSX1ZBTF9EQUlMWSgwNC8xNS8yMDExLCwsLCwnRElMJykvRUNBX01FQU5fRUJJVERBKDIwMTEsM","DQvMTUvMjAxMSk=&amp;WINDOW=FIRST_POPUP&amp;HEIGHT=450&amp;WIDTH=450&amp;START_MAXIMIZED=FALSE&amp;VAR:CALENDAR=FIVEDAY&amp;VAR:SYMBOL=PCP&amp;VAR:INDEX=0"}</definedName>
    <definedName name="_243__FDSAUDITLINK__" hidden="1">{"fdsup://directions/FAT Viewer?action=UPDATE&amp;creator=factset&amp;DYN_ARGS=TRUE&amp;DOC_NAME=FAT:FQL_AUDITING_CLIENT_TEMPLATE.FAT&amp;display_string=Audit&amp;VAR:KEY=ULSJOLSFOZ&amp;VAR:QUERY=RkZfRU5UUlBSX1ZBTF9EQUlMWSgwNC8xNS8yMDExLCwsLCwnRElMJykvRUNBX01FQU5fRUJJVERBKDIwMTAsM","DQvMTUvMjAxMSk=&amp;WINDOW=FIRST_POPUP&amp;HEIGHT=450&amp;WIDTH=450&amp;START_MAXIMIZED=FALSE&amp;VAR:CALENDAR=FIVEDAY&amp;VAR:SYMBOL=PCP&amp;VAR:INDEX=0"}</definedName>
    <definedName name="_244__FDSAUDITLINK__" hidden="1">{"fdsup://directions/FAT Viewer?action=UPDATE&amp;creator=factset&amp;DYN_ARGS=TRUE&amp;DOC_NAME=FAT:FQL_AUDITING_CLIENT_TEMPLATE.FAT&amp;display_string=Audit&amp;VAR:KEY=KHEXYBOZUL&amp;VAR:QUERY=RkZfRU5UUlBSX1ZBTF9EQUlMWSgwNC8xNS8yMDExLCwsLCwnRElMJykvRUNBX01FQU5fU0FMRVMoMjAxMiwwN","C8xNS8yMDExKQ==&amp;WINDOW=FIRST_POPUP&amp;HEIGHT=450&amp;WIDTH=450&amp;START_MAXIMIZED=FALSE&amp;VAR:CALENDAR=FIVEDAY&amp;VAR:SYMBOL=MOG.A&amp;VAR:INDEX=0"}</definedName>
    <definedName name="_245__FDSAUDITLINK__" hidden="1">{"fdsup://directions/FAT Viewer?action=UPDATE&amp;creator=factset&amp;DYN_ARGS=TRUE&amp;DOC_NAME=FAT:FQL_AUDITING_CLIENT_TEMPLATE.FAT&amp;display_string=Audit&amp;VAR:KEY=AXCFMPYZQP&amp;VAR:QUERY=RkZfRU5UUlBSX1ZBTF9EQUlMWSgwNC8xNS8yMDExLCwsLCwnRElMJykvRUNBX01FQU5fU0FMRVMoMjAxMSwwN","C8xNS8yMDExKQ==&amp;WINDOW=FIRST_POPUP&amp;HEIGHT=450&amp;WIDTH=450&amp;START_MAXIMIZED=FALSE&amp;VAR:CALENDAR=FIVEDAY&amp;VAR:SYMBOL=MOG.A&amp;VAR:INDEX=0"}</definedName>
    <definedName name="_246__FDSAUDITLINK__" hidden="1">{"fdsup://directions/FAT Viewer?action=UPDATE&amp;creator=factset&amp;DYN_ARGS=TRUE&amp;DOC_NAME=FAT:FQL_AUDITING_CLIENT_TEMPLATE.FAT&amp;display_string=Audit&amp;VAR:KEY=ITQBODQZYH&amp;VAR:QUERY=RkZfRU5UUlBSX1ZBTF9EQUlMWSgwNC8xNS8yMDExLCwsLCwnRElMJykvRUNBX01FQU5fU0FMRVMoMjAxMCwwN","C8xNS8yMDExKQ==&amp;WINDOW=FIRST_POPUP&amp;HEIGHT=450&amp;WIDTH=450&amp;START_MAXIMIZED=FALSE&amp;VAR:CALENDAR=FIVEDAY&amp;VAR:SYMBOL=MOG.A&amp;VAR:INDEX=0"}</definedName>
    <definedName name="_247__FDSAUDITLINK__" hidden="1">{"fdsup://directions/FAT Viewer?action=UPDATE&amp;creator=factset&amp;DYN_ARGS=TRUE&amp;DOC_NAME=FAT:FQL_AUDITING_CLIENT_TEMPLATE.FAT&amp;display_string=Audit&amp;VAR:KEY=YRCZEBGRML&amp;VAR:QUERY=RkZfRU5UUlBSX1ZBTF9EQUlMWSgwNC8xNS8yMDExLCwsLCwnRElMJykvRUNBX01FQU5fRUJJVCgyMDEyLDA0L","zE1LzIwMTEp&amp;WINDOW=FIRST_POPUP&amp;HEIGHT=450&amp;WIDTH=450&amp;START_MAXIMIZED=FALSE&amp;VAR:CALENDAR=FIVEDAY&amp;VAR:SYMBOL=MOG.A&amp;VAR:INDEX=0"}</definedName>
    <definedName name="_248__FDSAUDITLINK__" hidden="1">{"fdsup://directions/FAT Viewer?action=UPDATE&amp;creator=factset&amp;DYN_ARGS=TRUE&amp;DOC_NAME=FAT:FQL_AUDITING_CLIENT_TEMPLATE.FAT&amp;display_string=Audit&amp;VAR:KEY=IFQZWBGXGF&amp;VAR:QUERY=RkZfRU5UUlBSX1ZBTF9EQUlMWSgwNC8xNS8yMDExLCwsLCwnRElMJykvRUNBX01FQU5fRUJJVCgyMDExLDA0L","zE1LzIwMTEp&amp;WINDOW=FIRST_POPUP&amp;HEIGHT=450&amp;WIDTH=450&amp;START_MAXIMIZED=FALSE&amp;VAR:CALENDAR=FIVEDAY&amp;VAR:SYMBOL=MOG.A&amp;VAR:INDEX=0"}</definedName>
    <definedName name="_249__FDSAUDITLINK__" hidden="1">{"fdsup://directions/FAT Viewer?action=UPDATE&amp;creator=factset&amp;DYN_ARGS=TRUE&amp;DOC_NAME=FAT:FQL_AUDITING_CLIENT_TEMPLATE.FAT&amp;display_string=Audit&amp;VAR:KEY=KLKDEXEBOJ&amp;VAR:QUERY=RkZfRU5UUlBSX1ZBTF9EQUlMWSgwNC8xNS8yMDExLCwsLCwnRElMJykvRUNBX01FQU5fRUJJVCgyMDEwLDA0L","zE1LzIwMTEp&amp;WINDOW=FIRST_POPUP&amp;HEIGHT=450&amp;WIDTH=450&amp;START_MAXIMIZED=FALSE&amp;VAR:CALENDAR=FIVEDAY&amp;VAR:SYMBOL=MOG.A&amp;VAR:INDEX=0"}</definedName>
    <definedName name="_25__FDSAUDITLINK__" hidden="1">{"fdsup://directions/FAT Viewer?action=UPDATE&amp;creator=factset&amp;DYN_ARGS=TRUE&amp;DOC_NAME=FAT:FQL_AUDITING_CLIENT_TEMPLATE.FAT&amp;display_string=Audit&amp;VAR:KEY=CNIJARGTKN&amp;VAR:QUERY=RkZfRU5UUlBSX1ZBTF9EQUlMWSgwNy8yNi8yMDExLCwsLCwnRElMJykvRUNBX01FQU5fRUJJVERBKDIwMTIsM","DcvMjYvMjAxMSk=&amp;WINDOW=FIRST_POPUP&amp;HEIGHT=450&amp;WIDTH=450&amp;START_MAXIMIZED=FALSE&amp;VAR:CALENDAR=FIVEDAY&amp;VAR:SYMBOL=MOG.A&amp;VAR:INDEX=0"}</definedName>
    <definedName name="_250__FDSAUDITLINK__" hidden="1">{"fdsup://directions/FAT Viewer?action=UPDATE&amp;creator=factset&amp;DYN_ARGS=TRUE&amp;DOC_NAME=FAT:FQL_AUDITING_CLIENT_TEMPLATE.FAT&amp;display_string=Audit&amp;VAR:KEY=KBINGZKXYB&amp;VAR:QUERY=RkZfRU5UUlBSX1ZBTF9EQUlMWSgwNC8xNS8yMDExLCwsLCwnRElMJykvRUNBX01FQU5fRUJJVERBKDIwMTIsM","DQvMTUvMjAxMSk=&amp;WINDOW=FIRST_POPUP&amp;HEIGHT=450&amp;WIDTH=450&amp;START_MAXIMIZED=FALSE&amp;VAR:CALENDAR=FIVEDAY&amp;VAR:SYMBOL=MOG.A&amp;VAR:INDEX=0"}</definedName>
    <definedName name="_251__FDSAUDITLINK__" hidden="1">{"fdsup://directions/FAT Viewer?action=UPDATE&amp;creator=factset&amp;DYN_ARGS=TRUE&amp;DOC_NAME=FAT:FQL_AUDITING_CLIENT_TEMPLATE.FAT&amp;display_string=Audit&amp;VAR:KEY=CFILUHMTOT&amp;VAR:QUERY=RkZfRU5UUlBSX1ZBTF9EQUlMWSgwNC8xNS8yMDExLCwsLCwnRElMJykvRUNBX01FQU5fRUJJVERBKDIwMTEsM","DQvMTUvMjAxMSk=&amp;WINDOW=FIRST_POPUP&amp;HEIGHT=450&amp;WIDTH=450&amp;START_MAXIMIZED=FALSE&amp;VAR:CALENDAR=FIVEDAY&amp;VAR:SYMBOL=MOG.A&amp;VAR:INDEX=0"}</definedName>
    <definedName name="_252__FDSAUDITLINK__" hidden="1">{"fdsup://directions/FAT Viewer?action=UPDATE&amp;creator=factset&amp;DYN_ARGS=TRUE&amp;DOC_NAME=FAT:FQL_AUDITING_CLIENT_TEMPLATE.FAT&amp;display_string=Audit&amp;VAR:KEY=UTYZAXQFKX&amp;VAR:QUERY=RkZfRU5UUlBSX1ZBTF9EQUlMWSgwNC8xNS8yMDExLCwsLCwnRElMJykvRUNBX01FQU5fRUJJVERBKDIwMTAsM","DQvMTUvMjAxMSk=&amp;WINDOW=FIRST_POPUP&amp;HEIGHT=450&amp;WIDTH=450&amp;START_MAXIMIZED=FALSE&amp;VAR:CALENDAR=FIVEDAY&amp;VAR:SYMBOL=MOG.A&amp;VAR:INDEX=0"}</definedName>
    <definedName name="_253__FDSAUDITLINK__" hidden="1">{"fdsup://directions/FAT Viewer?action=UPDATE&amp;creator=factset&amp;DYN_ARGS=TRUE&amp;DOC_NAME=FAT:FQL_AUDITING_CLIENT_TEMPLATE.FAT&amp;display_string=Audit&amp;VAR:KEY=YJUJYLOROZ&amp;VAR:QUERY=RkZfRU5UUlBSX1ZBTF9EQUlMWSgwNC8xNS8yMDExLCwsLCwnRElMJykvRUNBX01FQU5fU0FMRVMoMjAxMiwwN","C8xNS8yMDExKQ==&amp;WINDOW=FIRST_POPUP&amp;HEIGHT=450&amp;WIDTH=450&amp;START_MAXIMIZED=FALSE&amp;VAR:CALENDAR=FIVEDAY&amp;VAR:SYMBOL=COL&amp;VAR:INDEX=0"}</definedName>
    <definedName name="_254__FDSAUDITLINK__" hidden="1">{"fdsup://directions/FAT Viewer?action=UPDATE&amp;creator=factset&amp;DYN_ARGS=TRUE&amp;DOC_NAME=FAT:FQL_AUDITING_CLIENT_TEMPLATE.FAT&amp;display_string=Audit&amp;VAR:KEY=YLOVIBWHCF&amp;VAR:QUERY=RkZfRU5UUlBSX1ZBTF9EQUlMWSgwNC8xNS8yMDExLCwsLCwnRElMJykvRUNBX01FQU5fU0FMRVMoMjAxMSwwN","C8xNS8yMDExKQ==&amp;WINDOW=FIRST_POPUP&amp;HEIGHT=450&amp;WIDTH=450&amp;START_MAXIMIZED=FALSE&amp;VAR:CALENDAR=FIVEDAY&amp;VAR:SYMBOL=COL&amp;VAR:INDEX=0"}</definedName>
    <definedName name="_255__FDSAUDITLINK__" hidden="1">{"fdsup://directions/FAT Viewer?action=UPDATE&amp;creator=factset&amp;DYN_ARGS=TRUE&amp;DOC_NAME=FAT:FQL_AUDITING_CLIENT_TEMPLATE.FAT&amp;display_string=Audit&amp;VAR:KEY=WZKLGVKJWJ&amp;VAR:QUERY=RkZfRU5UUlBSX1ZBTF9EQUlMWSgwNC8xNS8yMDExLCwsLCwnRElMJykvRUNBX01FQU5fU0FMRVMoMjAxMCwwN","C8xNS8yMDExKQ==&amp;WINDOW=FIRST_POPUP&amp;HEIGHT=450&amp;WIDTH=450&amp;START_MAXIMIZED=FALSE&amp;VAR:CALENDAR=FIVEDAY&amp;VAR:SYMBOL=COL&amp;VAR:INDEX=0"}</definedName>
    <definedName name="_256__FDSAUDITLINK__" hidden="1">{"fdsup://directions/FAT Viewer?action=UPDATE&amp;creator=factset&amp;DYN_ARGS=TRUE&amp;DOC_NAME=FAT:FQL_AUDITING_CLIENT_TEMPLATE.FAT&amp;display_string=Audit&amp;VAR:KEY=SVUZMNYNKL&amp;VAR:QUERY=RkZfRU5UUlBSX1ZBTF9EQUlMWSgwNC8xNS8yMDExLCwsLCwnRElMJykvRUNBX01FQU5fRUJJVCgyMDEyLDA0L","zE1LzIwMTEp&amp;WINDOW=FIRST_POPUP&amp;HEIGHT=450&amp;WIDTH=450&amp;START_MAXIMIZED=FALSE&amp;VAR:CALENDAR=FIVEDAY&amp;VAR:SYMBOL=COL&amp;VAR:INDEX=0"}</definedName>
    <definedName name="_257__FDSAUDITLINK__" hidden="1">{"fdsup://directions/FAT Viewer?action=UPDATE&amp;creator=factset&amp;DYN_ARGS=TRUE&amp;DOC_NAME=FAT:FQL_AUDITING_CLIENT_TEMPLATE.FAT&amp;display_string=Audit&amp;VAR:KEY=SBIXYTMDCX&amp;VAR:QUERY=RkZfRU5UUlBSX1ZBTF9EQUlMWSgwNC8xNS8yMDExLCwsLCwnRElMJykvRUNBX01FQU5fRUJJVCgyMDExLDA0L","zE1LzIwMTEp&amp;WINDOW=FIRST_POPUP&amp;HEIGHT=450&amp;WIDTH=450&amp;START_MAXIMIZED=FALSE&amp;VAR:CALENDAR=FIVEDAY&amp;VAR:SYMBOL=COL&amp;VAR:INDEX=0"}</definedName>
    <definedName name="_258__FDSAUDITLINK__" hidden="1">{"fdsup://directions/FAT Viewer?action=UPDATE&amp;creator=factset&amp;DYN_ARGS=TRUE&amp;DOC_NAME=FAT:FQL_AUDITING_CLIENT_TEMPLATE.FAT&amp;display_string=Audit&amp;VAR:KEY=WJYXKNIHIL&amp;VAR:QUERY=RkZfRU5UUlBSX1ZBTF9EQUlMWSgwNC8xNS8yMDExLCwsLCwnRElMJykvRUNBX01FQU5fRUJJVCgyMDEwLDA0L","zE1LzIwMTEp&amp;WINDOW=FIRST_POPUP&amp;HEIGHT=450&amp;WIDTH=450&amp;START_MAXIMIZED=FALSE&amp;VAR:CALENDAR=FIVEDAY&amp;VAR:SYMBOL=COL&amp;VAR:INDEX=0"}</definedName>
    <definedName name="_259__FDSAUDITLINK__" hidden="1">{"fdsup://directions/FAT Viewer?action=UPDATE&amp;creator=factset&amp;DYN_ARGS=TRUE&amp;DOC_NAME=FAT:FQL_AUDITING_CLIENT_TEMPLATE.FAT&amp;display_string=Audit&amp;VAR:KEY=KDSXWLKXYV&amp;VAR:QUERY=RkZfRU5UUlBSX1ZBTF9EQUlMWSgwNC8xNS8yMDExLCwsLCwnRElMJykvRUNBX01FQU5fRUJJVERBKDIwMTIsM","DQvMTUvMjAxMSk=&amp;WINDOW=FIRST_POPUP&amp;HEIGHT=450&amp;WIDTH=450&amp;START_MAXIMIZED=FALSE&amp;VAR:CALENDAR=FIVEDAY&amp;VAR:SYMBOL=COL&amp;VAR:INDEX=0"}</definedName>
    <definedName name="_26__FDSAUDITLINK__" hidden="1">{"fdsup://directions/FAT Viewer?action=UPDATE&amp;creator=factset&amp;DYN_ARGS=TRUE&amp;DOC_NAME=FAT:FQL_AUDITING_CLIENT_TEMPLATE.FAT&amp;display_string=Audit&amp;VAR:KEY=WPWTGLCLQZ&amp;VAR:QUERY=RkZfRU5UUlBSX1ZBTF9EQUlMWSgwNy8yNi8yMDExLCwsLCwnRElMJykvRUNBX01FQU5fRUJJVERBKDIwMTEsM","DcvMjYvMjAxMSk=&amp;WINDOW=FIRST_POPUP&amp;HEIGHT=450&amp;WIDTH=450&amp;START_MAXIMIZED=FALSE&amp;VAR:CALENDAR=FIVEDAY&amp;VAR:SYMBOL=MOG.A&amp;VAR:INDEX=0"}</definedName>
    <definedName name="_260__FDSAUDITLINK__" hidden="1">{"fdsup://directions/FAT Viewer?action=UPDATE&amp;creator=factset&amp;DYN_ARGS=TRUE&amp;DOC_NAME=FAT:FQL_AUDITING_CLIENT_TEMPLATE.FAT&amp;display_string=Audit&amp;VAR:KEY=IJGBSDCNWV&amp;VAR:QUERY=RkZfRU5UUlBSX1ZBTF9EQUlMWSgwNC8xNS8yMDExLCwsLCwnRElMJykvRUNBX01FQU5fRUJJVERBKDIwMTEsM","DQvMTUvMjAxMSk=&amp;WINDOW=FIRST_POPUP&amp;HEIGHT=450&amp;WIDTH=450&amp;START_MAXIMIZED=FALSE&amp;VAR:CALENDAR=FIVEDAY&amp;VAR:SYMBOL=COL&amp;VAR:INDEX=0"}</definedName>
    <definedName name="_261__FDSAUDITLINK__" hidden="1">{"fdsup://directions/FAT Viewer?action=UPDATE&amp;creator=factset&amp;DYN_ARGS=TRUE&amp;DOC_NAME=FAT:FQL_AUDITING_CLIENT_TEMPLATE.FAT&amp;display_string=Audit&amp;VAR:KEY=WJQFOHGZCN&amp;VAR:QUERY=RkZfRU5UUlBSX1ZBTF9EQUlMWSgwNC8xNS8yMDExLCwsLCwnRElMJykvRUNBX01FQU5fRUJJVERBKDIwMTAsM","DQvMTUvMjAxMSk=&amp;WINDOW=FIRST_POPUP&amp;HEIGHT=450&amp;WIDTH=450&amp;START_MAXIMIZED=FALSE&amp;VAR:CALENDAR=FIVEDAY&amp;VAR:SYMBOL=COL&amp;VAR:INDEX=0"}</definedName>
    <definedName name="_262__FDSAUDITLINK__" hidden="1">{"fdsup://directions/FAT Viewer?action=UPDATE&amp;creator=factset&amp;DYN_ARGS=TRUE&amp;DOC_NAME=FAT:FQL_AUDITING_CLIENT_TEMPLATE.FAT&amp;display_string=Audit&amp;VAR:KEY=ALWZINKLIP&amp;VAR:QUERY=RkZfRU5UUlBSX1ZBTF9EQUlMWSgwNC8xNS8yMDExLCwsLCwnRElMJykvRUNBX01FQU5fU0FMRVMoMjAxMiwwN","C8xNS8yMDExKQ==&amp;WINDOW=FIRST_POPUP&amp;HEIGHT=450&amp;WIDTH=450&amp;START_MAXIMIZED=FALSE&amp;VAR:CALENDAR=FIVEDAY&amp;VAR:SYMBOL=BEAV&amp;VAR:INDEX=0"}</definedName>
    <definedName name="_263__FDSAUDITLINK__" hidden="1">{"fdsup://directions/FAT Viewer?action=UPDATE&amp;creator=factset&amp;DYN_ARGS=TRUE&amp;DOC_NAME=FAT:FQL_AUDITING_CLIENT_TEMPLATE.FAT&amp;display_string=Audit&amp;VAR:KEY=WDUXUTCLCV&amp;VAR:QUERY=RkZfRU5UUlBSX1ZBTF9EQUlMWSgwNC8xNS8yMDExLCwsLCwnRElMJykvRUNBX01FQU5fU0FMRVMoMjAxMSwwN","C8xNS8yMDExKQ==&amp;WINDOW=FIRST_POPUP&amp;HEIGHT=450&amp;WIDTH=450&amp;START_MAXIMIZED=FALSE&amp;VAR:CALENDAR=FIVEDAY&amp;VAR:SYMBOL=BEAV&amp;VAR:INDEX=0"}</definedName>
    <definedName name="_264__FDSAUDITLINK__" hidden="1">{"fdsup://directions/FAT Viewer?action=UPDATE&amp;creator=factset&amp;DYN_ARGS=TRUE&amp;DOC_NAME=FAT:FQL_AUDITING_CLIENT_TEMPLATE.FAT&amp;display_string=Audit&amp;VAR:KEY=UTCFSHYRUH&amp;VAR:QUERY=RkZfRU5UUlBSX1ZBTF9EQUlMWSgwNC8xNS8yMDExLCwsLCwnRElMJykvRUNBX01FQU5fU0FMRVMoMjAxMCwwN","C8xNS8yMDExKQ==&amp;WINDOW=FIRST_POPUP&amp;HEIGHT=450&amp;WIDTH=450&amp;START_MAXIMIZED=FALSE&amp;VAR:CALENDAR=FIVEDAY&amp;VAR:SYMBOL=BEAV&amp;VAR:INDEX=0"}</definedName>
    <definedName name="_265__FDSAUDITLINK__" hidden="1">{"fdsup://directions/FAT Viewer?action=UPDATE&amp;creator=factset&amp;DYN_ARGS=TRUE&amp;DOC_NAME=FAT:FQL_AUDITING_CLIENT_TEMPLATE.FAT&amp;display_string=Audit&amp;VAR:KEY=GPSDWHOVUN&amp;VAR:QUERY=RkZfRU5UUlBSX1ZBTF9EQUlMWSgwNC8xNS8yMDExLCwsLCwnRElMJykvRUNBX01FQU5fRUJJVCgyMDEyLDA0L","zE1LzIwMTEp&amp;WINDOW=FIRST_POPUP&amp;HEIGHT=450&amp;WIDTH=450&amp;START_MAXIMIZED=FALSE&amp;VAR:CALENDAR=FIVEDAY&amp;VAR:SYMBOL=BEAV&amp;VAR:INDEX=0"}</definedName>
    <definedName name="_266__FDSAUDITLINK__" hidden="1">{"fdsup://directions/FAT Viewer?action=UPDATE&amp;creator=factset&amp;DYN_ARGS=TRUE&amp;DOC_NAME=FAT:FQL_AUDITING_CLIENT_TEMPLATE.FAT&amp;display_string=Audit&amp;VAR:KEY=IFWDKFARMZ&amp;VAR:QUERY=RkZfRU5UUlBSX1ZBTF9EQUlMWSgwNC8xNS8yMDExLCwsLCwnRElMJykvRUNBX01FQU5fRUJJVCgyMDExLDA0L","zE1LzIwMTEp&amp;WINDOW=FIRST_POPUP&amp;HEIGHT=450&amp;WIDTH=450&amp;START_MAXIMIZED=FALSE&amp;VAR:CALENDAR=FIVEDAY&amp;VAR:SYMBOL=BEAV&amp;VAR:INDEX=0"}</definedName>
    <definedName name="_267__FDSAUDITLINK__" hidden="1">{"fdsup://directions/FAT Viewer?action=UPDATE&amp;creator=factset&amp;DYN_ARGS=TRUE&amp;DOC_NAME=FAT:FQL_AUDITING_CLIENT_TEMPLATE.FAT&amp;display_string=Audit&amp;VAR:KEY=QZMLSBKFCP&amp;VAR:QUERY=RkZfRU5UUlBSX1ZBTF9EQUlMWSgwNC8xNS8yMDExLCwsLCwnRElMJykvRUNBX01FQU5fRUJJVCgyMDEwLDA0L","zE1LzIwMTEp&amp;WINDOW=FIRST_POPUP&amp;HEIGHT=450&amp;WIDTH=450&amp;START_MAXIMIZED=FALSE&amp;VAR:CALENDAR=FIVEDAY&amp;VAR:SYMBOL=BEAV&amp;VAR:INDEX=0"}</definedName>
    <definedName name="_268__FDSAUDITLINK__" hidden="1">{"fdsup://directions/FAT Viewer?action=UPDATE&amp;creator=factset&amp;DYN_ARGS=TRUE&amp;DOC_NAME=FAT:FQL_AUDITING_CLIENT_TEMPLATE.FAT&amp;display_string=Audit&amp;VAR:KEY=KPKHOLUDMB&amp;VAR:QUERY=RkZfRU5UUlBSX1ZBTF9EQUlMWSgwNC8xNS8yMDExLCwsLCwnRElMJykvRUNBX01FQU5fRUJJVERBKDIwMTIsM","DQvMTUvMjAxMSk=&amp;WINDOW=FIRST_POPUP&amp;HEIGHT=450&amp;WIDTH=450&amp;START_MAXIMIZED=FALSE&amp;VAR:CALENDAR=FIVEDAY&amp;VAR:SYMBOL=BEAV&amp;VAR:INDEX=0"}</definedName>
    <definedName name="_269__FDSAUDITLINK__" hidden="1">{"fdsup://directions/FAT Viewer?action=UPDATE&amp;creator=factset&amp;DYN_ARGS=TRUE&amp;DOC_NAME=FAT:FQL_AUDITING_CLIENT_TEMPLATE.FAT&amp;display_string=Audit&amp;VAR:KEY=YPWTABWNSP&amp;VAR:QUERY=RkZfRU5UUlBSX1ZBTF9EQUlMWSgwNC8xNS8yMDExLCwsLCwnRElMJykvRUNBX01FQU5fRUJJVERBKDIwMTEsM","DQvMTUvMjAxMSk=&amp;WINDOW=FIRST_POPUP&amp;HEIGHT=450&amp;WIDTH=450&amp;START_MAXIMIZED=FALSE&amp;VAR:CALENDAR=FIVEDAY&amp;VAR:SYMBOL=BEAV&amp;VAR:INDEX=0"}</definedName>
    <definedName name="_27__FDSAUDITLINK__" hidden="1">{"fdsup://directions/FAT Viewer?action=UPDATE&amp;creator=factset&amp;DYN_ARGS=TRUE&amp;DOC_NAME=FAT:FQL_AUDITING_CLIENT_TEMPLATE.FAT&amp;display_string=Audit&amp;VAR:KEY=GPYNGJQBCN&amp;VAR:QUERY=RkZfRU5UUlBSX1ZBTF9EQUlMWSgwNy8yNi8yMDExLCwsLCwnRElMJykvRUNBX01FQU5fRUJJVERBKDIwMTAsM","DcvMjYvMjAxMSk=&amp;WINDOW=FIRST_POPUP&amp;HEIGHT=450&amp;WIDTH=450&amp;START_MAXIMIZED=FALSE&amp;VAR:CALENDAR=FIVEDAY&amp;VAR:SYMBOL=MOG.A&amp;VAR:INDEX=0"}</definedName>
    <definedName name="_270__FDSAUDITLINK__" hidden="1">{"fdsup://directions/FAT Viewer?action=UPDATE&amp;creator=factset&amp;DYN_ARGS=TRUE&amp;DOC_NAME=FAT:FQL_AUDITING_CLIENT_TEMPLATE.FAT&amp;display_string=Audit&amp;VAR:KEY=GNQDEDIRKR&amp;VAR:QUERY=RkZfRU5UUlBSX1ZBTF9EQUlMWSgwNC8xNS8yMDExLCwsLCwnRElMJykvRUNBX01FQU5fRUJJVERBKDIwMTAsM","DQvMTUvMjAxMSk=&amp;WINDOW=FIRST_POPUP&amp;HEIGHT=450&amp;WIDTH=450&amp;START_MAXIMIZED=FALSE&amp;VAR:CALENDAR=FIVEDAY&amp;VAR:SYMBOL=BEAV&amp;VAR:INDEX=0"}</definedName>
    <definedName name="_271__FDSAUDITLINK__" hidden="1">{"fdsup://directions/FAT Viewer?action=UPDATE&amp;creator=factset&amp;DYN_ARGS=TRUE&amp;DOC_NAME=FAT:FQL_AUDITING_CLIENT_TEMPLATE.FAT&amp;display_string=Audit&amp;VAR:KEY=ULCLMBOPAL&amp;VAR:QUERY=RkZfRU5UUlBSX1ZBTF9EQUlMWSgwNC8xNS8yMDExLCwsLCwnRElMJykvRUNBX01FQU5fU0FMRVMoMjAxMiwwN","C8xNS8yMDExKQ==&amp;WINDOW=FIRST_POPUP&amp;HEIGHT=450&amp;WIDTH=450&amp;START_MAXIMIZED=FALSE&amp;VAR:CALENDAR=US&amp;VAR:SYMBOL=057580&amp;VAR:INDEX=0"}</definedName>
    <definedName name="_272__FDSAUDITLINK__" hidden="1">{"fdsup://directions/FAT Viewer?action=UPDATE&amp;creator=factset&amp;DYN_ARGS=TRUE&amp;DOC_NAME=FAT:FQL_AUDITING_CLIENT_TEMPLATE.FAT&amp;display_string=Audit&amp;VAR:KEY=MLERAHQRGV&amp;VAR:QUERY=RkZfRU5UUlBSX1ZBTF9EQUlMWSgwNC8xNS8yMDExLCwsLCwnRElMJykvRUNBX01FQU5fU0FMRVMoMjAxMSwwN","C8xNS8yMDExKQ==&amp;WINDOW=FIRST_POPUP&amp;HEIGHT=450&amp;WIDTH=450&amp;START_MAXIMIZED=FALSE&amp;VAR:CALENDAR=US&amp;VAR:SYMBOL=057580&amp;VAR:INDEX=0"}</definedName>
    <definedName name="_273__FDSAUDITLINK__" hidden="1">{"fdsup://directions/FAT Viewer?action=UPDATE&amp;creator=factset&amp;DYN_ARGS=TRUE&amp;DOC_NAME=FAT:FQL_AUDITING_CLIENT_TEMPLATE.FAT&amp;display_string=Audit&amp;VAR:KEY=WNEXMDMDSF&amp;VAR:QUERY=RkZfRU5UUlBSX1ZBTF9EQUlMWSgwNC8xNS8yMDExLCwsLCwnRElMJykvRUNBX01FQU5fU0FMRVMoMjAxMCwwN","C8xNS8yMDExKQ==&amp;WINDOW=FIRST_POPUP&amp;HEIGHT=450&amp;WIDTH=450&amp;START_MAXIMIZED=FALSE&amp;VAR:CALENDAR=US&amp;VAR:SYMBOL=057580&amp;VAR:INDEX=0"}</definedName>
    <definedName name="_274__FDSAUDITLINK__" hidden="1">{"fdsup://directions/FAT Viewer?action=UPDATE&amp;creator=factset&amp;DYN_ARGS=TRUE&amp;DOC_NAME=FAT:FQL_AUDITING_CLIENT_TEMPLATE.FAT&amp;display_string=Audit&amp;VAR:KEY=ERAFWDCFUX&amp;VAR:QUERY=RkZfRU5UUlBSX1ZBTF9EQUlMWSgwNC8xNS8yMDExLCwsLCwnRElMJykvRUNBX01FQU5fRUJJVCgyMDEyLDA0L","zE1LzIwMTEp&amp;WINDOW=FIRST_POPUP&amp;HEIGHT=450&amp;WIDTH=450&amp;START_MAXIMIZED=FALSE&amp;VAR:CALENDAR=US&amp;VAR:SYMBOL=057580&amp;VAR:INDEX=0"}</definedName>
    <definedName name="_275__FDSAUDITLINK__" hidden="1">{"fdsup://directions/FAT Viewer?action=UPDATE&amp;creator=factset&amp;DYN_ARGS=TRUE&amp;DOC_NAME=FAT:FQL_AUDITING_CLIENT_TEMPLATE.FAT&amp;display_string=Audit&amp;VAR:KEY=WJAZQJEBMX&amp;VAR:QUERY=RkZfRU5UUlBSX1ZBTF9EQUlMWSgwNC8xNS8yMDExLCwsLCwnRElMJykvRUNBX01FQU5fRUJJVCgyMDExLDA0L","zE1LzIwMTEp&amp;WINDOW=FIRST_POPUP&amp;HEIGHT=450&amp;WIDTH=450&amp;START_MAXIMIZED=FALSE&amp;VAR:CALENDAR=US&amp;VAR:SYMBOL=057580&amp;VAR:INDEX=0"}</definedName>
    <definedName name="_276__FDSAUDITLINK__" hidden="1">{"fdsup://directions/FAT Viewer?action=UPDATE&amp;creator=factset&amp;DYN_ARGS=TRUE&amp;DOC_NAME=FAT:FQL_AUDITING_CLIENT_TEMPLATE.FAT&amp;display_string=Audit&amp;VAR:KEY=ULWZEPGPMB&amp;VAR:QUERY=RkZfRU5UUlBSX1ZBTF9EQUlMWSgwNC8xNS8yMDExLCwsLCwnRElMJykvRUNBX01FQU5fRUJJVCgyMDEwLDA0L","zE1LzIwMTEp&amp;WINDOW=FIRST_POPUP&amp;HEIGHT=450&amp;WIDTH=450&amp;START_MAXIMIZED=FALSE&amp;VAR:CALENDAR=US&amp;VAR:SYMBOL=057580&amp;VAR:INDEX=0"}</definedName>
    <definedName name="_277__FDSAUDITLINK__" hidden="1">{"fdsup://directions/FAT Viewer?action=UPDATE&amp;creator=factset&amp;DYN_ARGS=TRUE&amp;DOC_NAME=FAT:FQL_AUDITING_CLIENT_TEMPLATE.FAT&amp;display_string=Audit&amp;VAR:KEY=AVCTKDQJSR&amp;VAR:QUERY=RkZfRU5UUlBSX1ZBTF9EQUlMWSgwNC8xNS8yMDExLCwsLCwnRElMJykvRUNBX01FQU5fRUJJVERBKDIwMTIsM","DQvMTUvMjAxMSk=&amp;WINDOW=FIRST_POPUP&amp;HEIGHT=450&amp;WIDTH=450&amp;START_MAXIMIZED=FALSE&amp;VAR:CALENDAR=US&amp;VAR:SYMBOL=057580&amp;VAR:INDEX=0"}</definedName>
    <definedName name="_278__FDSAUDITLINK__" hidden="1">{"fdsup://directions/FAT Viewer?action=UPDATE&amp;creator=factset&amp;DYN_ARGS=TRUE&amp;DOC_NAME=FAT:FQL_AUDITING_CLIENT_TEMPLATE.FAT&amp;display_string=Audit&amp;VAR:KEY=UBSPCDARWT&amp;VAR:QUERY=RkZfRU5UUlBSX1ZBTF9EQUlMWSgwNC8xNS8yMDExLCwsLCwnRElMJykvRUNBX01FQU5fRUJJVERBKDIwMTEsM","DQvMTUvMjAxMSk=&amp;WINDOW=FIRST_POPUP&amp;HEIGHT=450&amp;WIDTH=450&amp;START_MAXIMIZED=FALSE&amp;VAR:CALENDAR=US&amp;VAR:SYMBOL=057580&amp;VAR:INDEX=0"}</definedName>
    <definedName name="_279__FDSAUDITLINK__" hidden="1">{"fdsup://directions/FAT Viewer?action=UPDATE&amp;creator=factset&amp;DYN_ARGS=TRUE&amp;DOC_NAME=FAT:FQL_AUDITING_CLIENT_TEMPLATE.FAT&amp;display_string=Audit&amp;VAR:KEY=CVIDELKVKF&amp;VAR:QUERY=RkZfRU5UUlBSX1ZBTF9EQUlMWSgwNC8xNS8yMDExLCwsLCwnRElMJykvRUNBX01FQU5fRUJJVERBKDIwMTAsM","DQvMTUvMjAxMSk=&amp;WINDOW=FIRST_POPUP&amp;HEIGHT=450&amp;WIDTH=450&amp;START_MAXIMIZED=FALSE&amp;VAR:CALENDAR=US&amp;VAR:SYMBOL=057580&amp;VAR:INDEX=0"}</definedName>
    <definedName name="_28__FDSAUDITLINK__" hidden="1">{"fdsup://directions/FAT Viewer?action=UPDATE&amp;creator=factset&amp;DYN_ARGS=TRUE&amp;DOC_NAME=FAT:FQL_AUDITING_CLIENT_TEMPLATE.FAT&amp;display_string=Audit&amp;VAR:KEY=IBGTYFAZEJ&amp;VAR:QUERY=RkZfRU5UUlBSX1ZBTF9EQUlMWSgwNy8yNi8yMDExLCwsLCwnRElMJykvRUNBX01FQU5fU0FMRVMoMjAxMiwwN","y8yNi8yMDExKQ==&amp;WINDOW=FIRST_POPUP&amp;HEIGHT=450&amp;WIDTH=450&amp;START_MAXIMIZED=FALSE&amp;VAR:CALENDAR=FIVEDAY&amp;VAR:SYMBOL=COL&amp;VAR:INDEX=0"}</definedName>
    <definedName name="_280__FDSAUDITLINK__" hidden="1">{"fdsup://directions/FAT Viewer?action=UPDATE&amp;creator=factset&amp;DYN_ARGS=TRUE&amp;DOC_NAME=FAT:FQL_AUDITING_CLIENT_TEMPLATE.FAT&amp;display_string=Audit&amp;VAR:KEY=WPKJQBKFGR&amp;VAR:QUERY=RkZfRU5UUlBSX1ZBTF9EQUlMWSgwNC8xNS8yMDExLCwsLCwnRElMJykvRUNBX01FQU5fU0FMRVMoMjAxMiwwN","C8xNS8yMDExKQ==&amp;WINDOW=FIRST_POPUP&amp;HEIGHT=450&amp;WIDTH=450&amp;START_MAXIMIZED=FALSE&amp;VAR:CALENDAR=US&amp;VAR:SYMBOL=PCP&amp;VAR:INDEX=0"}</definedName>
    <definedName name="_281__FDSAUDITLINK__" hidden="1">{"fdsup://directions/FAT Viewer?action=UPDATE&amp;creator=factset&amp;DYN_ARGS=TRUE&amp;DOC_NAME=FAT:FQL_AUDITING_CLIENT_TEMPLATE.FAT&amp;display_string=Audit&amp;VAR:KEY=MLWZYPCDAP&amp;VAR:QUERY=RkZfRU5UUlBSX1ZBTF9EQUlMWSgwNC8xNS8yMDExLCwsLCwnRElMJykvRUNBX01FQU5fU0FMRVMoMjAxMSwwN","C8xNS8yMDExKQ==&amp;WINDOW=FIRST_POPUP&amp;HEIGHT=450&amp;WIDTH=450&amp;START_MAXIMIZED=FALSE&amp;VAR:CALENDAR=US&amp;VAR:SYMBOL=PCP&amp;VAR:INDEX=0"}</definedName>
    <definedName name="_282__FDSAUDITLINK__" hidden="1">{"fdsup://directions/FAT Viewer?action=UPDATE&amp;creator=factset&amp;DYN_ARGS=TRUE&amp;DOC_NAME=FAT:FQL_AUDITING_CLIENT_TEMPLATE.FAT&amp;display_string=Audit&amp;VAR:KEY=UDSBKTYTQV&amp;VAR:QUERY=RkZfRU5UUlBSX1ZBTF9EQUlMWSgwNC8xNS8yMDExLCwsLCwnRElMJykvRUNBX01FQU5fU0FMRVMoMjAxMCwwN","C8xNS8yMDExKQ==&amp;WINDOW=FIRST_POPUP&amp;HEIGHT=450&amp;WIDTH=450&amp;START_MAXIMIZED=FALSE&amp;VAR:CALENDAR=US&amp;VAR:SYMBOL=PCP&amp;VAR:INDEX=0"}</definedName>
    <definedName name="_283__FDSAUDITLINK__" hidden="1">{"fdsup://directions/FAT Viewer?action=UPDATE&amp;creator=factset&amp;DYN_ARGS=TRUE&amp;DOC_NAME=FAT:FQL_AUDITING_CLIENT_TEMPLATE.FAT&amp;display_string=Audit&amp;VAR:KEY=GLQBAVQFQT&amp;VAR:QUERY=RkZfRU5UUlBSX1ZBTF9EQUlMWSgwNC8xNS8yMDExLCwsLCwnRElMJykvRUNBX01FQU5fRUJJVCgyMDEyLDA0L","zE1LzIwMTEp&amp;WINDOW=FIRST_POPUP&amp;HEIGHT=450&amp;WIDTH=450&amp;START_MAXIMIZED=FALSE&amp;VAR:CALENDAR=US&amp;VAR:SYMBOL=PCP&amp;VAR:INDEX=0"}</definedName>
    <definedName name="_284__FDSAUDITLINK__" hidden="1">{"fdsup://directions/FAT Viewer?action=UPDATE&amp;creator=factset&amp;DYN_ARGS=TRUE&amp;DOC_NAME=FAT:FQL_AUDITING_CLIENT_TEMPLATE.FAT&amp;display_string=Audit&amp;VAR:KEY=IJGRKBORED&amp;VAR:QUERY=RkZfRU5UUlBSX1ZBTF9EQUlMWSgwNC8xNS8yMDExLCwsLCwnRElMJykvRUNBX01FQU5fRUJJVCgyMDExLDA0L","zE1LzIwMTEp&amp;WINDOW=FIRST_POPUP&amp;HEIGHT=450&amp;WIDTH=450&amp;START_MAXIMIZED=FALSE&amp;VAR:CALENDAR=US&amp;VAR:SYMBOL=PCP&amp;VAR:INDEX=0"}</definedName>
    <definedName name="_285__FDSAUDITLINK__" hidden="1">{"fdsup://directions/FAT Viewer?action=UPDATE&amp;creator=factset&amp;DYN_ARGS=TRUE&amp;DOC_NAME=FAT:FQL_AUDITING_CLIENT_TEMPLATE.FAT&amp;display_string=Audit&amp;VAR:KEY=GPGJOHYTWB&amp;VAR:QUERY=RkZfRU5UUlBSX1ZBTF9EQUlMWSgwNC8xNS8yMDExLCwsLCwnRElMJykvRUNBX01FQU5fRUJJVCgyMDEwLDA0L","zE1LzIwMTEp&amp;WINDOW=FIRST_POPUP&amp;HEIGHT=450&amp;WIDTH=450&amp;START_MAXIMIZED=FALSE&amp;VAR:CALENDAR=US&amp;VAR:SYMBOL=PCP&amp;VAR:INDEX=0"}</definedName>
    <definedName name="_286__FDSAUDITLINK__" hidden="1">{"fdsup://directions/FAT Viewer?action=UPDATE&amp;creator=factset&amp;DYN_ARGS=TRUE&amp;DOC_NAME=FAT:FQL_AUDITING_CLIENT_TEMPLATE.FAT&amp;display_string=Audit&amp;VAR:KEY=CFENSVGJMV&amp;VAR:QUERY=RkZfRU5UUlBSX1ZBTF9EQUlMWSgwNC8xNS8yMDExLCwsLCwnRElMJykvRUNBX01FQU5fRUJJVERBKDIwMTIsM","DQvMTUvMjAxMSk=&amp;WINDOW=FIRST_POPUP&amp;HEIGHT=450&amp;WIDTH=450&amp;START_MAXIMIZED=FALSE&amp;VAR:CALENDAR=US&amp;VAR:SYMBOL=PCP&amp;VAR:INDEX=0"}</definedName>
    <definedName name="_287__FDSAUDITLINK__" hidden="1">{"fdsup://directions/FAT Viewer?action=UPDATE&amp;creator=factset&amp;DYN_ARGS=TRUE&amp;DOC_NAME=FAT:FQL_AUDITING_CLIENT_TEMPLATE.FAT&amp;display_string=Audit&amp;VAR:KEY=YBEDOLCDYH&amp;VAR:QUERY=RkZfRU5UUlBSX1ZBTF9EQUlMWSgwNC8xNS8yMDExLCwsLCwnRElMJykvRUNBX01FQU5fRUJJVERBKDIwMTEsM","DQvMTUvMjAxMSk=&amp;WINDOW=FIRST_POPUP&amp;HEIGHT=450&amp;WIDTH=450&amp;START_MAXIMIZED=FALSE&amp;VAR:CALENDAR=US&amp;VAR:SYMBOL=PCP&amp;VAR:INDEX=0"}</definedName>
    <definedName name="_288__FDSAUDITLINK__" hidden="1">{"fdsup://directions/FAT Viewer?action=UPDATE&amp;creator=factset&amp;DYN_ARGS=TRUE&amp;DOC_NAME=FAT:FQL_AUDITING_CLIENT_TEMPLATE.FAT&amp;display_string=Audit&amp;VAR:KEY=CXQXWLUJOV&amp;VAR:QUERY=RkZfRU5UUlBSX1ZBTF9EQUlMWSgwNC8xNS8yMDExLCwsLCwnRElMJykvRUNBX01FQU5fRUJJVERBKDIwMTAsM","DQvMTUvMjAxMSk=&amp;WINDOW=FIRST_POPUP&amp;HEIGHT=450&amp;WIDTH=450&amp;START_MAXIMIZED=FALSE&amp;VAR:CALENDAR=US&amp;VAR:SYMBOL=PCP&amp;VAR:INDEX=0"}</definedName>
    <definedName name="_289__FDSAUDITLINK__" hidden="1">{"fdsup://directions/FAT Viewer?action=UPDATE&amp;creator=factset&amp;DYN_ARGS=TRUE&amp;DOC_NAME=FAT:FQL_AUDITING_CLIENT_TEMPLATE.FAT&amp;display_string=Audit&amp;VAR:KEY=KRMNKPAZKF&amp;VAR:QUERY=RkZfRU5UUlBSX1ZBTF9EQUlMWSgwNC8xNS8yMDExLCwsLCwnRElMJykvRUNBX01FQU5fU0FMRVMoMjAxMiwwN","C8xNS8yMDExKQ==&amp;WINDOW=FIRST_POPUP&amp;HEIGHT=450&amp;WIDTH=450&amp;START_MAXIMIZED=FALSE&amp;VAR:CALENDAR=US&amp;VAR:SYMBOL=MOG.A&amp;VAR:INDEX=0"}</definedName>
    <definedName name="_29__123Graph_XLIQUIDS" hidden="1">[3]P!$R$29:$AK$29</definedName>
    <definedName name="_29__FDSAUDITLINK__" hidden="1">{"fdsup://directions/FAT Viewer?action=UPDATE&amp;creator=factset&amp;DYN_ARGS=TRUE&amp;DOC_NAME=FAT:FQL_AUDITING_CLIENT_TEMPLATE.FAT&amp;display_string=Audit&amp;VAR:KEY=MTUJYZELWJ&amp;VAR:QUERY=RkZfRU5UUlBSX1ZBTF9EQUlMWSgwNy8yNi8yMDExLCwsLCwnRElMJykvRUNBX01FQU5fU0FMRVMoMjAxMSwwN","y8yNi8yMDExKQ==&amp;WINDOW=FIRST_POPUP&amp;HEIGHT=450&amp;WIDTH=450&amp;START_MAXIMIZED=FALSE&amp;VAR:CALENDAR=FIVEDAY&amp;VAR:SYMBOL=COL&amp;VAR:INDEX=0"}</definedName>
    <definedName name="_290__FDSAUDITLINK__" hidden="1">{"fdsup://directions/FAT Viewer?action=UPDATE&amp;creator=factset&amp;DYN_ARGS=TRUE&amp;DOC_NAME=FAT:FQL_AUDITING_CLIENT_TEMPLATE.FAT&amp;display_string=Audit&amp;VAR:KEY=GDKHSHUVIJ&amp;VAR:QUERY=RkZfRU5UUlBSX1ZBTF9EQUlMWSgwNC8xNS8yMDExLCwsLCwnRElMJykvRUNBX01FQU5fU0FMRVMoMjAxMSwwN","C8xNS8yMDExKQ==&amp;WINDOW=FIRST_POPUP&amp;HEIGHT=450&amp;WIDTH=450&amp;START_MAXIMIZED=FALSE&amp;VAR:CALENDAR=US&amp;VAR:SYMBOL=MOG.A&amp;VAR:INDEX=0"}</definedName>
    <definedName name="_291__FDSAUDITLINK__" hidden="1">{"fdsup://directions/FAT Viewer?action=UPDATE&amp;creator=factset&amp;DYN_ARGS=TRUE&amp;DOC_NAME=FAT:FQL_AUDITING_CLIENT_TEMPLATE.FAT&amp;display_string=Audit&amp;VAR:KEY=QHYXCDADSR&amp;VAR:QUERY=RkZfRU5UUlBSX1ZBTF9EQUlMWSgwNC8xNS8yMDExLCwsLCwnRElMJykvRUNBX01FQU5fU0FMRVMoMjAxMCwwN","C8xNS8yMDExKQ==&amp;WINDOW=FIRST_POPUP&amp;HEIGHT=450&amp;WIDTH=450&amp;START_MAXIMIZED=FALSE&amp;VAR:CALENDAR=US&amp;VAR:SYMBOL=MOG.A&amp;VAR:INDEX=0"}</definedName>
    <definedName name="_292__FDSAUDITLINK__" hidden="1">{"fdsup://directions/FAT Viewer?action=UPDATE&amp;creator=factset&amp;DYN_ARGS=TRUE&amp;DOC_NAME=FAT:FQL_AUDITING_CLIENT_TEMPLATE.FAT&amp;display_string=Audit&amp;VAR:KEY=AJQPALWNCZ&amp;VAR:QUERY=RkZfRU5UUlBSX1ZBTF9EQUlMWSgwNC8xNS8yMDExLCwsLCwnRElMJykvRUNBX01FQU5fRUJJVCgyMDEyLDA0L","zE1LzIwMTEp&amp;WINDOW=FIRST_POPUP&amp;HEIGHT=450&amp;WIDTH=450&amp;START_MAXIMIZED=FALSE&amp;VAR:CALENDAR=US&amp;VAR:SYMBOL=MOG.A&amp;VAR:INDEX=0"}</definedName>
    <definedName name="_293__FDSAUDITLINK__" hidden="1">{"fdsup://directions/FAT Viewer?action=UPDATE&amp;creator=factset&amp;DYN_ARGS=TRUE&amp;DOC_NAME=FAT:FQL_AUDITING_CLIENT_TEMPLATE.FAT&amp;display_string=Audit&amp;VAR:KEY=MDOXMLCDGN&amp;VAR:QUERY=RkZfRU5UUlBSX1ZBTF9EQUlMWSgwNC8xNS8yMDExLCwsLCwnRElMJykvRUNBX01FQU5fRUJJVCgyMDExLDA0L","zE1LzIwMTEp&amp;WINDOW=FIRST_POPUP&amp;HEIGHT=450&amp;WIDTH=450&amp;START_MAXIMIZED=FALSE&amp;VAR:CALENDAR=US&amp;VAR:SYMBOL=MOG.A&amp;VAR:INDEX=0"}</definedName>
    <definedName name="_294__FDSAUDITLINK__" hidden="1">{"fdsup://directions/FAT Viewer?action=UPDATE&amp;creator=factset&amp;DYN_ARGS=TRUE&amp;DOC_NAME=FAT:FQL_AUDITING_CLIENT_TEMPLATE.FAT&amp;display_string=Audit&amp;VAR:KEY=SLQBWFCZAH&amp;VAR:QUERY=RkZfRU5UUlBSX1ZBTF9EQUlMWSgwNC8xNS8yMDExLCwsLCwnRElMJykvRUNBX01FQU5fRUJJVCgyMDEwLDA0L","zE1LzIwMTEp&amp;WINDOW=FIRST_POPUP&amp;HEIGHT=450&amp;WIDTH=450&amp;START_MAXIMIZED=FALSE&amp;VAR:CALENDAR=US&amp;VAR:SYMBOL=MOG.A&amp;VAR:INDEX=0"}</definedName>
    <definedName name="_295__FDSAUDITLINK__" hidden="1">{"fdsup://directions/FAT Viewer?action=UPDATE&amp;creator=factset&amp;DYN_ARGS=TRUE&amp;DOC_NAME=FAT:FQL_AUDITING_CLIENT_TEMPLATE.FAT&amp;display_string=Audit&amp;VAR:KEY=QZMXIBIZUZ&amp;VAR:QUERY=RkZfRU5UUlBSX1ZBTF9EQUlMWSgwNC8xNS8yMDExLCwsLCwnRElMJykvRUNBX01FQU5fRUJJVERBKDIwMTIsM","DQvMTUvMjAxMSk=&amp;WINDOW=FIRST_POPUP&amp;HEIGHT=450&amp;WIDTH=450&amp;START_MAXIMIZED=FALSE&amp;VAR:CALENDAR=US&amp;VAR:SYMBOL=MOG.A&amp;VAR:INDEX=0"}</definedName>
    <definedName name="_296__FDSAUDITLINK__" hidden="1">{"fdsup://directions/FAT Viewer?action=UPDATE&amp;creator=factset&amp;DYN_ARGS=TRUE&amp;DOC_NAME=FAT:FQL_AUDITING_CLIENT_TEMPLATE.FAT&amp;display_string=Audit&amp;VAR:KEY=AJQPGJMZWT&amp;VAR:QUERY=RkZfRU5UUlBSX1ZBTF9EQUlMWSgwNC8xNS8yMDExLCwsLCwnRElMJykvRUNBX01FQU5fRUJJVERBKDIwMTEsM","DQvMTUvMjAxMSk=&amp;WINDOW=FIRST_POPUP&amp;HEIGHT=450&amp;WIDTH=450&amp;START_MAXIMIZED=FALSE&amp;VAR:CALENDAR=US&amp;VAR:SYMBOL=MOG.A&amp;VAR:INDEX=0"}</definedName>
    <definedName name="_297__FDSAUDITLINK__" hidden="1">{"fdsup://directions/FAT Viewer?action=UPDATE&amp;creator=factset&amp;DYN_ARGS=TRUE&amp;DOC_NAME=FAT:FQL_AUDITING_CLIENT_TEMPLATE.FAT&amp;display_string=Audit&amp;VAR:KEY=SNCHIJMVYL&amp;VAR:QUERY=RkZfRU5UUlBSX1ZBTF9EQUlMWSgwNC8xNS8yMDExLCwsLCwnRElMJykvRUNBX01FQU5fRUJJVERBKDIwMTAsM","DQvMTUvMjAxMSk=&amp;WINDOW=FIRST_POPUP&amp;HEIGHT=450&amp;WIDTH=450&amp;START_MAXIMIZED=FALSE&amp;VAR:CALENDAR=US&amp;VAR:SYMBOL=MOG.A&amp;VAR:INDEX=0"}</definedName>
    <definedName name="_298__FDSAUDITLINK__" hidden="1">{"fdsup://directions/FAT Viewer?action=UPDATE&amp;creator=factset&amp;DYN_ARGS=TRUE&amp;DOC_NAME=FAT:FQL_AUDITING_CLIENT_TEMPLATE.FAT&amp;display_string=Audit&amp;VAR:KEY=OVCNCHSTMJ&amp;VAR:QUERY=RkZfRU5UUlBSX1ZBTF9EQUlMWSgwNC8xNS8yMDExLCwsLCwnRElMJykvRUNBX01FQU5fU0FMRVMoMjAxMiwwN","C8xNS8yMDExKQ==&amp;WINDOW=FIRST_POPUP&amp;HEIGHT=450&amp;WIDTH=450&amp;START_MAXIMIZED=FALSE&amp;VAR:CALENDAR=US&amp;VAR:SYMBOL=COL&amp;VAR:INDEX=0"}</definedName>
    <definedName name="_299__FDSAUDITLINK__" hidden="1">{"fdsup://directions/FAT Viewer?action=UPDATE&amp;creator=factset&amp;DYN_ARGS=TRUE&amp;DOC_NAME=FAT:FQL_AUDITING_CLIENT_TEMPLATE.FAT&amp;display_string=Audit&amp;VAR:KEY=WVYRGFOBIN&amp;VAR:QUERY=RkZfRU5UUlBSX1ZBTF9EQUlMWSgwNC8xNS8yMDExLCwsLCwnRElMJykvRUNBX01FQU5fU0FMRVMoMjAxMSwwN","C8xNS8yMDExKQ==&amp;WINDOW=FIRST_POPUP&amp;HEIGHT=450&amp;WIDTH=450&amp;START_MAXIMIZED=FALSE&amp;VAR:CALENDAR=US&amp;VAR:SYMBOL=COL&amp;VAR:INDEX=0"}</definedName>
    <definedName name="_3__123Graph_ACHART_3I" hidden="1">[1]Acquisitions!$AO$4:$AU$4</definedName>
    <definedName name="_3__123Graph_Aｸﾞﾗﾌ_2" hidden="1">[2]単独!$AR$14:$AR$18</definedName>
    <definedName name="_3__FDSAUDITLINK__" hidden="1">{"fdsup://directions/FAT Viewer?action=UPDATE&amp;creator=factset&amp;DYN_ARGS=TRUE&amp;DOC_NAME=FAT:FQL_AUDITING_CLIENT_TEMPLATE.FAT&amp;display_string=Audit&amp;VAR:KEY=SREJAHMHSZ&amp;VAR:QUERY=RkZfRU5UUlBSX1ZBTF9EQUlMWSgwNy8yNi8yMDExLCwsLCwnRElMJykvRUNBX01FQU5fU0FMRVMoMjAxMCwwN","y8yNi8yMDExKQ==&amp;WINDOW=FIRST_POPUP&amp;HEIGHT=450&amp;WIDTH=450&amp;START_MAXIMIZED=FALSE&amp;VAR:CALENDAR=FIVEDAY&amp;VAR:SYMBOL=057580&amp;VAR:INDEX=0"}</definedName>
    <definedName name="_30__FDSAUDITLINK__" hidden="1">{"fdsup://directions/FAT Viewer?action=UPDATE&amp;creator=factset&amp;DYN_ARGS=TRUE&amp;DOC_NAME=FAT:FQL_AUDITING_CLIENT_TEMPLATE.FAT&amp;display_string=Audit&amp;VAR:KEY=ERQRKXWFMV&amp;VAR:QUERY=RkZfRU5UUlBSX1ZBTF9EQUlMWSgwNy8yNi8yMDExLCwsLCwnRElMJykvRUNBX01FQU5fU0FMRVMoMjAxMCwwN","y8yNi8yMDExKQ==&amp;WINDOW=FIRST_POPUP&amp;HEIGHT=450&amp;WIDTH=450&amp;START_MAXIMIZED=FALSE&amp;VAR:CALENDAR=FIVEDAY&amp;VAR:SYMBOL=COL&amp;VAR:INDEX=0"}</definedName>
    <definedName name="_300__FDSAUDITLINK__" hidden="1">{"fdsup://directions/FAT Viewer?action=UPDATE&amp;creator=factset&amp;DYN_ARGS=TRUE&amp;DOC_NAME=FAT:FQL_AUDITING_CLIENT_TEMPLATE.FAT&amp;display_string=Audit&amp;VAR:KEY=YBKVGXOJYF&amp;VAR:QUERY=RkZfRU5UUlBSX1ZBTF9EQUlMWSgwNC8xNS8yMDExLCwsLCwnRElMJykvRUNBX01FQU5fU0FMRVMoMjAxMCwwN","C8xNS8yMDExKQ==&amp;WINDOW=FIRST_POPUP&amp;HEIGHT=450&amp;WIDTH=450&amp;START_MAXIMIZED=FALSE&amp;VAR:CALENDAR=US&amp;VAR:SYMBOL=COL&amp;VAR:INDEX=0"}</definedName>
    <definedName name="_301__FDSAUDITLINK__" hidden="1">{"fdsup://directions/FAT Viewer?action=UPDATE&amp;creator=factset&amp;DYN_ARGS=TRUE&amp;DOC_NAME=FAT:FQL_AUDITING_CLIENT_TEMPLATE.FAT&amp;display_string=Audit&amp;VAR:KEY=MZAHONELAV&amp;VAR:QUERY=RkZfRU5UUlBSX1ZBTF9EQUlMWSgwNC8xNS8yMDExLCwsLCwnRElMJykvRUNBX01FQU5fRUJJVCgyMDEyLDA0L","zE1LzIwMTEp&amp;WINDOW=FIRST_POPUP&amp;HEIGHT=450&amp;WIDTH=450&amp;START_MAXIMIZED=FALSE&amp;VAR:CALENDAR=US&amp;VAR:SYMBOL=COL&amp;VAR:INDEX=0"}</definedName>
    <definedName name="_302__FDSAUDITLINK__" hidden="1">{"fdsup://directions/FAT Viewer?action=UPDATE&amp;creator=factset&amp;DYN_ARGS=TRUE&amp;DOC_NAME=FAT:FQL_AUDITING_CLIENT_TEMPLATE.FAT&amp;display_string=Audit&amp;VAR:KEY=QRCNYZAXEF&amp;VAR:QUERY=RkZfRU5UUlBSX1ZBTF9EQUlMWSgwNC8xNS8yMDExLCwsLCwnRElMJykvRUNBX01FQU5fRUJJVCgyMDExLDA0L","zE1LzIwMTEp&amp;WINDOW=FIRST_POPUP&amp;HEIGHT=450&amp;WIDTH=450&amp;START_MAXIMIZED=FALSE&amp;VAR:CALENDAR=US&amp;VAR:SYMBOL=COL&amp;VAR:INDEX=0"}</definedName>
    <definedName name="_303__FDSAUDITLINK__" hidden="1">{"fdsup://directions/FAT Viewer?action=UPDATE&amp;creator=factset&amp;DYN_ARGS=TRUE&amp;DOC_NAME=FAT:FQL_AUDITING_CLIENT_TEMPLATE.FAT&amp;display_string=Audit&amp;VAR:KEY=CTKJMXMRUR&amp;VAR:QUERY=RkZfRU5UUlBSX1ZBTF9EQUlMWSgwNC8xNS8yMDExLCwsLCwnRElMJykvRUNBX01FQU5fRUJJVCgyMDEwLDA0L","zE1LzIwMTEp&amp;WINDOW=FIRST_POPUP&amp;HEIGHT=450&amp;WIDTH=450&amp;START_MAXIMIZED=FALSE&amp;VAR:CALENDAR=US&amp;VAR:SYMBOL=COL&amp;VAR:INDEX=0"}</definedName>
    <definedName name="_304__FDSAUDITLINK__" hidden="1">{"fdsup://directions/FAT Viewer?action=UPDATE&amp;creator=factset&amp;DYN_ARGS=TRUE&amp;DOC_NAME=FAT:FQL_AUDITING_CLIENT_TEMPLATE.FAT&amp;display_string=Audit&amp;VAR:KEY=AVIROTUPYR&amp;VAR:QUERY=RkZfRU5UUlBSX1ZBTF9EQUlMWSgwNC8xNS8yMDExLCwsLCwnRElMJykvRUNBX01FQU5fRUJJVERBKDIwMTIsM","DQvMTUvMjAxMSk=&amp;WINDOW=FIRST_POPUP&amp;HEIGHT=450&amp;WIDTH=450&amp;START_MAXIMIZED=FALSE&amp;VAR:CALENDAR=US&amp;VAR:SYMBOL=COL&amp;VAR:INDEX=0"}</definedName>
    <definedName name="_305__FDSAUDITLINK__" hidden="1">{"fdsup://directions/FAT Viewer?action=UPDATE&amp;creator=factset&amp;DYN_ARGS=TRUE&amp;DOC_NAME=FAT:FQL_AUDITING_CLIENT_TEMPLATE.FAT&amp;display_string=Audit&amp;VAR:KEY=CFENGRAXEV&amp;VAR:QUERY=RkZfRU5UUlBSX1ZBTF9EQUlMWSgwNC8xNS8yMDExLCwsLCwnRElMJykvRUNBX01FQU5fRUJJVERBKDIwMTEsM","DQvMTUvMjAxMSk=&amp;WINDOW=FIRST_POPUP&amp;HEIGHT=450&amp;WIDTH=450&amp;START_MAXIMIZED=FALSE&amp;VAR:CALENDAR=US&amp;VAR:SYMBOL=COL&amp;VAR:INDEX=0"}</definedName>
    <definedName name="_306__FDSAUDITLINK__" hidden="1">{"fdsup://directions/FAT Viewer?action=UPDATE&amp;creator=factset&amp;DYN_ARGS=TRUE&amp;DOC_NAME=FAT:FQL_AUDITING_CLIENT_TEMPLATE.FAT&amp;display_string=Audit&amp;VAR:KEY=OFYTMJKLSN&amp;VAR:QUERY=RkZfRU5UUlBSX1ZBTF9EQUlMWSgwNC8xNS8yMDExLCwsLCwnRElMJykvRUNBX01FQU5fRUJJVERBKDIwMTAsM","DQvMTUvMjAxMSk=&amp;WINDOW=FIRST_POPUP&amp;HEIGHT=450&amp;WIDTH=450&amp;START_MAXIMIZED=FALSE&amp;VAR:CALENDAR=US&amp;VAR:SYMBOL=COL&amp;VAR:INDEX=0"}</definedName>
    <definedName name="_307__FDSAUDITLINK__" hidden="1">{"fdsup://directions/FAT Viewer?action=UPDATE&amp;creator=factset&amp;DYN_ARGS=TRUE&amp;DOC_NAME=FAT:FQL_AUDITING_CLIENT_TEMPLATE.FAT&amp;display_string=Audit&amp;VAR:KEY=CLEDCRSPQN&amp;VAR:QUERY=RkZfRU5UUlBSX1ZBTF9EQUlMWSgwNC8xNS8yMDExLCwsLCwnRElMJykvRUNBX01FQU5fU0FMRVMoMjAxMiwwN","C8xNS8yMDExKQ==&amp;WINDOW=FIRST_POPUP&amp;HEIGHT=450&amp;WIDTH=450&amp;START_MAXIMIZED=FALSE&amp;VAR:CALENDAR=US&amp;VAR:SYMBOL=BEAV&amp;VAR:INDEX=0"}</definedName>
    <definedName name="_308__FDSAUDITLINK__" hidden="1">{"fdsup://directions/FAT Viewer?action=UPDATE&amp;creator=factset&amp;DYN_ARGS=TRUE&amp;DOC_NAME=FAT:FQL_AUDITING_CLIENT_TEMPLATE.FAT&amp;display_string=Audit&amp;VAR:KEY=YPGBALGBQJ&amp;VAR:QUERY=RkZfRU5UUlBSX1ZBTF9EQUlMWSgwNC8xNS8yMDExLCwsLCwnRElMJykvRUNBX01FQU5fU0FMRVMoMjAxMSwwN","C8xNS8yMDExKQ==&amp;WINDOW=FIRST_POPUP&amp;HEIGHT=450&amp;WIDTH=450&amp;START_MAXIMIZED=FALSE&amp;VAR:CALENDAR=US&amp;VAR:SYMBOL=BEAV&amp;VAR:INDEX=0"}</definedName>
    <definedName name="_309__FDSAUDITLINK__" hidden="1">{"fdsup://directions/FAT Viewer?action=UPDATE&amp;creator=factset&amp;DYN_ARGS=TRUE&amp;DOC_NAME=FAT:FQL_AUDITING_CLIENT_TEMPLATE.FAT&amp;display_string=Audit&amp;VAR:KEY=WTEFSNKXGZ&amp;VAR:QUERY=RkZfRU5UUlBSX1ZBTF9EQUlMWSgwNC8xNS8yMDExLCwsLCwnRElMJykvRUNBX01FQU5fU0FMRVMoMjAxMCwwN","C8xNS8yMDExKQ==&amp;WINDOW=FIRST_POPUP&amp;HEIGHT=450&amp;WIDTH=450&amp;START_MAXIMIZED=FALSE&amp;VAR:CALENDAR=US&amp;VAR:SYMBOL=BEAV&amp;VAR:INDEX=0"}</definedName>
    <definedName name="_31__123Graph_XR_M_MARG" hidden="1">[3]P!$R$29:$AK$29</definedName>
    <definedName name="_31__FDSAUDITLINK__" hidden="1">{"fdsup://directions/FAT Viewer?action=UPDATE&amp;creator=factset&amp;DYN_ARGS=TRUE&amp;DOC_NAME=FAT:FQL_AUDITING_CLIENT_TEMPLATE.FAT&amp;display_string=Audit&amp;VAR:KEY=QPWLWNYVUP&amp;VAR:QUERY=RkZfRU5UUlBSX1ZBTF9EQUlMWSgwNy8yNi8yMDExLCwsLCwnRElMJykvRUNBX01FQU5fRUJJVCgyMDEyLDA3L","zI2LzIwMTEp&amp;WINDOW=FIRST_POPUP&amp;HEIGHT=450&amp;WIDTH=450&amp;START_MAXIMIZED=FALSE&amp;VAR:CALENDAR=FIVEDAY&amp;VAR:SYMBOL=COL&amp;VAR:INDEX=0"}</definedName>
    <definedName name="_310__FDSAUDITLINK__" hidden="1">{"fdsup://directions/FAT Viewer?action=UPDATE&amp;creator=factset&amp;DYN_ARGS=TRUE&amp;DOC_NAME=FAT:FQL_AUDITING_CLIENT_TEMPLATE.FAT&amp;display_string=Audit&amp;VAR:KEY=YZGNKLADER&amp;VAR:QUERY=RkZfRU5UUlBSX1ZBTF9EQUlMWSgwNC8xNS8yMDExLCwsLCwnRElMJykvRUNBX01FQU5fRUJJVCgyMDEyLDA0L","zE1LzIwMTEp&amp;WINDOW=FIRST_POPUP&amp;HEIGHT=450&amp;WIDTH=450&amp;START_MAXIMIZED=FALSE&amp;VAR:CALENDAR=US&amp;VAR:SYMBOL=BEAV&amp;VAR:INDEX=0"}</definedName>
    <definedName name="_311__FDSAUDITLINK__" hidden="1">{"fdsup://directions/FAT Viewer?action=UPDATE&amp;creator=factset&amp;DYN_ARGS=TRUE&amp;DOC_NAME=FAT:FQL_AUDITING_CLIENT_TEMPLATE.FAT&amp;display_string=Audit&amp;VAR:KEY=MBKPEHWRQR&amp;VAR:QUERY=RkZfRU5UUlBSX1ZBTF9EQUlMWSgwNC8xNS8yMDExLCwsLCwnRElMJykvRUNBX01FQU5fRUJJVCgyMDExLDA0L","zE1LzIwMTEp&amp;WINDOW=FIRST_POPUP&amp;HEIGHT=450&amp;WIDTH=450&amp;START_MAXIMIZED=FALSE&amp;VAR:CALENDAR=US&amp;VAR:SYMBOL=BEAV&amp;VAR:INDEX=0"}</definedName>
    <definedName name="_312__FDSAUDITLINK__" hidden="1">{"fdsup://directions/FAT Viewer?action=UPDATE&amp;creator=factset&amp;DYN_ARGS=TRUE&amp;DOC_NAME=FAT:FQL_AUDITING_CLIENT_TEMPLATE.FAT&amp;display_string=Audit&amp;VAR:KEY=WLGJMZMPKP&amp;VAR:QUERY=RkZfRU5UUlBSX1ZBTF9EQUlMWSgwNC8xNS8yMDExLCwsLCwnRElMJykvRUNBX01FQU5fRUJJVCgyMDEwLDA0L","zE1LzIwMTEp&amp;WINDOW=FIRST_POPUP&amp;HEIGHT=450&amp;WIDTH=450&amp;START_MAXIMIZED=FALSE&amp;VAR:CALENDAR=US&amp;VAR:SYMBOL=BEAV&amp;VAR:INDEX=0"}</definedName>
    <definedName name="_313__FDSAUDITLINK__" hidden="1">{"fdsup://directions/FAT Viewer?action=UPDATE&amp;creator=factset&amp;DYN_ARGS=TRUE&amp;DOC_NAME=FAT:FQL_AUDITING_CLIENT_TEMPLATE.FAT&amp;display_string=Audit&amp;VAR:KEY=ULKXITILAP&amp;VAR:QUERY=RkZfRU5UUlBSX1ZBTF9EQUlMWSgwNC8xNS8yMDExLCwsLCwnRElMJykvRUNBX01FQU5fRUJJVERBKDIwMTIsM","DQvMTUvMjAxMSk=&amp;WINDOW=FIRST_POPUP&amp;HEIGHT=450&amp;WIDTH=450&amp;START_MAXIMIZED=FALSE&amp;VAR:CALENDAR=US&amp;VAR:SYMBOL=BEAV&amp;VAR:INDEX=0"}</definedName>
    <definedName name="_314__FDSAUDITLINK__" hidden="1">{"fdsup://directions/FAT Viewer?action=UPDATE&amp;creator=factset&amp;DYN_ARGS=TRUE&amp;DOC_NAME=FAT:FQL_AUDITING_CLIENT_TEMPLATE.FAT&amp;display_string=Audit&amp;VAR:KEY=IVAHCPKPMH&amp;VAR:QUERY=RkZfRU5UUlBSX1ZBTF9EQUlMWSgwNC8xNS8yMDExLCwsLCwnRElMJykvRUNBX01FQU5fRUJJVERBKDIwMTEsM","DQvMTUvMjAxMSk=&amp;WINDOW=FIRST_POPUP&amp;HEIGHT=450&amp;WIDTH=450&amp;START_MAXIMIZED=FALSE&amp;VAR:CALENDAR=US&amp;VAR:SYMBOL=BEAV&amp;VAR:INDEX=0"}</definedName>
    <definedName name="_315__FDSAUDITLINK__" hidden="1">{"fdsup://directions/FAT Viewer?action=UPDATE&amp;creator=factset&amp;DYN_ARGS=TRUE&amp;DOC_NAME=FAT:FQL_AUDITING_CLIENT_TEMPLATE.FAT&amp;display_string=Audit&amp;VAR:KEY=CDCLAHAHUD&amp;VAR:QUERY=RkZfRU5UUlBSX1ZBTF9EQUlMWSgwNC8xNS8yMDExLCwsLCwnRElMJykvRUNBX01FQU5fRUJJVERBKDIwMTAsM","DQvMTUvMjAxMSk=&amp;WINDOW=FIRST_POPUP&amp;HEIGHT=450&amp;WIDTH=450&amp;START_MAXIMIZED=FALSE&amp;VAR:CALENDAR=US&amp;VAR:SYMBOL=BEAV&amp;VAR:INDEX=0"}</definedName>
    <definedName name="_316__FDSAUDITLINK__" hidden="1">{"fdsup://directions/FAT Viewer?action=UPDATE&amp;creator=factset&amp;DYN_ARGS=TRUE&amp;DOC_NAME=FAT:FQL_AUDITING_CLIENT_TEMPLATE.FAT&amp;display_string=Audit&amp;VAR:KEY=DEDIRKRYZG&amp;VAR:QUERY=RkZfRU5UUlBSX1ZBTF9EQUlMWSgwNy8xNS8yMDExLCwsLCwnRElMJykvRUNBX01FQU5fU0FMRVMoMjAxMiwwN","y8xNS8yMDExKQ==&amp;WINDOW=FIRST_POPUP&amp;HEIGHT=450&amp;WIDTH=450&amp;START_MAXIMIZED=FALSE&amp;VAR:CALENDAR=FIVEDAY&amp;VAR:SYMBOL=057580&amp;VAR:INDEX=0"}</definedName>
    <definedName name="_317__FDSAUDITLINK__" hidden="1">{"fdsup://directions/FAT Viewer?action=UPDATE&amp;creator=factset&amp;DYN_ARGS=TRUE&amp;DOC_NAME=FAT:FQL_AUDITING_CLIENT_TEMPLATE.FAT&amp;display_string=Audit&amp;VAR:KEY=XWJCZEPYDI&amp;VAR:QUERY=RkZfRU5UUlBSX1ZBTF9EQUlMWSgwNy8xNS8yMDExLCwsLCwnRElMJykvRUNBX01FQU5fU0FMRVMoMjAxMSwwN","y8xNS8yMDExKQ==&amp;WINDOW=FIRST_POPUP&amp;HEIGHT=450&amp;WIDTH=450&amp;START_MAXIMIZED=FALSE&amp;VAR:CALENDAR=FIVEDAY&amp;VAR:SYMBOL=057580&amp;VAR:INDEX=0"}</definedName>
    <definedName name="_318__FDSAUDITLINK__" hidden="1">{"fdsup://directions/FAT Viewer?action=UPDATE&amp;creator=factset&amp;DYN_ARGS=TRUE&amp;DOC_NAME=FAT:FQL_AUDITING_CLIENT_TEMPLATE.FAT&amp;display_string=Audit&amp;VAR:KEY=XABUVSHULA&amp;VAR:QUERY=RkZfRU5UUlBSX1ZBTF9EQUlMWSgwNy8xNS8yMDExLCwsLCwnRElMJykvRUNBX01FQU5fU0FMRVMoMjAxMCwwN","y8xNS8yMDExKQ==&amp;WINDOW=FIRST_POPUP&amp;HEIGHT=450&amp;WIDTH=450&amp;START_MAXIMIZED=FALSE&amp;VAR:CALENDAR=FIVEDAY&amp;VAR:SYMBOL=057580&amp;VAR:INDEX=0"}</definedName>
    <definedName name="_319__FDSAUDITLINK__" hidden="1">{"fdsup://directions/FAT Viewer?action=UPDATE&amp;creator=factset&amp;DYN_ARGS=TRUE&amp;DOC_NAME=FAT:FQL_AUDITING_CLIENT_TEMPLATE.FAT&amp;display_string=Audit&amp;VAR:KEY=JOVEDIXWLO&amp;VAR:QUERY=RkZfRU5UUlBSX1ZBTF9EQUlMWSgwNy8xNS8yMDExLCwsLCwnRElMJykvRUNBX01FQU5fRUJJVCgyMDEyLDA3L","zE1LzIwMTEp&amp;WINDOW=FIRST_POPUP&amp;HEIGHT=450&amp;WIDTH=450&amp;START_MAXIMIZED=FALSE&amp;VAR:CALENDAR=FIVEDAY&amp;VAR:SYMBOL=057580&amp;VAR:INDEX=0"}</definedName>
    <definedName name="_32__FDSAUDITLINK__" hidden="1">{"fdsup://directions/FAT Viewer?action=UPDATE&amp;creator=factset&amp;DYN_ARGS=TRUE&amp;DOC_NAME=FAT:FQL_AUDITING_CLIENT_TEMPLATE.FAT&amp;display_string=Audit&amp;VAR:KEY=EBGVSXITIV&amp;VAR:QUERY=RkZfRU5UUlBSX1ZBTF9EQUlMWSgwNy8yNi8yMDExLCwsLCwnRElMJykvRUNBX01FQU5fRUJJVCgyMDExLDA3L","zI2LzIwMTEp&amp;WINDOW=FIRST_POPUP&amp;HEIGHT=450&amp;WIDTH=450&amp;START_MAXIMIZED=FALSE&amp;VAR:CALENDAR=FIVEDAY&amp;VAR:SYMBOL=COL&amp;VAR:INDEX=0"}</definedName>
    <definedName name="_320__FDSAUDITLINK__" hidden="1">{"fdsup://directions/FAT Viewer?action=UPDATE&amp;creator=factset&amp;DYN_ARGS=TRUE&amp;DOC_NAME=FAT:FQL_AUDITING_CLIENT_TEMPLATE.FAT&amp;display_string=Audit&amp;VAR:KEY=ZWVYBSLCDE&amp;VAR:QUERY=RkZfRU5UUlBSX1ZBTF9EQUlMWSgwNy8xNS8yMDExLCwsLCwnRElMJykvRUNBX01FQU5fRUJJVCgyMDExLDA3L","zE1LzIwMTEp&amp;WINDOW=FIRST_POPUP&amp;HEIGHT=450&amp;WIDTH=450&amp;START_MAXIMIZED=FALSE&amp;VAR:CALENDAR=FIVEDAY&amp;VAR:SYMBOL=057580&amp;VAR:INDEX=0"}</definedName>
    <definedName name="_321__FDSAUDITLINK__" hidden="1">{"fdsup://directions/FAT Viewer?action=UPDATE&amp;creator=factset&amp;DYN_ARGS=TRUE&amp;DOC_NAME=FAT:FQL_AUDITING_CLIENT_TEMPLATE.FAT&amp;display_string=Audit&amp;VAR:KEY=JSXEDIPELY&amp;VAR:QUERY=RkZfRU5UUlBSX1ZBTF9EQUlMWSgwNy8xNS8yMDExLCwsLCwnRElMJykvRUNBX01FQU5fRUJJVCgyMDEwLDA3L","zE1LzIwMTEp&amp;WINDOW=FIRST_POPUP&amp;HEIGHT=450&amp;WIDTH=450&amp;START_MAXIMIZED=FALSE&amp;VAR:CALENDAR=FIVEDAY&amp;VAR:SYMBOL=057580&amp;VAR:INDEX=0"}</definedName>
    <definedName name="_322__FDSAUDITLINK__" hidden="1">{"fdsup://directions/FAT Viewer?action=UPDATE&amp;creator=factset&amp;DYN_ARGS=TRUE&amp;DOC_NAME=FAT:FQL_AUDITING_CLIENT_TEMPLATE.FAT&amp;display_string=Audit&amp;VAR:KEY=ZMFWXSLOFK&amp;VAR:QUERY=RkZfRU5UUlBSX1ZBTF9EQUlMWSgwNy8xNS8yMDExLCwsLCwnRElMJykvRUNBX01FQU5fRUJJVERBKDIwMTIsM","DcvMTUvMjAxMSk=&amp;WINDOW=FIRST_POPUP&amp;HEIGHT=450&amp;WIDTH=450&amp;START_MAXIMIZED=FALSE&amp;VAR:CALENDAR=FIVEDAY&amp;VAR:SYMBOL=057580&amp;VAR:INDEX=0"}</definedName>
    <definedName name="_323__FDSAUDITLINK__" hidden="1">{"fdsup://directions/FAT Viewer?action=UPDATE&amp;creator=factset&amp;DYN_ARGS=TRUE&amp;DOC_NAME=FAT:FQL_AUDITING_CLIENT_TEMPLATE.FAT&amp;display_string=Audit&amp;VAR:KEY=BQZIVMXMXW&amp;VAR:QUERY=RkZfRU5UUlBSX1ZBTF9EQUlMWSgwNy8xNS8yMDExLCwsLCwnRElMJykvRUNBX01FQU5fRUJJVERBKDIwMTEsM","DcvMTUvMjAxMSk=&amp;WINDOW=FIRST_POPUP&amp;HEIGHT=450&amp;WIDTH=450&amp;START_MAXIMIZED=FALSE&amp;VAR:CALENDAR=FIVEDAY&amp;VAR:SYMBOL=057580&amp;VAR:INDEX=0"}</definedName>
    <definedName name="_324__FDSAUDITLINK__" hidden="1">{"fdsup://directions/FAT Viewer?action=UPDATE&amp;creator=factset&amp;DYN_ARGS=TRUE&amp;DOC_NAME=FAT:FQL_AUDITING_CLIENT_TEMPLATE.FAT&amp;display_string=Audit&amp;VAR:KEY=ZCBIPGHWJS&amp;VAR:QUERY=RkZfRU5UUlBSX1ZBTF9EQUlMWSgwNy8xNS8yMDExLCwsLCwnRElMJykvRUNBX01FQU5fRUJJVERBKDIwMTAsM","DcvMTUvMjAxMSk=&amp;WINDOW=FIRST_POPUP&amp;HEIGHT=450&amp;WIDTH=450&amp;START_MAXIMIZED=FALSE&amp;VAR:CALENDAR=FIVEDAY&amp;VAR:SYMBOL=057580&amp;VAR:INDEX=0"}</definedName>
    <definedName name="_325__FDSAUDITLINK__" hidden="1">{"fdsup://directions/FAT Viewer?action=UPDATE&amp;creator=factset&amp;DYN_ARGS=TRUE&amp;DOC_NAME=FAT:FQL_AUDITING_CLIENT_TEMPLATE.FAT&amp;display_string=Audit&amp;VAR:KEY=JOTOJMHAPC&amp;VAR:QUERY=RkZfRU5UUlBSX1ZBTF9EQUlMWSgwNy8xNS8yMDExLCwsLCwnRElMJykvRUNBX01FQU5fU0FMRVMoMjAxMiwwN","y8xNS8yMDExKQ==&amp;WINDOW=FIRST_POPUP&amp;HEIGHT=450&amp;WIDTH=450&amp;START_MAXIMIZED=FALSE&amp;VAR:CALENDAR=FIVEDAY&amp;VAR:SYMBOL=PCP&amp;VAR:INDEX=0"}</definedName>
    <definedName name="_326__FDSAUDITLINK__" hidden="1">{"fdsup://directions/FAT Viewer?action=UPDATE&amp;creator=factset&amp;DYN_ARGS=TRUE&amp;DOC_NAME=FAT:FQL_AUDITING_CLIENT_TEMPLATE.FAT&amp;display_string=Audit&amp;VAR:KEY=FCXYFCHWXA&amp;VAR:QUERY=RkZfRU5UUlBSX1ZBTF9EQUlMWSgwNy8xNS8yMDExLCwsLCwnRElMJykvRUNBX01FQU5fU0FMRVMoMjAxMSwwN","y8xNS8yMDExKQ==&amp;WINDOW=FIRST_POPUP&amp;HEIGHT=450&amp;WIDTH=450&amp;START_MAXIMIZED=FALSE&amp;VAR:CALENDAR=FIVEDAY&amp;VAR:SYMBOL=PCP&amp;VAR:INDEX=0"}</definedName>
    <definedName name="_327__FDSAUDITLINK__" hidden="1">{"fdsup://directions/FAT Viewer?action=UPDATE&amp;creator=factset&amp;DYN_ARGS=TRUE&amp;DOC_NAME=FAT:FQL_AUDITING_CLIENT_TEMPLATE.FAT&amp;display_string=Audit&amp;VAR:KEY=ZWDYLGNOZS&amp;VAR:QUERY=RkZfRU5UUlBSX1ZBTF9EQUlMWSgwNy8xNS8yMDExLCwsLCwnRElMJykvRUNBX01FQU5fU0FMRVMoMjAxMCwwN","y8xNS8yMDExKQ==&amp;WINDOW=FIRST_POPUP&amp;HEIGHT=450&amp;WIDTH=450&amp;START_MAXIMIZED=FALSE&amp;VAR:CALENDAR=FIVEDAY&amp;VAR:SYMBOL=PCP&amp;VAR:INDEX=0"}</definedName>
    <definedName name="_328__FDSAUDITLINK__" hidden="1">{"fdsup://directions/FAT Viewer?action=UPDATE&amp;creator=factset&amp;DYN_ARGS=TRUE&amp;DOC_NAME=FAT:FQL_AUDITING_CLIENT_TEMPLATE.FAT&amp;display_string=Audit&amp;VAR:KEY=BYZORMPCHQ&amp;VAR:QUERY=RkZfRU5UUlBSX1ZBTF9EQUlMWSgwNy8xNS8yMDExLCwsLCwnRElMJykvRUNBX01FQU5fRUJJVCgyMDEyLDA3L","zE1LzIwMTEp&amp;WINDOW=FIRST_POPUP&amp;HEIGHT=450&amp;WIDTH=450&amp;START_MAXIMIZED=FALSE&amp;VAR:CALENDAR=FIVEDAY&amp;VAR:SYMBOL=PCP&amp;VAR:INDEX=0"}</definedName>
    <definedName name="_329__FDSAUDITLINK__" hidden="1">{"fdsup://directions/FAT Viewer?action=UPDATE&amp;creator=factset&amp;DYN_ARGS=TRUE&amp;DOC_NAME=FAT:FQL_AUDITING_CLIENT_TEMPLATE.FAT&amp;display_string=Audit&amp;VAR:KEY=RAHIDATUFY&amp;VAR:QUERY=RkZfRU5UUlBSX1ZBTF9EQUlMWSgwNy8xNS8yMDExLCwsLCwnRElMJykvRUNBX01FQU5fRUJJVCgyMDExLDA3L","zE1LzIwMTEp&amp;WINDOW=FIRST_POPUP&amp;HEIGHT=450&amp;WIDTH=450&amp;START_MAXIMIZED=FALSE&amp;VAR:CALENDAR=FIVEDAY&amp;VAR:SYMBOL=PCP&amp;VAR:INDEX=0"}</definedName>
    <definedName name="_33__FDSAUDITLINK__" hidden="1">{"fdsup://directions/FAT Viewer?action=UPDATE&amp;creator=factset&amp;DYN_ARGS=TRUE&amp;DOC_NAME=FAT:FQL_AUDITING_CLIENT_TEMPLATE.FAT&amp;display_string=Audit&amp;VAR:KEY=QVMFKXQFYT&amp;VAR:QUERY=RkZfRU5UUlBSX1ZBTF9EQUlMWSgwNy8yNi8yMDExLCwsLCwnRElMJykvRUNBX01FQU5fRUJJVCgyMDEwLDA3L","zI2LzIwMTEp&amp;WINDOW=FIRST_POPUP&amp;HEIGHT=450&amp;WIDTH=450&amp;START_MAXIMIZED=FALSE&amp;VAR:CALENDAR=FIVEDAY&amp;VAR:SYMBOL=COL&amp;VAR:INDEX=0"}</definedName>
    <definedName name="_330__FDSAUDITLINK__" hidden="1">{"fdsup://directions/FAT Viewer?action=UPDATE&amp;creator=factset&amp;DYN_ARGS=TRUE&amp;DOC_NAME=FAT:FQL_AUDITING_CLIENT_TEMPLATE.FAT&amp;display_string=Audit&amp;VAR:KEY=TENQBOTIFK&amp;VAR:QUERY=RkZfRU5UUlBSX1ZBTF9EQUlMWSgwNy8xNS8yMDExLCwsLCwnRElMJykvRUNBX01FQU5fRUJJVCgyMDEwLDA3L","zE1LzIwMTEp&amp;WINDOW=FIRST_POPUP&amp;HEIGHT=450&amp;WIDTH=450&amp;START_MAXIMIZED=FALSE&amp;VAR:CALENDAR=FIVEDAY&amp;VAR:SYMBOL=PCP&amp;VAR:INDEX=0"}</definedName>
    <definedName name="_331__FDSAUDITLINK__" hidden="1">{"fdsup://directions/FAT Viewer?action=UPDATE&amp;creator=factset&amp;DYN_ARGS=TRUE&amp;DOC_NAME=FAT:FQL_AUDITING_CLIENT_TEMPLATE.FAT&amp;display_string=Audit&amp;VAR:KEY=BIJUDWPANI&amp;VAR:QUERY=RkZfRU5UUlBSX1ZBTF9EQUlMWSgwNy8xNS8yMDExLCwsLCwnRElMJykvRUNBX01FQU5fRUJJVERBKDIwMTIsM","DcvMTUvMjAxMSk=&amp;WINDOW=FIRST_POPUP&amp;HEIGHT=450&amp;WIDTH=450&amp;START_MAXIMIZED=FALSE&amp;VAR:CALENDAR=FIVEDAY&amp;VAR:SYMBOL=PCP&amp;VAR:INDEX=0"}</definedName>
    <definedName name="_332__FDSAUDITLINK__" hidden="1">{"fdsup://directions/FAT Viewer?action=UPDATE&amp;creator=factset&amp;DYN_ARGS=TRUE&amp;DOC_NAME=FAT:FQL_AUDITING_CLIENT_TEMPLATE.FAT&amp;display_string=Audit&amp;VAR:KEY=BOFAPUNSFW&amp;VAR:QUERY=RkZfRU5UUlBSX1ZBTF9EQUlMWSgwNy8xNS8yMDExLCwsLCwnRElMJykvRUNBX01FQU5fRUJJVERBKDIwMTEsM","DcvMTUvMjAxMSk=&amp;WINDOW=FIRST_POPUP&amp;HEIGHT=450&amp;WIDTH=450&amp;START_MAXIMIZED=FALSE&amp;VAR:CALENDAR=FIVEDAY&amp;VAR:SYMBOL=PCP&amp;VAR:INDEX=0"}</definedName>
    <definedName name="_333__FDSAUDITLINK__" hidden="1">{"fdsup://directions/FAT Viewer?action=UPDATE&amp;creator=factset&amp;DYN_ARGS=TRUE&amp;DOC_NAME=FAT:FQL_AUDITING_CLIENT_TEMPLATE.FAT&amp;display_string=Audit&amp;VAR:KEY=NCDWZYHQLY&amp;VAR:QUERY=RkZfRU5UUlBSX1ZBTF9EQUlMWSgwNy8xNS8yMDExLCwsLCwnRElMJykvRUNBX01FQU5fRUJJVERBKDIwMTAsM","DcvMTUvMjAxMSk=&amp;WINDOW=FIRST_POPUP&amp;HEIGHT=450&amp;WIDTH=450&amp;START_MAXIMIZED=FALSE&amp;VAR:CALENDAR=FIVEDAY&amp;VAR:SYMBOL=PCP&amp;VAR:INDEX=0"}</definedName>
    <definedName name="_334__FDSAUDITLINK__" hidden="1">{"fdsup://directions/FAT Viewer?action=UPDATE&amp;creator=factset&amp;DYN_ARGS=TRUE&amp;DOC_NAME=FAT:FQL_AUDITING_CLIENT_TEMPLATE.FAT&amp;display_string=Audit&amp;VAR:KEY=LIHILQPEHS&amp;VAR:QUERY=RkZfRU5UUlBSX1ZBTF9EQUlMWSgwNy8xNS8yMDExLCwsLCwnRElMJykvRUNBX01FQU5fU0FMRVMoMjAxMiwwN","y8xNS8yMDExKQ==&amp;WINDOW=FIRST_POPUP&amp;HEIGHT=450&amp;WIDTH=450&amp;START_MAXIMIZED=FALSE&amp;VAR:CALENDAR=FIVEDAY&amp;VAR:SYMBOL=MOG.A&amp;VAR:INDEX=0"}</definedName>
    <definedName name="_335__FDSAUDITLINK__" hidden="1">{"fdsup://directions/FAT Viewer?action=UPDATE&amp;creator=factset&amp;DYN_ARGS=TRUE&amp;DOC_NAME=FAT:FQL_AUDITING_CLIENT_TEMPLATE.FAT&amp;display_string=Audit&amp;VAR:KEY=BKHSXEZQRI&amp;VAR:QUERY=RkZfRU5UUlBSX1ZBTF9EQUlMWSgwNy8xNS8yMDExLCwsLCwnRElMJykvRUNBX01FQU5fU0FMRVMoMjAxMSwwN","y8xNS8yMDExKQ==&amp;WINDOW=FIRST_POPUP&amp;HEIGHT=450&amp;WIDTH=450&amp;START_MAXIMIZED=FALSE&amp;VAR:CALENDAR=FIVEDAY&amp;VAR:SYMBOL=MOG.A&amp;VAR:INDEX=0"}</definedName>
    <definedName name="_336__FDSAUDITLINK__" hidden="1">{"fdsup://directions/FAT Viewer?action=UPDATE&amp;creator=factset&amp;DYN_ARGS=TRUE&amp;DOC_NAME=FAT:FQL_AUDITING_CLIENT_TEMPLATE.FAT&amp;display_string=Audit&amp;VAR:KEY=NYZOXGHULC&amp;VAR:QUERY=RkZfRU5UUlBSX1ZBTF9EQUlMWSgwNy8xNS8yMDExLCwsLCwnRElMJykvRUNBX01FQU5fU0FMRVMoMjAxMCwwN","y8xNS8yMDExKQ==&amp;WINDOW=FIRST_POPUP&amp;HEIGHT=450&amp;WIDTH=450&amp;START_MAXIMIZED=FALSE&amp;VAR:CALENDAR=FIVEDAY&amp;VAR:SYMBOL=MOG.A&amp;VAR:INDEX=0"}</definedName>
    <definedName name="_337__FDSAUDITLINK__" hidden="1">{"fdsup://directions/FAT Viewer?action=UPDATE&amp;creator=factset&amp;DYN_ARGS=TRUE&amp;DOC_NAME=FAT:FQL_AUDITING_CLIENT_TEMPLATE.FAT&amp;display_string=Audit&amp;VAR:KEY=NYXYJIPEVY&amp;VAR:QUERY=RkZfRU5UUlBSX1ZBTF9EQUlMWSgwNy8xNS8yMDExLCwsLCwnRElMJykvRUNBX01FQU5fRUJJVCgyMDEyLDA3L","zE1LzIwMTEp&amp;WINDOW=FIRST_POPUP&amp;HEIGHT=450&amp;WIDTH=450&amp;START_MAXIMIZED=FALSE&amp;VAR:CALENDAR=FIVEDAY&amp;VAR:SYMBOL=MOG.A&amp;VAR:INDEX=0"}</definedName>
    <definedName name="_338__FDSAUDITLINK__" hidden="1">{"fdsup://directions/FAT Viewer?action=UPDATE&amp;creator=factset&amp;DYN_ARGS=TRUE&amp;DOC_NAME=FAT:FQL_AUDITING_CLIENT_TEMPLATE.FAT&amp;display_string=Audit&amp;VAR:KEY=NSBMVWPMXC&amp;VAR:QUERY=RkZfRU5UUlBSX1ZBTF9EQUlMWSgwNy8xNS8yMDExLCwsLCwnRElMJykvRUNBX01FQU5fRUJJVCgyMDExLDA3L","zE1LzIwMTEp&amp;WINDOW=FIRST_POPUP&amp;HEIGHT=450&amp;WIDTH=450&amp;START_MAXIMIZED=FALSE&amp;VAR:CALENDAR=FIVEDAY&amp;VAR:SYMBOL=MOG.A&amp;VAR:INDEX=0"}</definedName>
    <definedName name="_339__FDSAUDITLINK__" hidden="1">{"fdsup://directions/FAT Viewer?action=UPDATE&amp;creator=factset&amp;DYN_ARGS=TRUE&amp;DOC_NAME=FAT:FQL_AUDITING_CLIENT_TEMPLATE.FAT&amp;display_string=Audit&amp;VAR:KEY=RGRCNQPWVG&amp;VAR:QUERY=RkZfRU5UUlBSX1ZBTF9EQUlMWSgwNy8xNS8yMDExLCwsLCwnRElMJykvRUNBX01FQU5fRUJJVCgyMDEwLDA3L","zE1LzIwMTEp&amp;WINDOW=FIRST_POPUP&amp;HEIGHT=450&amp;WIDTH=450&amp;START_MAXIMIZED=FALSE&amp;VAR:CALENDAR=FIVEDAY&amp;VAR:SYMBOL=MOG.A&amp;VAR:INDEX=0"}</definedName>
    <definedName name="_34__FDSAUDITLINK__" hidden="1">{"fdsup://directions/FAT Viewer?action=UPDATE&amp;creator=factset&amp;DYN_ARGS=TRUE&amp;DOC_NAME=FAT:FQL_AUDITING_CLIENT_TEMPLATE.FAT&amp;display_string=Audit&amp;VAR:KEY=WJEFSLGHOJ&amp;VAR:QUERY=RkZfRU5UUlBSX1ZBTF9EQUlMWSgwNy8yNi8yMDExLCwsLCwnRElMJykvRUNBX01FQU5fRUJJVERBKDIwMTIsM","DcvMjYvMjAxMSk=&amp;WINDOW=FIRST_POPUP&amp;HEIGHT=450&amp;WIDTH=450&amp;START_MAXIMIZED=FALSE&amp;VAR:CALENDAR=FIVEDAY&amp;VAR:SYMBOL=COL&amp;VAR:INDEX=0"}</definedName>
    <definedName name="_340__FDSAUDITLINK__" hidden="1">{"fdsup://directions/FAT Viewer?action=UPDATE&amp;creator=factset&amp;DYN_ARGS=TRUE&amp;DOC_NAME=FAT:FQL_AUDITING_CLIENT_TEMPLATE.FAT&amp;display_string=Audit&amp;VAR:KEY=NCPODUVUTY&amp;VAR:QUERY=RkZfRU5UUlBSX1ZBTF9EQUlMWSgwNy8xNS8yMDExLCwsLCwnRElMJykvRUNBX01FQU5fRUJJVERBKDIwMTIsM","DcvMTUvMjAxMSk=&amp;WINDOW=FIRST_POPUP&amp;HEIGHT=450&amp;WIDTH=450&amp;START_MAXIMIZED=FALSE&amp;VAR:CALENDAR=FIVEDAY&amp;VAR:SYMBOL=MOG.A&amp;VAR:INDEX=0"}</definedName>
    <definedName name="_341__FDSAUDITLINK__" hidden="1">{"fdsup://directions/FAT Viewer?action=UPDATE&amp;creator=factset&amp;DYN_ARGS=TRUE&amp;DOC_NAME=FAT:FQL_AUDITING_CLIENT_TEMPLATE.FAT&amp;display_string=Audit&amp;VAR:KEY=RIVODUVABY&amp;VAR:QUERY=RkZfRU5UUlBSX1ZBTF9EQUlMWSgwNy8xNS8yMDExLCwsLCwnRElMJykvRUNBX01FQU5fRUJJVERBKDIwMTEsM","DcvMTUvMjAxMSk=&amp;WINDOW=FIRST_POPUP&amp;HEIGHT=450&amp;WIDTH=450&amp;START_MAXIMIZED=FALSE&amp;VAR:CALENDAR=FIVEDAY&amp;VAR:SYMBOL=MOG.A&amp;VAR:INDEX=0"}</definedName>
    <definedName name="_342__FDSAUDITLINK__" hidden="1">{"fdsup://directions/FAT Viewer?action=UPDATE&amp;creator=factset&amp;DYN_ARGS=TRUE&amp;DOC_NAME=FAT:FQL_AUDITING_CLIENT_TEMPLATE.FAT&amp;display_string=Audit&amp;VAR:KEY=NOROXQDYDA&amp;VAR:QUERY=RkZfRU5UUlBSX1ZBTF9EQUlMWSgwNy8xNS8yMDExLCwsLCwnRElMJykvRUNBX01FQU5fRUJJVERBKDIwMTAsM","DcvMTUvMjAxMSk=&amp;WINDOW=FIRST_POPUP&amp;HEIGHT=450&amp;WIDTH=450&amp;START_MAXIMIZED=FALSE&amp;VAR:CALENDAR=FIVEDAY&amp;VAR:SYMBOL=MOG.A&amp;VAR:INDEX=0"}</definedName>
    <definedName name="_343__FDSAUDITLINK__" hidden="1">{"fdsup://directions/FAT Viewer?action=UPDATE&amp;creator=factset&amp;DYN_ARGS=TRUE&amp;DOC_NAME=FAT:FQL_AUDITING_CLIENT_TEMPLATE.FAT&amp;display_string=Audit&amp;VAR:KEY=TQLCLGJUJU&amp;VAR:QUERY=RkZfRU5UUlBSX1ZBTF9EQUlMWSgwNy8xNS8yMDExLCwsLCwnRElMJykvRUNBX01FQU5fU0FMRVMoMjAxMiwwN","y8xNS8yMDExKQ==&amp;WINDOW=FIRST_POPUP&amp;HEIGHT=450&amp;WIDTH=450&amp;START_MAXIMIZED=FALSE&amp;VAR:CALENDAR=FIVEDAY&amp;VAR:SYMBOL=COL&amp;VAR:INDEX=0"}</definedName>
    <definedName name="_344__FDSAUDITLINK__" hidden="1">{"fdsup://directions/FAT Viewer?action=UPDATE&amp;creator=factset&amp;DYN_ARGS=TRUE&amp;DOC_NAME=FAT:FQL_AUDITING_CLIENT_TEMPLATE.FAT&amp;display_string=Audit&amp;VAR:KEY=TCLSBADEBM&amp;VAR:QUERY=RkZfRU5UUlBSX1ZBTF9EQUlMWSgwNy8xNS8yMDExLCwsLCwnRElMJykvRUNBX01FQU5fU0FMRVMoMjAxMSwwN","y8xNS8yMDExKQ==&amp;WINDOW=FIRST_POPUP&amp;HEIGHT=450&amp;WIDTH=450&amp;START_MAXIMIZED=FALSE&amp;VAR:CALENDAR=FIVEDAY&amp;VAR:SYMBOL=COL&amp;VAR:INDEX=0"}</definedName>
    <definedName name="_345__FDSAUDITLINK__" hidden="1">{"fdsup://directions/FAT Viewer?action=UPDATE&amp;creator=factset&amp;DYN_ARGS=TRUE&amp;DOC_NAME=FAT:FQL_AUDITING_CLIENT_TEMPLATE.FAT&amp;display_string=Audit&amp;VAR:KEY=TCVWVCXSPG&amp;VAR:QUERY=RkZfRU5UUlBSX1ZBTF9EQUlMWSgwNy8xNS8yMDExLCwsLCwnRElMJykvRUNBX01FQU5fU0FMRVMoMjAxMCwwN","y8xNS8yMDExKQ==&amp;WINDOW=FIRST_POPUP&amp;HEIGHT=450&amp;WIDTH=450&amp;START_MAXIMIZED=FALSE&amp;VAR:CALENDAR=FIVEDAY&amp;VAR:SYMBOL=COL&amp;VAR:INDEX=0"}</definedName>
    <definedName name="_346__FDSAUDITLINK__" hidden="1">{"fdsup://directions/FAT Viewer?action=UPDATE&amp;creator=factset&amp;DYN_ARGS=TRUE&amp;DOC_NAME=FAT:FQL_AUDITING_CLIENT_TEMPLATE.FAT&amp;display_string=Audit&amp;VAR:KEY=FKRWBWPYJQ&amp;VAR:QUERY=RkZfRU5UUlBSX1ZBTF9EQUlMWSgwNy8xNS8yMDExLCwsLCwnRElMJykvRUNBX01FQU5fRUJJVCgyMDEyLDA3L","zE1LzIwMTEp&amp;WINDOW=FIRST_POPUP&amp;HEIGHT=450&amp;WIDTH=450&amp;START_MAXIMIZED=FALSE&amp;VAR:CALENDAR=FIVEDAY&amp;VAR:SYMBOL=COL&amp;VAR:INDEX=0"}</definedName>
    <definedName name="_347__FDSAUDITLINK__" hidden="1">{"fdsup://directions/FAT Viewer?action=UPDATE&amp;creator=factset&amp;DYN_ARGS=TRUE&amp;DOC_NAME=FAT:FQL_AUDITING_CLIENT_TEMPLATE.FAT&amp;display_string=Audit&amp;VAR:KEY=BWBYDQBYRG&amp;VAR:QUERY=RkZfRU5UUlBSX1ZBTF9EQUlMWSgwNy8xNS8yMDExLCwsLCwnRElMJykvRUNBX01FQU5fRUJJVCgyMDExLDA3L","zE1LzIwMTEp&amp;WINDOW=FIRST_POPUP&amp;HEIGHT=450&amp;WIDTH=450&amp;START_MAXIMIZED=FALSE&amp;VAR:CALENDAR=FIVEDAY&amp;VAR:SYMBOL=COL&amp;VAR:INDEX=0"}</definedName>
    <definedName name="_348__FDSAUDITLINK__" hidden="1">{"fdsup://directions/FAT Viewer?action=UPDATE&amp;creator=factset&amp;DYN_ARGS=TRUE&amp;DOC_NAME=FAT:FQL_AUDITING_CLIENT_TEMPLATE.FAT&amp;display_string=Audit&amp;VAR:KEY=LINIDUNITC&amp;VAR:QUERY=RkZfRU5UUlBSX1ZBTF9EQUlMWSgwNy8xNS8yMDExLCwsLCwnRElMJykvRUNBX01FQU5fRUJJVCgyMDEwLDA3L","zE1LzIwMTEp&amp;WINDOW=FIRST_POPUP&amp;HEIGHT=450&amp;WIDTH=450&amp;START_MAXIMIZED=FALSE&amp;VAR:CALENDAR=FIVEDAY&amp;VAR:SYMBOL=COL&amp;VAR:INDEX=0"}</definedName>
    <definedName name="_349__FDSAUDITLINK__" hidden="1">{"fdsup://directions/FAT Viewer?action=UPDATE&amp;creator=factset&amp;DYN_ARGS=TRUE&amp;DOC_NAME=FAT:FQL_AUDITING_CLIENT_TEMPLATE.FAT&amp;display_string=Audit&amp;VAR:KEY=DUDADIPCVA&amp;VAR:QUERY=RkZfRU5UUlBSX1ZBTF9EQUlMWSgwNy8xNS8yMDExLCwsLCwnRElMJykvRUNBX01FQU5fRUJJVERBKDIwMTIsM","DcvMTUvMjAxMSk=&amp;WINDOW=FIRST_POPUP&amp;HEIGHT=450&amp;WIDTH=450&amp;START_MAXIMIZED=FALSE&amp;VAR:CALENDAR=FIVEDAY&amp;VAR:SYMBOL=COL&amp;VAR:INDEX=0"}</definedName>
    <definedName name="_35__FDSAUDITLINK__" hidden="1">{"fdsup://directions/FAT Viewer?action=UPDATE&amp;creator=factset&amp;DYN_ARGS=TRUE&amp;DOC_NAME=FAT:FQL_AUDITING_CLIENT_TEMPLATE.FAT&amp;display_string=Audit&amp;VAR:KEY=OBIHMLOZCD&amp;VAR:QUERY=RkZfRU5UUlBSX1ZBTF9EQUlMWSgwNy8yNi8yMDExLCwsLCwnRElMJykvRUNBX01FQU5fRUJJVERBKDIwMTEsM","DcvMjYvMjAxMSk=&amp;WINDOW=FIRST_POPUP&amp;HEIGHT=450&amp;WIDTH=450&amp;START_MAXIMIZED=FALSE&amp;VAR:CALENDAR=FIVEDAY&amp;VAR:SYMBOL=COL&amp;VAR:INDEX=0"}</definedName>
    <definedName name="_350__FDSAUDITLINK__" hidden="1">{"fdsup://directions/FAT Viewer?action=UPDATE&amp;creator=factset&amp;DYN_ARGS=TRUE&amp;DOC_NAME=FAT:FQL_AUDITING_CLIENT_TEMPLATE.FAT&amp;display_string=Audit&amp;VAR:KEY=HOZMZUDYTG&amp;VAR:QUERY=RkZfRU5UUlBSX1ZBTF9EQUlMWSgwNy8xNS8yMDExLCwsLCwnRElMJykvRUNBX01FQU5fRUJJVERBKDIwMTEsM","DcvMTUvMjAxMSk=&amp;WINDOW=FIRST_POPUP&amp;HEIGHT=450&amp;WIDTH=450&amp;START_MAXIMIZED=FALSE&amp;VAR:CALENDAR=FIVEDAY&amp;VAR:SYMBOL=COL&amp;VAR:INDEX=0"}</definedName>
    <definedName name="_351__FDSAUDITLINK__" hidden="1">{"fdsup://directions/FAT Viewer?action=UPDATE&amp;creator=factset&amp;DYN_ARGS=TRUE&amp;DOC_NAME=FAT:FQL_AUDITING_CLIENT_TEMPLATE.FAT&amp;display_string=Audit&amp;VAR:KEY=ZOZGRKXKLQ&amp;VAR:QUERY=RkZfRU5UUlBSX1ZBTF9EQUlMWSgwNy8xNS8yMDExLCwsLCwnRElMJykvRUNBX01FQU5fRUJJVERBKDIwMTAsM","DcvMTUvMjAxMSk=&amp;WINDOW=FIRST_POPUP&amp;HEIGHT=450&amp;WIDTH=450&amp;START_MAXIMIZED=FALSE&amp;VAR:CALENDAR=FIVEDAY&amp;VAR:SYMBOL=COL&amp;VAR:INDEX=0"}</definedName>
    <definedName name="_352__FDSAUDITLINK__" hidden="1">{"fdsup://directions/FAT Viewer?action=UPDATE&amp;creator=factset&amp;DYN_ARGS=TRUE&amp;DOC_NAME=FAT:FQL_AUDITING_CLIENT_TEMPLATE.FAT&amp;display_string=Audit&amp;VAR:KEY=TSVONSRIPQ&amp;VAR:QUERY=RkZfRU5UUlBSX1ZBTF9EQUlMWSgwNy8xNS8yMDExLCwsLCwnRElMJykvRUNBX01FQU5fU0FMRVMoMjAxMiwwN","y8xNS8yMDExKQ==&amp;WINDOW=FIRST_POPUP&amp;HEIGHT=450&amp;WIDTH=450&amp;START_MAXIMIZED=FALSE&amp;VAR:CALENDAR=FIVEDAY&amp;VAR:SYMBOL=BEAV&amp;VAR:INDEX=0"}</definedName>
    <definedName name="_353__FDSAUDITLINK__" hidden="1">{"fdsup://directions/FAT Viewer?action=UPDATE&amp;creator=factset&amp;DYN_ARGS=TRUE&amp;DOC_NAME=FAT:FQL_AUDITING_CLIENT_TEMPLATE.FAT&amp;display_string=Audit&amp;VAR:KEY=ZKFETWBYZU&amp;VAR:QUERY=RkZfRU5UUlBSX1ZBTF9EQUlMWSgwNy8xNS8yMDExLCwsLCwnRElMJykvRUNBX01FQU5fU0FMRVMoMjAxMSwwN","y8xNS8yMDExKQ==&amp;WINDOW=FIRST_POPUP&amp;HEIGHT=450&amp;WIDTH=450&amp;START_MAXIMIZED=FALSE&amp;VAR:CALENDAR=FIVEDAY&amp;VAR:SYMBOL=BEAV&amp;VAR:INDEX=0"}</definedName>
    <definedName name="_354__FDSAUDITLINK__" hidden="1">{"fdsup://directions/FAT Viewer?action=UPDATE&amp;creator=factset&amp;DYN_ARGS=TRUE&amp;DOC_NAME=FAT:FQL_AUDITING_CLIENT_TEMPLATE.FAT&amp;display_string=Audit&amp;VAR:KEY=LUTYBGPKXA&amp;VAR:QUERY=RkZfRU5UUlBSX1ZBTF9EQUlMWSgwNy8xNS8yMDExLCwsLCwnRElMJykvRUNBX01FQU5fU0FMRVMoMjAxMCwwN","y8xNS8yMDExKQ==&amp;WINDOW=FIRST_POPUP&amp;HEIGHT=450&amp;WIDTH=450&amp;START_MAXIMIZED=FALSE&amp;VAR:CALENDAR=FIVEDAY&amp;VAR:SYMBOL=BEAV&amp;VAR:INDEX=0"}</definedName>
    <definedName name="_355__FDSAUDITLINK__" hidden="1">{"fdsup://directions/FAT Viewer?action=UPDATE&amp;creator=factset&amp;DYN_ARGS=TRUE&amp;DOC_NAME=FAT:FQL_AUDITING_CLIENT_TEMPLATE.FAT&amp;display_string=Audit&amp;VAR:KEY=HONQXAZSRM&amp;VAR:QUERY=RkZfRU5UUlBSX1ZBTF9EQUlMWSgwNy8xNS8yMDExLCwsLCwnRElMJykvRUNBX01FQU5fRUJJVCgyMDEyLDA3L","zE1LzIwMTEp&amp;WINDOW=FIRST_POPUP&amp;HEIGHT=450&amp;WIDTH=450&amp;START_MAXIMIZED=FALSE&amp;VAR:CALENDAR=FIVEDAY&amp;VAR:SYMBOL=BEAV&amp;VAR:INDEX=0"}</definedName>
    <definedName name="_356__FDSAUDITLINK__" hidden="1">{"fdsup://directions/FAT Viewer?action=UPDATE&amp;creator=factset&amp;DYN_ARGS=TRUE&amp;DOC_NAME=FAT:FQL_AUDITING_CLIENT_TEMPLATE.FAT&amp;display_string=Audit&amp;VAR:KEY=FSNGJUZGBG&amp;VAR:QUERY=RkZfRU5UUlBSX1ZBTF9EQUlMWSgwNy8xNS8yMDExLCwsLCwnRElMJykvRUNBX01FQU5fRUJJVCgyMDExLDA3L","zE1LzIwMTEp&amp;WINDOW=FIRST_POPUP&amp;HEIGHT=450&amp;WIDTH=450&amp;START_MAXIMIZED=FALSE&amp;VAR:CALENDAR=FIVEDAY&amp;VAR:SYMBOL=BEAV&amp;VAR:INDEX=0"}</definedName>
    <definedName name="_357__FDSAUDITLINK__" hidden="1">{"fdsup://directions/FAT Viewer?action=UPDATE&amp;creator=factset&amp;DYN_ARGS=TRUE&amp;DOC_NAME=FAT:FQL_AUDITING_CLIENT_TEMPLATE.FAT&amp;display_string=Audit&amp;VAR:KEY=BUFQRWTMNE&amp;VAR:QUERY=RkZfRU5UUlBSX1ZBTF9EQUlMWSgwNy8xNS8yMDExLCwsLCwnRElMJykvRUNBX01FQU5fRUJJVCgyMDEwLDA3L","zE1LzIwMTEp&amp;WINDOW=FIRST_POPUP&amp;HEIGHT=450&amp;WIDTH=450&amp;START_MAXIMIZED=FALSE&amp;VAR:CALENDAR=FIVEDAY&amp;VAR:SYMBOL=BEAV&amp;VAR:INDEX=0"}</definedName>
    <definedName name="_358__FDSAUDITLINK__" hidden="1">{"fdsup://directions/FAT Viewer?action=UPDATE&amp;creator=factset&amp;DYN_ARGS=TRUE&amp;DOC_NAME=FAT:FQL_AUDITING_CLIENT_TEMPLATE.FAT&amp;display_string=Audit&amp;VAR:KEY=FMTMNEHCFI&amp;VAR:QUERY=RkZfRU5UUlBSX1ZBTF9EQUlMWSgwNy8xNS8yMDExLCwsLCwnRElMJykvRUNBX01FQU5fRUJJVERBKDIwMTIsM","DcvMTUvMjAxMSk=&amp;WINDOW=FIRST_POPUP&amp;HEIGHT=450&amp;WIDTH=450&amp;START_MAXIMIZED=FALSE&amp;VAR:CALENDAR=FIVEDAY&amp;VAR:SYMBOL=BEAV&amp;VAR:INDEX=0"}</definedName>
    <definedName name="_359__FDSAUDITLINK__" hidden="1">{"fdsup://directions/FAT Viewer?action=UPDATE&amp;creator=factset&amp;DYN_ARGS=TRUE&amp;DOC_NAME=FAT:FQL_AUDITING_CLIENT_TEMPLATE.FAT&amp;display_string=Audit&amp;VAR:KEY=PWDAVAVWLC&amp;VAR:QUERY=RkZfRU5UUlBSX1ZBTF9EQUlMWSgwNy8xNS8yMDExLCwsLCwnRElMJykvRUNBX01FQU5fRUJJVERBKDIwMTEsM","DcvMTUvMjAxMSk=&amp;WINDOW=FIRST_POPUP&amp;HEIGHT=450&amp;WIDTH=450&amp;START_MAXIMIZED=FALSE&amp;VAR:CALENDAR=FIVEDAY&amp;VAR:SYMBOL=BEAV&amp;VAR:INDEX=0"}</definedName>
    <definedName name="_36__FDSAUDITLINK__" hidden="1">{"fdsup://directions/FAT Viewer?action=UPDATE&amp;creator=factset&amp;DYN_ARGS=TRUE&amp;DOC_NAME=FAT:FQL_AUDITING_CLIENT_TEMPLATE.FAT&amp;display_string=Audit&amp;VAR:KEY=OPOHUDCZQJ&amp;VAR:QUERY=RkZfRU5UUlBSX1ZBTF9EQUlMWSgwNy8yNi8yMDExLCwsLCwnRElMJykvRUNBX01FQU5fRUJJVERBKDIwMTAsM","DcvMjYvMjAxMSk=&amp;WINDOW=FIRST_POPUP&amp;HEIGHT=450&amp;WIDTH=450&amp;START_MAXIMIZED=FALSE&amp;VAR:CALENDAR=FIVEDAY&amp;VAR:SYMBOL=COL&amp;VAR:INDEX=0"}</definedName>
    <definedName name="_360__FDSAUDITLINK__" hidden="1">{"fdsup://directions/FAT Viewer?action=UPDATE&amp;creator=factset&amp;DYN_ARGS=TRUE&amp;DOC_NAME=FAT:FQL_AUDITING_CLIENT_TEMPLATE.FAT&amp;display_string=Audit&amp;VAR:KEY=NALIHQZUJE&amp;VAR:QUERY=RkZfRU5UUlBSX1ZBTF9EQUlMWSgwNy8xNS8yMDExLCwsLCwnRElMJykvRUNBX01FQU5fRUJJVERBKDIwMTAsM","DcvMTUvMjAxMSk=&amp;WINDOW=FIRST_POPUP&amp;HEIGHT=450&amp;WIDTH=450&amp;START_MAXIMIZED=FALSE&amp;VAR:CALENDAR=FIVEDAY&amp;VAR:SYMBOL=BEAV&amp;VAR:INDEX=0"}</definedName>
    <definedName name="_361__FDSAUDITLINK__" hidden="1">{"fdsup://directions/FAT Viewer?action=UPDATE&amp;creator=factset&amp;DYN_ARGS=TRUE&amp;DOC_NAME=FAT:FQL_AUDITING_CLIENT_TEMPLATE.FAT&amp;display_string=Audit&amp;VAR:KEY=OHKHQTCVEB&amp;VAR:QUERY=RkZfRU5UUlBSX1ZBTF9EQUlMWSgwNy8yNi8yMDExLCwsLCwnRElMJykvRUNBX01FQU5fU0FMRVMoMjAxMiwwN","y8yNi8yMDExKQ==&amp;WINDOW=FIRST_POPUP&amp;HEIGHT=450&amp;WIDTH=450&amp;START_MAXIMIZED=FALSE&amp;VAR:CALENDAR=FIVEDAY&amp;VAR:SYMBOL=057580&amp;VAR:INDEX=0"}</definedName>
    <definedName name="_362__FDSAUDITLINK__" hidden="1">{"fdsup://directions/FAT Viewer?action=UPDATE&amp;creator=factset&amp;DYN_ARGS=TRUE&amp;DOC_NAME=FAT:FQL_AUDITING_CLIENT_TEMPLATE.FAT&amp;display_string=Audit&amp;VAR:KEY=CLOBMTIDMF&amp;VAR:QUERY=RkZfRU5UUlBSX1ZBTF9EQUlMWSgwNy8yNi8yMDExLCwsLCwnRElMJykvRUNBX01FQU5fU0FMRVMoMjAxMSwwN","y8yNi8yMDExKQ==&amp;WINDOW=FIRST_POPUP&amp;HEIGHT=450&amp;WIDTH=450&amp;START_MAXIMIZED=FALSE&amp;VAR:CALENDAR=FIVEDAY&amp;VAR:SYMBOL=057580&amp;VAR:INDEX=0"}</definedName>
    <definedName name="_363__FDSAUDITLINK__" hidden="1">{"fdsup://directions/FAT Viewer?action=UPDATE&amp;creator=factset&amp;DYN_ARGS=TRUE&amp;DOC_NAME=FAT:FQL_AUDITING_CLIENT_TEMPLATE.FAT&amp;display_string=Audit&amp;VAR:KEY=SREJAHMHSZ&amp;VAR:QUERY=RkZfRU5UUlBSX1ZBTF9EQUlMWSgwNy8yNi8yMDExLCwsLCwnRElMJykvRUNBX01FQU5fU0FMRVMoMjAxMCwwN","y8yNi8yMDExKQ==&amp;WINDOW=FIRST_POPUP&amp;HEIGHT=450&amp;WIDTH=450&amp;START_MAXIMIZED=FALSE&amp;VAR:CALENDAR=FIVEDAY&amp;VAR:SYMBOL=057580&amp;VAR:INDEX=0"}</definedName>
    <definedName name="_364__FDSAUDITLINK__" hidden="1">{"fdsup://directions/FAT Viewer?action=UPDATE&amp;creator=factset&amp;DYN_ARGS=TRUE&amp;DOC_NAME=FAT:FQL_AUDITING_CLIENT_TEMPLATE.FAT&amp;display_string=Audit&amp;VAR:KEY=ETQPCRMJYZ&amp;VAR:QUERY=RkZfRU5UUlBSX1ZBTF9EQUlMWSgwNy8yNi8yMDExLCwsLCwnRElMJykvRUNBX01FQU5fRUJJVCgyMDEyLDA3L","zI2LzIwMTEp&amp;WINDOW=FIRST_POPUP&amp;HEIGHT=450&amp;WIDTH=450&amp;START_MAXIMIZED=FALSE&amp;VAR:CALENDAR=FIVEDAY&amp;VAR:SYMBOL=057580&amp;VAR:INDEX=0"}</definedName>
    <definedName name="_365__FDSAUDITLINK__" hidden="1">{"fdsup://directions/FAT Viewer?action=UPDATE&amp;creator=factset&amp;DYN_ARGS=TRUE&amp;DOC_NAME=FAT:FQL_AUDITING_CLIENT_TEMPLATE.FAT&amp;display_string=Audit&amp;VAR:KEY=SVSHUNMTQH&amp;VAR:QUERY=RkZfRU5UUlBSX1ZBTF9EQUlMWSgwNy8yNi8yMDExLCwsLCwnRElMJykvRUNBX01FQU5fRUJJVCgyMDExLDA3L","zI2LzIwMTEp&amp;WINDOW=FIRST_POPUP&amp;HEIGHT=450&amp;WIDTH=450&amp;START_MAXIMIZED=FALSE&amp;VAR:CALENDAR=FIVEDAY&amp;VAR:SYMBOL=057580&amp;VAR:INDEX=0"}</definedName>
    <definedName name="_366__FDSAUDITLINK__" hidden="1">{"fdsup://directions/FAT Viewer?action=UPDATE&amp;creator=factset&amp;DYN_ARGS=TRUE&amp;DOC_NAME=FAT:FQL_AUDITING_CLIENT_TEMPLATE.FAT&amp;display_string=Audit&amp;VAR:KEY=MNWFIBIRGT&amp;VAR:QUERY=RkZfRU5UUlBSX1ZBTF9EQUlMWSgwNy8yNi8yMDExLCwsLCwnRElMJykvRUNBX01FQU5fRUJJVCgyMDEwLDA3L","zI2LzIwMTEp&amp;WINDOW=FIRST_POPUP&amp;HEIGHT=450&amp;WIDTH=450&amp;START_MAXIMIZED=FALSE&amp;VAR:CALENDAR=FIVEDAY&amp;VAR:SYMBOL=057580&amp;VAR:INDEX=0"}</definedName>
    <definedName name="_367__FDSAUDITLINK__" hidden="1">{"fdsup://directions/FAT Viewer?action=UPDATE&amp;creator=factset&amp;DYN_ARGS=TRUE&amp;DOC_NAME=FAT:FQL_AUDITING_CLIENT_TEMPLATE.FAT&amp;display_string=Audit&amp;VAR:KEY=QVCDGRURIT&amp;VAR:QUERY=RkZfRU5UUlBSX1ZBTF9EQUlMWSgwNy8yNi8yMDExLCwsLCwnRElMJykvRUNBX01FQU5fRUJJVERBKDIwMTIsM","DcvMjYvMjAxMSk=&amp;WINDOW=FIRST_POPUP&amp;HEIGHT=450&amp;WIDTH=450&amp;START_MAXIMIZED=FALSE&amp;VAR:CALENDAR=FIVEDAY&amp;VAR:SYMBOL=057580&amp;VAR:INDEX=0"}</definedName>
    <definedName name="_368__FDSAUDITLINK__" hidden="1">{"fdsup://directions/FAT Viewer?action=UPDATE&amp;creator=factset&amp;DYN_ARGS=TRUE&amp;DOC_NAME=FAT:FQL_AUDITING_CLIENT_TEMPLATE.FAT&amp;display_string=Audit&amp;VAR:KEY=SJKDQBQDGZ&amp;VAR:QUERY=RkZfRU5UUlBSX1ZBTF9EQUlMWSgwNy8yNi8yMDExLCwsLCwnRElMJykvRUNBX01FQU5fRUJJVERBKDIwMTEsM","DcvMjYvMjAxMSk=&amp;WINDOW=FIRST_POPUP&amp;HEIGHT=450&amp;WIDTH=450&amp;START_MAXIMIZED=FALSE&amp;VAR:CALENDAR=FIVEDAY&amp;VAR:SYMBOL=057580&amp;VAR:INDEX=0"}</definedName>
    <definedName name="_369__FDSAUDITLINK__" hidden="1">{"fdsup://directions/FAT Viewer?action=UPDATE&amp;creator=factset&amp;DYN_ARGS=TRUE&amp;DOC_NAME=FAT:FQL_AUDITING_CLIENT_TEMPLATE.FAT&amp;display_string=Audit&amp;VAR:KEY=CNCPCRILGF&amp;VAR:QUERY=RkZfRU5UUlBSX1ZBTF9EQUlMWSgwNy8yNi8yMDExLCwsLCwnRElMJykvRUNBX01FQU5fRUJJVERBKDIwMTAsM","DcvMjYvMjAxMSk=&amp;WINDOW=FIRST_POPUP&amp;HEIGHT=450&amp;WIDTH=450&amp;START_MAXIMIZED=FALSE&amp;VAR:CALENDAR=FIVEDAY&amp;VAR:SYMBOL=057580&amp;VAR:INDEX=0"}</definedName>
    <definedName name="_37__FDSAUDITLINK__" hidden="1">{"fdsup://directions/FAT Viewer?action=UPDATE&amp;creator=factset&amp;DYN_ARGS=TRUE&amp;DOC_NAME=FAT:FQL_AUDITING_CLIENT_TEMPLATE.FAT&amp;display_string=Audit&amp;VAR:KEY=ODMPABOVYP&amp;VAR:QUERY=RkZfRU5UUlBSX1ZBTF9EQUlMWSgwNy8yNi8yMDExLCwsLCwnRElMJykvRUNBX01FQU5fU0FMRVMoMjAxMiwwN","y8yNi8yMDExKQ==&amp;WINDOW=FIRST_POPUP&amp;HEIGHT=450&amp;WIDTH=450&amp;START_MAXIMIZED=FALSE&amp;VAR:CALENDAR=FIVEDAY&amp;VAR:SYMBOL=BEAV&amp;VAR:INDEX=0"}</definedName>
    <definedName name="_370__FDSAUDITLINK__" hidden="1">{"fdsup://directions/FAT Viewer?action=UPDATE&amp;creator=factset&amp;DYN_ARGS=TRUE&amp;DOC_NAME=FAT:FQL_AUDITING_CLIENT_TEMPLATE.FAT&amp;display_string=Audit&amp;VAR:KEY=ORQVGRAVMP&amp;VAR:QUERY=RkZfRU5UUlBSX1ZBTF9EQUlMWSgwNy8yNi8yMDExLCwsLCwnRElMJykvRUNBX01FQU5fU0FMRVMoMjAxMiwwN","y8yNi8yMDExKQ==&amp;WINDOW=FIRST_POPUP&amp;HEIGHT=450&amp;WIDTH=450&amp;START_MAXIMIZED=FALSE&amp;VAR:CALENDAR=FIVEDAY&amp;VAR:SYMBOL=PCP&amp;VAR:INDEX=0"}</definedName>
    <definedName name="_371__FDSAUDITLINK__" hidden="1">{"fdsup://directions/FAT Viewer?action=UPDATE&amp;creator=factset&amp;DYN_ARGS=TRUE&amp;DOC_NAME=FAT:FQL_AUDITING_CLIENT_TEMPLATE.FAT&amp;display_string=Audit&amp;VAR:KEY=YFSJQFSXUZ&amp;VAR:QUERY=RkZfRU5UUlBSX1ZBTF9EQUlMWSgwNy8yNi8yMDExLCwsLCwnRElMJykvRUNBX01FQU5fU0FMRVMoMjAxMSwwN","y8yNi8yMDExKQ==&amp;WINDOW=FIRST_POPUP&amp;HEIGHT=450&amp;WIDTH=450&amp;START_MAXIMIZED=FALSE&amp;VAR:CALENDAR=FIVEDAY&amp;VAR:SYMBOL=PCP&amp;VAR:INDEX=0"}</definedName>
    <definedName name="_372__FDSAUDITLINK__" hidden="1">{"fdsup://directions/FAT Viewer?action=UPDATE&amp;creator=factset&amp;DYN_ARGS=TRUE&amp;DOC_NAME=FAT:FQL_AUDITING_CLIENT_TEMPLATE.FAT&amp;display_string=Audit&amp;VAR:KEY=UDAFCFULSP&amp;VAR:QUERY=RkZfRU5UUlBSX1ZBTF9EQUlMWSgwNy8yNi8yMDExLCwsLCwnRElMJykvRUNBX01FQU5fU0FMRVMoMjAxMCwwN","y8yNi8yMDExKQ==&amp;WINDOW=FIRST_POPUP&amp;HEIGHT=450&amp;WIDTH=450&amp;START_MAXIMIZED=FALSE&amp;VAR:CALENDAR=FIVEDAY&amp;VAR:SYMBOL=PCP&amp;VAR:INDEX=0"}</definedName>
    <definedName name="_373__FDSAUDITLINK__" hidden="1">{"fdsup://directions/FAT Viewer?action=UPDATE&amp;creator=factset&amp;DYN_ARGS=TRUE&amp;DOC_NAME=FAT:FQL_AUDITING_CLIENT_TEMPLATE.FAT&amp;display_string=Audit&amp;VAR:KEY=KLEJQHIDEX&amp;VAR:QUERY=RkZfRU5UUlBSX1ZBTF9EQUlMWSgwNy8yNi8yMDExLCwsLCwnRElMJykvRUNBX01FQU5fRUJJVCgyMDEyLDA3L","zI2LzIwMTEp&amp;WINDOW=FIRST_POPUP&amp;HEIGHT=450&amp;WIDTH=450&amp;START_MAXIMIZED=FALSE&amp;VAR:CALENDAR=FIVEDAY&amp;VAR:SYMBOL=PCP&amp;VAR:INDEX=0"}</definedName>
    <definedName name="_374__FDSAUDITLINK__" hidden="1">{"fdsup://directions/FAT Viewer?action=UPDATE&amp;creator=factset&amp;DYN_ARGS=TRUE&amp;DOC_NAME=FAT:FQL_AUDITING_CLIENT_TEMPLATE.FAT&amp;display_string=Audit&amp;VAR:KEY=OVGJKNKRKZ&amp;VAR:QUERY=RkZfRU5UUlBSX1ZBTF9EQUlMWSgwNy8yNi8yMDExLCwsLCwnRElMJykvRUNBX01FQU5fRUJJVCgyMDExLDA3L","zI2LzIwMTEp&amp;WINDOW=FIRST_POPUP&amp;HEIGHT=450&amp;WIDTH=450&amp;START_MAXIMIZED=FALSE&amp;VAR:CALENDAR=FIVEDAY&amp;VAR:SYMBOL=PCP&amp;VAR:INDEX=0"}</definedName>
    <definedName name="_375__FDSAUDITLINK__" hidden="1">{"fdsup://directions/FAT Viewer?action=UPDATE&amp;creator=factset&amp;DYN_ARGS=TRUE&amp;DOC_NAME=FAT:FQL_AUDITING_CLIENT_TEMPLATE.FAT&amp;display_string=Audit&amp;VAR:KEY=ODWHYHEJGN&amp;VAR:QUERY=RkZfRU5UUlBSX1ZBTF9EQUlMWSgwNy8yNi8yMDExLCwsLCwnRElMJykvRUNBX01FQU5fRUJJVCgyMDEwLDA3L","zI2LzIwMTEp&amp;WINDOW=FIRST_POPUP&amp;HEIGHT=450&amp;WIDTH=450&amp;START_MAXIMIZED=FALSE&amp;VAR:CALENDAR=FIVEDAY&amp;VAR:SYMBOL=PCP&amp;VAR:INDEX=0"}</definedName>
    <definedName name="_376__FDSAUDITLINK__" hidden="1">{"fdsup://directions/FAT Viewer?action=UPDATE&amp;creator=factset&amp;DYN_ARGS=TRUE&amp;DOC_NAME=FAT:FQL_AUDITING_CLIENT_TEMPLATE.FAT&amp;display_string=Audit&amp;VAR:KEY=GTAVKJIZEX&amp;VAR:QUERY=RkZfRU5UUlBSX1ZBTF9EQUlMWSgwNy8yNi8yMDExLCwsLCwnRElMJykvRUNBX01FQU5fRUJJVERBKDIwMTIsM","DcvMjYvMjAxMSk=&amp;WINDOW=FIRST_POPUP&amp;HEIGHT=450&amp;WIDTH=450&amp;START_MAXIMIZED=FALSE&amp;VAR:CALENDAR=FIVEDAY&amp;VAR:SYMBOL=PCP&amp;VAR:INDEX=0"}</definedName>
    <definedName name="_377__FDSAUDITLINK__" hidden="1">{"fdsup://directions/FAT Viewer?action=UPDATE&amp;creator=factset&amp;DYN_ARGS=TRUE&amp;DOC_NAME=FAT:FQL_AUDITING_CLIENT_TEMPLATE.FAT&amp;display_string=Audit&amp;VAR:KEY=YDGFCPQLMN&amp;VAR:QUERY=RkZfRU5UUlBSX1ZBTF9EQUlMWSgwNy8yNi8yMDExLCwsLCwnRElMJykvRUNBX01FQU5fRUJJVERBKDIwMTEsM","DcvMjYvMjAxMSk=&amp;WINDOW=FIRST_POPUP&amp;HEIGHT=450&amp;WIDTH=450&amp;START_MAXIMIZED=FALSE&amp;VAR:CALENDAR=FIVEDAY&amp;VAR:SYMBOL=PCP&amp;VAR:INDEX=0"}</definedName>
    <definedName name="_378__FDSAUDITLINK__" hidden="1">{"fdsup://directions/FAT Viewer?action=UPDATE&amp;creator=factset&amp;DYN_ARGS=TRUE&amp;DOC_NAME=FAT:FQL_AUDITING_CLIENT_TEMPLATE.FAT&amp;display_string=Audit&amp;VAR:KEY=STSDOVKDQN&amp;VAR:QUERY=RkZfRU5UUlBSX1ZBTF9EQUlMWSgwNy8yNi8yMDExLCwsLCwnRElMJykvRUNBX01FQU5fRUJJVERBKDIwMTAsM","DcvMjYvMjAxMSk=&amp;WINDOW=FIRST_POPUP&amp;HEIGHT=450&amp;WIDTH=450&amp;START_MAXIMIZED=FALSE&amp;VAR:CALENDAR=FIVEDAY&amp;VAR:SYMBOL=PCP&amp;VAR:INDEX=0"}</definedName>
    <definedName name="_379__FDSAUDITLINK__" hidden="1">{"fdsup://directions/FAT Viewer?action=UPDATE&amp;creator=factset&amp;DYN_ARGS=TRUE&amp;DOC_NAME=FAT:FQL_AUDITING_CLIENT_TEMPLATE.FAT&amp;display_string=Audit&amp;VAR:KEY=KXQFYTULEJ&amp;VAR:QUERY=RkZfRU5UUlBSX1ZBTF9EQUlMWSgwNy8yNi8yMDExLCwsLCwnRElMJykvRUNBX01FQU5fU0FMRVMoMjAxMiwwN","y8yNi8yMDExKQ==&amp;WINDOW=FIRST_POPUP&amp;HEIGHT=450&amp;WIDTH=450&amp;START_MAXIMIZED=FALSE&amp;VAR:CALENDAR=FIVEDAY&amp;VAR:SYMBOL=MOG.A&amp;VAR:INDEX=0"}</definedName>
    <definedName name="_38__FDSAUDITLINK__" hidden="1">{"fdsup://directions/FAT Viewer?action=UPDATE&amp;creator=factset&amp;DYN_ARGS=TRUE&amp;DOC_NAME=FAT:FQL_AUDITING_CLIENT_TEMPLATE.FAT&amp;display_string=Audit&amp;VAR:KEY=YPQNMTWJMT&amp;VAR:QUERY=RkZfRU5UUlBSX1ZBTF9EQUlMWSgwNy8yNi8yMDExLCwsLCwnRElMJykvRUNBX01FQU5fU0FMRVMoMjAxMSwwN","y8yNi8yMDExKQ==&amp;WINDOW=FIRST_POPUP&amp;HEIGHT=450&amp;WIDTH=450&amp;START_MAXIMIZED=FALSE&amp;VAR:CALENDAR=FIVEDAY&amp;VAR:SYMBOL=BEAV&amp;VAR:INDEX=0"}</definedName>
    <definedName name="_380__FDSAUDITLINK__" hidden="1">{"fdsup://directions/FAT Viewer?action=UPDATE&amp;creator=factset&amp;DYN_ARGS=TRUE&amp;DOC_NAME=FAT:FQL_AUDITING_CLIENT_TEMPLATE.FAT&amp;display_string=Audit&amp;VAR:KEY=YFUVUPKDQN&amp;VAR:QUERY=RkZfRU5UUlBSX1ZBTF9EQUlMWSgwNy8yNi8yMDExLCwsLCwnRElMJykvRUNBX01FQU5fU0FMRVMoMjAxMSwwN","y8yNi8yMDExKQ==&amp;WINDOW=FIRST_POPUP&amp;HEIGHT=450&amp;WIDTH=450&amp;START_MAXIMIZED=FALSE&amp;VAR:CALENDAR=FIVEDAY&amp;VAR:SYMBOL=MOG.A&amp;VAR:INDEX=0"}</definedName>
    <definedName name="_381__FDSAUDITLINK__" hidden="1">{"fdsup://directions/FAT Viewer?action=UPDATE&amp;creator=factset&amp;DYN_ARGS=TRUE&amp;DOC_NAME=FAT:FQL_AUDITING_CLIENT_TEMPLATE.FAT&amp;display_string=Audit&amp;VAR:KEY=SXQPARKXCB&amp;VAR:QUERY=RkZfRU5UUlBSX1ZBTF9EQUlMWSgwNy8yNi8yMDExLCwsLCwnRElMJykvRUNBX01FQU5fU0FMRVMoMjAxMCwwN","y8yNi8yMDExKQ==&amp;WINDOW=FIRST_POPUP&amp;HEIGHT=450&amp;WIDTH=450&amp;START_MAXIMIZED=FALSE&amp;VAR:CALENDAR=FIVEDAY&amp;VAR:SYMBOL=MOG.A&amp;VAR:INDEX=0"}</definedName>
    <definedName name="_382__FDSAUDITLINK__" hidden="1">{"fdsup://directions/FAT Viewer?action=UPDATE&amp;creator=factset&amp;DYN_ARGS=TRUE&amp;DOC_NAME=FAT:FQL_AUDITING_CLIENT_TEMPLATE.FAT&amp;display_string=Audit&amp;VAR:KEY=YZABQJKFQX&amp;VAR:QUERY=RkZfRU5UUlBSX1ZBTF9EQUlMWSgwNy8yNi8yMDExLCwsLCwnRElMJykvRUNBX01FQU5fRUJJVCgyMDEyLDA3L","zI2LzIwMTEp&amp;WINDOW=FIRST_POPUP&amp;HEIGHT=450&amp;WIDTH=450&amp;START_MAXIMIZED=FALSE&amp;VAR:CALENDAR=FIVEDAY&amp;VAR:SYMBOL=MOG.A&amp;VAR:INDEX=0"}</definedName>
    <definedName name="_383__FDSAUDITLINK__" hidden="1">{"fdsup://directions/FAT Viewer?action=UPDATE&amp;creator=factset&amp;DYN_ARGS=TRUE&amp;DOC_NAME=FAT:FQL_AUDITING_CLIENT_TEMPLATE.FAT&amp;display_string=Audit&amp;VAR:KEY=ATYHKPOLOF&amp;VAR:QUERY=RkZfRU5UUlBSX1ZBTF9EQUlMWSgwNy8yNi8yMDExLCwsLCwnRElMJykvRUNBX01FQU5fRUJJVCgyMDExLDA3L","zI2LzIwMTEp&amp;WINDOW=FIRST_POPUP&amp;HEIGHT=450&amp;WIDTH=450&amp;START_MAXIMIZED=FALSE&amp;VAR:CALENDAR=FIVEDAY&amp;VAR:SYMBOL=MOG.A&amp;VAR:INDEX=0"}</definedName>
    <definedName name="_384__FDSAUDITLINK__" hidden="1">{"fdsup://directions/FAT Viewer?action=UPDATE&amp;creator=factset&amp;DYN_ARGS=TRUE&amp;DOC_NAME=FAT:FQL_AUDITING_CLIENT_TEMPLATE.FAT&amp;display_string=Audit&amp;VAR:KEY=INKPEBETEH&amp;VAR:QUERY=RkZfRU5UUlBSX1ZBTF9EQUlMWSgwNy8yNi8yMDExLCwsLCwnRElMJykvRUNBX01FQU5fRUJJVCgyMDEwLDA3L","zI2LzIwMTEp&amp;WINDOW=FIRST_POPUP&amp;HEIGHT=450&amp;WIDTH=450&amp;START_MAXIMIZED=FALSE&amp;VAR:CALENDAR=FIVEDAY&amp;VAR:SYMBOL=MOG.A&amp;VAR:INDEX=0"}</definedName>
    <definedName name="_385__FDSAUDITLINK__" hidden="1">{"fdsup://directions/FAT Viewer?action=UPDATE&amp;creator=factset&amp;DYN_ARGS=TRUE&amp;DOC_NAME=FAT:FQL_AUDITING_CLIENT_TEMPLATE.FAT&amp;display_string=Audit&amp;VAR:KEY=CNIJARGTKN&amp;VAR:QUERY=RkZfRU5UUlBSX1ZBTF9EQUlMWSgwNy8yNi8yMDExLCwsLCwnRElMJykvRUNBX01FQU5fRUJJVERBKDIwMTIsM","DcvMjYvMjAxMSk=&amp;WINDOW=FIRST_POPUP&amp;HEIGHT=450&amp;WIDTH=450&amp;START_MAXIMIZED=FALSE&amp;VAR:CALENDAR=FIVEDAY&amp;VAR:SYMBOL=MOG.A&amp;VAR:INDEX=0"}</definedName>
    <definedName name="_386__FDSAUDITLINK__" hidden="1">{"fdsup://directions/FAT Viewer?action=UPDATE&amp;creator=factset&amp;DYN_ARGS=TRUE&amp;DOC_NAME=FAT:FQL_AUDITING_CLIENT_TEMPLATE.FAT&amp;display_string=Audit&amp;VAR:KEY=WPWTGLCLQZ&amp;VAR:QUERY=RkZfRU5UUlBSX1ZBTF9EQUlMWSgwNy8yNi8yMDExLCwsLCwnRElMJykvRUNBX01FQU5fRUJJVERBKDIwMTEsM","DcvMjYvMjAxMSk=&amp;WINDOW=FIRST_POPUP&amp;HEIGHT=450&amp;WIDTH=450&amp;START_MAXIMIZED=FALSE&amp;VAR:CALENDAR=FIVEDAY&amp;VAR:SYMBOL=MOG.A&amp;VAR:INDEX=0"}</definedName>
    <definedName name="_387__FDSAUDITLINK__" hidden="1">{"fdsup://directions/FAT Viewer?action=UPDATE&amp;creator=factset&amp;DYN_ARGS=TRUE&amp;DOC_NAME=FAT:FQL_AUDITING_CLIENT_TEMPLATE.FAT&amp;display_string=Audit&amp;VAR:KEY=GPYNGJQBCN&amp;VAR:QUERY=RkZfRU5UUlBSX1ZBTF9EQUlMWSgwNy8yNi8yMDExLCwsLCwnRElMJykvRUNBX01FQU5fRUJJVERBKDIwMTAsM","DcvMjYvMjAxMSk=&amp;WINDOW=FIRST_POPUP&amp;HEIGHT=450&amp;WIDTH=450&amp;START_MAXIMIZED=FALSE&amp;VAR:CALENDAR=FIVEDAY&amp;VAR:SYMBOL=MOG.A&amp;VAR:INDEX=0"}</definedName>
    <definedName name="_388__FDSAUDITLINK__" hidden="1">{"fdsup://directions/FAT Viewer?action=UPDATE&amp;creator=factset&amp;DYN_ARGS=TRUE&amp;DOC_NAME=FAT:FQL_AUDITING_CLIENT_TEMPLATE.FAT&amp;display_string=Audit&amp;VAR:KEY=IBGTYFAZEJ&amp;VAR:QUERY=RkZfRU5UUlBSX1ZBTF9EQUlMWSgwNy8yNi8yMDExLCwsLCwnRElMJykvRUNBX01FQU5fU0FMRVMoMjAxMiwwN","y8yNi8yMDExKQ==&amp;WINDOW=FIRST_POPUP&amp;HEIGHT=450&amp;WIDTH=450&amp;START_MAXIMIZED=FALSE&amp;VAR:CALENDAR=FIVEDAY&amp;VAR:SYMBOL=COL&amp;VAR:INDEX=0"}</definedName>
    <definedName name="_389__FDSAUDITLINK__" hidden="1">{"fdsup://directions/FAT Viewer?action=UPDATE&amp;creator=factset&amp;DYN_ARGS=TRUE&amp;DOC_NAME=FAT:FQL_AUDITING_CLIENT_TEMPLATE.FAT&amp;display_string=Audit&amp;VAR:KEY=MTUJYZELWJ&amp;VAR:QUERY=RkZfRU5UUlBSX1ZBTF9EQUlMWSgwNy8yNi8yMDExLCwsLCwnRElMJykvRUNBX01FQU5fU0FMRVMoMjAxMSwwN","y8yNi8yMDExKQ==&amp;WINDOW=FIRST_POPUP&amp;HEIGHT=450&amp;WIDTH=450&amp;START_MAXIMIZED=FALSE&amp;VAR:CALENDAR=FIVEDAY&amp;VAR:SYMBOL=COL&amp;VAR:INDEX=0"}</definedName>
    <definedName name="_39__FDSAUDITLINK__" hidden="1">{"fdsup://directions/FAT Viewer?action=UPDATE&amp;creator=factset&amp;DYN_ARGS=TRUE&amp;DOC_NAME=FAT:FQL_AUDITING_CLIENT_TEMPLATE.FAT&amp;display_string=Audit&amp;VAR:KEY=KZAFGVGFMR&amp;VAR:QUERY=RkZfRU5UUlBSX1ZBTF9EQUlMWSgwNy8yNi8yMDExLCwsLCwnRElMJykvRUNBX01FQU5fU0FMRVMoMjAxMCwwN","y8yNi8yMDExKQ==&amp;WINDOW=FIRST_POPUP&amp;HEIGHT=450&amp;WIDTH=450&amp;START_MAXIMIZED=FALSE&amp;VAR:CALENDAR=FIVEDAY&amp;VAR:SYMBOL=BEAV&amp;VAR:INDEX=0"}</definedName>
    <definedName name="_390__FDSAUDITLINK__" hidden="1">{"fdsup://directions/FAT Viewer?action=UPDATE&amp;creator=factset&amp;DYN_ARGS=TRUE&amp;DOC_NAME=FAT:FQL_AUDITING_CLIENT_TEMPLATE.FAT&amp;display_string=Audit&amp;VAR:KEY=ERQRKXWFMV&amp;VAR:QUERY=RkZfRU5UUlBSX1ZBTF9EQUlMWSgwNy8yNi8yMDExLCwsLCwnRElMJykvRUNBX01FQU5fU0FMRVMoMjAxMCwwN","y8yNi8yMDExKQ==&amp;WINDOW=FIRST_POPUP&amp;HEIGHT=450&amp;WIDTH=450&amp;START_MAXIMIZED=FALSE&amp;VAR:CALENDAR=FIVEDAY&amp;VAR:SYMBOL=COL&amp;VAR:INDEX=0"}</definedName>
    <definedName name="_391__FDSAUDITLINK__" hidden="1">{"fdsup://directions/FAT Viewer?action=UPDATE&amp;creator=factset&amp;DYN_ARGS=TRUE&amp;DOC_NAME=FAT:FQL_AUDITING_CLIENT_TEMPLATE.FAT&amp;display_string=Audit&amp;VAR:KEY=QPWLWNYVUP&amp;VAR:QUERY=RkZfRU5UUlBSX1ZBTF9EQUlMWSgwNy8yNi8yMDExLCwsLCwnRElMJykvRUNBX01FQU5fRUJJVCgyMDEyLDA3L","zI2LzIwMTEp&amp;WINDOW=FIRST_POPUP&amp;HEIGHT=450&amp;WIDTH=450&amp;START_MAXIMIZED=FALSE&amp;VAR:CALENDAR=FIVEDAY&amp;VAR:SYMBOL=COL&amp;VAR:INDEX=0"}</definedName>
    <definedName name="_392__FDSAUDITLINK__" hidden="1">{"fdsup://directions/FAT Viewer?action=UPDATE&amp;creator=factset&amp;DYN_ARGS=TRUE&amp;DOC_NAME=FAT:FQL_AUDITING_CLIENT_TEMPLATE.FAT&amp;display_string=Audit&amp;VAR:KEY=EBGVSXITIV&amp;VAR:QUERY=RkZfRU5UUlBSX1ZBTF9EQUlMWSgwNy8yNi8yMDExLCwsLCwnRElMJykvRUNBX01FQU5fRUJJVCgyMDExLDA3L","zI2LzIwMTEp&amp;WINDOW=FIRST_POPUP&amp;HEIGHT=450&amp;WIDTH=450&amp;START_MAXIMIZED=FALSE&amp;VAR:CALENDAR=FIVEDAY&amp;VAR:SYMBOL=COL&amp;VAR:INDEX=0"}</definedName>
    <definedName name="_393__FDSAUDITLINK__" hidden="1">{"fdsup://directions/FAT Viewer?action=UPDATE&amp;creator=factset&amp;DYN_ARGS=TRUE&amp;DOC_NAME=FAT:FQL_AUDITING_CLIENT_TEMPLATE.FAT&amp;display_string=Audit&amp;VAR:KEY=QVMFKXQFYT&amp;VAR:QUERY=RkZfRU5UUlBSX1ZBTF9EQUlMWSgwNy8yNi8yMDExLCwsLCwnRElMJykvRUNBX01FQU5fRUJJVCgyMDEwLDA3L","zI2LzIwMTEp&amp;WINDOW=FIRST_POPUP&amp;HEIGHT=450&amp;WIDTH=450&amp;START_MAXIMIZED=FALSE&amp;VAR:CALENDAR=FIVEDAY&amp;VAR:SYMBOL=COL&amp;VAR:INDEX=0"}</definedName>
    <definedName name="_394__FDSAUDITLINK__" hidden="1">{"fdsup://directions/FAT Viewer?action=UPDATE&amp;creator=factset&amp;DYN_ARGS=TRUE&amp;DOC_NAME=FAT:FQL_AUDITING_CLIENT_TEMPLATE.FAT&amp;display_string=Audit&amp;VAR:KEY=WJEFSLGHOJ&amp;VAR:QUERY=RkZfRU5UUlBSX1ZBTF9EQUlMWSgwNy8yNi8yMDExLCwsLCwnRElMJykvRUNBX01FQU5fRUJJVERBKDIwMTIsM","DcvMjYvMjAxMSk=&amp;WINDOW=FIRST_POPUP&amp;HEIGHT=450&amp;WIDTH=450&amp;START_MAXIMIZED=FALSE&amp;VAR:CALENDAR=FIVEDAY&amp;VAR:SYMBOL=COL&amp;VAR:INDEX=0"}</definedName>
    <definedName name="_395__FDSAUDITLINK__" hidden="1">{"fdsup://directions/FAT Viewer?action=UPDATE&amp;creator=factset&amp;DYN_ARGS=TRUE&amp;DOC_NAME=FAT:FQL_AUDITING_CLIENT_TEMPLATE.FAT&amp;display_string=Audit&amp;VAR:KEY=OBIHMLOZCD&amp;VAR:QUERY=RkZfRU5UUlBSX1ZBTF9EQUlMWSgwNy8yNi8yMDExLCwsLCwnRElMJykvRUNBX01FQU5fRUJJVERBKDIwMTEsM","DcvMjYvMjAxMSk=&amp;WINDOW=FIRST_POPUP&amp;HEIGHT=450&amp;WIDTH=450&amp;START_MAXIMIZED=FALSE&amp;VAR:CALENDAR=FIVEDAY&amp;VAR:SYMBOL=COL&amp;VAR:INDEX=0"}</definedName>
    <definedName name="_396__FDSAUDITLINK__" hidden="1">{"fdsup://directions/FAT Viewer?action=UPDATE&amp;creator=factset&amp;DYN_ARGS=TRUE&amp;DOC_NAME=FAT:FQL_AUDITING_CLIENT_TEMPLATE.FAT&amp;display_string=Audit&amp;VAR:KEY=OPOHUDCZQJ&amp;VAR:QUERY=RkZfRU5UUlBSX1ZBTF9EQUlMWSgwNy8yNi8yMDExLCwsLCwnRElMJykvRUNBX01FQU5fRUJJVERBKDIwMTAsM","DcvMjYvMjAxMSk=&amp;WINDOW=FIRST_POPUP&amp;HEIGHT=450&amp;WIDTH=450&amp;START_MAXIMIZED=FALSE&amp;VAR:CALENDAR=FIVEDAY&amp;VAR:SYMBOL=COL&amp;VAR:INDEX=0"}</definedName>
    <definedName name="_397__FDSAUDITLINK__" hidden="1">{"fdsup://directions/FAT Viewer?action=UPDATE&amp;creator=factset&amp;DYN_ARGS=TRUE&amp;DOC_NAME=FAT:FQL_AUDITING_CLIENT_TEMPLATE.FAT&amp;display_string=Audit&amp;VAR:KEY=ODMPABOVYP&amp;VAR:QUERY=RkZfRU5UUlBSX1ZBTF9EQUlMWSgwNy8yNi8yMDExLCwsLCwnRElMJykvRUNBX01FQU5fU0FMRVMoMjAxMiwwN","y8yNi8yMDExKQ==&amp;WINDOW=FIRST_POPUP&amp;HEIGHT=450&amp;WIDTH=450&amp;START_MAXIMIZED=FALSE&amp;VAR:CALENDAR=FIVEDAY&amp;VAR:SYMBOL=BEAV&amp;VAR:INDEX=0"}</definedName>
    <definedName name="_398__FDSAUDITLINK__" hidden="1">{"fdsup://directions/FAT Viewer?action=UPDATE&amp;creator=factset&amp;DYN_ARGS=TRUE&amp;DOC_NAME=FAT:FQL_AUDITING_CLIENT_TEMPLATE.FAT&amp;display_string=Audit&amp;VAR:KEY=YPQNMTWJMT&amp;VAR:QUERY=RkZfRU5UUlBSX1ZBTF9EQUlMWSgwNy8yNi8yMDExLCwsLCwnRElMJykvRUNBX01FQU5fU0FMRVMoMjAxMSwwN","y8yNi8yMDExKQ==&amp;WINDOW=FIRST_POPUP&amp;HEIGHT=450&amp;WIDTH=450&amp;START_MAXIMIZED=FALSE&amp;VAR:CALENDAR=FIVEDAY&amp;VAR:SYMBOL=BEAV&amp;VAR:INDEX=0"}</definedName>
    <definedName name="_399__FDSAUDITLINK__" hidden="1">{"fdsup://directions/FAT Viewer?action=UPDATE&amp;creator=factset&amp;DYN_ARGS=TRUE&amp;DOC_NAME=FAT:FQL_AUDITING_CLIENT_TEMPLATE.FAT&amp;display_string=Audit&amp;VAR:KEY=KZAFGVGFMR&amp;VAR:QUERY=RkZfRU5UUlBSX1ZBTF9EQUlMWSgwNy8yNi8yMDExLCwsLCwnRElMJykvRUNBX01FQU5fU0FMRVMoMjAxMCwwN","y8yNi8yMDExKQ==&amp;WINDOW=FIRST_POPUP&amp;HEIGHT=450&amp;WIDTH=450&amp;START_MAXIMIZED=FALSE&amp;VAR:CALENDAR=FIVEDAY&amp;VAR:SYMBOL=BEAV&amp;VAR:INDEX=0"}</definedName>
    <definedName name="_4__123Graph_Bｸﾞﾗﾌ_1" hidden="1">[2]ｾｸﾞﾒﾝﾄ!$E$165:$I$165</definedName>
    <definedName name="_4__FDSAUDITLINK__" hidden="1">{"fdsup://directions/FAT Viewer?action=UPDATE&amp;creator=factset&amp;DYN_ARGS=TRUE&amp;DOC_NAME=FAT:FQL_AUDITING_CLIENT_TEMPLATE.FAT&amp;display_string=Audit&amp;VAR:KEY=ETQPCRMJYZ&amp;VAR:QUERY=RkZfRU5UUlBSX1ZBTF9EQUlMWSgwNy8yNi8yMDExLCwsLCwnRElMJykvRUNBX01FQU5fRUJJVCgyMDEyLDA3L","zI2LzIwMTEp&amp;WINDOW=FIRST_POPUP&amp;HEIGHT=450&amp;WIDTH=450&amp;START_MAXIMIZED=FALSE&amp;VAR:CALENDAR=FIVEDAY&amp;VAR:SYMBOL=057580&amp;VAR:INDEX=0"}</definedName>
    <definedName name="_40__FDSAUDITLINK__" hidden="1">{"fdsup://directions/FAT Viewer?action=UPDATE&amp;creator=factset&amp;DYN_ARGS=TRUE&amp;DOC_NAME=FAT:FQL_AUDITING_CLIENT_TEMPLATE.FAT&amp;display_string=Audit&amp;VAR:KEY=IDQBCZGDEP&amp;VAR:QUERY=RkZfRU5UUlBSX1ZBTF9EQUlMWSgwNy8yNi8yMDExLCwsLCwnRElMJykvRUNBX01FQU5fRUJJVCgyMDEyLDA3L","zI2LzIwMTEp&amp;WINDOW=FIRST_POPUP&amp;HEIGHT=450&amp;WIDTH=450&amp;START_MAXIMIZED=FALSE&amp;VAR:CALENDAR=FIVEDAY&amp;VAR:SYMBOL=BEAV&amp;VAR:INDEX=0"}</definedName>
    <definedName name="_400__FDSAUDITLINK__" hidden="1">{"fdsup://directions/FAT Viewer?action=UPDATE&amp;creator=factset&amp;DYN_ARGS=TRUE&amp;DOC_NAME=FAT:FQL_AUDITING_CLIENT_TEMPLATE.FAT&amp;display_string=Audit&amp;VAR:KEY=IDQBCZGDEP&amp;VAR:QUERY=RkZfRU5UUlBSX1ZBTF9EQUlMWSgwNy8yNi8yMDExLCwsLCwnRElMJykvRUNBX01FQU5fRUJJVCgyMDEyLDA3L","zI2LzIwMTEp&amp;WINDOW=FIRST_POPUP&amp;HEIGHT=450&amp;WIDTH=450&amp;START_MAXIMIZED=FALSE&amp;VAR:CALENDAR=FIVEDAY&amp;VAR:SYMBOL=BEAV&amp;VAR:INDEX=0"}</definedName>
    <definedName name="_401__FDSAUDITLINK__" hidden="1">{"fdsup://directions/FAT Viewer?action=UPDATE&amp;creator=factset&amp;DYN_ARGS=TRUE&amp;DOC_NAME=FAT:FQL_AUDITING_CLIENT_TEMPLATE.FAT&amp;display_string=Audit&amp;VAR:KEY=WVKNCTYPSN&amp;VAR:QUERY=RkZfRU5UUlBSX1ZBTF9EQUlMWSgwNy8yNi8yMDExLCwsLCwnRElMJykvRUNBX01FQU5fRUJJVCgyMDExLDA3L","zI2LzIwMTEp&amp;WINDOW=FIRST_POPUP&amp;HEIGHT=450&amp;WIDTH=450&amp;START_MAXIMIZED=FALSE&amp;VAR:CALENDAR=FIVEDAY&amp;VAR:SYMBOL=BEAV&amp;VAR:INDEX=0"}</definedName>
    <definedName name="_402__FDSAUDITLINK__" hidden="1">{"fdsup://directions/FAT Viewer?action=UPDATE&amp;creator=factset&amp;DYN_ARGS=TRUE&amp;DOC_NAME=FAT:FQL_AUDITING_CLIENT_TEMPLATE.FAT&amp;display_string=Audit&amp;VAR:KEY=MBODGNALGH&amp;VAR:QUERY=RkZfRU5UUlBSX1ZBTF9EQUlMWSgwNy8yNi8yMDExLCwsLCwnRElMJykvRUNBX01FQU5fRUJJVCgyMDEwLDA3L","zI2LzIwMTEp&amp;WINDOW=FIRST_POPUP&amp;HEIGHT=450&amp;WIDTH=450&amp;START_MAXIMIZED=FALSE&amp;VAR:CALENDAR=FIVEDAY&amp;VAR:SYMBOL=BEAV&amp;VAR:INDEX=0"}</definedName>
    <definedName name="_403__FDSAUDITLINK__" hidden="1">{"fdsup://directions/FAT Viewer?action=UPDATE&amp;creator=factset&amp;DYN_ARGS=TRUE&amp;DOC_NAME=FAT:FQL_AUDITING_CLIENT_TEMPLATE.FAT&amp;display_string=Audit&amp;VAR:KEY=WJSVULKJYJ&amp;VAR:QUERY=RkZfRU5UUlBSX1ZBTF9EQUlMWSgwNy8yNi8yMDExLCwsLCwnRElMJykvRUNBX01FQU5fRUJJVERBKDIwMTIsM","DcvMjYvMjAxMSk=&amp;WINDOW=FIRST_POPUP&amp;HEIGHT=450&amp;WIDTH=450&amp;START_MAXIMIZED=FALSE&amp;VAR:CALENDAR=FIVEDAY&amp;VAR:SYMBOL=BEAV&amp;VAR:INDEX=0"}</definedName>
    <definedName name="_404__FDSAUDITLINK__" hidden="1">{"fdsup://directions/FAT Viewer?action=UPDATE&amp;creator=factset&amp;DYN_ARGS=TRUE&amp;DOC_NAME=FAT:FQL_AUDITING_CLIENT_TEMPLATE.FAT&amp;display_string=Audit&amp;VAR:KEY=QBMLEFKZQR&amp;VAR:QUERY=RkZfRU5UUlBSX1ZBTF9EQUlMWSgwNy8yNi8yMDExLCwsLCwnRElMJykvRUNBX01FQU5fRUJJVERBKDIwMTEsM","DcvMjYvMjAxMSk=&amp;WINDOW=FIRST_POPUP&amp;HEIGHT=450&amp;WIDTH=450&amp;START_MAXIMIZED=FALSE&amp;VAR:CALENDAR=FIVEDAY&amp;VAR:SYMBOL=BEAV&amp;VAR:INDEX=0"}</definedName>
    <definedName name="_405__FDSAUDITLINK__" hidden="1">{"fdsup://directions/FAT Viewer?action=UPDATE&amp;creator=factset&amp;DYN_ARGS=TRUE&amp;DOC_NAME=FAT:FQL_AUDITING_CLIENT_TEMPLATE.FAT&amp;display_string=Audit&amp;VAR:KEY=WPGPUVULWR&amp;VAR:QUERY=RkZfRU5UUlBSX1ZBTF9EQUlMWSgwNy8yNi8yMDExLCwsLCwnRElMJykvRUNBX01FQU5fRUJJVERBKDIwMTAsM","DcvMjYvMjAxMSk=&amp;WINDOW=FIRST_POPUP&amp;HEIGHT=450&amp;WIDTH=450&amp;START_MAXIMIZED=FALSE&amp;VAR:CALENDAR=FIVEDAY&amp;VAR:SYMBOL=BEAV&amp;VAR:INDEX=0"}</definedName>
    <definedName name="_406__FDSAUDITLINK__" hidden="1">{"fdsup://directions/FAT Viewer?action=UPDATE&amp;creator=factset&amp;DYN_ARGS=TRUE&amp;DOC_NAME=FAT:FQL_AUDITING_CLIENT_TEMPLATE.FAT&amp;display_string=Audit&amp;VAR:KEY=XWPAHSFOFS&amp;VAR:QUERY=RkZfRU5UUlBSX1ZBTF9EQUlMWSgxMC8yNS8yMDExLCwsLCwnRElMJykgLyBFQ0FfTUVBTl9TQUxFUygyMDEyL","DEwLzI1LzIwMTEp&amp;WINDOW=FIRST_POPUP&amp;HEIGHT=450&amp;WIDTH=450&amp;START_MAXIMIZED=FALSE&amp;VAR:CALENDAR=FIVEDAY&amp;VAR:SYMBOL=057580&amp;VAR:INDEX=0"}</definedName>
    <definedName name="_407__FDSAUDITLINK__" hidden="1">{"fdsup://directions/FAT Viewer?action=UPDATE&amp;creator=factset&amp;DYN_ARGS=TRUE&amp;DOC_NAME=FAT:FQL_AUDITING_CLIENT_TEMPLATE.FAT&amp;display_string=Audit&amp;VAR:KEY=DCTMTCLORI&amp;VAR:QUERY=RkZfRU5UUlBSX1ZBTF9EQUlMWSgxMC8yNS8yMDExLCwsLCwnRElMJykgLyBFQ0FfTUVBTl9TQUxFUygyMDExL","DEwLzI1LzIwMTEp&amp;WINDOW=FIRST_POPUP&amp;HEIGHT=450&amp;WIDTH=450&amp;START_MAXIMIZED=FALSE&amp;VAR:CALENDAR=FIVEDAY&amp;VAR:SYMBOL=057580&amp;VAR:INDEX=0"}</definedName>
    <definedName name="_408__FDSAUDITLINK__" hidden="1">{"fdsup://directions/FAT Viewer?action=UPDATE&amp;creator=factset&amp;DYN_ARGS=TRUE&amp;DOC_NAME=FAT:FQL_AUDITING_CLIENT_TEMPLATE.FAT&amp;display_string=Audit&amp;VAR:KEY=NCJSTAZWDO&amp;VAR:QUERY=RkZfRU5UUlBSX1ZBTF9EQUlMWSgxMC8yNS8yMDExLCwsLCwnRElMJykgLyBFQ0FfTUVBTl9TQUxFUygyMDEwL","DEwLzI1LzIwMTEp&amp;WINDOW=FIRST_POPUP&amp;HEIGHT=450&amp;WIDTH=450&amp;START_MAXIMIZED=FALSE&amp;VAR:CALENDAR=FIVEDAY&amp;VAR:SYMBOL=057580&amp;VAR:INDEX=0"}</definedName>
    <definedName name="_409__FDSAUDITLINK__" hidden="1">{"fdsup://directions/FAT Viewer?action=UPDATE&amp;creator=factset&amp;DYN_ARGS=TRUE&amp;DOC_NAME=FAT:FQL_AUDITING_CLIENT_TEMPLATE.FAT&amp;display_string=Audit&amp;VAR:KEY=RILILSHEZI&amp;VAR:QUERY=RkZfRU5UUlBSX1ZBTF9EQUlMWSgxMC8yNS8yMDExLCwsLCwnRElMJykgLyBFQ0FfTUVBTl9FQklUKDIwMTIsM","TAvMjUvMjAxMSk=&amp;WINDOW=FIRST_POPUP&amp;HEIGHT=450&amp;WIDTH=450&amp;START_MAXIMIZED=FALSE&amp;VAR:CALENDAR=FIVEDAY&amp;VAR:SYMBOL=057580&amp;VAR:INDEX=0"}</definedName>
    <definedName name="_41__FDSAUDITLINK__" hidden="1">{"fdsup://directions/FAT Viewer?action=UPDATE&amp;creator=factset&amp;DYN_ARGS=TRUE&amp;DOC_NAME=FAT:FQL_AUDITING_CLIENT_TEMPLATE.FAT&amp;display_string=Audit&amp;VAR:KEY=WVKNCTYPSN&amp;VAR:QUERY=RkZfRU5UUlBSX1ZBTF9EQUlMWSgwNy8yNi8yMDExLCwsLCwnRElMJykvRUNBX01FQU5fRUJJVCgyMDExLDA3L","zI2LzIwMTEp&amp;WINDOW=FIRST_POPUP&amp;HEIGHT=450&amp;WIDTH=450&amp;START_MAXIMIZED=FALSE&amp;VAR:CALENDAR=FIVEDAY&amp;VAR:SYMBOL=BEAV&amp;VAR:INDEX=0"}</definedName>
    <definedName name="_410__FDSAUDITLINK__" hidden="1">{"fdsup://directions/FAT Viewer?action=UPDATE&amp;creator=factset&amp;DYN_ARGS=TRUE&amp;DOC_NAME=FAT:FQL_AUDITING_CLIENT_TEMPLATE.FAT&amp;display_string=Audit&amp;VAR:KEY=TWJSPYPULW&amp;VAR:QUERY=RkZfRU5UUlBSX1ZBTF9EQUlMWSgxMC8yNS8yMDExLCwsLCwnRElMJykgLyBFQ0FfTUVBTl9FQklUKDIwMTEsM","TAvMjUvMjAxMSk=&amp;WINDOW=FIRST_POPUP&amp;HEIGHT=450&amp;WIDTH=450&amp;START_MAXIMIZED=FALSE&amp;VAR:CALENDAR=FIVEDAY&amp;VAR:SYMBOL=057580&amp;VAR:INDEX=0"}</definedName>
    <definedName name="_411__FDSAUDITLINK__" hidden="1">{"fdsup://directions/FAT Viewer?action=UPDATE&amp;creator=factset&amp;DYN_ARGS=TRUE&amp;DOC_NAME=FAT:FQL_AUDITING_CLIENT_TEMPLATE.FAT&amp;display_string=Audit&amp;VAR:KEY=LIFQNQNAZK&amp;VAR:QUERY=RkZfRU5UUlBSX1ZBTF9EQUlMWSgxMC8yNS8yMDExLCwsLCwnRElMJykgLyBFQ0FfTUVBTl9FQklUKDIwMTAsM","TAvMjUvMjAxMSk=&amp;WINDOW=FIRST_POPUP&amp;HEIGHT=450&amp;WIDTH=450&amp;START_MAXIMIZED=FALSE&amp;VAR:CALENDAR=FIVEDAY&amp;VAR:SYMBOL=057580&amp;VAR:INDEX=0"}</definedName>
    <definedName name="_412__FDSAUDITLINK__" hidden="1">{"fdsup://directions/FAT Viewer?action=UPDATE&amp;creator=factset&amp;DYN_ARGS=TRUE&amp;DOC_NAME=FAT:FQL_AUDITING_CLIENT_TEMPLATE.FAT&amp;display_string=Audit&amp;VAR:KEY=NMXUHCLQRE&amp;VAR:QUERY=RkZfRU5UUlBSX1ZBTF9EQUlMWSgxMC8yNS8yMDExLCwsLCwnRElMJykgLyBFQ0FfTUVBTl9FQklUREEoMjAxM","iwxMC8yNS8yMDExKQ==&amp;WINDOW=FIRST_POPUP&amp;HEIGHT=450&amp;WIDTH=450&amp;START_MAXIMIZED=FALSE&amp;VAR:CALENDAR=FIVEDAY&amp;VAR:SYMBOL=057580&amp;VAR:INDEX=0"}</definedName>
    <definedName name="_413__FDSAUDITLINK__" hidden="1">{"fdsup://directions/FAT Viewer?action=UPDATE&amp;creator=factset&amp;DYN_ARGS=TRUE&amp;DOC_NAME=FAT:FQL_AUDITING_CLIENT_TEMPLATE.FAT&amp;display_string=Audit&amp;VAR:KEY=DILEXMDIBO&amp;VAR:QUERY=RkZfRU5UUlBSX1ZBTF9EQUlMWSgxMC8yNS8yMDExLCwsLCwnRElMJykgLyBFQ0FfTUVBTl9FQklUREEoMjAxM","SwxMC8yNS8yMDExKQ==&amp;WINDOW=FIRST_POPUP&amp;HEIGHT=450&amp;WIDTH=450&amp;START_MAXIMIZED=FALSE&amp;VAR:CALENDAR=FIVEDAY&amp;VAR:SYMBOL=057580&amp;VAR:INDEX=0"}</definedName>
    <definedName name="_414__FDSAUDITLINK__" hidden="1">{"fdsup://directions/FAT Viewer?action=UPDATE&amp;creator=factset&amp;DYN_ARGS=TRUE&amp;DOC_NAME=FAT:FQL_AUDITING_CLIENT_TEMPLATE.FAT&amp;display_string=Audit&amp;VAR:KEY=JUZCTUHWVW&amp;VAR:QUERY=RkZfRU5UUlBSX1ZBTF9EQUlMWSgxMC8yNS8yMDExLCwsLCwnRElMJykgLyBFQ0FfTUVBTl9FQklUREEoMjAxM","CwxMC8yNS8yMDExKQ==&amp;WINDOW=FIRST_POPUP&amp;HEIGHT=450&amp;WIDTH=450&amp;START_MAXIMIZED=FALSE&amp;VAR:CALENDAR=FIVEDAY&amp;VAR:SYMBOL=057580&amp;VAR:INDEX=0"}</definedName>
    <definedName name="_415__FDSAUDITLINK__" hidden="1">{"fdsup://directions/FAT Viewer?action=UPDATE&amp;creator=factset&amp;DYN_ARGS=TRUE&amp;DOC_NAME=FAT:FQL_AUDITING_CLIENT_TEMPLATE.FAT&amp;display_string=Audit&amp;VAR:KEY=TIPWNMRYNK&amp;VAR:QUERY=RkZfRU5UUlBSX1ZBTF9EQUlMWSgxMC8yNS8yMDExLCwsLCwnRElMJykgLyBFQ0FfTUVBTl9TQUxFUygyMDEyL","DEwLzI1LzIwMTEp&amp;WINDOW=FIRST_POPUP&amp;HEIGHT=450&amp;WIDTH=450&amp;START_MAXIMIZED=FALSE&amp;VAR:CALENDAR=FIVEDAY&amp;VAR:SYMBOL=PCP&amp;VAR:INDEX=0"}</definedName>
    <definedName name="_416__FDSAUDITLINK__" hidden="1">{"fdsup://directions/FAT Viewer?action=UPDATE&amp;creator=factset&amp;DYN_ARGS=TRUE&amp;DOC_NAME=FAT:FQL_AUDITING_CLIENT_TEMPLATE.FAT&amp;display_string=Audit&amp;VAR:KEY=ZOVQDMNGXI&amp;VAR:QUERY=RkZfRU5UUlBSX1ZBTF9EQUlMWSgxMC8yNS8yMDExLCwsLCwnRElMJykgLyBFQ0FfTUVBTl9TQUxFUygyMDExL","DEwLzI1LzIwMTEp&amp;WINDOW=FIRST_POPUP&amp;HEIGHT=450&amp;WIDTH=450&amp;START_MAXIMIZED=FALSE&amp;VAR:CALENDAR=FIVEDAY&amp;VAR:SYMBOL=PCP&amp;VAR:INDEX=0"}</definedName>
    <definedName name="_417__FDSAUDITLINK__" hidden="1">{"fdsup://directions/FAT Viewer?action=UPDATE&amp;creator=factset&amp;DYN_ARGS=TRUE&amp;DOC_NAME=FAT:FQL_AUDITING_CLIENT_TEMPLATE.FAT&amp;display_string=Audit&amp;VAR:KEY=PCLCLGVATC&amp;VAR:QUERY=RkZfRU5UUlBSX1ZBTF9EQUlMWSgxMC8yNS8yMDExLCwsLCwnRElMJykgLyBFQ0FfTUVBTl9TQUxFUygyMDEwL","DEwLzI1LzIwMTEp&amp;WINDOW=FIRST_POPUP&amp;HEIGHT=450&amp;WIDTH=450&amp;START_MAXIMIZED=FALSE&amp;VAR:CALENDAR=FIVEDAY&amp;VAR:SYMBOL=PCP&amp;VAR:INDEX=0"}</definedName>
    <definedName name="_418__FDSAUDITLINK__" hidden="1">{"fdsup://directions/FAT Viewer?action=UPDATE&amp;creator=factset&amp;DYN_ARGS=TRUE&amp;DOC_NAME=FAT:FQL_AUDITING_CLIENT_TEMPLATE.FAT&amp;display_string=Audit&amp;VAR:KEY=PILYDARSXK&amp;VAR:QUERY=RkZfRU5UUlBSX1ZBTF9EQUlMWSgxMC8yNS8yMDExLCwsLCwnRElMJykgLyBFQ0FfTUVBTl9FQklUKDIwMTIsM","TAvMjUvMjAxMSk=&amp;WINDOW=FIRST_POPUP&amp;HEIGHT=450&amp;WIDTH=450&amp;START_MAXIMIZED=FALSE&amp;VAR:CALENDAR=FIVEDAY&amp;VAR:SYMBOL=PCP&amp;VAR:INDEX=0"}</definedName>
    <definedName name="_419__FDSAUDITLINK__" hidden="1">{"fdsup://directions/FAT Viewer?action=UPDATE&amp;creator=factset&amp;DYN_ARGS=TRUE&amp;DOC_NAME=FAT:FQL_AUDITING_CLIENT_TEMPLATE.FAT&amp;display_string=Audit&amp;VAR:KEY=HWXSTIDYDS&amp;VAR:QUERY=RkZfRU5UUlBSX1ZBTF9EQUlMWSgxMC8yNS8yMDExLCwsLCwnRElMJykgLyBFQ0FfTUVBTl9FQklUKDIwMTEsM","TAvMjUvMjAxMSk=&amp;WINDOW=FIRST_POPUP&amp;HEIGHT=450&amp;WIDTH=450&amp;START_MAXIMIZED=FALSE&amp;VAR:CALENDAR=FIVEDAY&amp;VAR:SYMBOL=PCP&amp;VAR:INDEX=0"}</definedName>
    <definedName name="_42__FDSAUDITLINK__" hidden="1">{"fdsup://directions/FAT Viewer?action=UPDATE&amp;creator=factset&amp;DYN_ARGS=TRUE&amp;DOC_NAME=FAT:FQL_AUDITING_CLIENT_TEMPLATE.FAT&amp;display_string=Audit&amp;VAR:KEY=MBODGNALGH&amp;VAR:QUERY=RkZfRU5UUlBSX1ZBTF9EQUlMWSgwNy8yNi8yMDExLCwsLCwnRElMJykvRUNBX01FQU5fRUJJVCgyMDEwLDA3L","zI2LzIwMTEp&amp;WINDOW=FIRST_POPUP&amp;HEIGHT=450&amp;WIDTH=450&amp;START_MAXIMIZED=FALSE&amp;VAR:CALENDAR=FIVEDAY&amp;VAR:SYMBOL=BEAV&amp;VAR:INDEX=0"}</definedName>
    <definedName name="_420__FDSAUDITLINK__" hidden="1">{"fdsup://directions/FAT Viewer?action=UPDATE&amp;creator=factset&amp;DYN_ARGS=TRUE&amp;DOC_NAME=FAT:FQL_AUDITING_CLIENT_TEMPLATE.FAT&amp;display_string=Audit&amp;VAR:KEY=TUNWJWRGVE&amp;VAR:QUERY=RkZfRU5UUlBSX1ZBTF9EQUlMWSgxMC8yNS8yMDExLCwsLCwnRElMJykgLyBFQ0FfTUVBTl9FQklUKDIwMTAsM","TAvMjUvMjAxMSk=&amp;WINDOW=FIRST_POPUP&amp;HEIGHT=450&amp;WIDTH=450&amp;START_MAXIMIZED=FALSE&amp;VAR:CALENDAR=FIVEDAY&amp;VAR:SYMBOL=PCP&amp;VAR:INDEX=0"}</definedName>
    <definedName name="_421__FDSAUDITLINK__" hidden="1">{"fdsup://directions/FAT Viewer?action=UPDATE&amp;creator=factset&amp;DYN_ARGS=TRUE&amp;DOC_NAME=FAT:FQL_AUDITING_CLIENT_TEMPLATE.FAT&amp;display_string=Audit&amp;VAR:KEY=LQPURGDKVE&amp;VAR:QUERY=RkZfRU5UUlBSX1ZBTF9EQUlMWSgxMC8yNS8yMDExLCwsLCwnRElMJykgLyBFQ0FfTUVBTl9FQklUREEoMjAxM","iwxMC8yNS8yMDExKQ==&amp;WINDOW=FIRST_POPUP&amp;HEIGHT=450&amp;WIDTH=450&amp;START_MAXIMIZED=FALSE&amp;VAR:CALENDAR=FIVEDAY&amp;VAR:SYMBOL=PCP&amp;VAR:INDEX=0"}</definedName>
    <definedName name="_422__FDSAUDITLINK__" hidden="1">{"fdsup://directions/FAT Viewer?action=UPDATE&amp;creator=factset&amp;DYN_ARGS=TRUE&amp;DOC_NAME=FAT:FQL_AUDITING_CLIENT_TEMPLATE.FAT&amp;display_string=Audit&amp;VAR:KEY=TEFEFKXOTU&amp;VAR:QUERY=RkZfRU5UUlBSX1ZBTF9EQUlMWSgxMC8yNS8yMDExLCwsLCwnRElMJykgLyBFQ0FfTUVBTl9FQklUREEoMjAxM","SwxMC8yNS8yMDExKQ==&amp;WINDOW=FIRST_POPUP&amp;HEIGHT=450&amp;WIDTH=450&amp;START_MAXIMIZED=FALSE&amp;VAR:CALENDAR=FIVEDAY&amp;VAR:SYMBOL=PCP&amp;VAR:INDEX=0"}</definedName>
    <definedName name="_423__FDSAUDITLINK__" hidden="1">{"fdsup://directions/FAT Viewer?action=UPDATE&amp;creator=factset&amp;DYN_ARGS=TRUE&amp;DOC_NAME=FAT:FQL_AUDITING_CLIENT_TEMPLATE.FAT&amp;display_string=Audit&amp;VAR:KEY=VITUVGFYXO&amp;VAR:QUERY=RkZfRU5UUlBSX1ZBTF9EQUlMWSgxMC8yNS8yMDExLCwsLCwnRElMJykgLyBFQ0FfTUVBTl9FQklUREEoMjAxM","CwxMC8yNS8yMDExKQ==&amp;WINDOW=FIRST_POPUP&amp;HEIGHT=450&amp;WIDTH=450&amp;START_MAXIMIZED=FALSE&amp;VAR:CALENDAR=FIVEDAY&amp;VAR:SYMBOL=PCP&amp;VAR:INDEX=0"}</definedName>
    <definedName name="_424__FDSAUDITLINK__" hidden="1">{"fdsup://directions/FAT Viewer?action=UPDATE&amp;creator=factset&amp;DYN_ARGS=TRUE&amp;DOC_NAME=FAT:FQL_AUDITING_CLIENT_TEMPLATE.FAT&amp;display_string=Audit&amp;VAR:KEY=RILETEDUFK&amp;VAR:QUERY=RkZfRU5UUlBSX1ZBTF9EQUlMWSgxMC8yNS8yMDExLCwsLCwnRElMJykgLyBFQ0FfTUVBTl9TQUxFUygyMDEyL","DEwLzI1LzIwMTEp&amp;WINDOW=FIRST_POPUP&amp;HEIGHT=450&amp;WIDTH=450&amp;START_MAXIMIZED=FALSE&amp;VAR:CALENDAR=FIVEDAY&amp;VAR:SYMBOL=MOG.A&amp;VAR:INDEX=0"}</definedName>
    <definedName name="_425__FDSAUDITLINK__" hidden="1">{"fdsup://directions/FAT Viewer?action=UPDATE&amp;creator=factset&amp;DYN_ARGS=TRUE&amp;DOC_NAME=FAT:FQL_AUDITING_CLIENT_TEMPLATE.FAT&amp;display_string=Audit&amp;VAR:KEY=TQNIXSJEDK&amp;VAR:QUERY=RkZfRU5UUlBSX1ZBTF9EQUlMWSgxMC8yNS8yMDExLCwsLCwnRElMJykgLyBFQ0FfTUVBTl9TQUxFUygyMDExL","DEwLzI1LzIwMTEp&amp;WINDOW=FIRST_POPUP&amp;HEIGHT=450&amp;WIDTH=450&amp;START_MAXIMIZED=FALSE&amp;VAR:CALENDAR=FIVEDAY&amp;VAR:SYMBOL=MOG.A&amp;VAR:INDEX=0"}</definedName>
    <definedName name="_426__FDSAUDITLINK__" hidden="1">{"fdsup://directions/FAT Viewer?action=UPDATE&amp;creator=factset&amp;DYN_ARGS=TRUE&amp;DOC_NAME=FAT:FQL_AUDITING_CLIENT_TEMPLATE.FAT&amp;display_string=Audit&amp;VAR:KEY=HGFYHERKTG&amp;VAR:QUERY=RkZfRU5UUlBSX1ZBTF9EQUlMWSgxMC8yNS8yMDExLCwsLCwnRElMJykgLyBFQ0FfTUVBTl9TQUxFUygyMDEwL","DEwLzI1LzIwMTEp&amp;WINDOW=FIRST_POPUP&amp;HEIGHT=450&amp;WIDTH=450&amp;START_MAXIMIZED=FALSE&amp;VAR:CALENDAR=FIVEDAY&amp;VAR:SYMBOL=MOG.A&amp;VAR:INDEX=0"}</definedName>
    <definedName name="_427__FDSAUDITLINK__" hidden="1">{"fdsup://directions/FAT Viewer?action=UPDATE&amp;creator=factset&amp;DYN_ARGS=TRUE&amp;DOC_NAME=FAT:FQL_AUDITING_CLIENT_TEMPLATE.FAT&amp;display_string=Audit&amp;VAR:KEY=XWJENQVONU&amp;VAR:QUERY=RkZfRU5UUlBSX1ZBTF9EQUlMWSgxMC8yNS8yMDExLCwsLCwnRElMJykgLyBFQ0FfTUVBTl9FQklUKDIwMTIsM","TAvMjUvMjAxMSk=&amp;WINDOW=FIRST_POPUP&amp;HEIGHT=450&amp;WIDTH=450&amp;START_MAXIMIZED=FALSE&amp;VAR:CALENDAR=FIVEDAY&amp;VAR:SYMBOL=MOG.A&amp;VAR:INDEX=0"}</definedName>
    <definedName name="_428__FDSAUDITLINK__" hidden="1">{"fdsup://directions/FAT Viewer?action=UPDATE&amp;creator=factset&amp;DYN_ARGS=TRUE&amp;DOC_NAME=FAT:FQL_AUDITING_CLIENT_TEMPLATE.FAT&amp;display_string=Audit&amp;VAR:KEY=DMLIBAHOFC&amp;VAR:QUERY=RkZfRU5UUlBSX1ZBTF9EQUlMWSgxMC8yNS8yMDExLCwsLCwnRElMJykgLyBFQ0FfTUVBTl9FQklUKDIwMTEsM","TAvMjUvMjAxMSk=&amp;WINDOW=FIRST_POPUP&amp;HEIGHT=450&amp;WIDTH=450&amp;START_MAXIMIZED=FALSE&amp;VAR:CALENDAR=FIVEDAY&amp;VAR:SYMBOL=MOG.A&amp;VAR:INDEX=0"}</definedName>
    <definedName name="_429__FDSAUDITLINK__" hidden="1">{"fdsup://directions/FAT Viewer?action=UPDATE&amp;creator=factset&amp;DYN_ARGS=TRUE&amp;DOC_NAME=FAT:FQL_AUDITING_CLIENT_TEMPLATE.FAT&amp;display_string=Audit&amp;VAR:KEY=BWRARETWPQ&amp;VAR:QUERY=RkZfRU5UUlBSX1ZBTF9EQUlMWSgxMC8yNS8yMDExLCwsLCwnRElMJykgLyBFQ0FfTUVBTl9FQklUKDIwMTAsM","TAvMjUvMjAxMSk=&amp;WINDOW=FIRST_POPUP&amp;HEIGHT=450&amp;WIDTH=450&amp;START_MAXIMIZED=FALSE&amp;VAR:CALENDAR=FIVEDAY&amp;VAR:SYMBOL=MOG.A&amp;VAR:INDEX=0"}</definedName>
    <definedName name="_43__FDSAUDITLINK__" hidden="1">{"fdsup://directions/FAT Viewer?action=UPDATE&amp;creator=factset&amp;DYN_ARGS=TRUE&amp;DOC_NAME=FAT:FQL_AUDITING_CLIENT_TEMPLATE.FAT&amp;display_string=Audit&amp;VAR:KEY=WJSVULKJYJ&amp;VAR:QUERY=RkZfRU5UUlBSX1ZBTF9EQUlMWSgwNy8yNi8yMDExLCwsLCwnRElMJykvRUNBX01FQU5fRUJJVERBKDIwMTIsM","DcvMjYvMjAxMSk=&amp;WINDOW=FIRST_POPUP&amp;HEIGHT=450&amp;WIDTH=450&amp;START_MAXIMIZED=FALSE&amp;VAR:CALENDAR=FIVEDAY&amp;VAR:SYMBOL=BEAV&amp;VAR:INDEX=0"}</definedName>
    <definedName name="_430__FDSAUDITLINK__" hidden="1">{"fdsup://directions/FAT Viewer?action=UPDATE&amp;creator=factset&amp;DYN_ARGS=TRUE&amp;DOC_NAME=FAT:FQL_AUDITING_CLIENT_TEMPLATE.FAT&amp;display_string=Audit&amp;VAR:KEY=XWBQVKVMBO&amp;VAR:QUERY=RkZfRU5UUlBSX1ZBTF9EQUlMWSgxMC8yNS8yMDExLCwsLCwnRElMJykgLyBFQ0FfTUVBTl9FQklUREEoMjAxM","iwxMC8yNS8yMDExKQ==&amp;WINDOW=FIRST_POPUP&amp;HEIGHT=450&amp;WIDTH=450&amp;START_MAXIMIZED=FALSE&amp;VAR:CALENDAR=FIVEDAY&amp;VAR:SYMBOL=MOG.A&amp;VAR:INDEX=0"}</definedName>
    <definedName name="_431__FDSAUDITLINK__" hidden="1">{"fdsup://directions/FAT Viewer?action=UPDATE&amp;creator=factset&amp;DYN_ARGS=TRUE&amp;DOC_NAME=FAT:FQL_AUDITING_CLIENT_TEMPLATE.FAT&amp;display_string=Audit&amp;VAR:KEY=PMRIVCNYTS&amp;VAR:QUERY=RkZfRU5UUlBSX1ZBTF9EQUlMWSgxMC8yNS8yMDExLCwsLCwnRElMJykgLyBFQ0FfTUVBTl9FQklUREEoMjAxM","SwxMC8yNS8yMDExKQ==&amp;WINDOW=FIRST_POPUP&amp;HEIGHT=450&amp;WIDTH=450&amp;START_MAXIMIZED=FALSE&amp;VAR:CALENDAR=FIVEDAY&amp;VAR:SYMBOL=MOG.A&amp;VAR:INDEX=0"}</definedName>
    <definedName name="_432__FDSAUDITLINK__" hidden="1">{"fdsup://directions/FAT Viewer?action=UPDATE&amp;creator=factset&amp;DYN_ARGS=TRUE&amp;DOC_NAME=FAT:FQL_AUDITING_CLIENT_TEMPLATE.FAT&amp;display_string=Audit&amp;VAR:KEY=TKBGDIHATU&amp;VAR:QUERY=RkZfRU5UUlBSX1ZBTF9EQUlMWSgxMC8yNS8yMDExLCwsLCwnRElMJykgLyBFQ0FfTUVBTl9FQklUREEoMjAxM","CwxMC8yNS8yMDExKQ==&amp;WINDOW=FIRST_POPUP&amp;HEIGHT=450&amp;WIDTH=450&amp;START_MAXIMIZED=FALSE&amp;VAR:CALENDAR=FIVEDAY&amp;VAR:SYMBOL=MOG.A&amp;VAR:INDEX=0"}</definedName>
    <definedName name="_433__FDSAUDITLINK__" hidden="1">{"fdsup://directions/FAT Viewer?action=UPDATE&amp;creator=factset&amp;DYN_ARGS=TRUE&amp;DOC_NAME=FAT:FQL_AUDITING_CLIENT_TEMPLATE.FAT&amp;display_string=Audit&amp;VAR:KEY=FQTUHCHGJQ&amp;VAR:QUERY=RkZfRU5UUlBSX1ZBTF9EQUlMWSgxMC8yNS8yMDExLCwsLCwnRElMJykgLyBFQ0FfTUVBTl9TQUxFUygyMDEyL","DEwLzI1LzIwMTEp&amp;WINDOW=FIRST_POPUP&amp;HEIGHT=450&amp;WIDTH=450&amp;START_MAXIMIZED=FALSE&amp;VAR:CALENDAR=FIVEDAY&amp;VAR:SYMBOL=COL&amp;VAR:INDEX=0"}</definedName>
    <definedName name="_434__FDSAUDITLINK__" hidden="1">{"fdsup://directions/FAT Viewer?action=UPDATE&amp;creator=factset&amp;DYN_ARGS=TRUE&amp;DOC_NAME=FAT:FQL_AUDITING_CLIENT_TEMPLATE.FAT&amp;display_string=Audit&amp;VAR:KEY=BKVQBWBMRA&amp;VAR:QUERY=RkZfRU5UUlBSX1ZBTF9EQUlMWSgxMC8yNS8yMDExLCwsLCwnRElMJykgLyBFQ0FfTUVBTl9TQUxFUygyMDExL","DEwLzI1LzIwMTEp&amp;WINDOW=FIRST_POPUP&amp;HEIGHT=450&amp;WIDTH=450&amp;START_MAXIMIZED=FALSE&amp;VAR:CALENDAR=FIVEDAY&amp;VAR:SYMBOL=COL&amp;VAR:INDEX=0"}</definedName>
    <definedName name="_435__FDSAUDITLINK__" hidden="1">{"fdsup://directions/FAT Viewer?action=UPDATE&amp;creator=factset&amp;DYN_ARGS=TRUE&amp;DOC_NAME=FAT:FQL_AUDITING_CLIENT_TEMPLATE.FAT&amp;display_string=Audit&amp;VAR:KEY=POJYDGRWNS&amp;VAR:QUERY=RkZfRU5UUlBSX1ZBTF9EQUlMWSgxMC8yNS8yMDExLCwsLCwnRElMJykgLyBFQ0FfTUVBTl9TQUxFUygyMDEwL","DEwLzI1LzIwMTEp&amp;WINDOW=FIRST_POPUP&amp;HEIGHT=450&amp;WIDTH=450&amp;START_MAXIMIZED=FALSE&amp;VAR:CALENDAR=FIVEDAY&amp;VAR:SYMBOL=COL&amp;VAR:INDEX=0"}</definedName>
    <definedName name="_436__FDSAUDITLINK__" hidden="1">{"fdsup://directions/FAT Viewer?action=UPDATE&amp;creator=factset&amp;DYN_ARGS=TRUE&amp;DOC_NAME=FAT:FQL_AUDITING_CLIENT_TEMPLATE.FAT&amp;display_string=Audit&amp;VAR:KEY=VKLGDQVKPA&amp;VAR:QUERY=RkZfRU5UUlBSX1ZBTF9EQUlMWSgxMC8yNS8yMDExLCwsLCwnRElMJykgLyBFQ0FfTUVBTl9FQklUKDIwMTIsM","TAvMjUvMjAxMSk=&amp;WINDOW=FIRST_POPUP&amp;HEIGHT=450&amp;WIDTH=450&amp;START_MAXIMIZED=FALSE&amp;VAR:CALENDAR=FIVEDAY&amp;VAR:SYMBOL=COL&amp;VAR:INDEX=0"}</definedName>
    <definedName name="_437__FDSAUDITLINK__" hidden="1">{"fdsup://directions/FAT Viewer?action=UPDATE&amp;creator=factset&amp;DYN_ARGS=TRUE&amp;DOC_NAME=FAT:FQL_AUDITING_CLIENT_TEMPLATE.FAT&amp;display_string=Audit&amp;VAR:KEY=TAPOZSHOVO&amp;VAR:QUERY=RkZfRU5UUlBSX1ZBTF9EQUlMWSgxMC8yNS8yMDExLCwsLCwnRElMJykgLyBFQ0FfTUVBTl9FQklUKDIwMTEsM","TAvMjUvMjAxMSk=&amp;WINDOW=FIRST_POPUP&amp;HEIGHT=450&amp;WIDTH=450&amp;START_MAXIMIZED=FALSE&amp;VAR:CALENDAR=FIVEDAY&amp;VAR:SYMBOL=COL&amp;VAR:INDEX=0"}</definedName>
    <definedName name="_438__FDSAUDITLINK__" hidden="1">{"fdsup://directions/FAT Viewer?action=UPDATE&amp;creator=factset&amp;DYN_ARGS=TRUE&amp;DOC_NAME=FAT:FQL_AUDITING_CLIENT_TEMPLATE.FAT&amp;display_string=Audit&amp;VAR:KEY=NOXUZSPQLE&amp;VAR:QUERY=RkZfRU5UUlBSX1ZBTF9EQUlMWSgxMC8yNS8yMDExLCwsLCwnRElMJykgLyBFQ0FfTUVBTl9FQklUKDIwMTAsM","TAvMjUvMjAxMSk=&amp;WINDOW=FIRST_POPUP&amp;HEIGHT=450&amp;WIDTH=450&amp;START_MAXIMIZED=FALSE&amp;VAR:CALENDAR=FIVEDAY&amp;VAR:SYMBOL=COL&amp;VAR:INDEX=0"}</definedName>
    <definedName name="_439__FDSAUDITLINK__" hidden="1">{"fdsup://directions/FAT Viewer?action=UPDATE&amp;creator=factset&amp;DYN_ARGS=TRUE&amp;DOC_NAME=FAT:FQL_AUDITING_CLIENT_TEMPLATE.FAT&amp;display_string=Audit&amp;VAR:KEY=BUFALEHWJU&amp;VAR:QUERY=RkZfRU5UUlBSX1ZBTF9EQUlMWSgxMC8yNS8yMDExLCwsLCwnRElMJykgLyBFQ0FfTUVBTl9FQklUREEoMjAxM","iwxMC8yNS8yMDExKQ==&amp;WINDOW=FIRST_POPUP&amp;HEIGHT=450&amp;WIDTH=450&amp;START_MAXIMIZED=FALSE&amp;VAR:CALENDAR=FIVEDAY&amp;VAR:SYMBOL=COL&amp;VAR:INDEX=0"}</definedName>
    <definedName name="_44__FDSAUDITLINK__" hidden="1">{"fdsup://directions/FAT Viewer?action=UPDATE&amp;creator=factset&amp;DYN_ARGS=TRUE&amp;DOC_NAME=FAT:FQL_AUDITING_CLIENT_TEMPLATE.FAT&amp;display_string=Audit&amp;VAR:KEY=QBMLEFKZQR&amp;VAR:QUERY=RkZfRU5UUlBSX1ZBTF9EQUlMWSgwNy8yNi8yMDExLCwsLCwnRElMJykvRUNBX01FQU5fRUJJVERBKDIwMTEsM","DcvMjYvMjAxMSk=&amp;WINDOW=FIRST_POPUP&amp;HEIGHT=450&amp;WIDTH=450&amp;START_MAXIMIZED=FALSE&amp;VAR:CALENDAR=FIVEDAY&amp;VAR:SYMBOL=BEAV&amp;VAR:INDEX=0"}</definedName>
    <definedName name="_440__FDSAUDITLINK__" hidden="1">{"fdsup://directions/FAT Viewer?action=UPDATE&amp;creator=factset&amp;DYN_ARGS=TRUE&amp;DOC_NAME=FAT:FQL_AUDITING_CLIENT_TEMPLATE.FAT&amp;display_string=Audit&amp;VAR:KEY=DKRIHCDAVK&amp;VAR:QUERY=RkZfRU5UUlBSX1ZBTF9EQUlMWSgxMC8yNS8yMDExLCwsLCwnRElMJykgLyBFQ0FfTUVBTl9FQklUREEoMjAxM","SwxMC8yNS8yMDExKQ==&amp;WINDOW=FIRST_POPUP&amp;HEIGHT=450&amp;WIDTH=450&amp;START_MAXIMIZED=FALSE&amp;VAR:CALENDAR=FIVEDAY&amp;VAR:SYMBOL=COL&amp;VAR:INDEX=0"}</definedName>
    <definedName name="_441__FDSAUDITLINK__" hidden="1">{"fdsup://directions/FAT Viewer?action=UPDATE&amp;creator=factset&amp;DYN_ARGS=TRUE&amp;DOC_NAME=FAT:FQL_AUDITING_CLIENT_TEMPLATE.FAT&amp;display_string=Audit&amp;VAR:KEY=RSZGFEJYPW&amp;VAR:QUERY=RkZfRU5UUlBSX1ZBTF9EQUlMWSgxMC8yNS8yMDExLCwsLCwnRElMJykgLyBFQ0FfTUVBTl9FQklUREEoMjAxM","CwxMC8yNS8yMDExKQ==&amp;WINDOW=FIRST_POPUP&amp;HEIGHT=450&amp;WIDTH=450&amp;START_MAXIMIZED=FALSE&amp;VAR:CALENDAR=FIVEDAY&amp;VAR:SYMBOL=COL&amp;VAR:INDEX=0"}</definedName>
    <definedName name="_442__FDSAUDITLINK__" hidden="1">{"fdsup://directions/FAT Viewer?action=UPDATE&amp;creator=factset&amp;DYN_ARGS=TRUE&amp;DOC_NAME=FAT:FQL_AUDITING_CLIENT_TEMPLATE.FAT&amp;display_string=Audit&amp;VAR:KEY=ZSRQREZUPO&amp;VAR:QUERY=RkZfRU5UUlBSX1ZBTF9EQUlMWSgxMC8yNS8yMDExLCwsLCwnRElMJykgLyBFQ0FfTUVBTl9TQUxFUygyMDEyL","DEwLzI1LzIwMTEp&amp;WINDOW=FIRST_POPUP&amp;HEIGHT=450&amp;WIDTH=450&amp;START_MAXIMIZED=FALSE&amp;VAR:CALENDAR=FIVEDAY&amp;VAR:SYMBOL=BEAV&amp;VAR:INDEX=0"}</definedName>
    <definedName name="_443__FDSAUDITLINK__" hidden="1">{"fdsup://directions/FAT Viewer?action=UPDATE&amp;creator=factset&amp;DYN_ARGS=TRUE&amp;DOC_NAME=FAT:FQL_AUDITING_CLIENT_TEMPLATE.FAT&amp;display_string=Audit&amp;VAR:KEY=FIFAVCBOLG&amp;VAR:QUERY=RkZfRU5UUlBSX1ZBTF9EQUlMWSgxMC8yNS8yMDExLCwsLCwnRElMJykgLyBFQ0FfTUVBTl9TQUxFUygyMDExL","DEwLzI1LzIwMTEp&amp;WINDOW=FIRST_POPUP&amp;HEIGHT=450&amp;WIDTH=450&amp;START_MAXIMIZED=FALSE&amp;VAR:CALENDAR=FIVEDAY&amp;VAR:SYMBOL=BEAV&amp;VAR:INDEX=0"}</definedName>
    <definedName name="_444__FDSAUDITLINK__" hidden="1">{"fdsup://directions/FAT Viewer?action=UPDATE&amp;creator=factset&amp;DYN_ARGS=TRUE&amp;DOC_NAME=FAT:FQL_AUDITING_CLIENT_TEMPLATE.FAT&amp;display_string=Audit&amp;VAR:KEY=VUJEVUDARS&amp;VAR:QUERY=RkZfRU5UUlBSX1ZBTF9EQUlMWSgxMC8yNS8yMDExLCwsLCwnRElMJykgLyBFQ0FfTUVBTl9TQUxFUygyMDEwL","DEwLzI1LzIwMTEp&amp;WINDOW=FIRST_POPUP&amp;HEIGHT=450&amp;WIDTH=450&amp;START_MAXIMIZED=FALSE&amp;VAR:CALENDAR=FIVEDAY&amp;VAR:SYMBOL=BEAV&amp;VAR:INDEX=0"}</definedName>
    <definedName name="_445__FDSAUDITLINK__" hidden="1">{"fdsup://directions/FAT Viewer?action=UPDATE&amp;creator=factset&amp;DYN_ARGS=TRUE&amp;DOC_NAME=FAT:FQL_AUDITING_CLIENT_TEMPLATE.FAT&amp;display_string=Audit&amp;VAR:KEY=PUZEPQHABE&amp;VAR:QUERY=RkZfRU5UUlBSX1ZBTF9EQUlMWSgxMC8yNS8yMDExLCwsLCwnRElMJykgLyBFQ0FfTUVBTl9FQklUKDIwMTIsM","TAvMjUvMjAxMSk=&amp;WINDOW=FIRST_POPUP&amp;HEIGHT=450&amp;WIDTH=450&amp;START_MAXIMIZED=FALSE&amp;VAR:CALENDAR=FIVEDAY&amp;VAR:SYMBOL=BEAV&amp;VAR:INDEX=0"}</definedName>
    <definedName name="_446__FDSAUDITLINK__" hidden="1">{"fdsup://directions/FAT Viewer?action=UPDATE&amp;creator=factset&amp;DYN_ARGS=TRUE&amp;DOC_NAME=FAT:FQL_AUDITING_CLIENT_TEMPLATE.FAT&amp;display_string=Audit&amp;VAR:KEY=HODWHEZEZU&amp;VAR:QUERY=RkZfRU5UUlBSX1ZBTF9EQUlMWSgxMC8yNS8yMDExLCwsLCwnRElMJykgLyBFQ0FfTUVBTl9FQklUKDIwMTEsM","TAvMjUvMjAxMSk=&amp;WINDOW=FIRST_POPUP&amp;HEIGHT=450&amp;WIDTH=450&amp;START_MAXIMIZED=FALSE&amp;VAR:CALENDAR=FIVEDAY&amp;VAR:SYMBOL=BEAV&amp;VAR:INDEX=0"}</definedName>
    <definedName name="_447__FDSAUDITLINK__" hidden="1">{"fdsup://directions/FAT Viewer?action=UPDATE&amp;creator=factset&amp;DYN_ARGS=TRUE&amp;DOC_NAME=FAT:FQL_AUDITING_CLIENT_TEMPLATE.FAT&amp;display_string=Audit&amp;VAR:KEY=VYVSJSTOHU&amp;VAR:QUERY=RkZfRU5UUlBSX1ZBTF9EQUlMWSgxMC8yNS8yMDExLCwsLCwnRElMJykgLyBFQ0FfTUVBTl9FQklUKDIwMTAsM","TAvMjUvMjAxMSk=&amp;WINDOW=FIRST_POPUP&amp;HEIGHT=450&amp;WIDTH=450&amp;START_MAXIMIZED=FALSE&amp;VAR:CALENDAR=FIVEDAY&amp;VAR:SYMBOL=BEAV&amp;VAR:INDEX=0"}</definedName>
    <definedName name="_448__FDSAUDITLINK__" hidden="1">{"fdsup://directions/FAT Viewer?action=UPDATE&amp;creator=factset&amp;DYN_ARGS=TRUE&amp;DOC_NAME=FAT:FQL_AUDITING_CLIENT_TEMPLATE.FAT&amp;display_string=Audit&amp;VAR:KEY=RQJSXSHGFM&amp;VAR:QUERY=RkZfRU5UUlBSX1ZBTF9EQUlMWSgxMC8yNS8yMDExLCwsLCwnRElMJykgLyBFQ0FfTUVBTl9FQklUREEoMjAxM","iwxMC8yNS8yMDExKQ==&amp;WINDOW=FIRST_POPUP&amp;HEIGHT=450&amp;WIDTH=450&amp;START_MAXIMIZED=FALSE&amp;VAR:CALENDAR=FIVEDAY&amp;VAR:SYMBOL=BEAV&amp;VAR:INDEX=0"}</definedName>
    <definedName name="_449__FDSAUDITLINK__" hidden="1">{"fdsup://directions/FAT Viewer?action=UPDATE&amp;creator=factset&amp;DYN_ARGS=TRUE&amp;DOC_NAME=FAT:FQL_AUDITING_CLIENT_TEMPLATE.FAT&amp;display_string=Audit&amp;VAR:KEY=XKDAXCJIXA&amp;VAR:QUERY=RkZfRU5UUlBSX1ZBTF9EQUlMWSgxMC8yNS8yMDExLCwsLCwnRElMJykgLyBFQ0FfTUVBTl9FQklUREEoMjAxM","SwxMC8yNS8yMDExKQ==&amp;WINDOW=FIRST_POPUP&amp;HEIGHT=450&amp;WIDTH=450&amp;START_MAXIMIZED=FALSE&amp;VAR:CALENDAR=FIVEDAY&amp;VAR:SYMBOL=BEAV&amp;VAR:INDEX=0"}</definedName>
    <definedName name="_45__FDSAUDITLINK__" hidden="1">{"fdsup://directions/FAT Viewer?action=UPDATE&amp;creator=factset&amp;DYN_ARGS=TRUE&amp;DOC_NAME=FAT:FQL_AUDITING_CLIENT_TEMPLATE.FAT&amp;display_string=Audit&amp;VAR:KEY=WPGPUVULWR&amp;VAR:QUERY=RkZfRU5UUlBSX1ZBTF9EQUlMWSgwNy8yNi8yMDExLCwsLCwnRElMJykvRUNBX01FQU5fRUJJVERBKDIwMTAsM","DcvMjYvMjAxMSk=&amp;WINDOW=FIRST_POPUP&amp;HEIGHT=450&amp;WIDTH=450&amp;START_MAXIMIZED=FALSE&amp;VAR:CALENDAR=FIVEDAY&amp;VAR:SYMBOL=BEAV&amp;VAR:INDEX=0"}</definedName>
    <definedName name="_450__FDSAUDITLINK__" hidden="1">{"fdsup://directions/FAT Viewer?action=UPDATE&amp;creator=factset&amp;DYN_ARGS=TRUE&amp;DOC_NAME=FAT:FQL_AUDITING_CLIENT_TEMPLATE.FAT&amp;display_string=Audit&amp;VAR:KEY=PYFOXQDEBI&amp;VAR:QUERY=RkZfRU5UUlBSX1ZBTF9EQUlMWSgxMC8yNS8yMDExLCwsLCwnRElMJykgLyBFQ0FfTUVBTl9FQklUREEoMjAxM","CwxMC8yNS8yMDExKQ==&amp;WINDOW=FIRST_POPUP&amp;HEIGHT=450&amp;WIDTH=450&amp;START_MAXIMIZED=FALSE&amp;VAR:CALENDAR=FIVEDAY&amp;VAR:SYMBOL=BEAV&amp;VAR:INDEX=0"}</definedName>
    <definedName name="_451__FDSAUDITLINK__" hidden="1">{"fdsup://directions/FAT Viewer?action=UPDATE&amp;creator=factset&amp;DYN_ARGS=TRUE&amp;DOC_NAME=FAT:FQL_AUDITING_CLIENT_TEMPLATE.FAT&amp;display_string=Audit&amp;VAR:KEY=BITIHQHOZY&amp;VAR:QUERY=RkZfRU5UUlBSX1ZBTF9EQUlMWSgwNS8wNy8yMDEwLCwsLCwnRElMJykvRUNBX01FQU5fU0FMRVMoMjAxMSwwN","S8wNy8yMDEwKQ==&amp;WINDOW=FIRST_POPUP&amp;HEIGHT=450&amp;WIDTH=450&amp;START_MAXIMIZED=FALSE&amp;VAR:CALENDAR=FIVEDAY&amp;VAR:SYMBOL=GD&amp;VAR:INDEX=0"}</definedName>
    <definedName name="_452__FDSAUDITLINK__" hidden="1">{"fdsup://directions/FAT Viewer?action=UPDATE&amp;creator=factset&amp;DYN_ARGS=TRUE&amp;DOC_NAME=FAT:FQL_AUDITING_CLIENT_TEMPLATE.FAT&amp;display_string=Audit&amp;VAR:KEY=HKNQDOXCPM&amp;VAR:QUERY=RkZfRU5UUlBSX1ZBTF9EQUlMWSgwNS8wNy8yMDEwLCwsLCwnRElMJykvRUNBX01FQU5fU0FMRVMoMjAxMCwwN","S8wNy8yMDEwKQ==&amp;WINDOW=FIRST_POPUP&amp;HEIGHT=450&amp;WIDTH=450&amp;START_MAXIMIZED=FALSE&amp;VAR:CALENDAR=FIVEDAY&amp;VAR:SYMBOL=GD&amp;VAR:INDEX=0"}</definedName>
    <definedName name="_453__FDSAUDITLINK__" hidden="1">{"fdsup://directions/FAT Viewer?action=UPDATE&amp;creator=factset&amp;DYN_ARGS=TRUE&amp;DOC_NAME=FAT:FQL_AUDITING_CLIENT_TEMPLATE.FAT&amp;display_string=Audit&amp;VAR:KEY=DYPQHMXUZG&amp;VAR:QUERY=RkZfRU5UUlBSX1ZBTF9EQUlMWSgwNS8wNy8yMDEwLCwsLCwnRElMJykvRUNBX01FQU5fRUJJVCgyMDEyLDA1L","zA3LzIwMTAp&amp;WINDOW=FIRST_POPUP&amp;HEIGHT=450&amp;WIDTH=450&amp;START_MAXIMIZED=FALSE&amp;VAR:CALENDAR=FIVEDAY&amp;VAR:SYMBOL=GD&amp;VAR:INDEX=0"}</definedName>
    <definedName name="_454__FDSAUDITLINK__" hidden="1">{"fdsup://directions/FAT Viewer?action=UPDATE&amp;creator=factset&amp;DYN_ARGS=TRUE&amp;DOC_NAME=FAT:FQL_AUDITING_CLIENT_TEMPLATE.FAT&amp;display_string=Audit&amp;VAR:KEY=XSNCVSPGZG&amp;VAR:QUERY=RkZfRU5UUlBSX1ZBTF9EQUlMWSgwNS8wNy8yMDEwLCwsLCwnRElMJykvRUNBX01FQU5fRUJJVCgyMDExLDA1L","zA3LzIwMTAp&amp;WINDOW=FIRST_POPUP&amp;HEIGHT=450&amp;WIDTH=450&amp;START_MAXIMIZED=FALSE&amp;VAR:CALENDAR=FIVEDAY&amp;VAR:SYMBOL=GD&amp;VAR:INDEX=0"}</definedName>
    <definedName name="_455__FDSAUDITLINK__" hidden="1">{"fdsup://directions/FAT Viewer?action=UPDATE&amp;creator=factset&amp;DYN_ARGS=TRUE&amp;DOC_NAME=FAT:FQL_AUDITING_CLIENT_TEMPLATE.FAT&amp;display_string=Audit&amp;VAR:KEY=BELGZORAFS&amp;VAR:QUERY=RkZfRU5UUlBSX1ZBTF9EQUlMWSgwNS8wNy8yMDEwLCwsLCwnRElMJykvRUNBX01FQU5fRUJJVCgyMDEwLDA1L","zA3LzIwMTAp&amp;WINDOW=FIRST_POPUP&amp;HEIGHT=450&amp;WIDTH=450&amp;START_MAXIMIZED=FALSE&amp;VAR:CALENDAR=FIVEDAY&amp;VAR:SYMBOL=GD&amp;VAR:INDEX=0"}</definedName>
    <definedName name="_456__FDSAUDITLINK__" hidden="1">{"fdsup://directions/FAT Viewer?action=UPDATE&amp;creator=factset&amp;DYN_ARGS=TRUE&amp;DOC_NAME=FAT:FQL_AUDITING_CLIENT_TEMPLATE.FAT&amp;display_string=Audit&amp;VAR:KEY=PQFYRQHMXW&amp;VAR:QUERY=RkZfRU5UUlBSX1ZBTF9EQUlMWSgwNS8wNy8yMDEwLCwsLCwnRElMJykvRUNBX01FQU5fRUJJVERBKDIwMTIsM","DUvMDcvMjAxMCk=&amp;WINDOW=FIRST_POPUP&amp;HEIGHT=450&amp;WIDTH=450&amp;START_MAXIMIZED=FALSE&amp;VAR:CALENDAR=FIVEDAY&amp;VAR:SYMBOL=GD&amp;VAR:INDEX=0"}</definedName>
    <definedName name="_457__FDSAUDITLINK__" hidden="1">{"fdsup://directions/FAT Viewer?action=UPDATE&amp;creator=factset&amp;DYN_ARGS=TRUE&amp;DOC_NAME=FAT:FQL_AUDITING_CLIENT_TEMPLATE.FAT&amp;display_string=Audit&amp;VAR:KEY=DQZKTKJEDM&amp;VAR:QUERY=RkZfRU5UUlBSX1ZBTF9EQUlMWSgwNS8wNy8yMDEwLCwsLCwnRElMJykvRUNBX01FQU5fRUJJVERBKDIwMTEsM","DUvMDcvMjAxMCk=&amp;WINDOW=FIRST_POPUP&amp;HEIGHT=450&amp;WIDTH=450&amp;START_MAXIMIZED=FALSE&amp;VAR:CALENDAR=FIVEDAY&amp;VAR:SYMBOL=GD&amp;VAR:INDEX=0"}</definedName>
    <definedName name="_458__FDSAUDITLINK__" hidden="1">{"fdsup://directions/FAT Viewer?action=UPDATE&amp;creator=factset&amp;DYN_ARGS=TRUE&amp;DOC_NAME=FAT:FQL_AUDITING_CLIENT_TEMPLATE.FAT&amp;display_string=Audit&amp;VAR:KEY=VAVUNSLMFS&amp;VAR:QUERY=RkZfRU5UUlBSX1ZBTF9EQUlMWSgwNS8wNy8yMDEwLCwsLCwnRElMJykvRUNBX01FQU5fRUJJVERBKDIwMTAsM","DUvMDcvMjAxMCk=&amp;WINDOW=FIRST_POPUP&amp;HEIGHT=450&amp;WIDTH=450&amp;START_MAXIMIZED=FALSE&amp;VAR:CALENDAR=FIVEDAY&amp;VAR:SYMBOL=GD&amp;VAR:INDEX=0"}</definedName>
    <definedName name="_459__FDSAUDITLINK__" hidden="1">{"fdsup://directions/FAT Viewer?action=UPDATE&amp;creator=factset&amp;DYN_ARGS=TRUE&amp;DOC_NAME=FAT:FQL_AUDITING_CLIENT_TEMPLATE.FAT&amp;display_string=Audit&amp;VAR:KEY=ZKZIVCJEHS&amp;VAR:QUERY=RkZfRU5UUlBSX1ZBTF9EQUlMWSgwNS8wNy8yMDEwLCwsLCwnRElMJykvRUNBX01FQU5fU0FMRVMoMjAxMiwwN","S8wNy8yMDEwKQ==&amp;WINDOW=FIRST_POPUP&amp;HEIGHT=450&amp;WIDTH=450&amp;START_MAXIMIZED=FALSE&amp;VAR:CALENDAR=FIVEDAY&amp;VAR:SYMBOL=UTX&amp;VAR:INDEX=0"}</definedName>
    <definedName name="_46__FDSAUDITLINK__" hidden="1">{"fdsup://directions/FAT Viewer?action=UPDATE&amp;creator=factset&amp;DYN_ARGS=TRUE&amp;DOC_NAME=FAT:FQL_AUDITING_CLIENT_TEMPLATE.FAT&amp;display_string=Audit&amp;VAR:KEY=IPIPCVMPKT&amp;VAR:QUERY=RkZfRU5UUlBSX1ZBTF9EQUlMWSgxMC8yNy8yMDEwLCwsLCwnRElMJykvRUNBX01FQU5fU0FMRVMoMjAxMiwxM","C8yNy8yMDEwKQ==&amp;WINDOW=FIRST_POPUP&amp;HEIGHT=450&amp;WIDTH=450&amp;START_MAXIMIZED=FALSE&amp;VAR:CALENDAR=US&amp;VAR:SYMBOL=057580&amp;VAR:INDEX=0"}</definedName>
    <definedName name="_460__FDSAUDITLINK__" hidden="1">{"fdsup://directions/FAT Viewer?action=UPDATE&amp;creator=factset&amp;DYN_ARGS=TRUE&amp;DOC_NAME=FAT:FQL_AUDITING_CLIENT_TEMPLATE.FAT&amp;display_string=Audit&amp;VAR:KEY=DWFMNSDYJM&amp;VAR:QUERY=RkZfRU5UUlBSX1ZBTF9EQUlMWSgwNS8wNy8yMDEwLCwsLCwnRElMJykvRUNBX01FQU5fU0FMRVMoMjAxMSwwN","S8wNy8yMDEwKQ==&amp;WINDOW=FIRST_POPUP&amp;HEIGHT=450&amp;WIDTH=450&amp;START_MAXIMIZED=FALSE&amp;VAR:CALENDAR=FIVEDAY&amp;VAR:SYMBOL=UTX&amp;VAR:INDEX=0"}</definedName>
    <definedName name="_461__FDSAUDITLINK__" hidden="1">{"fdsup://directions/FAT Viewer?action=UPDATE&amp;creator=factset&amp;DYN_ARGS=TRUE&amp;DOC_NAME=FAT:FQL_AUDITING_CLIENT_TEMPLATE.FAT&amp;display_string=Audit&amp;VAR:KEY=ZSXKNSJUJO&amp;VAR:QUERY=RkZfRU5UUlBSX1ZBTF9EQUlMWSgwNS8wNy8yMDEwLCwsLCwnRElMJykvRUNBX01FQU5fU0FMRVMoMjAxMCwwN","S8wNy8yMDEwKQ==&amp;WINDOW=FIRST_POPUP&amp;HEIGHT=450&amp;WIDTH=450&amp;START_MAXIMIZED=FALSE&amp;VAR:CALENDAR=FIVEDAY&amp;VAR:SYMBOL=UTX&amp;VAR:INDEX=0"}</definedName>
    <definedName name="_462__FDSAUDITLINK__" hidden="1">{"fdsup://directions/FAT Viewer?action=UPDATE&amp;creator=factset&amp;DYN_ARGS=TRUE&amp;DOC_NAME=FAT:FQL_AUDITING_CLIENT_TEMPLATE.FAT&amp;display_string=Audit&amp;VAR:KEY=TUZCLAXUPA&amp;VAR:QUERY=RkZfRU5UUlBSX1ZBTF9EQUlMWSgwNS8wNy8yMDEwLCwsLCwnRElMJykvRUNBX01FQU5fRUJJVCgyMDEyLDA1L","zA3LzIwMTAp&amp;WINDOW=FIRST_POPUP&amp;HEIGHT=450&amp;WIDTH=450&amp;START_MAXIMIZED=FALSE&amp;VAR:CALENDAR=FIVEDAY&amp;VAR:SYMBOL=UTX&amp;VAR:INDEX=0"}</definedName>
    <definedName name="_463__FDSAUDITLINK__" hidden="1">{"fdsup://directions/FAT Viewer?action=UPDATE&amp;creator=factset&amp;DYN_ARGS=TRUE&amp;DOC_NAME=FAT:FQL_AUDITING_CLIENT_TEMPLATE.FAT&amp;display_string=Audit&amp;VAR:KEY=HMVEPSJWTA&amp;VAR:QUERY=RkZfRU5UUlBSX1ZBTF9EQUlMWSgwNS8wNy8yMDEwLCwsLCwnRElMJykvRUNBX01FQU5fRUJJVCgyMDExLDA1L","zA3LzIwMTAp&amp;WINDOW=FIRST_POPUP&amp;HEIGHT=450&amp;WIDTH=450&amp;START_MAXIMIZED=FALSE&amp;VAR:CALENDAR=FIVEDAY&amp;VAR:SYMBOL=UTX&amp;VAR:INDEX=0"}</definedName>
    <definedName name="_464__FDSAUDITLINK__" hidden="1">{"fdsup://directions/FAT Viewer?action=UPDATE&amp;creator=factset&amp;DYN_ARGS=TRUE&amp;DOC_NAME=FAT:FQL_AUDITING_CLIENT_TEMPLATE.FAT&amp;display_string=Audit&amp;VAR:KEY=ZAXGXAFCDW&amp;VAR:QUERY=RkZfRU5UUlBSX1ZBTF9EQUlMWSgwNS8wNy8yMDEwLCwsLCwnRElMJykvRUNBX01FQU5fRUJJVCgyMDEwLDA1L","zA3LzIwMTAp&amp;WINDOW=FIRST_POPUP&amp;HEIGHT=450&amp;WIDTH=450&amp;START_MAXIMIZED=FALSE&amp;VAR:CALENDAR=FIVEDAY&amp;VAR:SYMBOL=UTX&amp;VAR:INDEX=0"}</definedName>
    <definedName name="_465__FDSAUDITLINK__" hidden="1">{"fdsup://directions/FAT Viewer?action=UPDATE&amp;creator=factset&amp;DYN_ARGS=TRUE&amp;DOC_NAME=FAT:FQL_AUDITING_CLIENT_TEMPLATE.FAT&amp;display_string=Audit&amp;VAR:KEY=HETWNORMXO&amp;VAR:QUERY=RkZfRU5UUlBSX1ZBTF9EQUlMWSgwNS8wNy8yMDEwLCwsLCwnRElMJykvRUNBX01FQU5fRUJJVERBKDIwMTIsM","DUvMDcvMjAxMCk=&amp;WINDOW=FIRST_POPUP&amp;HEIGHT=450&amp;WIDTH=450&amp;START_MAXIMIZED=FALSE&amp;VAR:CALENDAR=FIVEDAY&amp;VAR:SYMBOL=UTX&amp;VAR:INDEX=0"}</definedName>
    <definedName name="_466__FDSAUDITLINK__" hidden="1">{"fdsup://directions/FAT Viewer?action=UPDATE&amp;creator=factset&amp;DYN_ARGS=TRUE&amp;DOC_NAME=FAT:FQL_AUDITING_CLIENT_TEMPLATE.FAT&amp;display_string=Audit&amp;VAR:KEY=TWTKBMLCLK&amp;VAR:QUERY=RkZfRU5UUlBSX1ZBTF9EQUlMWSgwNS8wNy8yMDEwLCwsLCwnRElMJykvRUNBX01FQU5fRUJJVERBKDIwMTEsM","DUvMDcvMjAxMCk=&amp;WINDOW=FIRST_POPUP&amp;HEIGHT=450&amp;WIDTH=450&amp;START_MAXIMIZED=FALSE&amp;VAR:CALENDAR=FIVEDAY&amp;VAR:SYMBOL=UTX&amp;VAR:INDEX=0"}</definedName>
    <definedName name="_467__FDSAUDITLINK__" hidden="1">{"fdsup://directions/FAT Viewer?action=UPDATE&amp;creator=factset&amp;DYN_ARGS=TRUE&amp;DOC_NAME=FAT:FQL_AUDITING_CLIENT_TEMPLATE.FAT&amp;display_string=Audit&amp;VAR:KEY=ZWRCFYXGFK&amp;VAR:QUERY=RkZfRU5UUlBSX1ZBTF9EQUlMWSgwNS8wNy8yMDEwLCwsLCwnRElMJykvRUNBX01FQU5fRUJJVERBKDIwMTAsM","DUvMDcvMjAxMCk=&amp;WINDOW=FIRST_POPUP&amp;HEIGHT=450&amp;WIDTH=450&amp;START_MAXIMIZED=FALSE&amp;VAR:CALENDAR=FIVEDAY&amp;VAR:SYMBOL=UTX&amp;VAR:INDEX=0"}</definedName>
    <definedName name="_468__FDSAUDITLINK__" hidden="1">{"fdsup://directions/FAT Viewer?action=UPDATE&amp;creator=factset&amp;DYN_ARGS=TRUE&amp;DOC_NAME=FAT:FQL_AUDITING_CLIENT_TEMPLATE.FAT&amp;display_string=Audit&amp;VAR:KEY=JQRWVCFKRU&amp;VAR:QUERY=RkZfRU5UUlBSX1ZBTF9EQUlMWSgwNS8yNC8yMDEwLCwsLCwnRElMJykvRUNBX01FQU5fU0FMRVMoMjAxMiwwN","S8yNC8yMDEwKQ==&amp;WINDOW=FIRST_POPUP&amp;HEIGHT=450&amp;WIDTH=450&amp;START_MAXIMIZED=FALSE&amp;VAR:CALENDAR=FIVEDAY&amp;VAR:SYMBOL=BA&amp;VAR:INDEX=0"}</definedName>
    <definedName name="_469__FDSAUDITLINK__" hidden="1">{"fdsup://directions/FAT Viewer?action=UPDATE&amp;creator=factset&amp;DYN_ARGS=TRUE&amp;DOC_NAME=FAT:FQL_AUDITING_CLIENT_TEMPLATE.FAT&amp;display_string=Audit&amp;VAR:KEY=FCJCZMLYDW&amp;VAR:QUERY=RkZfRU5UUlBSX1ZBTF9EQUlMWSgwNS8yNC8yMDEwLCwsLCwnRElMJykvRUNBX01FQU5fU0FMRVMoMjAxMSwwN","S8yNC8yMDEwKQ==&amp;WINDOW=FIRST_POPUP&amp;HEIGHT=450&amp;WIDTH=450&amp;START_MAXIMIZED=FALSE&amp;VAR:CALENDAR=FIVEDAY&amp;VAR:SYMBOL=BA&amp;VAR:INDEX=0"}</definedName>
    <definedName name="_47__FDSAUDITLINK__" hidden="1">{"fdsup://directions/FAT Viewer?action=UPDATE&amp;creator=factset&amp;DYN_ARGS=TRUE&amp;DOC_NAME=FAT:FQL_AUDITING_CLIENT_TEMPLATE.FAT&amp;display_string=Audit&amp;VAR:KEY=IBAJAXKHQD&amp;VAR:QUERY=RkZfRU5UUlBSX1ZBTF9EQUlMWSgxMC8yNy8yMDEwLCwsLCwnRElMJykvRUNBX01FQU5fU0FMRVMoMjAxMSwxM","C8yNy8yMDEwKQ==&amp;WINDOW=FIRST_POPUP&amp;HEIGHT=450&amp;WIDTH=450&amp;START_MAXIMIZED=FALSE&amp;VAR:CALENDAR=US&amp;VAR:SYMBOL=057580&amp;VAR:INDEX=0"}</definedName>
    <definedName name="_470__FDSAUDITLINK__" hidden="1">{"fdsup://directions/FAT Viewer?action=UPDATE&amp;creator=factset&amp;DYN_ARGS=TRUE&amp;DOC_NAME=FAT:FQL_AUDITING_CLIENT_TEMPLATE.FAT&amp;display_string=Audit&amp;VAR:KEY=JARADSZALA&amp;VAR:QUERY=RkZfRU5UUlBSX1ZBTF9EQUlMWSgwNS8yNC8yMDEwLCwsLCwnRElMJykvRUNBX01FQU5fU0FMRVMoMjAxMCwwN","S8yNC8yMDEwKQ==&amp;WINDOW=FIRST_POPUP&amp;HEIGHT=450&amp;WIDTH=450&amp;START_MAXIMIZED=FALSE&amp;VAR:CALENDAR=FIVEDAY&amp;VAR:SYMBOL=BA&amp;VAR:INDEX=0"}</definedName>
    <definedName name="_471__FDSAUDITLINK__" hidden="1">{"fdsup://directions/FAT Viewer?action=UPDATE&amp;creator=factset&amp;DYN_ARGS=TRUE&amp;DOC_NAME=FAT:FQL_AUDITING_CLIENT_TEMPLATE.FAT&amp;display_string=Audit&amp;VAR:KEY=XKVCJYJABC&amp;VAR:QUERY=RkZfRU5UUlBSX1ZBTF9EQUlMWSgwNS8yNC8yMDEwLCwsLCwnRElMJykvRUNBX01FQU5fRUJJVCgyMDEyLDA1L","zI0LzIwMTAp&amp;WINDOW=FIRST_POPUP&amp;HEIGHT=450&amp;WIDTH=450&amp;START_MAXIMIZED=FALSE&amp;VAR:CALENDAR=FIVEDAY&amp;VAR:SYMBOL=BA&amp;VAR:INDEX=0"}</definedName>
    <definedName name="_472__FDSAUDITLINK__" hidden="1">{"fdsup://directions/FAT Viewer?action=UPDATE&amp;creator=factset&amp;DYN_ARGS=TRUE&amp;DOC_NAME=FAT:FQL_AUDITING_CLIENT_TEMPLATE.FAT&amp;display_string=Audit&amp;VAR:KEY=XWDWZGXQXS&amp;VAR:QUERY=RkZfRU5UUlBSX1ZBTF9EQUlMWSgwNS8yNC8yMDEwLCwsLCwnRElMJykvRUNBX01FQU5fRUJJVCgyMDExLDA1L","zI0LzIwMTAp&amp;WINDOW=FIRST_POPUP&amp;HEIGHT=450&amp;WIDTH=450&amp;START_MAXIMIZED=FALSE&amp;VAR:CALENDAR=FIVEDAY&amp;VAR:SYMBOL=BA&amp;VAR:INDEX=0"}</definedName>
    <definedName name="_473__FDSAUDITLINK__" hidden="1">{"fdsup://directions/FAT Viewer?action=UPDATE&amp;creator=factset&amp;DYN_ARGS=TRUE&amp;DOC_NAME=FAT:FQL_AUDITING_CLIENT_TEMPLATE.FAT&amp;display_string=Audit&amp;VAR:KEY=DIVEFIDORQ&amp;VAR:QUERY=RkZfRU5UUlBSX1ZBTF9EQUlMWSgwNS8yNC8yMDEwLCwsLCwnRElMJykvRUNBX01FQU5fRUJJVCgyMDEwLDA1L","zI0LzIwMTAp&amp;WINDOW=FIRST_POPUP&amp;HEIGHT=450&amp;WIDTH=450&amp;START_MAXIMIZED=FALSE&amp;VAR:CALENDAR=FIVEDAY&amp;VAR:SYMBOL=BA&amp;VAR:INDEX=0"}</definedName>
    <definedName name="_474__FDSAUDITLINK__" hidden="1">{"fdsup://directions/FAT Viewer?action=UPDATE&amp;creator=factset&amp;DYN_ARGS=TRUE&amp;DOC_NAME=FAT:FQL_AUDITING_CLIENT_TEMPLATE.FAT&amp;display_string=Audit&amp;VAR:KEY=FIFALQFUVE&amp;VAR:QUERY=RkZfRU5UUlBSX1ZBTF9EQUlMWSgwNS8yNC8yMDEwLCwsLCwnRElMJykvRUNBX01FQU5fRUJJVERBKDIwMTIsM","DUvMjQvMjAxMCk=&amp;WINDOW=FIRST_POPUP&amp;HEIGHT=450&amp;WIDTH=450&amp;START_MAXIMIZED=FALSE&amp;VAR:CALENDAR=FIVEDAY&amp;VAR:SYMBOL=BA&amp;VAR:INDEX=0"}</definedName>
    <definedName name="_475__FDSAUDITLINK__" hidden="1">{"fdsup://directions/FAT Viewer?action=UPDATE&amp;creator=factset&amp;DYN_ARGS=TRUE&amp;DOC_NAME=FAT:FQL_AUDITING_CLIENT_TEMPLATE.FAT&amp;display_string=Audit&amp;VAR:KEY=JGLONGZIVO&amp;VAR:QUERY=RkZfRU5UUlBSX1ZBTF9EQUlMWSgwNS8yNC8yMDEwLCwsLCwnRElMJykvRUNBX01FQU5fRUJJVERBKDIwMTEsM","DUvMjQvMjAxMCk=&amp;WINDOW=FIRST_POPUP&amp;HEIGHT=450&amp;WIDTH=450&amp;START_MAXIMIZED=FALSE&amp;VAR:CALENDAR=FIVEDAY&amp;VAR:SYMBOL=BA&amp;VAR:INDEX=0"}</definedName>
    <definedName name="_476__FDSAUDITLINK__" hidden="1">{"fdsup://directions/FAT Viewer?action=UPDATE&amp;creator=factset&amp;DYN_ARGS=TRUE&amp;DOC_NAME=FAT:FQL_AUDITING_CLIENT_TEMPLATE.FAT&amp;display_string=Audit&amp;VAR:KEY=JEHIFGLYDA&amp;VAR:QUERY=RkZfRU5UUlBSX1ZBTF9EQUlMWSgwNS8yNC8yMDEwLCwsLCwnRElMJykvRUNBX01FQU5fRUJJVERBKDIwMTAsM","DUvMjQvMjAxMCk=&amp;WINDOW=FIRST_POPUP&amp;HEIGHT=450&amp;WIDTH=450&amp;START_MAXIMIZED=FALSE&amp;VAR:CALENDAR=FIVEDAY&amp;VAR:SYMBOL=BA&amp;VAR:INDEX=0"}</definedName>
    <definedName name="_477__FDSAUDITLINK__" hidden="1">{"fdsup://directions/FAT Viewer?action=UPDATE&amp;creator=factset&amp;DYN_ARGS=TRUE&amp;DOC_NAME=FAT:FQL_AUDITING_CLIENT_TEMPLATE.FAT&amp;display_string=Audit&amp;VAR:KEY=FSHCTKHERS&amp;VAR:QUERY=RkZfRU5UUlBSX1ZBTF9EQUlMWSgwNS8yNC8yMDEwLCwsLCwnRElMJykvRUNBX01FQU5fU0FMRVMoMjAxMiwwN","S8yNC8yMDEwKQ==&amp;WINDOW=FIRST_POPUP&amp;HEIGHT=450&amp;WIDTH=450&amp;START_MAXIMIZED=FALSE&amp;VAR:CALENDAR=FIVEDAY&amp;VAR:SYMBOL=GD&amp;VAR:INDEX=0"}</definedName>
    <definedName name="_478__FDSAUDITLINK__" hidden="1">{"fdsup://directions/FAT Viewer?action=UPDATE&amp;creator=factset&amp;DYN_ARGS=TRUE&amp;DOC_NAME=FAT:FQL_AUDITING_CLIENT_TEMPLATE.FAT&amp;display_string=Audit&amp;VAR:KEY=XUBCXAZIVW&amp;VAR:QUERY=RkZfRU5UUlBSX1ZBTF9EQUlMWSgwNS8yNC8yMDEwLCwsLCwnRElMJykvRUNBX01FQU5fU0FMRVMoMjAxMSwwN","S8yNC8yMDEwKQ==&amp;WINDOW=FIRST_POPUP&amp;HEIGHT=450&amp;WIDTH=450&amp;START_MAXIMIZED=FALSE&amp;VAR:CALENDAR=FIVEDAY&amp;VAR:SYMBOL=GD&amp;VAR:INDEX=0"}</definedName>
    <definedName name="_479__FDSAUDITLINK__" hidden="1">{"fdsup://directions/FAT Viewer?action=UPDATE&amp;creator=factset&amp;DYN_ARGS=TRUE&amp;DOC_NAME=FAT:FQL_AUDITING_CLIENT_TEMPLATE.FAT&amp;display_string=Audit&amp;VAR:KEY=LUPSRUHYLK&amp;VAR:QUERY=RkZfRU5UUlBSX1ZBTF9EQUlMWSgwNS8yNC8yMDEwLCwsLCwnRElMJykvRUNBX01FQU5fU0FMRVMoMjAxMCwwN","S8yNC8yMDEwKQ==&amp;WINDOW=FIRST_POPUP&amp;HEIGHT=450&amp;WIDTH=450&amp;START_MAXIMIZED=FALSE&amp;VAR:CALENDAR=FIVEDAY&amp;VAR:SYMBOL=GD&amp;VAR:INDEX=0"}</definedName>
    <definedName name="_48__FDSAUDITLINK__" hidden="1">{"fdsup://directions/FAT Viewer?action=UPDATE&amp;creator=factset&amp;DYN_ARGS=TRUE&amp;DOC_NAME=FAT:FQL_AUDITING_CLIENT_TEMPLATE.FAT&amp;display_string=Audit&amp;VAR:KEY=CRMRQVORCB&amp;VAR:QUERY=RkZfRU5UUlBSX1ZBTF9EQUlMWSgxMC8yNy8yMDEwLCwsLCwnRElMJykvRUNBX01FQU5fU0FMRVMoMjAxMCwxM","C8yNy8yMDEwKQ==&amp;WINDOW=FIRST_POPUP&amp;HEIGHT=450&amp;WIDTH=450&amp;START_MAXIMIZED=FALSE&amp;VAR:CALENDAR=US&amp;VAR:SYMBOL=057580&amp;VAR:INDEX=0"}</definedName>
    <definedName name="_480__FDSAUDITLINK__" hidden="1">{"fdsup://directions/FAT Viewer?action=UPDATE&amp;creator=factset&amp;DYN_ARGS=TRUE&amp;DOC_NAME=FAT:FQL_AUDITING_CLIENT_TEMPLATE.FAT&amp;display_string=Audit&amp;VAR:KEY=HYJUVSVCHA&amp;VAR:QUERY=RkZfRU5UUlBSX1ZBTF9EQUlMWSgwNS8yNC8yMDEwLCwsLCwnRElMJykvRUNBX01FQU5fRUJJVCgyMDEyLDA1L","zI0LzIwMTAp&amp;WINDOW=FIRST_POPUP&amp;HEIGHT=450&amp;WIDTH=450&amp;START_MAXIMIZED=FALSE&amp;VAR:CALENDAR=FIVEDAY&amp;VAR:SYMBOL=GD&amp;VAR:INDEX=0"}</definedName>
    <definedName name="_481__FDSAUDITLINK__" hidden="1">{"fdsup://directions/FAT Viewer?action=UPDATE&amp;creator=factset&amp;DYN_ARGS=TRUE&amp;DOC_NAME=FAT:FQL_AUDITING_CLIENT_TEMPLATE.FAT&amp;display_string=Audit&amp;VAR:KEY=RORYHYVSDM&amp;VAR:QUERY=RkZfRU5UUlBSX1ZBTF9EQUlMWSgwNS8yNC8yMDEwLCwsLCwnRElMJykvRUNBX01FQU5fRUJJVCgyMDExLDA1L","zI0LzIwMTAp&amp;WINDOW=FIRST_POPUP&amp;HEIGHT=450&amp;WIDTH=450&amp;START_MAXIMIZED=FALSE&amp;VAR:CALENDAR=FIVEDAY&amp;VAR:SYMBOL=GD&amp;VAR:INDEX=0"}</definedName>
    <definedName name="_482__FDSAUDITLINK__" hidden="1">{"fdsup://directions/FAT Viewer?action=UPDATE&amp;creator=factset&amp;DYN_ARGS=TRUE&amp;DOC_NAME=FAT:FQL_AUDITING_CLIENT_TEMPLATE.FAT&amp;display_string=Audit&amp;VAR:KEY=XKVURUPIXC&amp;VAR:QUERY=RkZfRU5UUlBSX1ZBTF9EQUlMWSgwNS8yNC8yMDEwLCwsLCwnRElMJykvRUNBX01FQU5fRUJJVCgyMDEwLDA1L","zI0LzIwMTAp&amp;WINDOW=FIRST_POPUP&amp;HEIGHT=450&amp;WIDTH=450&amp;START_MAXIMIZED=FALSE&amp;VAR:CALENDAR=FIVEDAY&amp;VAR:SYMBOL=GD&amp;VAR:INDEX=0"}</definedName>
    <definedName name="_483__FDSAUDITLINK__" hidden="1">{"fdsup://directions/FAT Viewer?action=UPDATE&amp;creator=factset&amp;DYN_ARGS=TRUE&amp;DOC_NAME=FAT:FQL_AUDITING_CLIENT_TEMPLATE.FAT&amp;display_string=Audit&amp;VAR:KEY=BYLGZMFORU&amp;VAR:QUERY=RkZfRU5UUlBSX1ZBTF9EQUlMWSgwNS8yNC8yMDEwLCwsLCwnRElMJykvRUNBX01FQU5fRUJJVERBKDIwMTIsM","DUvMjQvMjAxMCk=&amp;WINDOW=FIRST_POPUP&amp;HEIGHT=450&amp;WIDTH=450&amp;START_MAXIMIZED=FALSE&amp;VAR:CALENDAR=FIVEDAY&amp;VAR:SYMBOL=GD&amp;VAR:INDEX=0"}</definedName>
    <definedName name="_484__FDSAUDITLINK__" hidden="1">{"fdsup://directions/FAT Viewer?action=UPDATE&amp;creator=factset&amp;DYN_ARGS=TRUE&amp;DOC_NAME=FAT:FQL_AUDITING_CLIENT_TEMPLATE.FAT&amp;display_string=Audit&amp;VAR:KEY=HQXKDININU&amp;VAR:QUERY=RkZfRU5UUlBSX1ZBTF9EQUlMWSgwNS8yNC8yMDEwLCwsLCwnRElMJykvRUNBX01FQU5fRUJJVERBKDIwMTEsM","DUvMjQvMjAxMCk=&amp;WINDOW=FIRST_POPUP&amp;HEIGHT=450&amp;WIDTH=450&amp;START_MAXIMIZED=FALSE&amp;VAR:CALENDAR=FIVEDAY&amp;VAR:SYMBOL=GD&amp;VAR:INDEX=0"}</definedName>
    <definedName name="_485__FDSAUDITLINK__" hidden="1">{"fdsup://directions/FAT Viewer?action=UPDATE&amp;creator=factset&amp;DYN_ARGS=TRUE&amp;DOC_NAME=FAT:FQL_AUDITING_CLIENT_TEMPLATE.FAT&amp;display_string=Audit&amp;VAR:KEY=JAVEVMJIVC&amp;VAR:QUERY=RkZfRU5UUlBSX1ZBTF9EQUlMWSgwNS8yNC8yMDEwLCwsLCwnRElMJykvRUNBX01FQU5fRUJJVERBKDIwMTAsM","DUvMjQvMjAxMCk=&amp;WINDOW=FIRST_POPUP&amp;HEIGHT=450&amp;WIDTH=450&amp;START_MAXIMIZED=FALSE&amp;VAR:CALENDAR=FIVEDAY&amp;VAR:SYMBOL=GD&amp;VAR:INDEX=0"}</definedName>
    <definedName name="_486__FDSAUDITLINK__" hidden="1">{"fdsup://directions/FAT Viewer?action=UPDATE&amp;creator=factset&amp;DYN_ARGS=TRUE&amp;DOC_NAME=FAT:FQL_AUDITING_CLIENT_TEMPLATE.FAT&amp;display_string=Audit&amp;VAR:KEY=HULUTOPEPC&amp;VAR:QUERY=RkZfRU5UUlBSX1ZBTF9EQUlMWSgwNS8yNC8yMDEwLCwsLCwnRElMJykvRUNBX01FQU5fU0FMRVMoMjAxMiwwN","S8yNC8yMDEwKQ==&amp;WINDOW=FIRST_POPUP&amp;HEIGHT=450&amp;WIDTH=450&amp;START_MAXIMIZED=FALSE&amp;VAR:CALENDAR=FIVEDAY&amp;VAR:SYMBOL=UTX&amp;VAR:INDEX=0"}</definedName>
    <definedName name="_487__FDSAUDITLINK__" hidden="1">{"fdsup://directions/FAT Viewer?action=UPDATE&amp;creator=factset&amp;DYN_ARGS=TRUE&amp;DOC_NAME=FAT:FQL_AUDITING_CLIENT_TEMPLATE.FAT&amp;display_string=Audit&amp;VAR:KEY=TIXQHADAPA&amp;VAR:QUERY=RkZfRU5UUlBSX1ZBTF9EQUlMWSgwNS8yNC8yMDEwLCwsLCwnRElMJykvRUNBX01FQU5fU0FMRVMoMjAxMSwwN","S8yNC8yMDEwKQ==&amp;WINDOW=FIRST_POPUP&amp;HEIGHT=450&amp;WIDTH=450&amp;START_MAXIMIZED=FALSE&amp;VAR:CALENDAR=FIVEDAY&amp;VAR:SYMBOL=UTX&amp;VAR:INDEX=0"}</definedName>
    <definedName name="_488__FDSAUDITLINK__" hidden="1">{"fdsup://directions/FAT Viewer?action=UPDATE&amp;creator=factset&amp;DYN_ARGS=TRUE&amp;DOC_NAME=FAT:FQL_AUDITING_CLIENT_TEMPLATE.FAT&amp;display_string=Audit&amp;VAR:KEY=HEBCZWZOBK&amp;VAR:QUERY=RkZfRU5UUlBSX1ZBTF9EQUlMWSgwNS8yNC8yMDEwLCwsLCwnRElMJykvRUNBX01FQU5fU0FMRVMoMjAxMCwwN","S8yNC8yMDEwKQ==&amp;WINDOW=FIRST_POPUP&amp;HEIGHT=450&amp;WIDTH=450&amp;START_MAXIMIZED=FALSE&amp;VAR:CALENDAR=FIVEDAY&amp;VAR:SYMBOL=UTX&amp;VAR:INDEX=0"}</definedName>
    <definedName name="_489__FDSAUDITLINK__" hidden="1">{"fdsup://directions/FAT Viewer?action=UPDATE&amp;creator=factset&amp;DYN_ARGS=TRUE&amp;DOC_NAME=FAT:FQL_AUDITING_CLIENT_TEMPLATE.FAT&amp;display_string=Audit&amp;VAR:KEY=HGDUVIHYTU&amp;VAR:QUERY=RkZfRU5UUlBSX1ZBTF9EQUlMWSgwNS8yNC8yMDEwLCwsLCwnRElMJykvRUNBX01FQU5fRUJJVCgyMDEyLDA1L","zI0LzIwMTAp&amp;WINDOW=FIRST_POPUP&amp;HEIGHT=450&amp;WIDTH=450&amp;START_MAXIMIZED=FALSE&amp;VAR:CALENDAR=FIVEDAY&amp;VAR:SYMBOL=UTX&amp;VAR:INDEX=0"}</definedName>
    <definedName name="_49__FDSAUDITLINK__" hidden="1">{"fdsup://directions/FAT Viewer?action=UPDATE&amp;creator=factset&amp;DYN_ARGS=TRUE&amp;DOC_NAME=FAT:FQL_AUDITING_CLIENT_TEMPLATE.FAT&amp;display_string=Audit&amp;VAR:KEY=CNGFSPMHQN&amp;VAR:QUERY=RkZfRU5UUlBSX1ZBTF9EQUlMWSgxMC8yNy8yMDEwLCwsLCwnRElMJykvRUNBX01FQU5fRUJJVCgyMDEyLDEwL","zI3LzIwMTAp&amp;WINDOW=FIRST_POPUP&amp;HEIGHT=450&amp;WIDTH=450&amp;START_MAXIMIZED=FALSE&amp;VAR:CALENDAR=US&amp;VAR:SYMBOL=057580&amp;VAR:INDEX=0"}</definedName>
    <definedName name="_490__FDSAUDITLINK__" hidden="1">{"fdsup://directions/FAT Viewer?action=UPDATE&amp;creator=factset&amp;DYN_ARGS=TRUE&amp;DOC_NAME=FAT:FQL_AUDITING_CLIENT_TEMPLATE.FAT&amp;display_string=Audit&amp;VAR:KEY=PSFUFQVAXS&amp;VAR:QUERY=RkZfRU5UUlBSX1ZBTF9EQUlMWSgwNS8yNC8yMDEwLCwsLCwnRElMJykvRUNBX01FQU5fRUJJVCgyMDExLDA1L","zI0LzIwMTAp&amp;WINDOW=FIRST_POPUP&amp;HEIGHT=450&amp;WIDTH=450&amp;START_MAXIMIZED=FALSE&amp;VAR:CALENDAR=FIVEDAY&amp;VAR:SYMBOL=UTX&amp;VAR:INDEX=0"}</definedName>
    <definedName name="_491__FDSAUDITLINK__" hidden="1">{"fdsup://directions/FAT Viewer?action=UPDATE&amp;creator=factset&amp;DYN_ARGS=TRUE&amp;DOC_NAME=FAT:FQL_AUDITING_CLIENT_TEMPLATE.FAT&amp;display_string=Audit&amp;VAR:KEY=NGPYZKJQPI&amp;VAR:QUERY=RkZfRU5UUlBSX1ZBTF9EQUlMWSgwNS8yNC8yMDEwLCwsLCwnRElMJykvRUNBX01FQU5fRUJJVCgyMDEwLDA1L","zI0LzIwMTAp&amp;WINDOW=FIRST_POPUP&amp;HEIGHT=450&amp;WIDTH=450&amp;START_MAXIMIZED=FALSE&amp;VAR:CALENDAR=FIVEDAY&amp;VAR:SYMBOL=UTX&amp;VAR:INDEX=0"}</definedName>
    <definedName name="_492__FDSAUDITLINK__" hidden="1">{"fdsup://directions/FAT Viewer?action=UPDATE&amp;creator=factset&amp;DYN_ARGS=TRUE&amp;DOC_NAME=FAT:FQL_AUDITING_CLIENT_TEMPLATE.FAT&amp;display_string=Audit&amp;VAR:KEY=TYHOVSNGLW&amp;VAR:QUERY=RkZfRU5UUlBSX1ZBTF9EQUlMWSgwNS8yNC8yMDEwLCwsLCwnRElMJykvRUNBX01FQU5fRUJJVERBKDIwMTIsM","DUvMjQvMjAxMCk=&amp;WINDOW=FIRST_POPUP&amp;HEIGHT=450&amp;WIDTH=450&amp;START_MAXIMIZED=FALSE&amp;VAR:CALENDAR=FIVEDAY&amp;VAR:SYMBOL=UTX&amp;VAR:INDEX=0"}</definedName>
    <definedName name="_493__FDSAUDITLINK__" hidden="1">{"fdsup://directions/FAT Viewer?action=UPDATE&amp;creator=factset&amp;DYN_ARGS=TRUE&amp;DOC_NAME=FAT:FQL_AUDITING_CLIENT_TEMPLATE.FAT&amp;display_string=Audit&amp;VAR:KEY=TMPOHCBYFM&amp;VAR:QUERY=RkZfRU5UUlBSX1ZBTF9EQUlMWSgwNS8yNC8yMDEwLCwsLCwnRElMJykvRUNBX01FQU5fRUJJVERBKDIwMTEsM","DUvMjQvMjAxMCk=&amp;WINDOW=FIRST_POPUP&amp;HEIGHT=450&amp;WIDTH=450&amp;START_MAXIMIZED=FALSE&amp;VAR:CALENDAR=FIVEDAY&amp;VAR:SYMBOL=UTX&amp;VAR:INDEX=0"}</definedName>
    <definedName name="_494__FDSAUDITLINK__" hidden="1">{"fdsup://directions/FAT Viewer?action=UPDATE&amp;creator=factset&amp;DYN_ARGS=TRUE&amp;DOC_NAME=FAT:FQL_AUDITING_CLIENT_TEMPLATE.FAT&amp;display_string=Audit&amp;VAR:KEY=BUFSJEXQBK&amp;VAR:QUERY=RkZfRU5UUlBSX1ZBTF9EQUlMWSgwNS8yNC8yMDEwLCwsLCwnRElMJykvRUNBX01FQU5fRUJJVERBKDIwMTAsM","DUvMjQvMjAxMCk=&amp;WINDOW=FIRST_POPUP&amp;HEIGHT=450&amp;WIDTH=450&amp;START_MAXIMIZED=FALSE&amp;VAR:CALENDAR=FIVEDAY&amp;VAR:SYMBOL=UTX&amp;VAR:INDEX=0"}</definedName>
    <definedName name="_495__FDSAUDITLINK__" hidden="1">{"fdsup://directions/FAT Viewer?action=UPDATE&amp;creator=factset&amp;DYN_ARGS=TRUE&amp;DOC_NAME=FAT:FQL_AUDITING_CLIENT_TEMPLATE.FAT&amp;display_string=Audit&amp;VAR:KEY=SJKVGZKVML&amp;VAR:QUERY=RkZfRU5UUlBSX1ZBTF9EQUlMWSgwNy8yMS8yMDEwLCwsLCwnRElMJykvRUNBX01FQU5fU0FMRVMoMjAxMiwwN","y8yMS8yMDEwKQ==&amp;WINDOW=FIRST_POPUP&amp;HEIGHT=450&amp;WIDTH=450&amp;START_MAXIMIZED=FALSE&amp;VAR:CALENDAR=US&amp;VAR:SYMBOL=BA&amp;VAR:INDEX=0"}</definedName>
    <definedName name="_496__FDSAUDITLINK__" hidden="1">{"fdsup://directions/FAT Viewer?action=UPDATE&amp;creator=factset&amp;DYN_ARGS=TRUE&amp;DOC_NAME=FAT:FQL_AUDITING_CLIENT_TEMPLATE.FAT&amp;display_string=Audit&amp;VAR:KEY=QZMHQRIDCR&amp;VAR:QUERY=RkZfRU5UUlBSX1ZBTF9EQUlMWSgwNy8yMS8yMDEwLCwsLCwnRElMJykvRUNBX01FQU5fU0FMRVMoMjAxMSwwN","y8yMS8yMDEwKQ==&amp;WINDOW=FIRST_POPUP&amp;HEIGHT=450&amp;WIDTH=450&amp;START_MAXIMIZED=FALSE&amp;VAR:CALENDAR=US&amp;VAR:SYMBOL=BA&amp;VAR:INDEX=0"}</definedName>
    <definedName name="_497__FDSAUDITLINK__" hidden="1">{"fdsup://directions/FAT Viewer?action=UPDATE&amp;creator=factset&amp;DYN_ARGS=TRUE&amp;DOC_NAME=FAT:FQL_AUDITING_CLIENT_TEMPLATE.FAT&amp;display_string=Audit&amp;VAR:KEY=GLQNKLQDIV&amp;VAR:QUERY=RkZfRU5UUlBSX1ZBTF9EQUlMWSgwNy8yMS8yMDEwLCwsLCwnRElMJykvRUNBX01FQU5fU0FMRVMoMjAxMCwwN","y8yMS8yMDEwKQ==&amp;WINDOW=FIRST_POPUP&amp;HEIGHT=450&amp;WIDTH=450&amp;START_MAXIMIZED=FALSE&amp;VAR:CALENDAR=US&amp;VAR:SYMBOL=BA&amp;VAR:INDEX=0"}</definedName>
    <definedName name="_498__FDSAUDITLINK__" hidden="1">{"fdsup://directions/FAT Viewer?action=UPDATE&amp;creator=factset&amp;DYN_ARGS=TRUE&amp;DOC_NAME=FAT:FQL_AUDITING_CLIENT_TEMPLATE.FAT&amp;display_string=Audit&amp;VAR:KEY=QFKJARWDMT&amp;VAR:QUERY=RkZfRU5UUlBSX1ZBTF9EQUlMWSgwNy8yMS8yMDEwLCwsLCwnRElMJykvRUNBX01FQU5fRUJJVCgyMDEyLDA3L","zIxLzIwMTAp&amp;WINDOW=FIRST_POPUP&amp;HEIGHT=450&amp;WIDTH=450&amp;START_MAXIMIZED=FALSE&amp;VAR:CALENDAR=US&amp;VAR:SYMBOL=BA&amp;VAR:INDEX=0"}</definedName>
    <definedName name="_499__FDSAUDITLINK__" hidden="1">{"fdsup://directions/FAT Viewer?action=UPDATE&amp;creator=factset&amp;DYN_ARGS=TRUE&amp;DOC_NAME=FAT:FQL_AUDITING_CLIENT_TEMPLATE.FAT&amp;display_string=Audit&amp;VAR:KEY=QZYLUDKVMH&amp;VAR:QUERY=RkZfRU5UUlBSX1ZBTF9EQUlMWSgwNy8yMS8yMDEwLCwsLCwnRElMJykvRUNBX01FQU5fRUJJVCgyMDExLDA3L","zIxLzIwMTAp&amp;WINDOW=FIRST_POPUP&amp;HEIGHT=450&amp;WIDTH=450&amp;START_MAXIMIZED=FALSE&amp;VAR:CALENDAR=US&amp;VAR:SYMBOL=BA&amp;VAR:INDEX=0"}</definedName>
    <definedName name="_5__123Graph_Aｸﾞﾗﾌ_1" hidden="1">[2]ｾｸﾞﾒﾝﾄ!$E$164:$I$164</definedName>
    <definedName name="_5__123Graph_Dｸﾞﾗﾌ_1" hidden="1">[2]ｾｸﾞﾒﾝﾄ!$E$167:$I$167</definedName>
    <definedName name="_5__FDSAUDITLINK__" hidden="1">{"fdsup://directions/FAT Viewer?action=UPDATE&amp;creator=factset&amp;DYN_ARGS=TRUE&amp;DOC_NAME=FAT:FQL_AUDITING_CLIENT_TEMPLATE.FAT&amp;display_string=Audit&amp;VAR:KEY=SVSHUNMTQH&amp;VAR:QUERY=RkZfRU5UUlBSX1ZBTF9EQUlMWSgwNy8yNi8yMDExLCwsLCwnRElMJykvRUNBX01FQU5fRUJJVCgyMDExLDA3L","zI2LzIwMTEp&amp;WINDOW=FIRST_POPUP&amp;HEIGHT=450&amp;WIDTH=450&amp;START_MAXIMIZED=FALSE&amp;VAR:CALENDAR=FIVEDAY&amp;VAR:SYMBOL=057580&amp;VAR:INDEX=0"}</definedName>
    <definedName name="_50__FDSAUDITLINK__" hidden="1">{"fdsup://directions/FAT Viewer?action=UPDATE&amp;creator=factset&amp;DYN_ARGS=TRUE&amp;DOC_NAME=FAT:FQL_AUDITING_CLIENT_TEMPLATE.FAT&amp;display_string=Audit&amp;VAR:KEY=CTOZOVOTUF&amp;VAR:QUERY=RkZfRU5UUlBSX1ZBTF9EQUlMWSgxMC8yNy8yMDEwLCwsLCwnRElMJykvRUNBX01FQU5fRUJJVCgyMDExLDEwL","zI3LzIwMTAp&amp;WINDOW=FIRST_POPUP&amp;HEIGHT=450&amp;WIDTH=450&amp;START_MAXIMIZED=FALSE&amp;VAR:CALENDAR=US&amp;VAR:SYMBOL=057580&amp;VAR:INDEX=0"}</definedName>
    <definedName name="_500__FDSAUDITLINK__" hidden="1">{"fdsup://directions/FAT Viewer?action=UPDATE&amp;creator=factset&amp;DYN_ARGS=TRUE&amp;DOC_NAME=FAT:FQL_AUDITING_CLIENT_TEMPLATE.FAT&amp;display_string=Audit&amp;VAR:KEY=KRGFEJQBGZ&amp;VAR:QUERY=RkZfRU5UUlBSX1ZBTF9EQUlMWSgwNy8yMS8yMDEwLCwsLCwnRElMJykvRUNBX01FQU5fRUJJVCgyMDEwLDA3L","zIxLzIwMTAp&amp;WINDOW=FIRST_POPUP&amp;HEIGHT=450&amp;WIDTH=450&amp;START_MAXIMIZED=FALSE&amp;VAR:CALENDAR=US&amp;VAR:SYMBOL=BA&amp;VAR:INDEX=0"}</definedName>
    <definedName name="_501__FDSAUDITLINK__" hidden="1">{"fdsup://directions/FAT Viewer?action=UPDATE&amp;creator=factset&amp;DYN_ARGS=TRUE&amp;DOC_NAME=FAT:FQL_AUDITING_CLIENT_TEMPLATE.FAT&amp;display_string=Audit&amp;VAR:KEY=ALWZKVKNKH&amp;VAR:QUERY=RkZfRU5UUlBSX1ZBTF9EQUlMWSgwNy8yMS8yMDEwLCwsLCwnRElMJykvRUNBX01FQU5fRUJJVERBKDIwMTIsM","DcvMjEvMjAxMCk=&amp;WINDOW=FIRST_POPUP&amp;HEIGHT=450&amp;WIDTH=450&amp;START_MAXIMIZED=FALSE&amp;VAR:CALENDAR=US&amp;VAR:SYMBOL=BA&amp;VAR:INDEX=0"}</definedName>
    <definedName name="_502__FDSAUDITLINK__" hidden="1">{"fdsup://directions/FAT Viewer?action=UPDATE&amp;creator=factset&amp;DYN_ARGS=TRUE&amp;DOC_NAME=FAT:FQL_AUDITING_CLIENT_TEMPLATE.FAT&amp;display_string=Audit&amp;VAR:KEY=EVQTSHYLCZ&amp;VAR:QUERY=RkZfRU5UUlBSX1ZBTF9EQUlMWSgwNy8yMS8yMDEwLCwsLCwnRElMJykvRUNBX01FQU5fRUJJVERBKDIwMTEsM","DcvMjEvMjAxMCk=&amp;WINDOW=FIRST_POPUP&amp;HEIGHT=450&amp;WIDTH=450&amp;START_MAXIMIZED=FALSE&amp;VAR:CALENDAR=US&amp;VAR:SYMBOL=BA&amp;VAR:INDEX=0"}</definedName>
    <definedName name="_503__FDSAUDITLINK__" hidden="1">{"fdsup://directions/FAT Viewer?action=UPDATE&amp;creator=factset&amp;DYN_ARGS=TRUE&amp;DOC_NAME=FAT:FQL_AUDITING_CLIENT_TEMPLATE.FAT&amp;display_string=Audit&amp;VAR:KEY=IDOHSVELUR&amp;VAR:QUERY=RkZfRU5UUlBSX1ZBTF9EQUlMWSgwNy8yMS8yMDEwLCwsLCwnRElMJykvRUNBX01FQU5fRUJJVERBKDIwMTAsM","DcvMjEvMjAxMCk=&amp;WINDOW=FIRST_POPUP&amp;HEIGHT=450&amp;WIDTH=450&amp;START_MAXIMIZED=FALSE&amp;VAR:CALENDAR=US&amp;VAR:SYMBOL=BA&amp;VAR:INDEX=0"}</definedName>
    <definedName name="_504__FDSAUDITLINK__" hidden="1">{"fdsup://directions/FAT Viewer?action=UPDATE&amp;creator=factset&amp;DYN_ARGS=TRUE&amp;DOC_NAME=FAT:FQL_AUDITING_CLIENT_TEMPLATE.FAT&amp;display_string=Audit&amp;VAR:KEY=OLUTOLKFID&amp;VAR:QUERY=RkZfRU5UUlBSX1ZBTF9EQUlMWSgwNy8yMS8yMDEwLCwsLCwnRElMJykvRUNBX01FQU5fU0FMRVMoMjAxMiwwN","y8yMS8yMDEwKQ==&amp;WINDOW=FIRST_POPUP&amp;HEIGHT=450&amp;WIDTH=450&amp;START_MAXIMIZED=FALSE&amp;VAR:CALENDAR=US&amp;VAR:SYMBOL=GD&amp;VAR:INDEX=0"}</definedName>
    <definedName name="_505__FDSAUDITLINK__" hidden="1">{"fdsup://directions/FAT Viewer?action=UPDATE&amp;creator=factset&amp;DYN_ARGS=TRUE&amp;DOC_NAME=FAT:FQL_AUDITING_CLIENT_TEMPLATE.FAT&amp;display_string=Audit&amp;VAR:KEY=YZEBODCDIT&amp;VAR:QUERY=RkZfRU5UUlBSX1ZBTF9EQUlMWSgwNy8yMS8yMDEwLCwsLCwnRElMJykvRUNBX01FQU5fU0FMRVMoMjAxMSwwN","y8yMS8yMDEwKQ==&amp;WINDOW=FIRST_POPUP&amp;HEIGHT=450&amp;WIDTH=450&amp;START_MAXIMIZED=FALSE&amp;VAR:CALENDAR=US&amp;VAR:SYMBOL=GD&amp;VAR:INDEX=0"}</definedName>
    <definedName name="_506__FDSAUDITLINK__" hidden="1">{"fdsup://directions/FAT Viewer?action=UPDATE&amp;creator=factset&amp;DYN_ARGS=TRUE&amp;DOC_NAME=FAT:FQL_AUDITING_CLIENT_TEMPLATE.FAT&amp;display_string=Audit&amp;VAR:KEY=QVEBAXMZID&amp;VAR:QUERY=RkZfRU5UUlBSX1ZBTF9EQUlMWSgwNy8yMS8yMDEwLCwsLCwnRElMJykvRUNBX01FQU5fU0FMRVMoMjAxMCwwN","y8yMS8yMDEwKQ==&amp;WINDOW=FIRST_POPUP&amp;HEIGHT=450&amp;WIDTH=450&amp;START_MAXIMIZED=FALSE&amp;VAR:CALENDAR=US&amp;VAR:SYMBOL=GD&amp;VAR:INDEX=0"}</definedName>
    <definedName name="_507__FDSAUDITLINK__" hidden="1">{"fdsup://directions/FAT Viewer?action=UPDATE&amp;creator=factset&amp;DYN_ARGS=TRUE&amp;DOC_NAME=FAT:FQL_AUDITING_CLIENT_TEMPLATE.FAT&amp;display_string=Audit&amp;VAR:KEY=MVKNMZMXGZ&amp;VAR:QUERY=RkZfRU5UUlBSX1ZBTF9EQUlMWSgwNy8yMS8yMDEwLCwsLCwnRElMJykvRUNBX01FQU5fRUJJVCgyMDEyLDA3L","zIxLzIwMTAp&amp;WINDOW=FIRST_POPUP&amp;HEIGHT=450&amp;WIDTH=450&amp;START_MAXIMIZED=FALSE&amp;VAR:CALENDAR=US&amp;VAR:SYMBOL=GD&amp;VAR:INDEX=0"}</definedName>
    <definedName name="_508__FDSAUDITLINK__" hidden="1">{"fdsup://directions/FAT Viewer?action=UPDATE&amp;creator=factset&amp;DYN_ARGS=TRUE&amp;DOC_NAME=FAT:FQL_AUDITING_CLIENT_TEMPLATE.FAT&amp;display_string=Audit&amp;VAR:KEY=WZQHKPGRAV&amp;VAR:QUERY=RkZfRU5UUlBSX1ZBTF9EQUlMWSgwNy8yMS8yMDEwLCwsLCwnRElMJykvRUNBX01FQU5fRUJJVCgyMDExLDA3L","zIxLzIwMTAp&amp;WINDOW=FIRST_POPUP&amp;HEIGHT=450&amp;WIDTH=450&amp;START_MAXIMIZED=FALSE&amp;VAR:CALENDAR=US&amp;VAR:SYMBOL=GD&amp;VAR:INDEX=0"}</definedName>
    <definedName name="_509__FDSAUDITLINK__" hidden="1">{"fdsup://directions/FAT Viewer?action=UPDATE&amp;creator=factset&amp;DYN_ARGS=TRUE&amp;DOC_NAME=FAT:FQL_AUDITING_CLIENT_TEMPLATE.FAT&amp;display_string=Audit&amp;VAR:KEY=CXCZQVOPSV&amp;VAR:QUERY=RkZfRU5UUlBSX1ZBTF9EQUlMWSgwNy8yMS8yMDEwLCwsLCwnRElMJykvRUNBX01FQU5fRUJJVCgyMDEwLDA3L","zIxLzIwMTAp&amp;WINDOW=FIRST_POPUP&amp;HEIGHT=450&amp;WIDTH=450&amp;START_MAXIMIZED=FALSE&amp;VAR:CALENDAR=US&amp;VAR:SYMBOL=GD&amp;VAR:INDEX=0"}</definedName>
    <definedName name="_51__FDSAUDITLINK__" hidden="1">{"fdsup://directions/FAT Viewer?action=UPDATE&amp;creator=factset&amp;DYN_ARGS=TRUE&amp;DOC_NAME=FAT:FQL_AUDITING_CLIENT_TEMPLATE.FAT&amp;display_string=Audit&amp;VAR:KEY=CDKJMPINSR&amp;VAR:QUERY=RkZfRU5UUlBSX1ZBTF9EQUlMWSgxMC8yNy8yMDEwLCwsLCwnRElMJykvRUNBX01FQU5fRUJJVCgyMDEwLDEwL","zI3LzIwMTAp&amp;WINDOW=FIRST_POPUP&amp;HEIGHT=450&amp;WIDTH=450&amp;START_MAXIMIZED=FALSE&amp;VAR:CALENDAR=US&amp;VAR:SYMBOL=057580&amp;VAR:INDEX=0"}</definedName>
    <definedName name="_510__FDSAUDITLINK__" hidden="1">{"fdsup://directions/FAT Viewer?action=UPDATE&amp;creator=factset&amp;DYN_ARGS=TRUE&amp;DOC_NAME=FAT:FQL_AUDITING_CLIENT_TEMPLATE.FAT&amp;display_string=Audit&amp;VAR:KEY=EDOZWNITQL&amp;VAR:QUERY=RkZfRU5UUlBSX1ZBTF9EQUlMWSgwNy8yMS8yMDEwLCwsLCwnRElMJykvRUNBX01FQU5fRUJJVERBKDIwMTIsM","DcvMjEvMjAxMCk=&amp;WINDOW=FIRST_POPUP&amp;HEIGHT=450&amp;WIDTH=450&amp;START_MAXIMIZED=FALSE&amp;VAR:CALENDAR=US&amp;VAR:SYMBOL=GD&amp;VAR:INDEX=0"}</definedName>
    <definedName name="_511__FDSAUDITLINK__" hidden="1">{"fdsup://directions/FAT Viewer?action=UPDATE&amp;creator=factset&amp;DYN_ARGS=TRUE&amp;DOC_NAME=FAT:FQL_AUDITING_CLIENT_TEMPLATE.FAT&amp;display_string=Audit&amp;VAR:KEY=QLMRWBKFIH&amp;VAR:QUERY=RkZfRU5UUlBSX1ZBTF9EQUlMWSgwNy8yMS8yMDEwLCwsLCwnRElMJykvRUNBX01FQU5fRUJJVERBKDIwMTEsM","DcvMjEvMjAxMCk=&amp;WINDOW=FIRST_POPUP&amp;HEIGHT=450&amp;WIDTH=450&amp;START_MAXIMIZED=FALSE&amp;VAR:CALENDAR=US&amp;VAR:SYMBOL=GD&amp;VAR:INDEX=0"}</definedName>
    <definedName name="_512__FDSAUDITLINK__" hidden="1">{"fdsup://directions/FAT Viewer?action=UPDATE&amp;creator=factset&amp;DYN_ARGS=TRUE&amp;DOC_NAME=FAT:FQL_AUDITING_CLIENT_TEMPLATE.FAT&amp;display_string=Audit&amp;VAR:KEY=GNYNIPURWJ&amp;VAR:QUERY=RkZfRU5UUlBSX1ZBTF9EQUlMWSgwNy8yMS8yMDEwLCwsLCwnRElMJykvRUNBX01FQU5fRUJJVERBKDIwMTAsM","DcvMjEvMjAxMCk=&amp;WINDOW=FIRST_POPUP&amp;HEIGHT=450&amp;WIDTH=450&amp;START_MAXIMIZED=FALSE&amp;VAR:CALENDAR=US&amp;VAR:SYMBOL=GD&amp;VAR:INDEX=0"}</definedName>
    <definedName name="_513__FDSAUDITLINK__" hidden="1">{"fdsup://directions/FAT Viewer?action=UPDATE&amp;creator=factset&amp;DYN_ARGS=TRUE&amp;DOC_NAME=FAT:FQL_AUDITING_CLIENT_TEMPLATE.FAT&amp;display_string=Audit&amp;VAR:KEY=INQNSFMHEJ&amp;VAR:QUERY=RkZfRU5UUlBSX1ZBTF9EQUlMWSgwNy8yMS8yMDEwLCwsLCwnRElMJykvRUNBX01FQU5fU0FMRVMoMjAxMiwwN","y8yMS8yMDEwKQ==&amp;WINDOW=FIRST_POPUP&amp;HEIGHT=450&amp;WIDTH=450&amp;START_MAXIMIZED=FALSE&amp;VAR:CALENDAR=US&amp;VAR:SYMBOL=UTX&amp;VAR:INDEX=0"}</definedName>
    <definedName name="_514__FDSAUDITLINK__" hidden="1">{"fdsup://directions/FAT Viewer?action=UPDATE&amp;creator=factset&amp;DYN_ARGS=TRUE&amp;DOC_NAME=FAT:FQL_AUDITING_CLIENT_TEMPLATE.FAT&amp;display_string=Audit&amp;VAR:KEY=IZSFCHGHSX&amp;VAR:QUERY=RkZfRU5UUlBSX1ZBTF9EQUlMWSgwNy8yMS8yMDEwLCwsLCwnRElMJykvRUNBX01FQU5fU0FMRVMoMjAxMSwwN","y8yMS8yMDEwKQ==&amp;WINDOW=FIRST_POPUP&amp;HEIGHT=450&amp;WIDTH=450&amp;START_MAXIMIZED=FALSE&amp;VAR:CALENDAR=US&amp;VAR:SYMBOL=UTX&amp;VAR:INDEX=0"}</definedName>
    <definedName name="_515__FDSAUDITLINK__" hidden="1">{"fdsup://directions/FAT Viewer?action=UPDATE&amp;creator=factset&amp;DYN_ARGS=TRUE&amp;DOC_NAME=FAT:FQL_AUDITING_CLIENT_TEMPLATE.FAT&amp;display_string=Audit&amp;VAR:KEY=IFSFWROTGV&amp;VAR:QUERY=RkZfRU5UUlBSX1ZBTF9EQUlMWSgwNy8yMS8yMDEwLCwsLCwnRElMJykvRUNBX01FQU5fU0FMRVMoMjAxMCwwN","y8yMS8yMDEwKQ==&amp;WINDOW=FIRST_POPUP&amp;HEIGHT=450&amp;WIDTH=450&amp;START_MAXIMIZED=FALSE&amp;VAR:CALENDAR=US&amp;VAR:SYMBOL=UTX&amp;VAR:INDEX=0"}</definedName>
    <definedName name="_516__FDSAUDITLINK__" hidden="1">{"fdsup://directions/FAT Viewer?action=UPDATE&amp;creator=factset&amp;DYN_ARGS=TRUE&amp;DOC_NAME=FAT:FQL_AUDITING_CLIENT_TEMPLATE.FAT&amp;display_string=Audit&amp;VAR:KEY=OVQXSVIBEH&amp;VAR:QUERY=RkZfRU5UUlBSX1ZBTF9EQUlMWSgwNy8yMS8yMDEwLCwsLCwnRElMJykvRUNBX01FQU5fRUJJVCgyMDEyLDA3L","zIxLzIwMTAp&amp;WINDOW=FIRST_POPUP&amp;HEIGHT=450&amp;WIDTH=450&amp;START_MAXIMIZED=FALSE&amp;VAR:CALENDAR=US&amp;VAR:SYMBOL=UTX&amp;VAR:INDEX=0"}</definedName>
    <definedName name="_517__FDSAUDITLINK__" hidden="1">{"fdsup://directions/FAT Viewer?action=UPDATE&amp;creator=factset&amp;DYN_ARGS=TRUE&amp;DOC_NAME=FAT:FQL_AUDITING_CLIENT_TEMPLATE.FAT&amp;display_string=Audit&amp;VAR:KEY=WXYBOZYRCH&amp;VAR:QUERY=RkZfRU5UUlBSX1ZBTF9EQUlMWSgwNy8yMS8yMDEwLCwsLCwnRElMJykvRUNBX01FQU5fRUJJVCgyMDExLDA3L","zIxLzIwMTAp&amp;WINDOW=FIRST_POPUP&amp;HEIGHT=450&amp;WIDTH=450&amp;START_MAXIMIZED=FALSE&amp;VAR:CALENDAR=US&amp;VAR:SYMBOL=UTX&amp;VAR:INDEX=0"}</definedName>
    <definedName name="_518__FDSAUDITLINK__" hidden="1">{"fdsup://directions/FAT Viewer?action=UPDATE&amp;creator=factset&amp;DYN_ARGS=TRUE&amp;DOC_NAME=FAT:FQL_AUDITING_CLIENT_TEMPLATE.FAT&amp;display_string=Audit&amp;VAR:KEY=UPOLKBSJEF&amp;VAR:QUERY=RkZfRU5UUlBSX1ZBTF9EQUlMWSgwNy8yMS8yMDEwLCwsLCwnRElMJykvRUNBX01FQU5fRUJJVCgyMDEwLDA3L","zIxLzIwMTAp&amp;WINDOW=FIRST_POPUP&amp;HEIGHT=450&amp;WIDTH=450&amp;START_MAXIMIZED=FALSE&amp;VAR:CALENDAR=US&amp;VAR:SYMBOL=UTX&amp;VAR:INDEX=0"}</definedName>
    <definedName name="_519__FDSAUDITLINK__" hidden="1">{"fdsup://directions/FAT Viewer?action=UPDATE&amp;creator=factset&amp;DYN_ARGS=TRUE&amp;DOC_NAME=FAT:FQL_AUDITING_CLIENT_TEMPLATE.FAT&amp;display_string=Audit&amp;VAR:KEY=OZIFUDINSR&amp;VAR:QUERY=RkZfRU5UUlBSX1ZBTF9EQUlMWSgwNy8yMS8yMDEwLCwsLCwnRElMJykvRUNBX01FQU5fRUJJVERBKDIwMTIsM","DcvMjEvMjAxMCk=&amp;WINDOW=FIRST_POPUP&amp;HEIGHT=450&amp;WIDTH=450&amp;START_MAXIMIZED=FALSE&amp;VAR:CALENDAR=US&amp;VAR:SYMBOL=UTX&amp;VAR:INDEX=0"}</definedName>
    <definedName name="_52__FDSAUDITLINK__" hidden="1">{"fdsup://directions/FAT Viewer?action=UPDATE&amp;creator=factset&amp;DYN_ARGS=TRUE&amp;DOC_NAME=FAT:FQL_AUDITING_CLIENT_TEMPLATE.FAT&amp;display_string=Audit&amp;VAR:KEY=GPURKBYLMZ&amp;VAR:QUERY=RkZfRU5UUlBSX1ZBTF9EQUlMWSgxMC8yNy8yMDEwLCwsLCwnRElMJykvRUNBX01FQU5fRUJJVERBKDIwMTIsM","TAvMjcvMjAxMCk=&amp;WINDOW=FIRST_POPUP&amp;HEIGHT=450&amp;WIDTH=450&amp;START_MAXIMIZED=FALSE&amp;VAR:CALENDAR=US&amp;VAR:SYMBOL=057580&amp;VAR:INDEX=0"}</definedName>
    <definedName name="_520__FDSAUDITLINK__" hidden="1">{"fdsup://directions/FAT Viewer?action=UPDATE&amp;creator=factset&amp;DYN_ARGS=TRUE&amp;DOC_NAME=FAT:FQL_AUDITING_CLIENT_TEMPLATE.FAT&amp;display_string=Audit&amp;VAR:KEY=OPWZOJWNSV&amp;VAR:QUERY=RkZfRU5UUlBSX1ZBTF9EQUlMWSgwNy8yMS8yMDEwLCwsLCwnRElMJykvRUNBX01FQU5fRUJJVERBKDIwMTEsM","DcvMjEvMjAxMCk=&amp;WINDOW=FIRST_POPUP&amp;HEIGHT=450&amp;WIDTH=450&amp;START_MAXIMIZED=FALSE&amp;VAR:CALENDAR=US&amp;VAR:SYMBOL=UTX&amp;VAR:INDEX=0"}</definedName>
    <definedName name="_521__FDSAUDITLINK__" hidden="1">{"fdsup://directions/FAT Viewer?action=UPDATE&amp;creator=factset&amp;DYN_ARGS=TRUE&amp;DOC_NAME=FAT:FQL_AUDITING_CLIENT_TEMPLATE.FAT&amp;display_string=Audit&amp;VAR:KEY=KNOBARIPOJ&amp;VAR:QUERY=RkZfRU5UUlBSX1ZBTF9EQUlMWSgwNy8yMS8yMDEwLCwsLCwnRElMJykvRUNBX01FQU5fRUJJVERBKDIwMTAsM","DcvMjEvMjAxMCk=&amp;WINDOW=FIRST_POPUP&amp;HEIGHT=450&amp;WIDTH=450&amp;START_MAXIMIZED=FALSE&amp;VAR:CALENDAR=US&amp;VAR:SYMBOL=UTX&amp;VAR:INDEX=0"}</definedName>
    <definedName name="_522__FDSAUDITLINK__" hidden="1">{"fdsup://directions/FAT Viewer?action=UPDATE&amp;creator=factset&amp;DYN_ARGS=TRUE&amp;DOC_NAME=FAT:FQL_AUDITING_CLIENT_TEMPLATE.FAT&amp;display_string=Audit&amp;VAR:KEY=BAHGHCHADY&amp;VAR:QUERY=RkZfRU5UUlBSX1ZBTF9EQUlMWSgwNy8yMS8yMDEwLCwsLCwnRElMJykvRUNBX01FQU5fU0FMRVMoMjAxMiwwN","y8yMS8yMDEwKQ==&amp;WINDOW=FIRST_POPUP&amp;HEIGHT=450&amp;WIDTH=450&amp;START_MAXIMIZED=FALSE&amp;VAR:CALENDAR=US&amp;VAR:SYMBOL=BA&amp;VAR:INDEX=0"}</definedName>
    <definedName name="_523__FDSAUDITLINK__" hidden="1">{"fdsup://directions/FAT Viewer?action=UPDATE&amp;creator=factset&amp;DYN_ARGS=TRUE&amp;DOC_NAME=FAT:FQL_AUDITING_CLIENT_TEMPLATE.FAT&amp;display_string=Audit&amp;VAR:KEY=LGNEBSLOFK&amp;VAR:QUERY=RkZfRU5UUlBSX1ZBTF9EQUlMWSgwNy8yMS8yMDEwLCwsLCwnRElMJykvRUNBX01FQU5fU0FMRVMoMjAxMSwwN","y8yMS8yMDEwKQ==&amp;WINDOW=FIRST_POPUP&amp;HEIGHT=450&amp;WIDTH=450&amp;START_MAXIMIZED=FALSE&amp;VAR:CALENDAR=US&amp;VAR:SYMBOL=BA&amp;VAR:INDEX=0"}</definedName>
    <definedName name="_524__FDSAUDITLINK__" hidden="1">{"fdsup://directions/FAT Viewer?action=UPDATE&amp;creator=factset&amp;DYN_ARGS=TRUE&amp;DOC_NAME=FAT:FQL_AUDITING_CLIENT_TEMPLATE.FAT&amp;display_string=Audit&amp;VAR:KEY=ZUVSZANGTC&amp;VAR:QUERY=RkZfRU5UUlBSX1ZBTF9EQUlMWSgwNy8yMS8yMDEwLCwsLCwnRElMJykvRUNBX01FQU5fU0FMRVMoMjAxMCwwN","y8yMS8yMDEwKQ==&amp;WINDOW=FIRST_POPUP&amp;HEIGHT=450&amp;WIDTH=450&amp;START_MAXIMIZED=FALSE&amp;VAR:CALENDAR=US&amp;VAR:SYMBOL=BA&amp;VAR:INDEX=0"}</definedName>
    <definedName name="_525__FDSAUDITLINK__" hidden="1">{"fdsup://directions/FAT Viewer?action=UPDATE&amp;creator=factset&amp;DYN_ARGS=TRUE&amp;DOC_NAME=FAT:FQL_AUDITING_CLIENT_TEMPLATE.FAT&amp;display_string=Audit&amp;VAR:KEY=ZQHEPCTOTY&amp;VAR:QUERY=RkZfRU5UUlBSX1ZBTF9EQUlMWSgwNy8yMS8yMDEwLCwsLCwnRElMJykvRUNBX01FQU5fRUJJVCgyMDEyLDA3L","zIxLzIwMTAp&amp;WINDOW=FIRST_POPUP&amp;HEIGHT=450&amp;WIDTH=450&amp;START_MAXIMIZED=FALSE&amp;VAR:CALENDAR=US&amp;VAR:SYMBOL=BA&amp;VAR:INDEX=0"}</definedName>
    <definedName name="_526__FDSAUDITLINK__" hidden="1">{"fdsup://directions/FAT Viewer?action=UPDATE&amp;creator=factset&amp;DYN_ARGS=TRUE&amp;DOC_NAME=FAT:FQL_AUDITING_CLIENT_TEMPLATE.FAT&amp;display_string=Audit&amp;VAR:KEY=LUHYHQHMRC&amp;VAR:QUERY=RkZfRU5UUlBSX1ZBTF9EQUlMWSgwNy8yMS8yMDEwLCwsLCwnRElMJykvRUNBX01FQU5fRUJJVCgyMDExLDA3L","zIxLzIwMTAp&amp;WINDOW=FIRST_POPUP&amp;HEIGHT=450&amp;WIDTH=450&amp;START_MAXIMIZED=FALSE&amp;VAR:CALENDAR=US&amp;VAR:SYMBOL=BA&amp;VAR:INDEX=0"}</definedName>
    <definedName name="_527__FDSAUDITLINK__" hidden="1">{"fdsup://directions/FAT Viewer?action=UPDATE&amp;creator=factset&amp;DYN_ARGS=TRUE&amp;DOC_NAME=FAT:FQL_AUDITING_CLIENT_TEMPLATE.FAT&amp;display_string=Audit&amp;VAR:KEY=RYRYTANIVO&amp;VAR:QUERY=RkZfRU5UUlBSX1ZBTF9EQUlMWSgwNy8yMS8yMDEwLCwsLCwnRElMJykvRUNBX01FQU5fRUJJVCgyMDEwLDA3L","zIxLzIwMTAp&amp;WINDOW=FIRST_POPUP&amp;HEIGHT=450&amp;WIDTH=450&amp;START_MAXIMIZED=FALSE&amp;VAR:CALENDAR=US&amp;VAR:SYMBOL=BA&amp;VAR:INDEX=0"}</definedName>
    <definedName name="_528__FDSAUDITLINK__" hidden="1">{"fdsup://directions/FAT Viewer?action=UPDATE&amp;creator=factset&amp;DYN_ARGS=TRUE&amp;DOC_NAME=FAT:FQL_AUDITING_CLIENT_TEMPLATE.FAT&amp;display_string=Audit&amp;VAR:KEY=HSFEVMJERY&amp;VAR:QUERY=RkZfRU5UUlBSX1ZBTF9EQUlMWSgwNy8yMS8yMDEwLCwsLCwnRElMJykvRUNBX01FQU5fRUJJVERBKDIwMTIsM","DcvMjEvMjAxMCk=&amp;WINDOW=FIRST_POPUP&amp;HEIGHT=450&amp;WIDTH=450&amp;START_MAXIMIZED=FALSE&amp;VAR:CALENDAR=US&amp;VAR:SYMBOL=BA&amp;VAR:INDEX=0"}</definedName>
    <definedName name="_529__FDSAUDITLINK__" hidden="1">{"fdsup://directions/FAT Viewer?action=UPDATE&amp;creator=factset&amp;DYN_ARGS=TRUE&amp;DOC_NAME=FAT:FQL_AUDITING_CLIENT_TEMPLATE.FAT&amp;display_string=Audit&amp;VAR:KEY=RQZGHSFSZQ&amp;VAR:QUERY=RkZfRU5UUlBSX1ZBTF9EQUlMWSgwNy8yMS8yMDEwLCwsLCwnRElMJykvRUNBX01FQU5fRUJJVERBKDIwMTEsM","DcvMjEvMjAxMCk=&amp;WINDOW=FIRST_POPUP&amp;HEIGHT=450&amp;WIDTH=450&amp;START_MAXIMIZED=FALSE&amp;VAR:CALENDAR=US&amp;VAR:SYMBOL=BA&amp;VAR:INDEX=0"}</definedName>
    <definedName name="_53__FDSAUDITLINK__" hidden="1">{"fdsup://directions/FAT Viewer?action=UPDATE&amp;creator=factset&amp;DYN_ARGS=TRUE&amp;DOC_NAME=FAT:FQL_AUDITING_CLIENT_TEMPLATE.FAT&amp;display_string=Audit&amp;VAR:KEY=QJWDOLKDAR&amp;VAR:QUERY=RkZfRU5UUlBSX1ZBTF9EQUlMWSgxMC8yNy8yMDEwLCwsLCwnRElMJykvRUNBX01FQU5fRUJJVERBKDIwMTEsM","TAvMjcvMjAxMCk=&amp;WINDOW=FIRST_POPUP&amp;HEIGHT=450&amp;WIDTH=450&amp;START_MAXIMIZED=FALSE&amp;VAR:CALENDAR=US&amp;VAR:SYMBOL=057580&amp;VAR:INDEX=0"}</definedName>
    <definedName name="_530__FDSAUDITLINK__" hidden="1">{"fdsup://directions/FAT Viewer?action=UPDATE&amp;creator=factset&amp;DYN_ARGS=TRUE&amp;DOC_NAME=FAT:FQL_AUDITING_CLIENT_TEMPLATE.FAT&amp;display_string=Audit&amp;VAR:KEY=BEREVWTQFG&amp;VAR:QUERY=RkZfRU5UUlBSX1ZBTF9EQUlMWSgwNy8yMS8yMDEwLCwsLCwnRElMJykvRUNBX01FQU5fRUJJVERBKDIwMTAsM","DcvMjEvMjAxMCk=&amp;WINDOW=FIRST_POPUP&amp;HEIGHT=450&amp;WIDTH=450&amp;START_MAXIMIZED=FALSE&amp;VAR:CALENDAR=US&amp;VAR:SYMBOL=BA&amp;VAR:INDEX=0"}</definedName>
    <definedName name="_531__FDSAUDITLINK__" hidden="1">{"fdsup://directions/FAT Viewer?action=UPDATE&amp;creator=factset&amp;DYN_ARGS=TRUE&amp;DOC_NAME=FAT:FQL_AUDITING_CLIENT_TEMPLATE.FAT&amp;display_string=Audit&amp;VAR:KEY=HYHEXQVGHC&amp;VAR:QUERY=RkZfRU5UUlBSX1ZBTF9EQUlMWSgwNy8yMS8yMDEwLCwsLCwnRElMJykvRUNBX01FQU5fU0FMRVMoMjAxMiwwN","y8yMS8yMDEwKQ==&amp;WINDOW=FIRST_POPUP&amp;HEIGHT=450&amp;WIDTH=450&amp;START_MAXIMIZED=FALSE&amp;VAR:CALENDAR=US&amp;VAR:SYMBOL=GD&amp;VAR:INDEX=0"}</definedName>
    <definedName name="_532__FDSAUDITLINK__" hidden="1">{"fdsup://directions/FAT Viewer?action=UPDATE&amp;creator=factset&amp;DYN_ARGS=TRUE&amp;DOC_NAME=FAT:FQL_AUDITING_CLIENT_TEMPLATE.FAT&amp;display_string=Audit&amp;VAR:KEY=PSROFSLOTO&amp;VAR:QUERY=RkZfRU5UUlBSX1ZBTF9EQUlMWSgwNy8yMS8yMDEwLCwsLCwnRElMJykvRUNBX01FQU5fU0FMRVMoMjAxMSwwN","y8yMS8yMDEwKQ==&amp;WINDOW=FIRST_POPUP&amp;HEIGHT=450&amp;WIDTH=450&amp;START_MAXIMIZED=FALSE&amp;VAR:CALENDAR=US&amp;VAR:SYMBOL=GD&amp;VAR:INDEX=0"}</definedName>
    <definedName name="_533__FDSAUDITLINK__" hidden="1">{"fdsup://directions/FAT Viewer?action=UPDATE&amp;creator=factset&amp;DYN_ARGS=TRUE&amp;DOC_NAME=FAT:FQL_AUDITING_CLIENT_TEMPLATE.FAT&amp;display_string=Audit&amp;VAR:KEY=DEZQRKFSVE&amp;VAR:QUERY=RkZfRU5UUlBSX1ZBTF9EQUlMWSgwNy8yMS8yMDEwLCwsLCwnRElMJykvRUNBX01FQU5fU0FMRVMoMjAxMCwwN","y8yMS8yMDEwKQ==&amp;WINDOW=FIRST_POPUP&amp;HEIGHT=450&amp;WIDTH=450&amp;START_MAXIMIZED=FALSE&amp;VAR:CALENDAR=US&amp;VAR:SYMBOL=GD&amp;VAR:INDEX=0"}</definedName>
    <definedName name="_534__FDSAUDITLINK__" hidden="1">{"fdsup://directions/FAT Viewer?action=UPDATE&amp;creator=factset&amp;DYN_ARGS=TRUE&amp;DOC_NAME=FAT:FQL_AUDITING_CLIENT_TEMPLATE.FAT&amp;display_string=Audit&amp;VAR:KEY=FOBADKRWZQ&amp;VAR:QUERY=RkZfRU5UUlBSX1ZBTF9EQUlMWSgwNy8yMS8yMDEwLCwsLCwnRElMJykvRUNBX01FQU5fRUJJVCgyMDEyLDA3L","zIxLzIwMTAp&amp;WINDOW=FIRST_POPUP&amp;HEIGHT=450&amp;WIDTH=450&amp;START_MAXIMIZED=FALSE&amp;VAR:CALENDAR=US&amp;VAR:SYMBOL=GD&amp;VAR:INDEX=0"}</definedName>
    <definedName name="_535__FDSAUDITLINK__" hidden="1">{"fdsup://directions/FAT Viewer?action=UPDATE&amp;creator=factset&amp;DYN_ARGS=TRUE&amp;DOC_NAME=FAT:FQL_AUDITING_CLIENT_TEMPLATE.FAT&amp;display_string=Audit&amp;VAR:KEY=TEDWDQJCBW&amp;VAR:QUERY=RkZfRU5UUlBSX1ZBTF9EQUlMWSgwNy8yMS8yMDEwLCwsLCwnRElMJykvRUNBX01FQU5fRUJJVCgyMDExLDA3L","zIxLzIwMTAp&amp;WINDOW=FIRST_POPUP&amp;HEIGHT=450&amp;WIDTH=450&amp;START_MAXIMIZED=FALSE&amp;VAR:CALENDAR=US&amp;VAR:SYMBOL=GD&amp;VAR:INDEX=0"}</definedName>
    <definedName name="_536__FDSAUDITLINK__" hidden="1">{"fdsup://directions/FAT Viewer?action=UPDATE&amp;creator=factset&amp;DYN_ARGS=TRUE&amp;DOC_NAME=FAT:FQL_AUDITING_CLIENT_TEMPLATE.FAT&amp;display_string=Audit&amp;VAR:KEY=RETUVMZEDA&amp;VAR:QUERY=RkZfRU5UUlBSX1ZBTF9EQUlMWSgwNy8yMS8yMDEwLCwsLCwnRElMJykvRUNBX01FQU5fRUJJVCgyMDEwLDA3L","zIxLzIwMTAp&amp;WINDOW=FIRST_POPUP&amp;HEIGHT=450&amp;WIDTH=450&amp;START_MAXIMIZED=FALSE&amp;VAR:CALENDAR=US&amp;VAR:SYMBOL=GD&amp;VAR:INDEX=0"}</definedName>
    <definedName name="_537__FDSAUDITLINK__" hidden="1">{"fdsup://directions/FAT Viewer?action=UPDATE&amp;creator=factset&amp;DYN_ARGS=TRUE&amp;DOC_NAME=FAT:FQL_AUDITING_CLIENT_TEMPLATE.FAT&amp;display_string=Audit&amp;VAR:KEY=RUFYJKRYFY&amp;VAR:QUERY=RkZfRU5UUlBSX1ZBTF9EQUlMWSgwNy8yMS8yMDEwLCwsLCwnRElMJykvRUNBX01FQU5fRUJJVERBKDIwMTIsM","DcvMjEvMjAxMCk=&amp;WINDOW=FIRST_POPUP&amp;HEIGHT=450&amp;WIDTH=450&amp;START_MAXIMIZED=FALSE&amp;VAR:CALENDAR=US&amp;VAR:SYMBOL=GD&amp;VAR:INDEX=0"}</definedName>
    <definedName name="_538__FDSAUDITLINK__" hidden="1">{"fdsup://directions/FAT Viewer?action=UPDATE&amp;creator=factset&amp;DYN_ARGS=TRUE&amp;DOC_NAME=FAT:FQL_AUDITING_CLIENT_TEMPLATE.FAT&amp;display_string=Audit&amp;VAR:KEY=BIBMLEDIJG&amp;VAR:QUERY=RkZfRU5UUlBSX1ZBTF9EQUlMWSgwNy8yMS8yMDEwLCwsLCwnRElMJykvRUNBX01FQU5fRUJJVERBKDIwMTEsM","DcvMjEvMjAxMCk=&amp;WINDOW=FIRST_POPUP&amp;HEIGHT=450&amp;WIDTH=450&amp;START_MAXIMIZED=FALSE&amp;VAR:CALENDAR=US&amp;VAR:SYMBOL=GD&amp;VAR:INDEX=0"}</definedName>
    <definedName name="_539__FDSAUDITLINK__" hidden="1">{"fdsup://directions/FAT Viewer?action=UPDATE&amp;creator=factset&amp;DYN_ARGS=TRUE&amp;DOC_NAME=FAT:FQL_AUDITING_CLIENT_TEMPLATE.FAT&amp;display_string=Audit&amp;VAR:KEY=FYBETKJIJO&amp;VAR:QUERY=RkZfRU5UUlBSX1ZBTF9EQUlMWSgwNy8yMS8yMDEwLCwsLCwnRElMJykvRUNBX01FQU5fRUJJVERBKDIwMTAsM","DcvMjEvMjAxMCk=&amp;WINDOW=FIRST_POPUP&amp;HEIGHT=450&amp;WIDTH=450&amp;START_MAXIMIZED=FALSE&amp;VAR:CALENDAR=US&amp;VAR:SYMBOL=GD&amp;VAR:INDEX=0"}</definedName>
    <definedName name="_54__FDSAUDITLINK__" hidden="1">{"fdsup://directions/FAT Viewer?action=UPDATE&amp;creator=factset&amp;DYN_ARGS=TRUE&amp;DOC_NAME=FAT:FQL_AUDITING_CLIENT_TEMPLATE.FAT&amp;display_string=Audit&amp;VAR:KEY=ONGJMNEZEF&amp;VAR:QUERY=RkZfRU5UUlBSX1ZBTF9EQUlMWSgxMC8yNy8yMDEwLCwsLCwnRElMJykvRUNBX01FQU5fRUJJVERBKDIwMTAsM","TAvMjcvMjAxMCk=&amp;WINDOW=FIRST_POPUP&amp;HEIGHT=450&amp;WIDTH=450&amp;START_MAXIMIZED=FALSE&amp;VAR:CALENDAR=US&amp;VAR:SYMBOL=057580&amp;VAR:INDEX=0"}</definedName>
    <definedName name="_540__FDSAUDITLINK__" hidden="1">{"fdsup://directions/FAT Viewer?action=UPDATE&amp;creator=factset&amp;DYN_ARGS=TRUE&amp;DOC_NAME=FAT:FQL_AUDITING_CLIENT_TEMPLATE.FAT&amp;display_string=Audit&amp;VAR:KEY=BOZEHGFQLM&amp;VAR:QUERY=RkZfRU5UUlBSX1ZBTF9EQUlMWSgwNy8yMS8yMDEwLCwsLCwnRElMJykvRUNBX01FQU5fU0FMRVMoMjAxMiwwN","y8yMS8yMDEwKQ==&amp;WINDOW=FIRST_POPUP&amp;HEIGHT=450&amp;WIDTH=450&amp;START_MAXIMIZED=FALSE&amp;VAR:CALENDAR=US&amp;VAR:SYMBOL=UTX&amp;VAR:INDEX=0"}</definedName>
    <definedName name="_541__FDSAUDITLINK__" hidden="1">{"fdsup://directions/FAT Viewer?action=UPDATE&amp;creator=factset&amp;DYN_ARGS=TRUE&amp;DOC_NAME=FAT:FQL_AUDITING_CLIENT_TEMPLATE.FAT&amp;display_string=Audit&amp;VAR:KEY=RWNQLMTWJO&amp;VAR:QUERY=RkZfRU5UUlBSX1ZBTF9EQUlMWSgwNy8yMS8yMDEwLCwsLCwnRElMJykvRUNBX01FQU5fU0FMRVMoMjAxMSwwN","y8yMS8yMDEwKQ==&amp;WINDOW=FIRST_POPUP&amp;HEIGHT=450&amp;WIDTH=450&amp;START_MAXIMIZED=FALSE&amp;VAR:CALENDAR=US&amp;VAR:SYMBOL=UTX&amp;VAR:INDEX=0"}</definedName>
    <definedName name="_542__FDSAUDITLINK__" hidden="1">{"fdsup://directions/FAT Viewer?action=UPDATE&amp;creator=factset&amp;DYN_ARGS=TRUE&amp;DOC_NAME=FAT:FQL_AUDITING_CLIENT_TEMPLATE.FAT&amp;display_string=Audit&amp;VAR:KEY=DADCFKVUTS&amp;VAR:QUERY=RkZfRU5UUlBSX1ZBTF9EQUlMWSgwNy8yMS8yMDEwLCwsLCwnRElMJykvRUNBX01FQU5fU0FMRVMoMjAxMCwwN","y8yMS8yMDEwKQ==&amp;WINDOW=FIRST_POPUP&amp;HEIGHT=450&amp;WIDTH=450&amp;START_MAXIMIZED=FALSE&amp;VAR:CALENDAR=US&amp;VAR:SYMBOL=UTX&amp;VAR:INDEX=0"}</definedName>
    <definedName name="_543__FDSAUDITLINK__" hidden="1">{"fdsup://directions/FAT Viewer?action=UPDATE&amp;creator=factset&amp;DYN_ARGS=TRUE&amp;DOC_NAME=FAT:FQL_AUDITING_CLIENT_TEMPLATE.FAT&amp;display_string=Audit&amp;VAR:KEY=NURGVAJMZI&amp;VAR:QUERY=RkZfRU5UUlBSX1ZBTF9EQUlMWSgwNy8yMS8yMDEwLCwsLCwnRElMJykvRUNBX01FQU5fRUJJVCgyMDEyLDA3L","zIxLzIwMTAp&amp;WINDOW=FIRST_POPUP&amp;HEIGHT=450&amp;WIDTH=450&amp;START_MAXIMIZED=FALSE&amp;VAR:CALENDAR=US&amp;VAR:SYMBOL=UTX&amp;VAR:INDEX=0"}</definedName>
    <definedName name="_544__FDSAUDITLINK__" hidden="1">{"fdsup://directions/FAT Viewer?action=UPDATE&amp;creator=factset&amp;DYN_ARGS=TRUE&amp;DOC_NAME=FAT:FQL_AUDITING_CLIENT_TEMPLATE.FAT&amp;display_string=Audit&amp;VAR:KEY=XUHOVKDEVU&amp;VAR:QUERY=RkZfRU5UUlBSX1ZBTF9EQUlMWSgwNy8yMS8yMDEwLCwsLCwnRElMJykvRUNBX01FQU5fRUJJVCgyMDExLDA3L","zIxLzIwMTAp&amp;WINDOW=FIRST_POPUP&amp;HEIGHT=450&amp;WIDTH=450&amp;START_MAXIMIZED=FALSE&amp;VAR:CALENDAR=US&amp;VAR:SYMBOL=UTX&amp;VAR:INDEX=0"}</definedName>
    <definedName name="_545__FDSAUDITLINK__" hidden="1">{"fdsup://directions/FAT Viewer?action=UPDATE&amp;creator=factset&amp;DYN_ARGS=TRUE&amp;DOC_NAME=FAT:FQL_AUDITING_CLIENT_TEMPLATE.FAT&amp;display_string=Audit&amp;VAR:KEY=RKNALSTGBM&amp;VAR:QUERY=RkZfRU5UUlBSX1ZBTF9EQUlMWSgwNy8yMS8yMDEwLCwsLCwnRElMJykvRUNBX01FQU5fRUJJVCgyMDEwLDA3L","zIxLzIwMTAp&amp;WINDOW=FIRST_POPUP&amp;HEIGHT=450&amp;WIDTH=450&amp;START_MAXIMIZED=FALSE&amp;VAR:CALENDAR=US&amp;VAR:SYMBOL=UTX&amp;VAR:INDEX=0"}</definedName>
    <definedName name="_546__FDSAUDITLINK__" hidden="1">{"fdsup://directions/FAT Viewer?action=UPDATE&amp;creator=factset&amp;DYN_ARGS=TRUE&amp;DOC_NAME=FAT:FQL_AUDITING_CLIENT_TEMPLATE.FAT&amp;display_string=Audit&amp;VAR:KEY=HQLARYFAJY&amp;VAR:QUERY=RkZfRU5UUlBSX1ZBTF9EQUlMWSgwNy8yMS8yMDEwLCwsLCwnRElMJykvRUNBX01FQU5fRUJJVERBKDIwMTIsM","DcvMjEvMjAxMCk=&amp;WINDOW=FIRST_POPUP&amp;HEIGHT=450&amp;WIDTH=450&amp;START_MAXIMIZED=FALSE&amp;VAR:CALENDAR=US&amp;VAR:SYMBOL=UTX&amp;VAR:INDEX=0"}</definedName>
    <definedName name="_547__FDSAUDITLINK__" hidden="1">{"fdsup://directions/FAT Viewer?action=UPDATE&amp;creator=factset&amp;DYN_ARGS=TRUE&amp;DOC_NAME=FAT:FQL_AUDITING_CLIENT_TEMPLATE.FAT&amp;display_string=Audit&amp;VAR:KEY=TMTYDOJSXM&amp;VAR:QUERY=RkZfRU5UUlBSX1ZBTF9EQUlMWSgwNy8yMS8yMDEwLCwsLCwnRElMJykvRUNBX01FQU5fRUJJVERBKDIwMTEsM","DcvMjEvMjAxMCk=&amp;WINDOW=FIRST_POPUP&amp;HEIGHT=450&amp;WIDTH=450&amp;START_MAXIMIZED=FALSE&amp;VAR:CALENDAR=US&amp;VAR:SYMBOL=UTX&amp;VAR:INDEX=0"}</definedName>
    <definedName name="_548__FDSAUDITLINK__" hidden="1">{"fdsup://directions/FAT Viewer?action=UPDATE&amp;creator=factset&amp;DYN_ARGS=TRUE&amp;DOC_NAME=FAT:FQL_AUDITING_CLIENT_TEMPLATE.FAT&amp;display_string=Audit&amp;VAR:KEY=HONKDIBIRM&amp;VAR:QUERY=RkZfRU5UUlBSX1ZBTF9EQUlMWSgwNy8yMS8yMDEwLCwsLCwnRElMJykvRUNBX01FQU5fRUJJVERBKDIwMTAsM","DcvMjEvMjAxMCk=&amp;WINDOW=FIRST_POPUP&amp;HEIGHT=450&amp;WIDTH=450&amp;START_MAXIMIZED=FALSE&amp;VAR:CALENDAR=US&amp;VAR:SYMBOL=UTX&amp;VAR:INDEX=0"}</definedName>
    <definedName name="_549__FDSAUDITLINK__" hidden="1">{"fdsup://directions/FAT Viewer?action=UPDATE&amp;creator=factset&amp;DYN_ARGS=TRUE&amp;DOC_NAME=FAT:FQL_AUDITING_CLIENT_TEMPLATE.FAT&amp;display_string=Audit&amp;VAR:KEY=BIZIRGFGXM&amp;VAR:QUERY=RkZfRU5UUlBSX1ZBTF9EQUlMWSgwNy8zMC8yMDEwLCwsLCwnRElMJykvRUNBX01FQU5fU0FMRVMoMjAxMiwwN","y8zMC8yMDEwKQ==&amp;WINDOW=FIRST_POPUP&amp;HEIGHT=450&amp;WIDTH=450&amp;START_MAXIMIZED=FALSE&amp;VAR:CALENDAR=US&amp;VAR:SYMBOL=BA&amp;VAR:INDEX=0"}</definedName>
    <definedName name="_55__FDSAUDITLINK__" hidden="1">{"fdsup://directions/FAT Viewer?action=UPDATE&amp;creator=factset&amp;DYN_ARGS=TRUE&amp;DOC_NAME=FAT:FQL_AUDITING_CLIENT_TEMPLATE.FAT&amp;display_string=Audit&amp;VAR:KEY=CVOXUBYTWV&amp;VAR:QUERY=RkZfRU5UUlBSX1ZBTF9EQUlMWSgxMC8yNy8yMDEwLCwsLCwnRElMJykvRUNBX01FQU5fU0FMRVMoMjAxMiwxM","C8yNy8yMDEwKQ==&amp;WINDOW=FIRST_POPUP&amp;HEIGHT=450&amp;WIDTH=450&amp;START_MAXIMIZED=FALSE&amp;VAR:CALENDAR=US&amp;VAR:SYMBOL=PCP&amp;VAR:INDEX=0"}</definedName>
    <definedName name="_550__FDSAUDITLINK__" hidden="1">{"fdsup://directions/FAT Viewer?action=UPDATE&amp;creator=factset&amp;DYN_ARGS=TRUE&amp;DOC_NAME=FAT:FQL_AUDITING_CLIENT_TEMPLATE.FAT&amp;display_string=Audit&amp;VAR:KEY=DWNYHUZOPU&amp;VAR:QUERY=RkZfRU5UUlBSX1ZBTF9EQUlMWSgwNy8zMC8yMDEwLCwsLCwnRElMJykvRUNBX01FQU5fU0FMRVMoMjAxMSwwN","y8zMC8yMDEwKQ==&amp;WINDOW=FIRST_POPUP&amp;HEIGHT=450&amp;WIDTH=450&amp;START_MAXIMIZED=FALSE&amp;VAR:CALENDAR=US&amp;VAR:SYMBOL=BA&amp;VAR:INDEX=0"}</definedName>
    <definedName name="_551__FDSAUDITLINK__" hidden="1">{"fdsup://directions/FAT Viewer?action=UPDATE&amp;creator=factset&amp;DYN_ARGS=TRUE&amp;DOC_NAME=FAT:FQL_AUDITING_CLIENT_TEMPLATE.FAT&amp;display_string=Audit&amp;VAR:KEY=XMJYRKXSRY&amp;VAR:QUERY=RkZfRU5UUlBSX1ZBTF9EQUlMWSgwNy8zMC8yMDEwLCwsLCwnRElMJykvRUNBX01FQU5fU0FMRVMoMjAxMCwwN","y8zMC8yMDEwKQ==&amp;WINDOW=FIRST_POPUP&amp;HEIGHT=450&amp;WIDTH=450&amp;START_MAXIMIZED=FALSE&amp;VAR:CALENDAR=US&amp;VAR:SYMBOL=BA&amp;VAR:INDEX=0"}</definedName>
    <definedName name="_552__FDSAUDITLINK__" hidden="1">{"fdsup://directions/FAT Viewer?action=UPDATE&amp;creator=factset&amp;DYN_ARGS=TRUE&amp;DOC_NAME=FAT:FQL_AUDITING_CLIENT_TEMPLATE.FAT&amp;display_string=Audit&amp;VAR:KEY=NSVAXADCXC&amp;VAR:QUERY=RkZfRU5UUlBSX1ZBTF9EQUlMWSgwNy8zMC8yMDEwLCwsLCwnRElMJykvRUNBX01FQU5fRUJJVCgyMDEyLDA3L","zMwLzIwMTAp&amp;WINDOW=FIRST_POPUP&amp;HEIGHT=450&amp;WIDTH=450&amp;START_MAXIMIZED=FALSE&amp;VAR:CALENDAR=US&amp;VAR:SYMBOL=BA&amp;VAR:INDEX=0"}</definedName>
    <definedName name="_553__FDSAUDITLINK__" hidden="1">{"fdsup://directions/FAT Viewer?action=UPDATE&amp;creator=factset&amp;DYN_ARGS=TRUE&amp;DOC_NAME=FAT:FQL_AUDITING_CLIENT_TEMPLATE.FAT&amp;display_string=Audit&amp;VAR:KEY=TQLWZIPURW&amp;VAR:QUERY=RkZfRU5UUlBSX1ZBTF9EQUlMWSgwNy8zMC8yMDEwLCwsLCwnRElMJykvRUNBX01FQU5fRUJJVCgyMDExLDA3L","zMwLzIwMTAp&amp;WINDOW=FIRST_POPUP&amp;HEIGHT=450&amp;WIDTH=450&amp;START_MAXIMIZED=FALSE&amp;VAR:CALENDAR=US&amp;VAR:SYMBOL=BA&amp;VAR:INDEX=0"}</definedName>
    <definedName name="_554__FDSAUDITLINK__" hidden="1">{"fdsup://directions/FAT Viewer?action=UPDATE&amp;creator=factset&amp;DYN_ARGS=TRUE&amp;DOC_NAME=FAT:FQL_AUDITING_CLIENT_TEMPLATE.FAT&amp;display_string=Audit&amp;VAR:KEY=TSDMZMTWNG&amp;VAR:QUERY=RkZfRU5UUlBSX1ZBTF9EQUlMWSgwNy8zMC8yMDEwLCwsLCwnRElMJykvRUNBX01FQU5fRUJJVCgyMDEwLDA3L","zMwLzIwMTAp&amp;WINDOW=FIRST_POPUP&amp;HEIGHT=450&amp;WIDTH=450&amp;START_MAXIMIZED=FALSE&amp;VAR:CALENDAR=US&amp;VAR:SYMBOL=BA&amp;VAR:INDEX=0"}</definedName>
    <definedName name="_555__FDSAUDITLINK__" hidden="1">{"fdsup://directions/FAT Viewer?action=UPDATE&amp;creator=factset&amp;DYN_ARGS=TRUE&amp;DOC_NAME=FAT:FQL_AUDITING_CLIENT_TEMPLATE.FAT&amp;display_string=Audit&amp;VAR:KEY=FGTKHQRQPW&amp;VAR:QUERY=RkZfRU5UUlBSX1ZBTF9EQUlMWSgwNy8zMC8yMDEwLCwsLCwnRElMJykvRUNBX01FQU5fRUJJVERBKDIwMTIsM","DcvMzAvMjAxMCk=&amp;WINDOW=FIRST_POPUP&amp;HEIGHT=450&amp;WIDTH=450&amp;START_MAXIMIZED=FALSE&amp;VAR:CALENDAR=US&amp;VAR:SYMBOL=BA&amp;VAR:INDEX=0"}</definedName>
    <definedName name="_556__FDSAUDITLINK__" hidden="1">{"fdsup://directions/FAT Viewer?action=UPDATE&amp;creator=factset&amp;DYN_ARGS=TRUE&amp;DOC_NAME=FAT:FQL_AUDITING_CLIENT_TEMPLATE.FAT&amp;display_string=Audit&amp;VAR:KEY=DSVMBUFKDU&amp;VAR:QUERY=RkZfRU5UUlBSX1ZBTF9EQUlMWSgwNy8zMC8yMDEwLCwsLCwnRElMJykvRUNBX01FQU5fRUJJVERBKDIwMTEsM","DcvMzAvMjAxMCk=&amp;WINDOW=FIRST_POPUP&amp;HEIGHT=450&amp;WIDTH=450&amp;START_MAXIMIZED=FALSE&amp;VAR:CALENDAR=US&amp;VAR:SYMBOL=BA&amp;VAR:INDEX=0"}</definedName>
    <definedName name="_557__FDSAUDITLINK__" hidden="1">{"fdsup://directions/FAT Viewer?action=UPDATE&amp;creator=factset&amp;DYN_ARGS=TRUE&amp;DOC_NAME=FAT:FQL_AUDITING_CLIENT_TEMPLATE.FAT&amp;display_string=Audit&amp;VAR:KEY=LCJETUNWTM&amp;VAR:QUERY=RkZfRU5UUlBSX1ZBTF9EQUlMWSgwNy8zMC8yMDEwLCwsLCwnRElMJykvRUNBX01FQU5fRUJJVERBKDIwMTAsM","DcvMzAvMjAxMCk=&amp;WINDOW=FIRST_POPUP&amp;HEIGHT=450&amp;WIDTH=450&amp;START_MAXIMIZED=FALSE&amp;VAR:CALENDAR=US&amp;VAR:SYMBOL=BA&amp;VAR:INDEX=0"}</definedName>
    <definedName name="_558__FDSAUDITLINK__" hidden="1">{"fdsup://directions/FAT Viewer?action=UPDATE&amp;creator=factset&amp;DYN_ARGS=TRUE&amp;DOC_NAME=FAT:FQL_AUDITING_CLIENT_TEMPLATE.FAT&amp;display_string=Audit&amp;VAR:KEY=JGLKJSLWNM&amp;VAR:QUERY=RkZfRU5UUlBSX1ZBTF9EQUlMWSgwNy8zMC8yMDEwLCwsLCwnRElMJykvRUNBX01FQU5fU0FMRVMoMjAxMiwwN","y8zMC8yMDEwKQ==&amp;WINDOW=FIRST_POPUP&amp;HEIGHT=450&amp;WIDTH=450&amp;START_MAXIMIZED=FALSE&amp;VAR:CALENDAR=US&amp;VAR:SYMBOL=GD&amp;VAR:INDEX=0"}</definedName>
    <definedName name="_559__FDSAUDITLINK__" hidden="1">{"fdsup://directions/FAT Viewer?action=UPDATE&amp;creator=factset&amp;DYN_ARGS=TRUE&amp;DOC_NAME=FAT:FQL_AUDITING_CLIENT_TEMPLATE.FAT&amp;display_string=Audit&amp;VAR:KEY=DMPUNMPING&amp;VAR:QUERY=RkZfRU5UUlBSX1ZBTF9EQUlMWSgwNy8zMC8yMDEwLCwsLCwnRElMJykvRUNBX01FQU5fU0FMRVMoMjAxMSwwN","y8zMC8yMDEwKQ==&amp;WINDOW=FIRST_POPUP&amp;HEIGHT=450&amp;WIDTH=450&amp;START_MAXIMIZED=FALSE&amp;VAR:CALENDAR=US&amp;VAR:SYMBOL=GD&amp;VAR:INDEX=0"}</definedName>
    <definedName name="_56__FDSAUDITLINK__" hidden="1">{"fdsup://directions/FAT Viewer?action=UPDATE&amp;creator=factset&amp;DYN_ARGS=TRUE&amp;DOC_NAME=FAT:FQL_AUDITING_CLIENT_TEMPLATE.FAT&amp;display_string=Audit&amp;VAR:KEY=WXQVSJKXEH&amp;VAR:QUERY=RkZfRU5UUlBSX1ZBTF9EQUlMWSgxMC8yNy8yMDEwLCwsLCwnRElMJykvRUNBX01FQU5fU0FMRVMoMjAxMSwxM","C8yNy8yMDEwKQ==&amp;WINDOW=FIRST_POPUP&amp;HEIGHT=450&amp;WIDTH=450&amp;START_MAXIMIZED=FALSE&amp;VAR:CALENDAR=US&amp;VAR:SYMBOL=PCP&amp;VAR:INDEX=0"}</definedName>
    <definedName name="_560__FDSAUDITLINK__" hidden="1">{"fdsup://directions/FAT Viewer?action=UPDATE&amp;creator=factset&amp;DYN_ARGS=TRUE&amp;DOC_NAME=FAT:FQL_AUDITING_CLIENT_TEMPLATE.FAT&amp;display_string=Audit&amp;VAR:KEY=XQLGJENONM&amp;VAR:QUERY=RkZfRU5UUlBSX1ZBTF9EQUlMWSgwNy8zMC8yMDEwLCwsLCwnRElMJykvRUNBX01FQU5fU0FMRVMoMjAxMCwwN","y8zMC8yMDEwKQ==&amp;WINDOW=FIRST_POPUP&amp;HEIGHT=450&amp;WIDTH=450&amp;START_MAXIMIZED=FALSE&amp;VAR:CALENDAR=US&amp;VAR:SYMBOL=GD&amp;VAR:INDEX=0"}</definedName>
    <definedName name="_561__FDSAUDITLINK__" hidden="1">{"fdsup://directions/FAT Viewer?action=UPDATE&amp;creator=factset&amp;DYN_ARGS=TRUE&amp;DOC_NAME=FAT:FQL_AUDITING_CLIENT_TEMPLATE.FAT&amp;display_string=Audit&amp;VAR:KEY=DQNYHKPYXM&amp;VAR:QUERY=RkZfRU5UUlBSX1ZBTF9EQUlMWSgwNy8zMC8yMDEwLCwsLCwnRElMJykvRUNBX01FQU5fRUJJVCgyMDEyLDA3L","zMwLzIwMTAp&amp;WINDOW=FIRST_POPUP&amp;HEIGHT=450&amp;WIDTH=450&amp;START_MAXIMIZED=FALSE&amp;VAR:CALENDAR=US&amp;VAR:SYMBOL=GD&amp;VAR:INDEX=0"}</definedName>
    <definedName name="_562__FDSAUDITLINK__" hidden="1">{"fdsup://directions/FAT Viewer?action=UPDATE&amp;creator=factset&amp;DYN_ARGS=TRUE&amp;DOC_NAME=FAT:FQL_AUDITING_CLIENT_TEMPLATE.FAT&amp;display_string=Audit&amp;VAR:KEY=XQLCVWFGTI&amp;VAR:QUERY=RkZfRU5UUlBSX1ZBTF9EQUlMWSgwNy8zMC8yMDEwLCwsLCwnRElMJykvRUNBX01FQU5fRUJJVCgyMDExLDA3L","zMwLzIwMTAp&amp;WINDOW=FIRST_POPUP&amp;HEIGHT=450&amp;WIDTH=450&amp;START_MAXIMIZED=FALSE&amp;VAR:CALENDAR=US&amp;VAR:SYMBOL=GD&amp;VAR:INDEX=0"}</definedName>
    <definedName name="_563__FDSAUDITLINK__" hidden="1">{"fdsup://directions/FAT Viewer?action=UPDATE&amp;creator=factset&amp;DYN_ARGS=TRUE&amp;DOC_NAME=FAT:FQL_AUDITING_CLIENT_TEMPLATE.FAT&amp;display_string=Audit&amp;VAR:KEY=RQXOXSROXE&amp;VAR:QUERY=RkZfRU5UUlBSX1ZBTF9EQUlMWSgwNy8zMC8yMDEwLCwsLCwnRElMJykvRUNBX01FQU5fRUJJVCgyMDEwLDA3L","zMwLzIwMTAp&amp;WINDOW=FIRST_POPUP&amp;HEIGHT=450&amp;WIDTH=450&amp;START_MAXIMIZED=FALSE&amp;VAR:CALENDAR=US&amp;VAR:SYMBOL=GD&amp;VAR:INDEX=0"}</definedName>
    <definedName name="_564__FDSAUDITLINK__" hidden="1">{"fdsup://directions/FAT Viewer?action=UPDATE&amp;creator=factset&amp;DYN_ARGS=TRUE&amp;DOC_NAME=FAT:FQL_AUDITING_CLIENT_TEMPLATE.FAT&amp;display_string=Audit&amp;VAR:KEY=XUTUNUFINU&amp;VAR:QUERY=RkZfRU5UUlBSX1ZBTF9EQUlMWSgwNy8zMC8yMDEwLCwsLCwnRElMJykvRUNBX01FQU5fRUJJVERBKDIwMTIsM","DcvMzAvMjAxMCk=&amp;WINDOW=FIRST_POPUP&amp;HEIGHT=450&amp;WIDTH=450&amp;START_MAXIMIZED=FALSE&amp;VAR:CALENDAR=US&amp;VAR:SYMBOL=GD&amp;VAR:INDEX=0"}</definedName>
    <definedName name="_565__FDSAUDITLINK__" hidden="1">{"fdsup://directions/FAT Viewer?action=UPDATE&amp;creator=factset&amp;DYN_ARGS=TRUE&amp;DOC_NAME=FAT:FQL_AUDITING_CLIENT_TEMPLATE.FAT&amp;display_string=Audit&amp;VAR:KEY=PQBQNKTMVM&amp;VAR:QUERY=RkZfRU5UUlBSX1ZBTF9EQUlMWSgwNy8zMC8yMDEwLCwsLCwnRElMJykvRUNBX01FQU5fRUJJVERBKDIwMTEsM","DcvMzAvMjAxMCk=&amp;WINDOW=FIRST_POPUP&amp;HEIGHT=450&amp;WIDTH=450&amp;START_MAXIMIZED=FALSE&amp;VAR:CALENDAR=US&amp;VAR:SYMBOL=GD&amp;VAR:INDEX=0"}</definedName>
    <definedName name="_566__FDSAUDITLINK__" hidden="1">{"fdsup://directions/FAT Viewer?action=UPDATE&amp;creator=factset&amp;DYN_ARGS=TRUE&amp;DOC_NAME=FAT:FQL_AUDITING_CLIENT_TEMPLATE.FAT&amp;display_string=Audit&amp;VAR:KEY=LUJMPKLWJS&amp;VAR:QUERY=RkZfRU5UUlBSX1ZBTF9EQUlMWSgwNy8zMC8yMDEwLCwsLCwnRElMJykvRUNBX01FQU5fRUJJVERBKDIwMTAsM","DcvMzAvMjAxMCk=&amp;WINDOW=FIRST_POPUP&amp;HEIGHT=450&amp;WIDTH=450&amp;START_MAXIMIZED=FALSE&amp;VAR:CALENDAR=US&amp;VAR:SYMBOL=GD&amp;VAR:INDEX=0"}</definedName>
    <definedName name="_567__FDSAUDITLINK__" hidden="1">{"fdsup://directions/FAT Viewer?action=UPDATE&amp;creator=factset&amp;DYN_ARGS=TRUE&amp;DOC_NAME=FAT:FQL_AUDITING_CLIENT_TEMPLATE.FAT&amp;display_string=Audit&amp;VAR:KEY=ZQNQTWTEPC&amp;VAR:QUERY=RkZfRU5UUlBSX1ZBTF9EQUlMWSgwNy8zMC8yMDEwLCwsLCwnRElMJykvRUNBX01FQU5fU0FMRVMoMjAxMiwwN","y8zMC8yMDEwKQ==&amp;WINDOW=FIRST_POPUP&amp;HEIGHT=450&amp;WIDTH=450&amp;START_MAXIMIZED=FALSE&amp;VAR:CALENDAR=US&amp;VAR:SYMBOL=UTX&amp;VAR:INDEX=0"}</definedName>
    <definedName name="_568__FDSAUDITLINK__" hidden="1">{"fdsup://directions/FAT Viewer?action=UPDATE&amp;creator=factset&amp;DYN_ARGS=TRUE&amp;DOC_NAME=FAT:FQL_AUDITING_CLIENT_TEMPLATE.FAT&amp;display_string=Audit&amp;VAR:KEY=RUZKNGHURC&amp;VAR:QUERY=RkZfRU5UUlBSX1ZBTF9EQUlMWSgwNy8zMC8yMDEwLCwsLCwnRElMJykvRUNBX01FQU5fU0FMRVMoMjAxMSwwN","y8zMC8yMDEwKQ==&amp;WINDOW=FIRST_POPUP&amp;HEIGHT=450&amp;WIDTH=450&amp;START_MAXIMIZED=FALSE&amp;VAR:CALENDAR=US&amp;VAR:SYMBOL=UTX&amp;VAR:INDEX=0"}</definedName>
    <definedName name="_569__FDSAUDITLINK__" hidden="1">{"fdsup://directions/FAT Viewer?action=UPDATE&amp;creator=factset&amp;DYN_ARGS=TRUE&amp;DOC_NAME=FAT:FQL_AUDITING_CLIENT_TEMPLATE.FAT&amp;display_string=Audit&amp;VAR:KEY=NYZQZOVYZU&amp;VAR:QUERY=RkZfRU5UUlBSX1ZBTF9EQUlMWSgwNy8zMC8yMDEwLCwsLCwnRElMJykvRUNBX01FQU5fU0FMRVMoMjAxMCwwN","y8zMC8yMDEwKQ==&amp;WINDOW=FIRST_POPUP&amp;HEIGHT=450&amp;WIDTH=450&amp;START_MAXIMIZED=FALSE&amp;VAR:CALENDAR=US&amp;VAR:SYMBOL=UTX&amp;VAR:INDEX=0"}</definedName>
    <definedName name="_57__FDSAUDITLINK__" hidden="1">{"fdsup://directions/FAT Viewer?action=UPDATE&amp;creator=factset&amp;DYN_ARGS=TRUE&amp;DOC_NAME=FAT:FQL_AUDITING_CLIENT_TEMPLATE.FAT&amp;display_string=Audit&amp;VAR:KEY=ETKBQDSRGJ&amp;VAR:QUERY=RkZfRU5UUlBSX1ZBTF9EQUlMWSgxMC8yNy8yMDEwLCwsLCwnRElMJykvRUNBX01FQU5fU0FMRVMoMjAxMCwxM","C8yNy8yMDEwKQ==&amp;WINDOW=FIRST_POPUP&amp;HEIGHT=450&amp;WIDTH=450&amp;START_MAXIMIZED=FALSE&amp;VAR:CALENDAR=US&amp;VAR:SYMBOL=PCP&amp;VAR:INDEX=0"}</definedName>
    <definedName name="_570__FDSAUDITLINK__" hidden="1">{"fdsup://directions/FAT Viewer?action=UPDATE&amp;creator=factset&amp;DYN_ARGS=TRUE&amp;DOC_NAME=FAT:FQL_AUDITING_CLIENT_TEMPLATE.FAT&amp;display_string=Audit&amp;VAR:KEY=RAFSJSDYLU&amp;VAR:QUERY=RkZfRU5UUlBSX1ZBTF9EQUlMWSgwNy8zMC8yMDEwLCwsLCwnRElMJykvRUNBX01FQU5fRUJJVCgyMDEyLDA3L","zMwLzIwMTAp&amp;WINDOW=FIRST_POPUP&amp;HEIGHT=450&amp;WIDTH=450&amp;START_MAXIMIZED=FALSE&amp;VAR:CALENDAR=US&amp;VAR:SYMBOL=UTX&amp;VAR:INDEX=0"}</definedName>
    <definedName name="_571__FDSAUDITLINK__" hidden="1">{"fdsup://directions/FAT Viewer?action=UPDATE&amp;creator=factset&amp;DYN_ARGS=TRUE&amp;DOC_NAME=FAT:FQL_AUDITING_CLIENT_TEMPLATE.FAT&amp;display_string=Audit&amp;VAR:KEY=JQBMXMNOFW&amp;VAR:QUERY=RkZfRU5UUlBSX1ZBTF9EQUlMWSgwNy8zMC8yMDEwLCwsLCwnRElMJykvRUNBX01FQU5fRUJJVCgyMDExLDA3L","zMwLzIwMTAp&amp;WINDOW=FIRST_POPUP&amp;HEIGHT=450&amp;WIDTH=450&amp;START_MAXIMIZED=FALSE&amp;VAR:CALENDAR=US&amp;VAR:SYMBOL=UTX&amp;VAR:INDEX=0"}</definedName>
    <definedName name="_572__FDSAUDITLINK__" hidden="1">{"fdsup://directions/FAT Viewer?action=UPDATE&amp;creator=factset&amp;DYN_ARGS=TRUE&amp;DOC_NAME=FAT:FQL_AUDITING_CLIENT_TEMPLATE.FAT&amp;display_string=Audit&amp;VAR:KEY=ZADSLMBMRW&amp;VAR:QUERY=RkZfRU5UUlBSX1ZBTF9EQUlMWSgwNy8zMC8yMDEwLCwsLCwnRElMJykvRUNBX01FQU5fRUJJVCgyMDEwLDA3L","zMwLzIwMTAp&amp;WINDOW=FIRST_POPUP&amp;HEIGHT=450&amp;WIDTH=450&amp;START_MAXIMIZED=FALSE&amp;VAR:CALENDAR=US&amp;VAR:SYMBOL=UTX&amp;VAR:INDEX=0"}</definedName>
    <definedName name="_573__FDSAUDITLINK__" hidden="1">{"fdsup://directions/FAT Viewer?action=UPDATE&amp;creator=factset&amp;DYN_ARGS=TRUE&amp;DOC_NAME=FAT:FQL_AUDITING_CLIENT_TEMPLATE.FAT&amp;display_string=Audit&amp;VAR:KEY=VIHETOZQTO&amp;VAR:QUERY=RkZfRU5UUlBSX1ZBTF9EQUlMWSgwNy8zMC8yMDEwLCwsLCwnRElMJykvRUNBX01FQU5fRUJJVERBKDIwMTIsM","DcvMzAvMjAxMCk=&amp;WINDOW=FIRST_POPUP&amp;HEIGHT=450&amp;WIDTH=450&amp;START_MAXIMIZED=FALSE&amp;VAR:CALENDAR=US&amp;VAR:SYMBOL=UTX&amp;VAR:INDEX=0"}</definedName>
    <definedName name="_574__FDSAUDITLINK__" hidden="1">{"fdsup://directions/FAT Viewer?action=UPDATE&amp;creator=factset&amp;DYN_ARGS=TRUE&amp;DOC_NAME=FAT:FQL_AUDITING_CLIENT_TEMPLATE.FAT&amp;display_string=Audit&amp;VAR:KEY=FODYTWVCXI&amp;VAR:QUERY=RkZfRU5UUlBSX1ZBTF9EQUlMWSgwNy8zMC8yMDEwLCwsLCwnRElMJykvRUNBX01FQU5fRUJJVERBKDIwMTEsM","DcvMzAvMjAxMCk=&amp;WINDOW=FIRST_POPUP&amp;HEIGHT=450&amp;WIDTH=450&amp;START_MAXIMIZED=FALSE&amp;VAR:CALENDAR=US&amp;VAR:SYMBOL=UTX&amp;VAR:INDEX=0"}</definedName>
    <definedName name="_575__FDSAUDITLINK__" hidden="1">{"fdsup://directions/FAT Viewer?action=UPDATE&amp;creator=factset&amp;DYN_ARGS=TRUE&amp;DOC_NAME=FAT:FQL_AUDITING_CLIENT_TEMPLATE.FAT&amp;display_string=Audit&amp;VAR:KEY=VOXYDADEJY&amp;VAR:QUERY=RkZfRU5UUlBSX1ZBTF9EQUlMWSgwNy8zMC8yMDEwLCwsLCwnRElMJykvRUNBX01FQU5fRUJJVERBKDIwMTAsM","DcvMzAvMjAxMCk=&amp;WINDOW=FIRST_POPUP&amp;HEIGHT=450&amp;WIDTH=450&amp;START_MAXIMIZED=FALSE&amp;VAR:CALENDAR=US&amp;VAR:SYMBOL=UTX&amp;VAR:INDEX=0"}</definedName>
    <definedName name="_58__FDSAUDITLINK__" hidden="1">{"fdsup://directions/FAT Viewer?action=UPDATE&amp;creator=factset&amp;DYN_ARGS=TRUE&amp;DOC_NAME=FAT:FQL_AUDITING_CLIENT_TEMPLATE.FAT&amp;display_string=Audit&amp;VAR:KEY=UFOVMBKBIB&amp;VAR:QUERY=RkZfRU5UUlBSX1ZBTF9EQUlMWSgxMC8yNy8yMDEwLCwsLCwnRElMJykvRUNBX01FQU5fRUJJVCgyMDEyLDEwL","zI3LzIwMTAp&amp;WINDOW=FIRST_POPUP&amp;HEIGHT=450&amp;WIDTH=450&amp;START_MAXIMIZED=FALSE&amp;VAR:CALENDAR=US&amp;VAR:SYMBOL=PCP&amp;VAR:INDEX=0"}</definedName>
    <definedName name="_59__FDSAUDITLINK__" hidden="1">{"fdsup://directions/FAT Viewer?action=UPDATE&amp;creator=factset&amp;DYN_ARGS=TRUE&amp;DOC_NAME=FAT:FQL_AUDITING_CLIENT_TEMPLATE.FAT&amp;display_string=Audit&amp;VAR:KEY=SNULEZIZAV&amp;VAR:QUERY=RkZfRU5UUlBSX1ZBTF9EQUlMWSgxMC8yNy8yMDEwLCwsLCwnRElMJykvRUNBX01FQU5fRUJJVCgyMDExLDEwL","zI3LzIwMTAp&amp;WINDOW=FIRST_POPUP&amp;HEIGHT=450&amp;WIDTH=450&amp;START_MAXIMIZED=FALSE&amp;VAR:CALENDAR=US&amp;VAR:SYMBOL=PCP&amp;VAR:INDEX=0"}</definedName>
    <definedName name="_6__123Graph_Aｸﾞﾗﾌ_2" hidden="1">[2]単独!$AR$14:$AR$18</definedName>
    <definedName name="_6__FDSAUDITLINK__" hidden="1">{"fdsup://directions/FAT Viewer?action=UPDATE&amp;creator=factset&amp;DYN_ARGS=TRUE&amp;DOC_NAME=FAT:FQL_AUDITING_CLIENT_TEMPLATE.FAT&amp;display_string=Audit&amp;VAR:KEY=MNWFIBIRGT&amp;VAR:QUERY=RkZfRU5UUlBSX1ZBTF9EQUlMWSgwNy8yNi8yMDExLCwsLCwnRElMJykvRUNBX01FQU5fRUJJVCgyMDEwLDA3L","zI2LzIwMTEp&amp;WINDOW=FIRST_POPUP&amp;HEIGHT=450&amp;WIDTH=450&amp;START_MAXIMIZED=FALSE&amp;VAR:CALENDAR=FIVEDAY&amp;VAR:SYMBOL=057580&amp;VAR:INDEX=0"}</definedName>
    <definedName name="_60__FDSAUDITLINK__" hidden="1">{"fdsup://directions/FAT Viewer?action=UPDATE&amp;creator=factset&amp;DYN_ARGS=TRUE&amp;DOC_NAME=FAT:FQL_AUDITING_CLIENT_TEMPLATE.FAT&amp;display_string=Audit&amp;VAR:KEY=YVULUNEBQJ&amp;VAR:QUERY=RkZfRU5UUlBSX1ZBTF9EQUlMWSgxMC8yNy8yMDEwLCwsLCwnRElMJykvRUNBX01FQU5fRUJJVCgyMDEwLDEwL","zI3LzIwMTAp&amp;WINDOW=FIRST_POPUP&amp;HEIGHT=450&amp;WIDTH=450&amp;START_MAXIMIZED=FALSE&amp;VAR:CALENDAR=US&amp;VAR:SYMBOL=PCP&amp;VAR:INDEX=0"}</definedName>
    <definedName name="_61__FDSAUDITLINK__" hidden="1">{"fdsup://directions/FAT Viewer?action=UPDATE&amp;creator=factset&amp;DYN_ARGS=TRUE&amp;DOC_NAME=FAT:FQL_AUDITING_CLIENT_TEMPLATE.FAT&amp;display_string=Audit&amp;VAR:KEY=EDCPWZMXMZ&amp;VAR:QUERY=RkZfRU5UUlBSX1ZBTF9EQUlMWSgxMC8yNy8yMDEwLCwsLCwnRElMJykvRUNBX01FQU5fRUJJVERBKDIwMTIsM","TAvMjcvMjAxMCk=&amp;WINDOW=FIRST_POPUP&amp;HEIGHT=450&amp;WIDTH=450&amp;START_MAXIMIZED=FALSE&amp;VAR:CALENDAR=US&amp;VAR:SYMBOL=PCP&amp;VAR:INDEX=0"}</definedName>
    <definedName name="_62__FDSAUDITLINK__" hidden="1">{"fdsup://directions/FAT Viewer?action=UPDATE&amp;creator=factset&amp;DYN_ARGS=TRUE&amp;DOC_NAME=FAT:FQL_AUDITING_CLIENT_TEMPLATE.FAT&amp;display_string=Audit&amp;VAR:KEY=ILSZSHQPWN&amp;VAR:QUERY=RkZfRU5UUlBSX1ZBTF9EQUlMWSgxMC8yNy8yMDEwLCwsLCwnRElMJykvRUNBX01FQU5fRUJJVERBKDIwMTEsM","TAvMjcvMjAxMCk=&amp;WINDOW=FIRST_POPUP&amp;HEIGHT=450&amp;WIDTH=450&amp;START_MAXIMIZED=FALSE&amp;VAR:CALENDAR=US&amp;VAR:SYMBOL=PCP&amp;VAR:INDEX=0"}</definedName>
    <definedName name="_63__FDSAUDITLINK__" hidden="1">{"fdsup://directions/FAT Viewer?action=UPDATE&amp;creator=factset&amp;DYN_ARGS=TRUE&amp;DOC_NAME=FAT:FQL_AUDITING_CLIENT_TEMPLATE.FAT&amp;display_string=Audit&amp;VAR:KEY=WNWBOPQNSF&amp;VAR:QUERY=RkZfRU5UUlBSX1ZBTF9EQUlMWSgxMC8yNy8yMDEwLCwsLCwnRElMJykvRUNBX01FQU5fRUJJVERBKDIwMTAsM","TAvMjcvMjAxMCk=&amp;WINDOW=FIRST_POPUP&amp;HEIGHT=450&amp;WIDTH=450&amp;START_MAXIMIZED=FALSE&amp;VAR:CALENDAR=US&amp;VAR:SYMBOL=PCP&amp;VAR:INDEX=0"}</definedName>
    <definedName name="_64__FDSAUDITLINK__" hidden="1">{"fdsup://directions/FAT Viewer?action=UPDATE&amp;creator=factset&amp;DYN_ARGS=TRUE&amp;DOC_NAME=FAT:FQL_AUDITING_CLIENT_TEMPLATE.FAT&amp;display_string=Audit&amp;VAR:KEY=YTEZKPADST&amp;VAR:QUERY=RkZfRU5UUlBSX1ZBTF9EQUlMWSgxMC8yNy8yMDEwLCwsLCwnRElMJykvRUNBX01FQU5fU0FMRVMoMjAxMiwxM","C8yNy8yMDEwKQ==&amp;WINDOW=FIRST_POPUP&amp;HEIGHT=450&amp;WIDTH=450&amp;START_MAXIMIZED=FALSE&amp;VAR:CALENDAR=US&amp;VAR:SYMBOL=MOG.A&amp;VAR:INDEX=0"}</definedName>
    <definedName name="_65__FDSAUDITLINK__" hidden="1">{"fdsup://directions/FAT Viewer?action=UPDATE&amp;creator=factset&amp;DYN_ARGS=TRUE&amp;DOC_NAME=FAT:FQL_AUDITING_CLIENT_TEMPLATE.FAT&amp;display_string=Audit&amp;VAR:KEY=GXETQTCLOB&amp;VAR:QUERY=RkZfRU5UUlBSX1ZBTF9EQUlMWSgxMC8yNy8yMDEwLCwsLCwnRElMJykvRUNBX01FQU5fU0FMRVMoMjAxMSwxM","C8yNy8yMDEwKQ==&amp;WINDOW=FIRST_POPUP&amp;HEIGHT=450&amp;WIDTH=450&amp;START_MAXIMIZED=FALSE&amp;VAR:CALENDAR=US&amp;VAR:SYMBOL=MOG.A&amp;VAR:INDEX=0"}</definedName>
    <definedName name="_66__FDSAUDITLINK__" hidden="1">{"fdsup://directions/FAT Viewer?action=UPDATE&amp;creator=factset&amp;DYN_ARGS=TRUE&amp;DOC_NAME=FAT:FQL_AUDITING_CLIENT_TEMPLATE.FAT&amp;display_string=Audit&amp;VAR:KEY=QLARSBCFKZ&amp;VAR:QUERY=RkZfRU5UUlBSX1ZBTF9EQUlMWSgxMC8yNy8yMDEwLCwsLCwnRElMJykvRUNBX01FQU5fU0FMRVMoMjAxMCwxM","C8yNy8yMDEwKQ==&amp;WINDOW=FIRST_POPUP&amp;HEIGHT=450&amp;WIDTH=450&amp;START_MAXIMIZED=FALSE&amp;VAR:CALENDAR=US&amp;VAR:SYMBOL=MOG.A&amp;VAR:INDEX=0"}</definedName>
    <definedName name="_67__FDSAUDITLINK__" hidden="1">{"fdsup://directions/FAT Viewer?action=UPDATE&amp;creator=factset&amp;DYN_ARGS=TRUE&amp;DOC_NAME=FAT:FQL_AUDITING_CLIENT_TEMPLATE.FAT&amp;display_string=Audit&amp;VAR:KEY=IPUXANURWZ&amp;VAR:QUERY=RkZfRU5UUlBSX1ZBTF9EQUlMWSgxMC8yNy8yMDEwLCwsLCwnRElMJykvRUNBX01FQU5fRUJJVCgyMDEyLDEwL","zI3LzIwMTAp&amp;WINDOW=FIRST_POPUP&amp;HEIGHT=450&amp;WIDTH=450&amp;START_MAXIMIZED=FALSE&amp;VAR:CALENDAR=US&amp;VAR:SYMBOL=MOG.A&amp;VAR:INDEX=0"}</definedName>
    <definedName name="_68__FDSAUDITLINK__" hidden="1">{"fdsup://directions/FAT Viewer?action=UPDATE&amp;creator=factset&amp;DYN_ARGS=TRUE&amp;DOC_NAME=FAT:FQL_AUDITING_CLIENT_TEMPLATE.FAT&amp;display_string=Audit&amp;VAR:KEY=AJCRUZKRCP&amp;VAR:QUERY=RkZfRU5UUlBSX1ZBTF9EQUlMWSgxMC8yNy8yMDEwLCwsLCwnRElMJykvRUNBX01FQU5fRUJJVCgyMDExLDEwL","zI3LzIwMTAp&amp;WINDOW=FIRST_POPUP&amp;HEIGHT=450&amp;WIDTH=450&amp;START_MAXIMIZED=FALSE&amp;VAR:CALENDAR=US&amp;VAR:SYMBOL=MOG.A&amp;VAR:INDEX=0"}</definedName>
    <definedName name="_69__FDSAUDITLINK__" hidden="1">{"fdsup://directions/FAT Viewer?action=UPDATE&amp;creator=factset&amp;DYN_ARGS=TRUE&amp;DOC_NAME=FAT:FQL_AUDITING_CLIENT_TEMPLATE.FAT&amp;display_string=Audit&amp;VAR:KEY=IVCHKBQBKH&amp;VAR:QUERY=RkZfRU5UUlBSX1ZBTF9EQUlMWSgxMC8yNy8yMDEwLCwsLCwnRElMJykvRUNBX01FQU5fRUJJVCgyMDEwLDEwL","zI3LzIwMTAp&amp;WINDOW=FIRST_POPUP&amp;HEIGHT=450&amp;WIDTH=450&amp;START_MAXIMIZED=FALSE&amp;VAR:CALENDAR=US&amp;VAR:SYMBOL=MOG.A&amp;VAR:INDEX=0"}</definedName>
    <definedName name="_7__123Graph_BCHART_1E" hidden="1">[1]Aerospace!$AJ$342:$AJ$355</definedName>
    <definedName name="_7__FDSAUDITLINK__" hidden="1">{"fdsup://directions/FAT Viewer?action=UPDATE&amp;creator=factset&amp;DYN_ARGS=TRUE&amp;DOC_NAME=FAT:FQL_AUDITING_CLIENT_TEMPLATE.FAT&amp;display_string=Audit&amp;VAR:KEY=QVCDGRURIT&amp;VAR:QUERY=RkZfRU5UUlBSX1ZBTF9EQUlMWSgwNy8yNi8yMDExLCwsLCwnRElMJykvRUNBX01FQU5fRUJJVERBKDIwMTIsM","DcvMjYvMjAxMSk=&amp;WINDOW=FIRST_POPUP&amp;HEIGHT=450&amp;WIDTH=450&amp;START_MAXIMIZED=FALSE&amp;VAR:CALENDAR=FIVEDAY&amp;VAR:SYMBOL=057580&amp;VAR:INDEX=0"}</definedName>
    <definedName name="_70__FDSAUDITLINK__" hidden="1">{"fdsup://directions/FAT Viewer?action=UPDATE&amp;creator=factset&amp;DYN_ARGS=TRUE&amp;DOC_NAME=FAT:FQL_AUDITING_CLIENT_TEMPLATE.FAT&amp;display_string=Audit&amp;VAR:KEY=INQHWXQVQN&amp;VAR:QUERY=RkZfRU5UUlBSX1ZBTF9EQUlMWSgxMC8yNy8yMDEwLCwsLCwnRElMJykvRUNBX01FQU5fRUJJVERBKDIwMTIsM","TAvMjcvMjAxMCk=&amp;WINDOW=FIRST_POPUP&amp;HEIGHT=450&amp;WIDTH=450&amp;START_MAXIMIZED=FALSE&amp;VAR:CALENDAR=US&amp;VAR:SYMBOL=MOG.A&amp;VAR:INDEX=0"}</definedName>
    <definedName name="_71__FDSAUDITLINK__" hidden="1">{"fdsup://directions/FAT Viewer?action=UPDATE&amp;creator=factset&amp;DYN_ARGS=TRUE&amp;DOC_NAME=FAT:FQL_AUDITING_CLIENT_TEMPLATE.FAT&amp;display_string=Audit&amp;VAR:KEY=ELEPSJCPKH&amp;VAR:QUERY=RkZfRU5UUlBSX1ZBTF9EQUlMWSgxMC8yNy8yMDEwLCwsLCwnRElMJykvRUNBX01FQU5fRUJJVERBKDIwMTEsM","TAvMjcvMjAxMCk=&amp;WINDOW=FIRST_POPUP&amp;HEIGHT=450&amp;WIDTH=450&amp;START_MAXIMIZED=FALSE&amp;VAR:CALENDAR=US&amp;VAR:SYMBOL=MOG.A&amp;VAR:INDEX=0"}</definedName>
    <definedName name="_72__FDSAUDITLINK__" hidden="1">{"fdsup://directions/FAT Viewer?action=UPDATE&amp;creator=factset&amp;DYN_ARGS=TRUE&amp;DOC_NAME=FAT:FQL_AUDITING_CLIENT_TEMPLATE.FAT&amp;display_string=Audit&amp;VAR:KEY=YLUPQBWBAD&amp;VAR:QUERY=RkZfRU5UUlBSX1ZBTF9EQUlMWSgxMC8yNy8yMDEwLCwsLCwnRElMJykvRUNBX01FQU5fRUJJVERBKDIwMTAsM","TAvMjcvMjAxMCk=&amp;WINDOW=FIRST_POPUP&amp;HEIGHT=450&amp;WIDTH=450&amp;START_MAXIMIZED=FALSE&amp;VAR:CALENDAR=US&amp;VAR:SYMBOL=MOG.A&amp;VAR:INDEX=0"}</definedName>
    <definedName name="_73__FDSAUDITLINK__" hidden="1">{"fdsup://directions/FAT Viewer?action=UPDATE&amp;creator=factset&amp;DYN_ARGS=TRUE&amp;DOC_NAME=FAT:FQL_AUDITING_CLIENT_TEMPLATE.FAT&amp;display_string=Audit&amp;VAR:KEY=UZEXULGXAJ&amp;VAR:QUERY=RkZfRU5UUlBSX1ZBTF9EQUlMWSgxMC8yNy8yMDEwLCwsLCwnRElMJykvRUNBX01FQU5fU0FMRVMoMjAxMiwxM","C8yNy8yMDEwKQ==&amp;WINDOW=FIRST_POPUP&amp;HEIGHT=450&amp;WIDTH=450&amp;START_MAXIMIZED=FALSE&amp;VAR:CALENDAR=US&amp;VAR:SYMBOL=COL&amp;VAR:INDEX=0"}</definedName>
    <definedName name="_74__FDSAUDITLINK__" hidden="1">{"fdsup://directions/FAT Viewer?action=UPDATE&amp;creator=factset&amp;DYN_ARGS=TRUE&amp;DOC_NAME=FAT:FQL_AUDITING_CLIENT_TEMPLATE.FAT&amp;display_string=Audit&amp;VAR:KEY=CVIFIBMNGB&amp;VAR:QUERY=RkZfRU5UUlBSX1ZBTF9EQUlMWSgxMC8yNy8yMDEwLCwsLCwnRElMJykvRUNBX01FQU5fU0FMRVMoMjAxMSwxM","C8yNy8yMDEwKQ==&amp;WINDOW=FIRST_POPUP&amp;HEIGHT=450&amp;WIDTH=450&amp;START_MAXIMIZED=FALSE&amp;VAR:CALENDAR=US&amp;VAR:SYMBOL=COL&amp;VAR:INDEX=0"}</definedName>
    <definedName name="_75__FDSAUDITLINK__" hidden="1">{"fdsup://directions/FAT Viewer?action=UPDATE&amp;creator=factset&amp;DYN_ARGS=TRUE&amp;DOC_NAME=FAT:FQL_AUDITING_CLIENT_TEMPLATE.FAT&amp;display_string=Audit&amp;VAR:KEY=ADWNOJQNAH&amp;VAR:QUERY=RkZfRU5UUlBSX1ZBTF9EQUlMWSgxMC8yNy8yMDEwLCwsLCwnRElMJykvRUNBX01FQU5fU0FMRVMoMjAxMCwxM","C8yNy8yMDEwKQ==&amp;WINDOW=FIRST_POPUP&amp;HEIGHT=450&amp;WIDTH=450&amp;START_MAXIMIZED=FALSE&amp;VAR:CALENDAR=US&amp;VAR:SYMBOL=COL&amp;VAR:INDEX=0"}</definedName>
    <definedName name="_76__FDSAUDITLINK__" hidden="1">{"fdsup://directions/FAT Viewer?action=UPDATE&amp;creator=factset&amp;DYN_ARGS=TRUE&amp;DOC_NAME=FAT:FQL_AUDITING_CLIENT_TEMPLATE.FAT&amp;display_string=Audit&amp;VAR:KEY=KTUZMNUTMT&amp;VAR:QUERY=RkZfRU5UUlBSX1ZBTF9EQUlMWSgxMC8yNy8yMDEwLCwsLCwnRElMJykvRUNBX01FQU5fRUJJVCgyMDEyLDEwL","zI3LzIwMTAp&amp;WINDOW=FIRST_POPUP&amp;HEIGHT=450&amp;WIDTH=450&amp;START_MAXIMIZED=FALSE&amp;VAR:CALENDAR=US&amp;VAR:SYMBOL=COL&amp;VAR:INDEX=0"}</definedName>
    <definedName name="_77__FDSAUDITLINK__" hidden="1">{"fdsup://directions/FAT Viewer?action=UPDATE&amp;creator=factset&amp;DYN_ARGS=TRUE&amp;DOC_NAME=FAT:FQL_AUDITING_CLIENT_TEMPLATE.FAT&amp;display_string=Audit&amp;VAR:KEY=UBWFKZUTOF&amp;VAR:QUERY=RkZfRU5UUlBSX1ZBTF9EQUlMWSgxMC8yNy8yMDEwLCwsLCwnRElMJykvRUNBX01FQU5fRUJJVCgyMDExLDEwL","zI3LzIwMTAp&amp;WINDOW=FIRST_POPUP&amp;HEIGHT=450&amp;WIDTH=450&amp;START_MAXIMIZED=FALSE&amp;VAR:CALENDAR=US&amp;VAR:SYMBOL=COL&amp;VAR:INDEX=0"}</definedName>
    <definedName name="_78__FDSAUDITLINK__" hidden="1">{"fdsup://directions/FAT Viewer?action=UPDATE&amp;creator=factset&amp;DYN_ARGS=TRUE&amp;DOC_NAME=FAT:FQL_AUDITING_CLIENT_TEMPLATE.FAT&amp;display_string=Audit&amp;VAR:KEY=SXQVUDMNUF&amp;VAR:QUERY=RkZfRU5UUlBSX1ZBTF9EQUlMWSgxMC8yNy8yMDEwLCwsLCwnRElMJykvRUNBX01FQU5fRUJJVCgyMDEwLDEwL","zI3LzIwMTAp&amp;WINDOW=FIRST_POPUP&amp;HEIGHT=450&amp;WIDTH=450&amp;START_MAXIMIZED=FALSE&amp;VAR:CALENDAR=US&amp;VAR:SYMBOL=COL&amp;VAR:INDEX=0"}</definedName>
    <definedName name="_79__FDSAUDITLINK__" hidden="1">{"fdsup://directions/FAT Viewer?action=UPDATE&amp;creator=factset&amp;DYN_ARGS=TRUE&amp;DOC_NAME=FAT:FQL_AUDITING_CLIENT_TEMPLATE.FAT&amp;display_string=Audit&amp;VAR:KEY=MBKFOPOJEN&amp;VAR:QUERY=RkZfRU5UUlBSX1ZBTF9EQUlMWSgxMC8yNy8yMDEwLCwsLCwnRElMJykvRUNBX01FQU5fRUJJVERBKDIwMTIsM","TAvMjcvMjAxMCk=&amp;WINDOW=FIRST_POPUP&amp;HEIGHT=450&amp;WIDTH=450&amp;START_MAXIMIZED=FALSE&amp;VAR:CALENDAR=US&amp;VAR:SYMBOL=COL&amp;VAR:INDEX=0"}</definedName>
    <definedName name="_8__123Graph_BCHART_2E" hidden="1">[1]Aerospace!$AD$342:$AD$373</definedName>
    <definedName name="_8__FDSAUDITLINK__" hidden="1">{"fdsup://directions/FAT Viewer?action=UPDATE&amp;creator=factset&amp;DYN_ARGS=TRUE&amp;DOC_NAME=FAT:FQL_AUDITING_CLIENT_TEMPLATE.FAT&amp;display_string=Audit&amp;VAR:KEY=SJKDQBQDGZ&amp;VAR:QUERY=RkZfRU5UUlBSX1ZBTF9EQUlMWSgwNy8yNi8yMDExLCwsLCwnRElMJykvRUNBX01FQU5fRUJJVERBKDIwMTEsM","DcvMjYvMjAxMSk=&amp;WINDOW=FIRST_POPUP&amp;HEIGHT=450&amp;WIDTH=450&amp;START_MAXIMIZED=FALSE&amp;VAR:CALENDAR=FIVEDAY&amp;VAR:SYMBOL=057580&amp;VAR:INDEX=0"}</definedName>
    <definedName name="_80__FDSAUDITLINK__" hidden="1">{"fdsup://directions/FAT Viewer?action=UPDATE&amp;creator=factset&amp;DYN_ARGS=TRUE&amp;DOC_NAME=FAT:FQL_AUDITING_CLIENT_TEMPLATE.FAT&amp;display_string=Audit&amp;VAR:KEY=QDAJYBQFOZ&amp;VAR:QUERY=RkZfRU5UUlBSX1ZBTF9EQUlMWSgxMC8yNy8yMDEwLCwsLCwnRElMJykvRUNBX01FQU5fRUJJVERBKDIwMTEsM","TAvMjcvMjAxMCk=&amp;WINDOW=FIRST_POPUP&amp;HEIGHT=450&amp;WIDTH=450&amp;START_MAXIMIZED=FALSE&amp;VAR:CALENDAR=US&amp;VAR:SYMBOL=COL&amp;VAR:INDEX=0"}</definedName>
    <definedName name="_81__FDSAUDITLINK__" hidden="1">{"fdsup://directions/FAT Viewer?action=UPDATE&amp;creator=factset&amp;DYN_ARGS=TRUE&amp;DOC_NAME=FAT:FQL_AUDITING_CLIENT_TEMPLATE.FAT&amp;display_string=Audit&amp;VAR:KEY=EBQJABYBYP&amp;VAR:QUERY=RkZfRU5UUlBSX1ZBTF9EQUlMWSgxMC8yNy8yMDEwLCwsLCwnRElMJykvRUNBX01FQU5fRUJJVERBKDIwMTAsM","TAvMjcvMjAxMCk=&amp;WINDOW=FIRST_POPUP&amp;HEIGHT=450&amp;WIDTH=450&amp;START_MAXIMIZED=FALSE&amp;VAR:CALENDAR=US&amp;VAR:SYMBOL=COL&amp;VAR:INDEX=0"}</definedName>
    <definedName name="_82__FDSAUDITLINK__" hidden="1">{"fdsup://directions/FAT Viewer?action=UPDATE&amp;creator=factset&amp;DYN_ARGS=TRUE&amp;DOC_NAME=FAT:FQL_AUDITING_CLIENT_TEMPLATE.FAT&amp;display_string=Audit&amp;VAR:KEY=YZUBGLOBIX&amp;VAR:QUERY=RkZfRU5UUlBSX1ZBTF9EQUlMWSgxMC8yNy8yMDEwLCwsLCwnRElMJykvRUNBX01FQU5fU0FMRVMoMjAxMiwxM","C8yNy8yMDEwKQ==&amp;WINDOW=FIRST_POPUP&amp;HEIGHT=450&amp;WIDTH=450&amp;START_MAXIMIZED=FALSE&amp;VAR:CALENDAR=US&amp;VAR:SYMBOL=BEAV&amp;VAR:INDEX=0"}</definedName>
    <definedName name="_83__FDSAUDITLINK__" hidden="1">{"fdsup://directions/FAT Viewer?action=UPDATE&amp;creator=factset&amp;DYN_ARGS=TRUE&amp;DOC_NAME=FAT:FQL_AUDITING_CLIENT_TEMPLATE.FAT&amp;display_string=Audit&amp;VAR:KEY=CJCFWTKZYB&amp;VAR:QUERY=RkZfRU5UUlBSX1ZBTF9EQUlMWSgxMC8yNy8yMDEwLCwsLCwnRElMJykvRUNBX01FQU5fU0FMRVMoMjAxMSwxM","C8yNy8yMDEwKQ==&amp;WINDOW=FIRST_POPUP&amp;HEIGHT=450&amp;WIDTH=450&amp;START_MAXIMIZED=FALSE&amp;VAR:CALENDAR=US&amp;VAR:SYMBOL=BEAV&amp;VAR:INDEX=0"}</definedName>
    <definedName name="_84__FDSAUDITLINK__" hidden="1">{"fdsup://directions/FAT Viewer?action=UPDATE&amp;creator=factset&amp;DYN_ARGS=TRUE&amp;DOC_NAME=FAT:FQL_AUDITING_CLIENT_TEMPLATE.FAT&amp;display_string=Audit&amp;VAR:KEY=GHILWFMFIP&amp;VAR:QUERY=RkZfRU5UUlBSX1ZBTF9EQUlMWSgxMC8yNy8yMDEwLCwsLCwnRElMJykvRUNBX01FQU5fU0FMRVMoMjAxMCwxM","C8yNy8yMDEwKQ==&amp;WINDOW=FIRST_POPUP&amp;HEIGHT=450&amp;WIDTH=450&amp;START_MAXIMIZED=FALSE&amp;VAR:CALENDAR=US&amp;VAR:SYMBOL=BEAV&amp;VAR:INDEX=0"}</definedName>
    <definedName name="_85__FDSAUDITLINK__" hidden="1">{"fdsup://directions/FAT Viewer?action=UPDATE&amp;creator=factset&amp;DYN_ARGS=TRUE&amp;DOC_NAME=FAT:FQL_AUDITING_CLIENT_TEMPLATE.FAT&amp;display_string=Audit&amp;VAR:KEY=GDIHCTEZWX&amp;VAR:QUERY=RkZfRU5UUlBSX1ZBTF9EQUlMWSgxMC8yNy8yMDEwLCwsLCwnRElMJykvRUNBX01FQU5fRUJJVCgyMDEyLDEwL","zI3LzIwMTAp&amp;WINDOW=FIRST_POPUP&amp;HEIGHT=450&amp;WIDTH=450&amp;START_MAXIMIZED=FALSE&amp;VAR:CALENDAR=US&amp;VAR:SYMBOL=BEAV&amp;VAR:INDEX=0"}</definedName>
    <definedName name="_86__FDSAUDITLINK__" hidden="1">{"fdsup://directions/FAT Viewer?action=UPDATE&amp;creator=factset&amp;DYN_ARGS=TRUE&amp;DOC_NAME=FAT:FQL_AUDITING_CLIENT_TEMPLATE.FAT&amp;display_string=Audit&amp;VAR:KEY=AFMBOVUXYD&amp;VAR:QUERY=RkZfRU5UUlBSX1ZBTF9EQUlMWSgxMC8yNy8yMDEwLCwsLCwnRElMJykvRUNBX01FQU5fRUJJVCgyMDExLDEwL","zI3LzIwMTAp&amp;WINDOW=FIRST_POPUP&amp;HEIGHT=450&amp;WIDTH=450&amp;START_MAXIMIZED=FALSE&amp;VAR:CALENDAR=US&amp;VAR:SYMBOL=BEAV&amp;VAR:INDEX=0"}</definedName>
    <definedName name="_87__FDSAUDITLINK__" hidden="1">{"fdsup://directions/FAT Viewer?action=UPDATE&amp;creator=factset&amp;DYN_ARGS=TRUE&amp;DOC_NAME=FAT:FQL_AUDITING_CLIENT_TEMPLATE.FAT&amp;display_string=Audit&amp;VAR:KEY=WVGFSRUBMR&amp;VAR:QUERY=RkZfRU5UUlBSX1ZBTF9EQUlMWSgxMC8yNy8yMDEwLCwsLCwnRElMJykvRUNBX01FQU5fRUJJVCgyMDEwLDEwL","zI3LzIwMTAp&amp;WINDOW=FIRST_POPUP&amp;HEIGHT=450&amp;WIDTH=450&amp;START_MAXIMIZED=FALSE&amp;VAR:CALENDAR=US&amp;VAR:SYMBOL=BEAV&amp;VAR:INDEX=0"}</definedName>
    <definedName name="_88__FDSAUDITLINK__" hidden="1">{"fdsup://directions/FAT Viewer?action=UPDATE&amp;creator=factset&amp;DYN_ARGS=TRUE&amp;DOC_NAME=FAT:FQL_AUDITING_CLIENT_TEMPLATE.FAT&amp;display_string=Audit&amp;VAR:KEY=UBKVOVQJMJ&amp;VAR:QUERY=RkZfRU5UUlBSX1ZBTF9EQUlMWSgxMC8yNy8yMDEwLCwsLCwnRElMJykvRUNBX01FQU5fRUJJVERBKDIwMTIsM","TAvMjcvMjAxMCk=&amp;WINDOW=FIRST_POPUP&amp;HEIGHT=450&amp;WIDTH=450&amp;START_MAXIMIZED=FALSE&amp;VAR:CALENDAR=US&amp;VAR:SYMBOL=BEAV&amp;VAR:INDEX=0"}</definedName>
    <definedName name="_89__FDSAUDITLINK__" hidden="1">{"fdsup://directions/FAT Viewer?action=UPDATE&amp;creator=factset&amp;DYN_ARGS=TRUE&amp;DOC_NAME=FAT:FQL_AUDITING_CLIENT_TEMPLATE.FAT&amp;display_string=Audit&amp;VAR:KEY=GPYXQBABCJ&amp;VAR:QUERY=RkZfRU5UUlBSX1ZBTF9EQUlMWSgxMC8yNy8yMDEwLCwsLCwnRElMJykvRUNBX01FQU5fRUJJVERBKDIwMTEsM","TAvMjcvMjAxMCk=&amp;WINDOW=FIRST_POPUP&amp;HEIGHT=450&amp;WIDTH=450&amp;START_MAXIMIZED=FALSE&amp;VAR:CALENDAR=US&amp;VAR:SYMBOL=BEAV&amp;VAR:INDEX=0"}</definedName>
    <definedName name="_9__123Graph_Aｸﾞﾗﾌ_1" hidden="1">[2]ｾｸﾞﾒﾝﾄ!$E$164:$I$164</definedName>
    <definedName name="_9__123Graph_Bｸﾞﾗﾌ_1" hidden="1">[2]ｾｸﾞﾒﾝﾄ!$E$165:$I$165</definedName>
    <definedName name="_9__FDSAUDITLINK__" hidden="1">{"fdsup://directions/FAT Viewer?action=UPDATE&amp;creator=factset&amp;DYN_ARGS=TRUE&amp;DOC_NAME=FAT:FQL_AUDITING_CLIENT_TEMPLATE.FAT&amp;display_string=Audit&amp;VAR:KEY=CNCPCRILGF&amp;VAR:QUERY=RkZfRU5UUlBSX1ZBTF9EQUlMWSgwNy8yNi8yMDExLCwsLCwnRElMJykvRUNBX01FQU5fRUJJVERBKDIwMTAsM","DcvMjYvMjAxMSk=&amp;WINDOW=FIRST_POPUP&amp;HEIGHT=450&amp;WIDTH=450&amp;START_MAXIMIZED=FALSE&amp;VAR:CALENDAR=FIVEDAY&amp;VAR:SYMBOL=057580&amp;VAR:INDEX=0"}</definedName>
    <definedName name="_90__FDSAUDITLINK__" hidden="1">{"fdsup://directions/FAT Viewer?action=UPDATE&amp;creator=factset&amp;DYN_ARGS=TRUE&amp;DOC_NAME=FAT:FQL_AUDITING_CLIENT_TEMPLATE.FAT&amp;display_string=Audit&amp;VAR:KEY=GXOBITUHIN&amp;VAR:QUERY=RkZfRU5UUlBSX1ZBTF9EQUlMWSgxMC8yNy8yMDEwLCwsLCwnRElMJykvRUNBX01FQU5fRUJJVERBKDIwMTAsM","TAvMjcvMjAxMCk=&amp;WINDOW=FIRST_POPUP&amp;HEIGHT=450&amp;WIDTH=450&amp;START_MAXIMIZED=FALSE&amp;VAR:CALENDAR=US&amp;VAR:SYMBOL=BEAV&amp;VAR:INDEX=0"}</definedName>
    <definedName name="_91__FDSAUDITLINK__" hidden="1">{"fdsup://directions/FAT Viewer?action=UPDATE&amp;creator=factset&amp;DYN_ARGS=TRUE&amp;DOC_NAME=FAT:FQL_AUDITING_CLIENT_TEMPLATE.FAT&amp;display_string=Audit&amp;VAR:KEY=WBABKTKNKJ&amp;VAR:QUERY=RkZfRU5UUlBSX1ZBTF9EQUlMWSgxMC8yNy8yMDEwLCwsLCwnRElMJykvRUNBX01FQU5fU0FMRVMoMjAxMiwxM","C8yNy8yMDEwKQ==&amp;WINDOW=FIRST_POPUP&amp;HEIGHT=450&amp;WIDTH=450&amp;START_MAXIMIZED=FALSE&amp;VAR:CALENDAR=US&amp;VAR:SYMBOL=057580&amp;VAR:INDEX=0"}</definedName>
    <definedName name="_92__FDSAUDITLINK__" hidden="1">{"fdsup://directions/FAT Viewer?action=UPDATE&amp;creator=factset&amp;DYN_ARGS=TRUE&amp;DOC_NAME=FAT:FQL_AUDITING_CLIENT_TEMPLATE.FAT&amp;display_string=Audit&amp;VAR:KEY=UTAHKNITMN&amp;VAR:QUERY=RkZfRU5UUlBSX1ZBTF9EQUlMWSgxMC8yNy8yMDEwLCwsLCwnRElMJykvRUNBX01FQU5fU0FMRVMoMjAxMSwxM","C8yNy8yMDEwKQ==&amp;WINDOW=FIRST_POPUP&amp;HEIGHT=450&amp;WIDTH=450&amp;START_MAXIMIZED=FALSE&amp;VAR:CALENDAR=US&amp;VAR:SYMBOL=057580&amp;VAR:INDEX=0"}</definedName>
    <definedName name="_93__FDSAUDITLINK__" hidden="1">{"fdsup://directions/FAT Viewer?action=UPDATE&amp;creator=factset&amp;DYN_ARGS=TRUE&amp;DOC_NAME=FAT:FQL_AUDITING_CLIENT_TEMPLATE.FAT&amp;display_string=Audit&amp;VAR:KEY=AXQDEXGDCB&amp;VAR:QUERY=RkZfRU5UUlBSX1ZBTF9EQUlMWSgxMC8yNy8yMDEwLCwsLCwnRElMJykvRUNBX01FQU5fU0FMRVMoMjAxMCwxM","C8yNy8yMDEwKQ==&amp;WINDOW=FIRST_POPUP&amp;HEIGHT=450&amp;WIDTH=450&amp;START_MAXIMIZED=FALSE&amp;VAR:CALENDAR=US&amp;VAR:SYMBOL=057580&amp;VAR:INDEX=0"}</definedName>
    <definedName name="_94__FDSAUDITLINK__" hidden="1">{"fdsup://directions/FAT Viewer?action=UPDATE&amp;creator=factset&amp;DYN_ARGS=TRUE&amp;DOC_NAME=FAT:FQL_AUDITING_CLIENT_TEMPLATE.FAT&amp;display_string=Audit&amp;VAR:KEY=CPYVKNGNSH&amp;VAR:QUERY=RkZfRU5UUlBSX1ZBTF9EQUlMWSgxMC8yNy8yMDEwLCwsLCwnRElMJykvRUNBX01FQU5fRUJJVCgyMDEyLDEwL","zI3LzIwMTAp&amp;WINDOW=FIRST_POPUP&amp;HEIGHT=450&amp;WIDTH=450&amp;START_MAXIMIZED=FALSE&amp;VAR:CALENDAR=US&amp;VAR:SYMBOL=057580&amp;VAR:INDEX=0"}</definedName>
    <definedName name="_95__FDSAUDITLINK__" hidden="1">{"fdsup://directions/FAT Viewer?action=UPDATE&amp;creator=factset&amp;DYN_ARGS=TRUE&amp;DOC_NAME=FAT:FQL_AUDITING_CLIENT_TEMPLATE.FAT&amp;display_string=Audit&amp;VAR:KEY=WDUVANYXSN&amp;VAR:QUERY=RkZfRU5UUlBSX1ZBTF9EQUlMWSgxMC8yNy8yMDEwLCwsLCwnRElMJykvRUNBX01FQU5fRUJJVCgyMDExLDEwL","zI3LzIwMTAp&amp;WINDOW=FIRST_POPUP&amp;HEIGHT=450&amp;WIDTH=450&amp;START_MAXIMIZED=FALSE&amp;VAR:CALENDAR=US&amp;VAR:SYMBOL=057580&amp;VAR:INDEX=0"}</definedName>
    <definedName name="_96__FDSAUDITLINK__" hidden="1">{"fdsup://directions/FAT Viewer?action=UPDATE&amp;creator=factset&amp;DYN_ARGS=TRUE&amp;DOC_NAME=FAT:FQL_AUDITING_CLIENT_TEMPLATE.FAT&amp;display_string=Audit&amp;VAR:KEY=CRCHCTYTWZ&amp;VAR:QUERY=RkZfRU5UUlBSX1ZBTF9EQUlMWSgxMC8yNy8yMDEwLCwsLCwnRElMJykvRUNBX01FQU5fRUJJVCgyMDEwLDEwL","zI3LzIwMTAp&amp;WINDOW=FIRST_POPUP&amp;HEIGHT=450&amp;WIDTH=450&amp;START_MAXIMIZED=FALSE&amp;VAR:CALENDAR=US&amp;VAR:SYMBOL=057580&amp;VAR:INDEX=0"}</definedName>
    <definedName name="_97__FDSAUDITLINK__" hidden="1">{"fdsup://directions/FAT Viewer?action=UPDATE&amp;creator=factset&amp;DYN_ARGS=TRUE&amp;DOC_NAME=FAT:FQL_AUDITING_CLIENT_TEMPLATE.FAT&amp;display_string=Audit&amp;VAR:KEY=SBKRYBSRMX&amp;VAR:QUERY=RkZfRU5UUlBSX1ZBTF9EQUlMWSgxMC8yNy8yMDEwLCwsLCwnRElMJykvRUNBX01FQU5fRUJJVERBKDIwMTIsM","TAvMjcvMjAxMCk=&amp;WINDOW=FIRST_POPUP&amp;HEIGHT=450&amp;WIDTH=450&amp;START_MAXIMIZED=FALSE&amp;VAR:CALENDAR=US&amp;VAR:SYMBOL=057580&amp;VAR:INDEX=0"}</definedName>
    <definedName name="_98__FDSAUDITLINK__" hidden="1">{"fdsup://directions/FAT Viewer?action=UPDATE&amp;creator=factset&amp;DYN_ARGS=TRUE&amp;DOC_NAME=FAT:FQL_AUDITING_CLIENT_TEMPLATE.FAT&amp;display_string=Audit&amp;VAR:KEY=CPOXOLKXOL&amp;VAR:QUERY=RkZfRU5UUlBSX1ZBTF9EQUlMWSgxMC8yNy8yMDEwLCwsLCwnRElMJykvRUNBX01FQU5fRUJJVERBKDIwMTEsM","TAvMjcvMjAxMCk=&amp;WINDOW=FIRST_POPUP&amp;HEIGHT=450&amp;WIDTH=450&amp;START_MAXIMIZED=FALSE&amp;VAR:CALENDAR=US&amp;VAR:SYMBOL=057580&amp;VAR:INDEX=0"}</definedName>
    <definedName name="_99__FDSAUDITLINK__" hidden="1">{"fdsup://directions/FAT Viewer?action=UPDATE&amp;creator=factset&amp;DYN_ARGS=TRUE&amp;DOC_NAME=FAT:FQL_AUDITING_CLIENT_TEMPLATE.FAT&amp;display_string=Audit&amp;VAR:KEY=QRYRIFQZUP&amp;VAR:QUERY=RkZfRU5UUlBSX1ZBTF9EQUlMWSgxMC8yNy8yMDEwLCwsLCwnRElMJykvRUNBX01FQU5fRUJJVERBKDIwMTAsM","TAvMjcvMjAxMCk=&amp;WINDOW=FIRST_POPUP&amp;HEIGHT=450&amp;WIDTH=450&amp;START_MAXIMIZED=FALSE&amp;VAR:CALENDAR=US&amp;VAR:SYMBOL=057580&amp;VAR:INDEX=0"}</definedName>
    <definedName name="_ActualvsExpect">[4]Tables!$CD$268:$CI$281</definedName>
    <definedName name="_actvsexp">[4]Tables!$CD$226:$CL$237</definedName>
    <definedName name="_actvsexpwocomments">[4]Tables!$CD$226:$CI$237</definedName>
    <definedName name="_bdm.02E29E7B1053433EA3CCCBE4E5141596.edm" hidden="1">[5]Sheet1!$A:$IV</definedName>
    <definedName name="_bdm.05C76620D0F942BD91694A7441F1F5C8.edm" hidden="1" xml:space="preserve">                                    [6]Charts!$A:$IV</definedName>
    <definedName name="_bdm.078EA78924E84E8D85C00E79DB46B34D.edm" hidden="1">'[7]Monthly Note'!$A:$IV</definedName>
    <definedName name="_bdm.0B3D3E997120452FBC2D66FEB853AEB5.edm" hidden="1">'[8]Old Format'!$A:$IV</definedName>
    <definedName name="_bdm.0CF6476ABCD740CBBD526EFD70553332.edm" hidden="1">'[9]BJs charts'!$A:$IV</definedName>
    <definedName name="_bdm.0FE4CCE013E445E6BACF2B2139C3125F.edm" hidden="1" xml:space="preserve">                                    [6]Charts!$A:$IV</definedName>
    <definedName name="_bdm.11EB72ACE3374B1CB252FDD683429D59.edm" hidden="1">[10]C1500!$A:$IV</definedName>
    <definedName name="_bdm.14505C7EA9BF421980DFF73F48458FA0.edm" hidden="1">[11]Scratch!$A:$IV</definedName>
    <definedName name="_bdm.147D945281854BAD92540BF0916FBE8E.edm" hidden="1">'[8]Deliveries LCA &amp; RJ'!$A:$IV</definedName>
    <definedName name="_bdm.157183DAF1E84906A95424A6EC9D85A4.edm" hidden="1">[11]FCF!$A:$IV</definedName>
    <definedName name="_bdm.15E035C6D252441EBE1CA7246B35B9BF.edm" hidden="1" xml:space="preserve">                                    [6]Charts!$A:$IV</definedName>
    <definedName name="_bdm.1E1A1F0BCC22433CB91E014ED273A01A.edm" hidden="1">'[12]F35 Analysis'!$A:$IV</definedName>
    <definedName name="_bdm.1FC41A8947EA40ECB546F0F88AAD1069.edm" hidden="1">[4]Aerospace!$A:$IV</definedName>
    <definedName name="_bdm.2061331506604D9FAA33EA18B64E87B8.edm" hidden="1">[4]Aerospacemodel!$A:$IV</definedName>
    <definedName name="_bdm.239F81C4FCB14E8E837150F85A952995.edm" hidden="1" xml:space="preserve">              [6]FCF!$A:$IV</definedName>
    <definedName name="_bdm.266670196A064D96BEB637495C0C3E7D.edm" hidden="1">'[8]Backlog v Deliveries'!$A:$IV</definedName>
    <definedName name="_bdm.27FA7C534A97476B8A53B3D84C38F75B.edm" hidden="1">'[7]Boeing Del Schedule- Reported'!$A:$IV</definedName>
    <definedName name="_bdm.2D0960B0D04847B19CCA5C16D808F1D2.edm" hidden="1" xml:space="preserve">              [6]FCF!$A:$IV</definedName>
    <definedName name="_bdm.2E5B8185B9C24169A0E58561C92910AD.edm" hidden="1" xml:space="preserve">        [6]Sensitivity!$A:$IV</definedName>
    <definedName name="_bdm.2F3E2D1A137043FD84CADCE9EA8304AC.edm" hidden="1" xml:space="preserve">              [6]FCF!$A:$IV</definedName>
    <definedName name="_bdm.308A2BC54F3348DD849DDB2142BA41B4.edm" hidden="1">'[7]787 vs A350 Orders'!$A:$IV</definedName>
    <definedName name="_bdm.343E216D5B414568A14BCBF2B2272126.edm" hidden="1">'[8]Airbus Monthly'!$A:$IV</definedName>
    <definedName name="_bdm.35FE14BF4EA64E7FB4E1024B97988A70.edm" hidden="1">[13]Deliveries!$A:$IV</definedName>
    <definedName name="_bdm.398EE42877E946E2A1A0BF5366E69083.edm" hidden="1">[14]Scratch!$A:$IV</definedName>
    <definedName name="_bdm.3BA3F032213D4DC0879368F226B0ACFB.edm" hidden="1">[4]Historical!$A:$IV</definedName>
    <definedName name="_bdm.3C2DC0AA74BE43CB8FC86B2C5BB472F1.edm" hidden="1">'[15]MWA RR'!$A:$IV</definedName>
    <definedName name="_bdm.4245E76961BA47F3BEE79C56B40B4FF1.edm" hidden="1">'[7]Paris 05 Orders'!$A:$IV</definedName>
    <definedName name="_bdm.4734EDA442224401A6F676759E588CA3.edm" hidden="1">[4]Tables!$A:$IV</definedName>
    <definedName name="_bdm.47419B450E0B4977AEDD16CD5669726A.edm" hidden="1">[14]Variance!$A:$IV</definedName>
    <definedName name="_bdm.4B0A00B2D50C478196AEE2DE4077891C.edm" hidden="1">'[8]Boeing Monthly'!$A:$IV</definedName>
    <definedName name="_bdm.4CC88C4501154E8CB7D8110D590F116E.edm" hidden="1" xml:space="preserve">                                    [6]Charts!$A:$IV</definedName>
    <definedName name="_bdm.53AEC234A9334FF985E56778AD2527A2.edm" hidden="1">'[4]Sum of Parts'!$A:$IV</definedName>
    <definedName name="_bdm.5929A3875CC54C5392CE41B76CCE5ED4.edm" hidden="1" xml:space="preserve">              [6]FCF!$A:$IV</definedName>
    <definedName name="_bdm.594AC617276D42EB850DC98D0A94EEFE.edm" hidden="1">[4]mwareSettings!$A:$IV</definedName>
    <definedName name="_bdm.5967BDAB0381464AB44AD26330B61961.edm" hidden="1">[4]Resources!$A:$IV</definedName>
    <definedName name="_bdm.65820A31135B4F2A9C85BECB29D10637.edm" hidden="1">'[11]MWA RR'!$A:$IV</definedName>
    <definedName name="_bdm.69B88B76B1B64D43AA8C731E93AEBECE.edm" hidden="1">[4]Quarterly!$A:$IV</definedName>
    <definedName name="_bdm.732E3ADD87814FF19D1501A8B61B4F6B.edm" hidden="1">[14]SOTP!$A:$IV</definedName>
    <definedName name="_bdm.761AA87A722B4ECDB42BE133587B5F08.edm" hidden="1">'[14]Comm Networks'!$A:$IV</definedName>
    <definedName name="_bdm.77F96403296B45A1AB7B76004A7450CE.edm" hidden="1">'[7]Boeing Del Schedule'!$A:$IV</definedName>
    <definedName name="_bdm.7A1B969AA9F34694B5A5BE94DF418973.edm" hidden="1" xml:space="preserve">                          '[6]2010e Fair Market Value'!$A:$IV</definedName>
    <definedName name="_bdm.7B29AB6E4D784D59966D698C096CF906.edm" hidden="1" xml:space="preserve">                          [6]FCF!$A:$IV</definedName>
    <definedName name="_bdm.7B625CC9C9964BA48BDD9DBECD5CD6B4.edm" hidden="1">'[4]Gulf Backlog'!$A:$IV</definedName>
    <definedName name="_bdm.7D78028F194C41A7BDFA1D1A0F9CD507.edm" hidden="1">[16]Sheet1!$A:$IV</definedName>
    <definedName name="_bdm.7F22CBDFEEAE4328A00D529162BAA0AF.edm" hidden="1">'[8]Storage Summary'!$A:$IV</definedName>
    <definedName name="_bdm.853AD08E651648D1B91CB8C66D89BC17.edm" hidden="1">[11]SOTP!$A:$IV</definedName>
    <definedName name="_bdm.8CF40BC716584083A0F217F33DD5F511.edm" hidden="1">'[14]Govt Systems'!$A:$IV</definedName>
    <definedName name="_bdm.93F1714AA3EA4E53B6ECBD6353C50769.edm" hidden="1" xml:space="preserve">                                        [6]Sensitivity!$A:$IV</definedName>
    <definedName name="_bdm.943F4B03FC0140B6AFE1A172565651BD.edm" hidden="1">'[8]WW Fleet Stats'!$A:$IV</definedName>
    <definedName name="_bdm.990192282A5E464980704B34CC58ACC1.edm" hidden="1">'[8]Sang-scratch'!$A:$IV</definedName>
    <definedName name="_bdm.9AAE8749CB734469BD1407FBAD7BA49E.edm" hidden="1">'[11]Comm Systems'!$A:$IV</definedName>
    <definedName name="_bdm.9E6C55D26149430081F9F1316173B659.edm" hidden="1">'[4]MWA RR'!$A:$IV</definedName>
    <definedName name="_bdm.A3E73079BB3E401681653080CC0CCAF6.edm" hidden="1">[16]Main!$A:$IV</definedName>
    <definedName name="_bdm.A41CADEBCF2C4759913F909EDF763630.edm" hidden="1">'[14]Sat Services'!$A:$IV</definedName>
    <definedName name="_bdm.A8D59B57C4184413ACD45E8D9BC6F49C.edm" hidden="1" xml:space="preserve">                                    '[6]2010e Fair Market Value'!$A:$IV</definedName>
    <definedName name="_bdm.A9FDA19A0EC441A88F23DB34903DDCA4.edm" hidden="1">'[7]New Tables 2006'!$A:$IV</definedName>
    <definedName name="_bdm.B79BA6AB469647F4959D1173B0661A55.edm" hidden="1">'[8]from AIRCAP'!$A:$IV</definedName>
    <definedName name="_bdm.B89F0DCA1C9841C48CDCE7713894289D.edm" hidden="1">[7]Graphs!$A:$IV</definedName>
    <definedName name="_bdm.BEF639A7268143F3A5EF7EA4F6286DB5.edm" hidden="1">'[17]Annual Traffic Summary'!$A:$IV</definedName>
    <definedName name="_bdm.C00627F58E374E789B8AD4F1E1016016.edm" hidden="1">[4]DCF!$A:$IV</definedName>
    <definedName name="_bdm.C1D64D3D12104A57B36648A45FD482BA.edm" hidden="1">'[8]Program Lifecycles'!$A:$IV</definedName>
    <definedName name="_bdm.C5F0C4E8F22B4A55BA70296AF9B61F1A.edm" hidden="1">'[4]Gulf AC In Oper'!$A:$IV</definedName>
    <definedName name="_bdm.C83ED9EAE99F4A45B4DCC1C643411F19.edm" hidden="1">'[4]Variance Analysis'!$A:$IV</definedName>
    <definedName name="_bdm.CAB0F15EC35D4F47A39CDDF3C5EF250A.edm" hidden="1">'[18]BizJet Deliveries'!$A:$IV</definedName>
    <definedName name="_bdm.CC06A2CE73364769937226ED328A3B28.edm" hidden="1">'[4]Combat Sys'!$A:$IV</definedName>
    <definedName name="_bdm.CCBED13869B24A03BC4DA6C3DBA93AC5.edm" hidden="1">'[4]Gulf Del By Cust'!$A:$IV</definedName>
    <definedName name="_bdm.CF7F925623CF4F49A6B5D5AF5FF3EB17.edm" hidden="1">'[4]DCF Old'!$A:$IV</definedName>
    <definedName name="_bdm.D16D4B4991F24D41B4A4D56808A9138E.edm" hidden="1">[7]Main!$A:$IV</definedName>
    <definedName name="_bdm.D736FE2ECE9844E481084B2BEE4999E6.edm" hidden="1" xml:space="preserve">                      [6]FCF!$A:$IV</definedName>
    <definedName name="_bdm.D9693A91C4234F65B844EEC4BFAAD949.edm" hidden="1">'[7]F''boro 08 Orders'!$A:$IV</definedName>
    <definedName name="_bdm.D9E108B6406341D2861CB14581BD073A.edm" hidden="1" xml:space="preserve">                      '[6]2010e Fair Market Value'!$A:$IV</definedName>
    <definedName name="_bdm.DAF05722B58E40AF8A0DD0C5C5565E86.edm" hidden="1" xml:space="preserve">                                    [6]Charts!$A:$IV</definedName>
    <definedName name="_bdm.DBAE357D368A4F73A71F1C59B7410C02.edm" hidden="1">[4]ISTmodel!$A:$IV</definedName>
    <definedName name="_bdm.DCA91A27BDEE4141924A80B1FAB6CAB4.edm" hidden="1" xml:space="preserve">                                    [6]Charts!$A:$IV</definedName>
    <definedName name="_bdm.E32A116BB8AF457EABFAC69CB51F4C47.edm" hidden="1" xml:space="preserve">                                    [6]FCF!$A:$IV</definedName>
    <definedName name="_bdm.E78D5F77B9704765898D93BE5B0440EF.edm" hidden="1">'[11]Govt Systems'!$A:$IV</definedName>
    <definedName name="_bdm.E9A30DEE7AAA401587D155EE8B963312.edm" hidden="1">[4]Main!$A:$IV</definedName>
    <definedName name="_bdm.E9BABFAC54E04B0EAEA6B1850220160E.edm" hidden="1">[19]Graphs!$A:$IV</definedName>
    <definedName name="_bdm.EA049B7228D04EFCA3CA5A7DCF7D7577.edm" hidden="1" xml:space="preserve">                                    [6]Charts!$A:$IV</definedName>
    <definedName name="_bdm.EB71207A3C454F22948B2C37520A7952.edm" hidden="1" xml:space="preserve">                                    [6]Charts!$A:$IV</definedName>
    <definedName name="_bdm.F34B28B19825438E97F16E849389D4AE.edm" hidden="1">[11]Guid!$A:$IV</definedName>
    <definedName name="_bdm.F61F1A8D7FBE4DDB976FC9D75E157E84.edm" hidden="1">'[8]Sang - Charts'!$A:$IV</definedName>
    <definedName name="_bdm.F6A91C8C462244CDBB03456A2BABE3B9.edm" hidden="1">[4]Combatmodel!$A:$IV</definedName>
    <definedName name="_bdm.F9B7852CD88747DBA03CDE2FA8516D2D.edm" hidden="1" xml:space="preserve">                                    [6]Charts!$A:$IV</definedName>
    <definedName name="_bdm.FA190DA1B38549B599DE6D2E4639EC00.edm" hidden="1">[11]Breakdown!$A:$IV</definedName>
    <definedName name="_BS">[4]Main!$A$301:$V$348</definedName>
    <definedName name="_CF">[4]Main!$A$150:$V$205</definedName>
    <definedName name="_CommJetTransport">'[8]from AIRCAP'!$A$3:$AL$54</definedName>
    <definedName name="_EPSChanges">[4]Tables!$T$603:$X$608</definedName>
    <definedName name="_GulfBacklog">'[4]Gulf Backlog'!$A$208:$D$299</definedName>
    <definedName name="_GulfDels">[4]Main!$A$80:$U$83</definedName>
    <definedName name="_GulfDelsAbbreviated">[4]Tables!$T$594:$AA$597</definedName>
    <definedName name="_GulfDelsbyCust">'[4]Gulf Del By Cust'!$A$113:$F$198</definedName>
    <definedName name="_GulfDelsByCustTable">'[4]Gulf Del By Cust'!$N$6:$T$16</definedName>
    <definedName name="_GulfstreamDelsOutlook">[4]Main!$A$78:$V$89</definedName>
    <definedName name="_IS">[4]Main!$A$2:$W$50</definedName>
    <definedName name="_ISTOpps">[4]ISTmodel!$AN$18:$AT$26</definedName>
    <definedName name="_Key1" hidden="1">[2]単独!$U$1</definedName>
    <definedName name="_Order1">0</definedName>
    <definedName name="_QtlyIS">[4]Quarterly!$BF$2:$BR$58</definedName>
    <definedName name="_Sort" hidden="1">[2]単独!$A$512:$AC$552</definedName>
    <definedName name="_sumofparts">'[4]Sum of Parts'!$A$187:$G$201</definedName>
    <definedName name="_SumOfPartsEVEBITDA">'[4]Sum of Parts'!$A$130:$G$145</definedName>
    <definedName name="_SumOfPartsPE">'[4]Sum of Parts'!$A$148:$G$161</definedName>
    <definedName name="_Variance">'[4]Variance Analysis'!$EC$5:$EH$40</definedName>
    <definedName name="a" hidden="1">{"Pulp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J_columnG">OFFSET('[9]Biz Jet Output Data'!$G$20,0,0,COUNT('[9]Biz Jet Output Data'!$G$1:$G$65536),1)</definedName>
    <definedName name="ABJ_rolling12mo">OFFSET('[9]Biz Jet Output Data'!$H$20,COUNT('[9]Biz Jet Output Data'!$H$1:$H$65536)-12,0,12,1)</definedName>
    <definedName name="ABJ_TotalOchange_LTM">OFFSET('[9]Biz Jet Output Data'!$G$20,COUNT('[9]Biz Jet Output Data'!$G$1:$G$65536)-12,0,12,1)</definedName>
    <definedName name="Actual" hidden="1">{#N/A,#N/A,TRUE,"Historicals";#N/A,#N/A,TRUE,"Charts";#N/A,#N/A,TRUE,"Forecasts"}</definedName>
    <definedName name="AdditionalInstructions">IndexInformation!$B$42</definedName>
    <definedName name="Address" localSheetId="3">ImportantDisclosures!$A$2:$A$2</definedName>
    <definedName name="ANA" localSheetId="8">ModPubIndex!$A$7</definedName>
    <definedName name="anscount" hidden="1">1</definedName>
    <definedName name="Asia_ASM">OFFSET([17]Monthly_Traffic_Summary!$AF$297,COUNT([17]Monthly_Traffic_Summary!$AF$1:$AF$65536)-12,0,12,1)</definedName>
    <definedName name="Asia_ASM_LTM">OFFSET([17]Monthly_Traffic_Summary!$AG$309,COUNT([17]Monthly_Traffic_Summary!$AG$1:$AG$65536)-12,0,12,1)</definedName>
    <definedName name="Asia_ASM10y">OFFSET([17]Monthly_Traffic_Summary!$AF$297,COUNT([17]Monthly_Traffic_Summary!$AF$1:$AF$65536)-120,0,120,1)</definedName>
    <definedName name="Asia_dates10y">OFFSET([17]Monthly_Traffic_Summary!$A$9,COUNT([17]Monthly_Traffic_Summary!$A$1:$A$65536)-120,0,120,1)</definedName>
    <definedName name="Asia_LF">OFFSET([17]Monthly_Traffic_Summary!$AH$297,COUNT([17]Monthly_Traffic_Summary!$AH$1:$AH$65536)-12,0,12,1)</definedName>
    <definedName name="Asia_LF_LTM">OFFSET([17]Monthly_Traffic_Summary!$AI$309,COUNT([17]Monthly_Traffic_Summary!$AI$1:$AI$65536)-12,0,12,1)</definedName>
    <definedName name="Asia_LF10y">OFFSET([17]Monthly_Traffic_Summary!$AH$297,COUNT([17]Monthly_Traffic_Summary!$AH$1:$AH$65536)-120,0,120,1)</definedName>
    <definedName name="Asia_RPM">OFFSET([17]Monthly_Traffic_Summary!$AD$297,COUNT([17]Monthly_Traffic_Summary!$AD$1:$AD$65536)-12,0,12,1)</definedName>
    <definedName name="Asia_RPM_LTM">OFFSET([17]Monthly_Traffic_Summary!$AE$309,COUNT([17]Monthly_Traffic_Summary!$AE$1:$AE$65536)-12,0,12,1)</definedName>
    <definedName name="Asia_RPM10y">OFFSET([17]Monthly_Traffic_Summary!$AD$297,COUNT([17]Monthly_Traffic_Summary!$AD$1:$AD$65536)-120,0,120,1)</definedName>
    <definedName name="Authors" localSheetId="3">ImportantDisclosures!$A$7</definedName>
    <definedName name="Authors" localSheetId="7">IndexInformation!$B$18</definedName>
    <definedName name="b" hidden="1">[2]ｾｸﾞﾒﾝﾄ!$E$167:$I$167</definedName>
    <definedName name="B_columnAD">OFFSET('[9]Biz Jet Output Data'!$AG$20,0,0,COUNT('[9]Biz Jet Output Data'!$AG$1:$AG$65536)-12,1)</definedName>
    <definedName name="B_columnAF">OFFSET('[9]Biz Jet Output Data'!$AI$20,0,0,COUNT('[9]Biz Jet Output Data'!$AI$1:$AI$65536)-1,1)</definedName>
    <definedName name="B_columnAH">OFFSET('[9]Biz Jet Output Data'!$AK$20,0,0,COUNT('[9]Biz Jet Output Data'!$AK$1:$AK$65536),1)</definedName>
    <definedName name="B_columnAI">OFFSET('[9]Biz Jet Output Data'!$AL$20,0,0,COUNT('[9]Biz Jet Output Data'!$AL$1:$AL$65536),1)</definedName>
    <definedName name="B_rolling12mo">OFFSET('[9]Biz Jet Output Data'!$AL$20,COUNT('[9]Biz Jet Output Data'!$AL$1:$AL$65536)-12,0,12,1)</definedName>
    <definedName name="B_TotalO_LTM">OFFSET('[9]Biz Jet Output Data'!$AG$8,COUNT('[9]Biz Jet Output Data'!$AG$1:$AG$65536)-12,0,12,1)</definedName>
    <definedName name="B_TotalOchange_LTM">OFFSET('[9]Biz Jet Output Data'!$AK$20,COUNT('[9]Biz Jet Output Data'!$AK$1:$AK$65536)-12,0,12,1)</definedName>
    <definedName name="BA_bookbillav">OFFSET('[8]Boeing Monthly'!$AU$451,COUNT('[8]Boeing Monthly'!$AU$1:$AU$65536)-121,0,120,1)</definedName>
    <definedName name="BA_orders">OFFSET('[8]Boeing Charts'!$C$6,COUNT('[8]Boeing Charts'!$C$1:$C$65536)-12,0,12,1)</definedName>
    <definedName name="BA_performance">OFFSET('[8]Boeing Charts'!$C$6,0,0,COUNT('[8]Boeing Charts'!$C$1:$C$65536),1)</definedName>
    <definedName name="BA_relativeprice">OFFSET('[8]Boeing Monthly'!$AX$451,COUNT('[8]Boeing Monthly'!$AX$1:$AX$65536)-121,0,120,1)</definedName>
    <definedName name="BA_stockperformance">OFFSET('[8]Boeing Charts'!$D$6,0,0,COUNT('[8]Boeing Charts'!$D$1:$D$65536),1)</definedName>
    <definedName name="BA_stockprice">OFFSET('[8]Boeing Charts'!$D$6,COUNT('[8]Boeing Charts'!$D$1:$D$65536)-12,0,12,1)</definedName>
    <definedName name="Balance">[4]Main!$A$301:$S$349</definedName>
    <definedName name="BJ_2001_dates">OFFSET('[9]Biz Jet Output Data'!$A$20,0,0,COUNT('[9]Biz Jet Output Data'!$A$1:$A$65536)-12,1)</definedName>
    <definedName name="BJ_2001_rolling">OFFSET('[9]Biz Jet Output Data'!$E$20,0,0,COUNT('[9]Biz Jet Output Data'!$E$1:$E$65536)-1,1)</definedName>
    <definedName name="BJ_2001_rollingyoy">OFFSET('[9]Biz Jet Output Data'!$H$20,0,0,COUNT('[9]Biz Jet Output Data'!$H$1:$H$65536),1)</definedName>
    <definedName name="BJ_TotalO">OFFSET('[9]Biz Jet Output Data'!$D$20,0,0,COUNT('[9]Biz Jet Output Data'!$D$1:$D$65536)-12,1)</definedName>
    <definedName name="BJ_TotalO_LTM">OFFSET('[9]Biz Jet Output Data'!$D$8,COUNT('[9]Biz Jet Output Data'!$D$1:$D$65536)-12,0,12,1)</definedName>
    <definedName name="BJ_TotalO_YoY">OFFSET('[9]Biz Jet Output Data'!$G$20,0,0,COUNT('[9]Biz Jet Output Data'!$G$1:$G$65536),1)</definedName>
    <definedName name="BRO" localSheetId="8">ModPubIndex!$A$1</definedName>
    <definedName name="C_columnU">OFFSET('[9]Biz Jet Output Data'!$W$20,0,0,COUNT('[9]Biz Jet Output Data'!$W$1:$W$65536)-12,1)</definedName>
    <definedName name="C_columnW">OFFSET('[9]Biz Jet Output Data'!$Y$20,0,0,COUNT('[9]Biz Jet Output Data'!$Y$1:$Y$65536)-1,1)</definedName>
    <definedName name="C_columnY">OFFSET('[9]Biz Jet Output Data'!$AA$20,0,0,COUNT('[9]Biz Jet Output Data'!$AA$1:$AA$65536),1)</definedName>
    <definedName name="C_columnZ">OFFSET('[9]Biz Jet Output Data'!$AB$20,0,0,COUNT('[9]Biz Jet Output Data'!$AB$1:$AB$65536),1)</definedName>
    <definedName name="C_rolling12mo">OFFSET('[9]Biz Jet Output Data'!$AB$20,COUNT('[9]Biz Jet Output Data'!$AB$1:$AB$65536)-12,0,12,1)</definedName>
    <definedName name="C_TotalO_LTM">OFFSET('[9]Biz Jet Output Data'!$W$8,COUNT('[9]Biz Jet Output Data'!$W$1:$W$65536)-12,0,12,1)</definedName>
    <definedName name="C_TotalOchange_LTM">OFFSET('[9]Biz Jet Output Data'!$AA$20,COUNT('[9]Biz Jet Output Data'!$AA$1:$AA$65536)-12,0,12,1)</definedName>
    <definedName name="Cash">[4]Main!$A$209:$S$252</definedName>
    <definedName name="CD">'[8]Deliveries LCA &amp; RJ'!$A$1</definedName>
    <definedName name="CopyrightStamp">ImportantDisclosures!$A$27</definedName>
    <definedName name="correlation">'[8]Boeing Monthly'!$AU$674</definedName>
    <definedName name="COU" localSheetId="8">ModPubIndex!$A$5</definedName>
    <definedName name="CQEnd" localSheetId="7">IndexInformation!$B$31</definedName>
    <definedName name="Currency" localSheetId="7">IndexInformation!$B$24</definedName>
    <definedName name="Current_month">OFFSET([17]Monthly_Traffic_Summary!$A$9,COUNT([17]Monthly_Traffic_Summary!$A$1:$A$65536)-2,0,1,1)</definedName>
    <definedName name="CurrentBA_month">OFFSET('[8]Boeing Charts'!$B$6,COUNT('[8]Boeing Charts'!$B$1:$B$65536)-1,0,1,1)</definedName>
    <definedName name="CurrentBJ_month">OFFSET('[9]Biz Jet Output Data'!$A$8,COUNT('[9]Biz Jet Output Data'!$A$1:$A$65536)-1,0,1,1)</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taseries1">OFFSET('[20]Roll off Speed'!$X$12,0,0,COUNTIF('[20]Roll off Speed'!$W$12:$W$1231,"&lt;&gt;false"),1)</definedName>
    <definedName name="Date" localSheetId="3">ImportantDisclosures!$A$8</definedName>
    <definedName name="Date">OFFSET([8]StoredAC!$B$9,0,0,COUNT([8]StoredAC!$B$1:$B$65536),1)</definedName>
    <definedName name="Dates_BA_RP">OFFSET('[8]Boeing Monthly'!$AZ$440,COUNT('[8]Boeing Monthly'!$AZ$1:$AZ$65536)-168,0,168,1)</definedName>
    <definedName name="Dates_BAmonthly">OFFSET('[8]Boeing Monthly'!$AZ$440,COUNT('[8]Boeing Monthly'!$AZ$1:$AZ$65536)-120,0,120,1)</definedName>
    <definedName name="Dates_BJ">OFFSET('[9]Biz Jet Output Data'!$A$8,0,0,COUNT('[9]Biz Jet Output Data'!$A$1:$A$65536),1)</definedName>
    <definedName name="Dates_BJ_LTM">OFFSET('[9]Biz Jet Output Data'!$A$8,COUNT('[9]Biz Jet Output Data'!$A$1:$A$65536)-12,0,12,1)</definedName>
    <definedName name="Dates10y">OFFSET([17]Monthly_Traffic_Summary!$A$9,COUNT([17]Monthly_Traffic_Summary!$A$1:$A$65536)-120,0,120,1)</definedName>
    <definedName name="DatesBA_charts">OFFSET('[8]Boeing Charts'!$B$6,COUNT('[8]Boeing Charts'!$B$1:$B$65536)-12,0,12,1)</definedName>
    <definedName name="DatesBA_performance">OFFSET('[8]Boeing Charts'!$B$6,0,0,COUNT('[8]Boeing Charts'!$B$1:$B$65536),1)</definedName>
    <definedName name="DatesLTM">OFFSET([17]Monthly_Traffic_Summary!$A$9,COUNT([17]Monthly_Traffic_Summary!$A$1:$A$65536)-12,0,12,1)</definedName>
    <definedName name="defense1">{"Client Name or Project Name"}</definedName>
    <definedName name="defesne2">[21]mwareDates!$B$8:$E$37</definedName>
    <definedName name="Deleted" localSheetId="7">IndexInformation!$B$27</definedName>
    <definedName name="Description" localSheetId="7">IndexInformation!$B$7</definedName>
    <definedName name="dfgt" hidden="1">[4]Aerospace!$A$354:$A$386</definedName>
    <definedName name="dfw" hidden="1">[4]Aerospace!$AJ$354:$AJ$367</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3">ImportantDisclosures!#REF!</definedName>
    <definedName name="DistTablePreamble" localSheetId="3">ImportantDisclosures!#REF!</definedName>
    <definedName name="DOCDAT" localSheetId="8">ModPubIndex!$A$2</definedName>
    <definedName name="DOCTIME" localSheetId="8">ModPubIndex!$A$3</definedName>
    <definedName name="DocType" localSheetId="7">IndexInformation!$B$5</definedName>
    <definedName name="EMAIL_ALERT" localSheetId="8">ModPubIndex!$A$10</definedName>
    <definedName name="EmailAlert" localSheetId="7">IndexInformation!$B$28</definedName>
    <definedName name="Europe_ASM">OFFSET([17]Monthly_Traffic_Summary!$Y$261,COUNT([17]Monthly_Traffic_Summary!$Y$1:$Y$65536)-12,0,12,1)</definedName>
    <definedName name="Europe_ASM_LTM">OFFSET([17]Monthly_Traffic_Summary!$Z$261,COUNT([17]Monthly_Traffic_Summary!$Z$1:$Z$65536)-12,0,12,1)</definedName>
    <definedName name="Europe_ASM10y">OFFSET([17]Monthly_Traffic_Summary!$Y$261,COUNT([17]Monthly_Traffic_Summary!$Y$1:$Y$65536)-120,0,120,1)</definedName>
    <definedName name="Europe_LF">OFFSET([17]Monthly_Traffic_Summary!$AA$261,COUNT([17]Monthly_Traffic_Summary!$AA$1:$AA$65536)-12,0,12,1)</definedName>
    <definedName name="Europe_LF_LTM">OFFSET([17]Monthly_Traffic_Summary!$AB$261,COUNT([17]Monthly_Traffic_Summary!$AB$1:$AB$65536)-12,0,12,1)</definedName>
    <definedName name="Europe_LF10y">OFFSET([17]Monthly_Traffic_Summary!$AA$261,COUNT([17]Monthly_Traffic_Summary!$AA$1:$AA$65536)-120,0,120,1)</definedName>
    <definedName name="Europe_RPM">OFFSET([17]Monthly_Traffic_Summary!$W$261,COUNT([17]Monthly_Traffic_Summary!$W$1:$W$65536)-12,0,12,1)</definedName>
    <definedName name="Europe_RPM_LTM">OFFSET([17]Monthly_Traffic_Summary!$X$261,COUNT([17]Monthly_Traffic_Summary!$X$1:$X$65536)-12,0,12,1)</definedName>
    <definedName name="Europe_RPM10y">OFFSET([17]Monthly_Traffic_Summary!$W$261,COUNT([17]Monthly_Traffic_Summary!$W$1:$W$65536)-120,0,120,1)</definedName>
    <definedName name="ｆ" hidden="1">"iQShowAnnual"</definedName>
    <definedName name="fgf" hidden="1">[4]Aerospace!$AH$354:$AH$367</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frg" hidden="1">[4]Aerospace!$O$354:$O$385</definedName>
    <definedName name="G_columnL">OFFSET('[9]Biz Jet Output Data'!$M$20,0,0,COUNT('[9]Biz Jet Output Data'!$M$1:$M$65536)-12,1)</definedName>
    <definedName name="G_columnN">OFFSET('[9]Biz Jet Output Data'!$O$20,0,0,COUNT('[9]Biz Jet Output Data'!$O$1:$O$65536)-1,1)</definedName>
    <definedName name="G_columnP">OFFSET('[9]Biz Jet Output Data'!$Q$20,0,0,COUNT('[9]Biz Jet Output Data'!$Q$1:$Q$65536),1)</definedName>
    <definedName name="G_columnQ">OFFSET('[9]Biz Jet Output Data'!$R$20,0,0,COUNT('[9]Biz Jet Output Data'!$R$1:$R$65536),1)</definedName>
    <definedName name="G_rolling12mo">OFFSET('[9]Biz Jet Output Data'!$R$20,COUNT('[9]Biz Jet Output Data'!$R$1:$R$65536)-12,0,12,1)</definedName>
    <definedName name="G_TotalO_LTM">OFFSET('[9]Biz Jet Output Data'!$M$8,COUNT('[9]Biz Jet Output Data'!$M$1:$M$65536)-12,0,12,1)</definedName>
    <definedName name="G_TotalOchange_LTM">OFFSET('[9]Biz Jet Output Data'!$Q$20,COUNT('[9]Biz Jet Output Data'!$Q$1:$Q$65536)-12,0,12,1)</definedName>
    <definedName name="ghjhg" hidden="1">[2]ｾｸﾞﾒﾝﾄ!$E$164:$I$164</definedName>
    <definedName name="HL" localSheetId="8">ModPubIndex!$A$8</definedName>
    <definedName name="Income">[4]Main!$A$3:$S$37</definedName>
    <definedName name="IND" localSheetId="8">ModPubIndex!$A$9</definedName>
    <definedName name="Industry" localSheetId="3">ImportantDisclosures!$A$12</definedName>
    <definedName name="IndustryId">IndexInformation!$B$40</definedName>
    <definedName name="IndustryRating" localSheetId="3">ImportantDisclosures!$A$13</definedName>
    <definedName name="InStorageDates">OFFSET('[8]StoredAC v2'!$B$9,0,0,COUNT('[8]StoredAC v2'!$B$1:$B$65536),1)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39244.4711574074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7">IndexInformation!$B$8</definedName>
    <definedName name="LanguageCode">IndexInformation!$B$38</definedName>
    <definedName name="Last_date">OFFSET('[8]StoredAC v2'!$B$9,COUNT('[8]StoredAC v2'!$B$1:$B$65536)-1,0,1,1)</definedName>
    <definedName name="LastCell" localSheetId="3">ImportantDisclosures!$A$22</definedName>
    <definedName name="Linking_1" xml:space="preserve">  Model!$AP$210</definedName>
    <definedName name="Linking_10" xml:space="preserve">  Valuation!$K$6:$T$61</definedName>
    <definedName name="Linking_11" xml:space="preserve">  Valuation!$K$6:$T$61</definedName>
    <definedName name="Linking_12" xml:space="preserve"> Valuation!$K$6:$T$61</definedName>
    <definedName name="Linking_13" xml:space="preserve">  Valuation!$K$6:$T$61</definedName>
    <definedName name="Linking_14" xml:space="preserve">  Valuation!$K$6:$T$61</definedName>
    <definedName name="Linking_15" xml:space="preserve">  Valuation!$K$6:$T$61</definedName>
    <definedName name="Linking_16" xml:space="preserve">  Valuation!$K$6:$T$61</definedName>
    <definedName name="Linking_17" xml:space="preserve">  Valuation!$B$35:$J$49</definedName>
    <definedName name="Linking_18" xml:space="preserve">  Valuation!$B$35:$J$49</definedName>
    <definedName name="Linking_19" xml:space="preserve">  Valuation!$K$6:$T$61</definedName>
    <definedName name="Linking_2" xml:space="preserve"> Valuation!$K$6:$T$61</definedName>
    <definedName name="Linking_20" xml:space="preserve">    Valuation!$K$6:$T$61</definedName>
    <definedName name="Linking_3" xml:space="preserve">   Valuation!$K$6:$T$61</definedName>
    <definedName name="Linking_4" xml:space="preserve">  Valuation!$K$6:$T$61</definedName>
    <definedName name="Linking_5" xml:space="preserve">   Valuation!$K$6:$T$61</definedName>
    <definedName name="Linking_6" xml:space="preserve">  Valuation!$K$6:$T$61</definedName>
    <definedName name="Linking_7" xml:space="preserve">  Valuation!$K$6:$T$61</definedName>
    <definedName name="Linking_8" xml:space="preserve">  Valuation!$K$6:$T$61</definedName>
    <definedName name="Linking_9" xml:space="preserve">  Valuation!$K$6:$T$61</definedName>
    <definedName name="Linking_Range_10">Model!$A$1:$BP$264</definedName>
    <definedName name="Linking_Range_11">Model!$A$1:$BP$293</definedName>
    <definedName name="Linking_Range_12">Model!$A$1:$BP$334</definedName>
    <definedName name="Linking_Range_13">Model!$A$1:$BP$335</definedName>
    <definedName name="Linking_Range_7">Model!$A$1:$BP$228</definedName>
    <definedName name="Linking_Range_8">Model!$A$229:$BP$264</definedName>
    <definedName name="Linking_Range_9">Model!$A$266:$BP$293</definedName>
    <definedName name="Linking_Text_1">Model!$AZ$262</definedName>
    <definedName name="MacroVersion" localSheetId="7">IndexInformation!$B$1</definedName>
    <definedName name="MACRS_schedule">[22]Analysis!$C$2</definedName>
    <definedName name="MACRSoptions">[22]MACRS!$C$4:$C$8</definedName>
    <definedName name="Mainline">OFFSET([8]StoredAC!$AP$9,0,0,COUNT([8]StoredAC!$AP$1:$AP$65536)-1,1)</definedName>
    <definedName name="Mid_AC">OFFSET('[8]StoredAC v2'!$W$9,0,0,COUNT('[8]StoredAC v2'!$W$1:$W$65536)-1,1)</definedName>
    <definedName name="Mid_Sized">OFFSET([8]StoredAC!$BI$9,0,0,COUNT([8]StoredAC!$BI$1:$BI$65536)-1,1)</definedName>
    <definedName name="MidInStorage">OFFSET('[8]StoredAC v2'!$W$9,0,0,COUNT('[8]StoredAC v2'!$W$1:$W$65536)-1,1)</definedName>
    <definedName name="ModelPrice" localSheetId="3">ImportantDisclosures!$A$14</definedName>
    <definedName name="Multiplier" localSheetId="7">IndexInformation!$B$35</definedName>
    <definedName name="multSecurities_L">[23]MultipleSecurities!$A$2:$A$17</definedName>
    <definedName name="New">OFFSET([8]StoredAC!$BY$9,0,0,COUNT([8]StoredAC!$BY$1:$BY$65536)-1,1)</definedName>
    <definedName name="New_AC">OFFSET('[8]StoredAC v2'!$AJ$9,0,0,COUNT('[8]StoredAC v2'!$AJ$1:$AJ$65536)-1,1)</definedName>
    <definedName name="New_Small">OFFSET([8]StoredAC!$BE$9,0,0,COUNT([8]StoredAC!$BE$1:$BE$65536)-1,1)</definedName>
    <definedName name="NewInStorage">OFFSET('[8]StoredAC v2'!$AJ$9,0,0,COUNT('[8]StoredAC v2'!$AJ$1:$AJ$65536)-1,1)</definedName>
    <definedName name="NextYearEPS" localSheetId="7">IndexInformation!$B$13</definedName>
    <definedName name="NextYearTotalRevenue" localSheetId="7">IndexInformation!$B$12</definedName>
    <definedName name="NextYearTotalRevenueActual" localSheetId="7">IndexInformation!$B$33</definedName>
    <definedName name="ObjectType">IndexInformation!$B$37</definedName>
    <definedName name="Old">OFFSET([8]StoredAC!$BX$9,0,0,COUNT([8]StoredAC!$BX$1:$BX$65536)-1,1)</definedName>
    <definedName name="Old_AC">OFFSET('[8]StoredAC v2'!$L$9,0,0,COUNT('[8]StoredAC v2'!$L$1:$L$65536)-1,1)</definedName>
    <definedName name="Old_Narrows">OFFSET([8]StoredAC!$BF$9,0,0,COUNT([8]StoredAC!$BF$1:$BF$65536)-1,1)</definedName>
    <definedName name="OldInStorage">OFFSET('[8]StoredAC v2'!$L$9,0,0,COUNT('[8]StoredAC v2'!$L$1:$L$65536)-1,1)</definedName>
    <definedName name="one">{"Client Name or Project Name"}</definedName>
    <definedName name="P_L">[4]Tables!$AI$259:$AY$279</definedName>
    <definedName name="PANA" localSheetId="8">ModPubIndex!$A$11</definedName>
    <definedName name="PathName" localSheetId="7">IndexInformation!$B$25</definedName>
    <definedName name="_xlnm.Print_Area" localSheetId="6">Model!$A$1:$AZ$345</definedName>
    <definedName name="_xlnm.Print_Area" localSheetId="5">Valuation!$B$1:$T$63</definedName>
    <definedName name="_xlnm.Print_Area">"Formula removed, name can be deleted."</definedName>
    <definedName name="_xlnm.Print_Titles">"Formula removed, name can be deleted."</definedName>
    <definedName name="PRODUCT" localSheetId="8">ModPubIndex!$A$6</definedName>
    <definedName name="ProjectName">{"Client Name or Project Name"}</definedName>
    <definedName name="PSYM" localSheetId="8">ModPubIndex!$A$4</definedName>
    <definedName name="PublishDate" localSheetId="7">IndexInformation!$B$2</definedName>
    <definedName name="Q3Flash">[4]Tables!$AL$235:$AS$254</definedName>
    <definedName name="QIncome_1999">[4]Quarterly!$GB$2:$GN$46</definedName>
    <definedName name="QIncome_2000">[4]Quarterly!$FJ$2:$FV$46</definedName>
    <definedName name="Rating" localSheetId="7">IndexInformation!$B$9</definedName>
    <definedName name="RatingsDefined" localSheetId="3">ImportantDisclosures!$A$21</definedName>
    <definedName name="RatingsDefs" localSheetId="3">ImportantDisclosures!#REF!</definedName>
    <definedName name="RegACDisclosure" localSheetId="3">ImportantDisclosures!#REF!</definedName>
    <definedName name="ResearchTopic" localSheetId="7">IndexInformation!$B$4</definedName>
    <definedName name="RIC" localSheetId="7">IndexInformation!$B$21</definedName>
    <definedName name="Rsquared">'[8]Boeing Monthly'!$AT$674</definedName>
    <definedName name="SECSettlement" localSheetId="3">ImportantDisclosures!#REF!</definedName>
    <definedName name="SEDOL" localSheetId="7">IndexInformation!$B$22</definedName>
    <definedName name="sef" hidden="1">[4]Aerospace!$AB$354:$AB$385</definedName>
    <definedName name="solver_adj" localSheetId="6" hidden="1">Model!$AS$256</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2147483647</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0</definedName>
    <definedName name="solver_nwt" localSheetId="6" hidden="1">1</definedName>
    <definedName name="solver_opt" localSheetId="6" hidden="1">Model!$AS$255</definedName>
    <definedName name="solver_pre" localSheetId="6" hidden="1">0.000001</definedName>
    <definedName name="solver_rbv" localSheetId="6" hidden="1">1</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3</definedName>
    <definedName name="solver_val" localSheetId="6" hidden="1">331.811</definedName>
    <definedName name="solver_ver" localSheetId="6" hidden="1">3</definedName>
    <definedName name="SourceDefined" localSheetId="3">ImportantDisclosures!$A$19</definedName>
    <definedName name="Statement">[0]!Statement</definedName>
    <definedName name="StockRating" localSheetId="3">ImportantDisclosures!$A$11</definedName>
    <definedName name="Stored_Dates">OFFSET('[8]StoredAC v2'!$B$9,0,0,COUNT('[8]StoredAC v2'!$B$1:$B$65536),1)</definedName>
    <definedName name="SubjectCode" localSheetId="7">IndexInformation!$B$6</definedName>
    <definedName name="SubmitterUserId">IndexInformation!$B$39</definedName>
    <definedName name="SUPPRESSED" localSheetId="8">ModPubIndex!$A$13</definedName>
    <definedName name="T_Mainline">OFFSET('[8]StoredAC v2'!$AK$9,0,0,COUNT('[8]StoredAC v2'!$AK$1:$AK$65536)-1,1)</definedName>
    <definedName name="TargetPrice" localSheetId="3">ImportantDisclosures!$A$15</definedName>
    <definedName name="TemplateRegion">IndexInformation!$B$36</definedName>
    <definedName name="Ticker" localSheetId="3">ImportantDisclosures!$A$10</definedName>
    <definedName name="ticker">OFFSET('[24]Exclusion List'!$A$1,1,0,COUNTA('[24]Exclusion List'!$A$1:$A$65536)-1,1)</definedName>
    <definedName name="TickerRegion">IndexInformation!$B$41</definedName>
    <definedName name="Tickers" localSheetId="7">IndexInformation!$B$19</definedName>
    <definedName name="TotalInStorage">OFFSET('[8]StoredAC v2'!$AK$9,0,0,COUNT('[8]StoredAC v2'!$AK$1:$AK$65536)-1,1)</definedName>
    <definedName name="tyd" hidden="1">[2]ｾｸﾞﾒﾝﾄ!$E$165:$I$165</definedName>
    <definedName name="uiyioy" hidden="1">[2]単独!$AR$14:$AR$18</definedName>
    <definedName name="Update_This">[25]!Update_This</definedName>
    <definedName name="UpdateReason" localSheetId="7">IndexInformation!$B$17</definedName>
    <definedName name="US_ASM">OFFSET([17]Monthly_Traffic_Summary!$R$9,COUNT([17]Monthly_Traffic_Summary!$R$1:$R$65536)-12,0,12,1)</definedName>
    <definedName name="US_ASM_LTM">OFFSET([17]Monthly_Traffic_Summary!$S$21,COUNT([17]Monthly_Traffic_Summary!$S$1:$S$65536)-12,0,12,1)</definedName>
    <definedName name="US_ASM10y">OFFSET([17]Monthly_Traffic_Summary!$R$9,COUNT([17]Monthly_Traffic_Summary!$R$1:$R$65536)-120,0,120,1)</definedName>
    <definedName name="US_LF">OFFSET([17]Monthly_Traffic_Summary!$T$9,COUNT([17]Monthly_Traffic_Summary!$T$1:$T$65536)-12,0,12,1)</definedName>
    <definedName name="US_LF_LTM">OFFSET([17]Monthly_Traffic_Summary!$U$21,COUNT([17]Monthly_Traffic_Summary!$U$1:$U$65536)-12,0,12,1)</definedName>
    <definedName name="US_LF10y">OFFSET([17]Monthly_Traffic_Summary!$T$9,COUNT([17]Monthly_Traffic_Summary!$T$1:$T$65536)-120,0,120,1)</definedName>
    <definedName name="US_RPM">OFFSET([17]Monthly_Traffic_Summary!$P$9,COUNT([17]Monthly_Traffic_Summary!$P$1:$P$65536)-12,0,12,1)</definedName>
    <definedName name="US_RPM_LTM">OFFSET([17]Monthly_Traffic_Summary!$Q$21,COUNT([17]Monthly_Traffic_Summary!$Q$1:$Q$65536)-12,0,12,1)</definedName>
    <definedName name="US_RPM10y">OFFSET([17]Monthly_Traffic_Summary!$P$9,COUNT([17]Monthly_Traffic_Summary!$P$1:$P$65536)-120,0,120,1)</definedName>
    <definedName name="USRegDisclosures" localSheetId="3">ImportantDisclosures!#REF!</definedName>
    <definedName name="v" hidden="1">[2]ｾｸﾞﾒﾝﾄ!$E$164:$I$164</definedName>
    <definedName name="Valuation">[4]Main!$AI$4:$AV$21</definedName>
    <definedName name="Version">"June 29, 2004"</definedName>
    <definedName name="w" hidden="1">[2]単独!$AR$14:$AR$18</definedName>
    <definedName name="Widebodies">OFFSET([8]StoredAC!$BZ$9,0,0,COUNT([8]StoredAC!$BZ$1:$BZ$65536)-1,1)</definedName>
    <definedName name="Worldwide_ASM_LTM">OFFSET([17]Monthly_Traffic_Summary!$AN$369,COUNT([17]Monthly_Traffic_Summary!$AN$1:$AN$65536)-12,0,12,1)</definedName>
    <definedName name="Worldwide_RPM_LTM">OFFSET([17]Monthly_Traffic_Summary!$AL$369,COUNT([17]Monthly_Traffic_Summary!$AL$1:$AL$65536)-12,0,12,1)</definedName>
    <definedName name="Worlwide_LF_LTM">OFFSET([17]Monthly_Traffic_Summary!$AP$369,COUNT([17]Monthly_Traffic_Summary!$AP$1:$AP$65536)-12,0,12,1)</definedName>
    <definedName name="wrn.2._.pagers." hidden="1">{"Cover",#N/A,FALSE,"Cover";"Summary",#N/A,FALSE,"Summarpage"}</definedName>
    <definedName name="wrn.allpages." hidden="1">{#N/A,#N/A,TRUE,"Historicals";#N/A,#N/A,TRUE,"Charts";#N/A,#N/A,TRUE,"Forecasts"}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hidden="1">{#N/A,#N/A,FALSE,"Earnings";#N/A,#N/A,FALSE,"Overview";#N/A,#N/A,FALSE,"Summary";#N/A,#N/A,FALSE,"Summary II";#N/A,#N/A,FALSE,"R&amp;D";#N/A,#N/A,FALSE,"R&amp;D Forecast";#N/A,#N/A,FALSE,"Tax Adj";#N/A,#N/A,FALSE,"Goodwill";#N/A,#N/A,FALSE,"FX ";#N/A,#N/A,FALSE,"Consolidation";#N/A,#N/A,FALSE,"Provisions"}</definedName>
    <definedName name="wrn.MOBIL." hidden="1">{"quarter",#N/A,FALSE,"MOB"}</definedName>
    <definedName name="wrn.Pulp." hidden="1">{"Pulp Production",#N/A,FALSE,"Pulp";"Pulp Earnings",#N/A,FALSE,"Pulp"}</definedName>
    <definedName name="xaxis">OFFSET('[20]Roll off Speed'!$W$12,0,0,COUNTIF('[20]Roll off Speed'!$W$12:$W$1231,"&lt;&gt;false"),1)</definedName>
    <definedName name="ytdhy" hidden="1">[2]ｾｸﾞﾒﾝﾄ!$E$167:$I$167</definedName>
  </definedNames>
  <calcPr calcId="145621" calcMode="autoNoTable" iterate="1" iterateDelta="1.0000000000000002E-3"/>
</workbook>
</file>

<file path=xl/calcChain.xml><?xml version="1.0" encoding="utf-8"?>
<calcChain xmlns="http://schemas.openxmlformats.org/spreadsheetml/2006/main">
  <c r="BZ80" i="29" l="1"/>
  <c r="CI351" i="29" l="1"/>
  <c r="CH351" i="29"/>
  <c r="CG351" i="29"/>
  <c r="CF351" i="29"/>
  <c r="CD351" i="29"/>
  <c r="CC351" i="29"/>
  <c r="CB351" i="29"/>
  <c r="CA351" i="29"/>
  <c r="BY351" i="29"/>
  <c r="BX351" i="29"/>
  <c r="BW351" i="29"/>
  <c r="BV351" i="29"/>
  <c r="BJ351" i="29"/>
  <c r="BI351" i="29"/>
  <c r="BH351" i="29"/>
  <c r="BG351" i="29"/>
  <c r="G349" i="29"/>
  <c r="G348" i="29"/>
  <c r="G347" i="29"/>
  <c r="A348" i="29"/>
  <c r="A347" i="29"/>
  <c r="CG349" i="29"/>
  <c r="CC349" i="29"/>
  <c r="BY349" i="29"/>
  <c r="BI349" i="29"/>
  <c r="BA349" i="29"/>
  <c r="AG349" i="29"/>
  <c r="Q349" i="29"/>
  <c r="M349" i="29"/>
  <c r="CI348" i="29"/>
  <c r="CH348" i="29"/>
  <c r="CH349" i="29" s="1"/>
  <c r="CG348" i="29"/>
  <c r="CF348" i="29"/>
  <c r="CD348" i="29"/>
  <c r="CD349" i="29" s="1"/>
  <c r="CC348" i="29"/>
  <c r="CB348" i="29"/>
  <c r="CA348" i="29"/>
  <c r="BY348" i="29"/>
  <c r="BX348" i="29"/>
  <c r="BW348" i="29"/>
  <c r="BV348" i="29"/>
  <c r="BV349" i="29" s="1"/>
  <c r="BL348" i="29"/>
  <c r="BK348" i="29"/>
  <c r="BJ348" i="29"/>
  <c r="BJ349" i="29" s="1"/>
  <c r="BI348" i="29"/>
  <c r="BG348" i="29"/>
  <c r="BF348" i="29"/>
  <c r="BF349" i="29" s="1"/>
  <c r="BB348" i="29"/>
  <c r="BB349" i="29" s="1"/>
  <c r="BA348" i="29"/>
  <c r="AZ348" i="29"/>
  <c r="AV348" i="29"/>
  <c r="AQ348" i="29"/>
  <c r="AL348" i="29"/>
  <c r="AL349" i="29" s="1"/>
  <c r="AG348" i="29"/>
  <c r="AB348" i="29"/>
  <c r="AA348" i="29"/>
  <c r="W348" i="29"/>
  <c r="V348" i="29"/>
  <c r="V349" i="29" s="1"/>
  <c r="R348" i="29"/>
  <c r="R349" i="29" s="1"/>
  <c r="Q348" i="29"/>
  <c r="M348" i="29"/>
  <c r="L348" i="29"/>
  <c r="CI347" i="29"/>
  <c r="CI349" i="29" s="1"/>
  <c r="CH347" i="29"/>
  <c r="CG347" i="29"/>
  <c r="CF347" i="29"/>
  <c r="CF349" i="29" s="1"/>
  <c r="CD347" i="29"/>
  <c r="CC347" i="29"/>
  <c r="CB347" i="29"/>
  <c r="CB349" i="29" s="1"/>
  <c r="CA347" i="29"/>
  <c r="CA349" i="29" s="1"/>
  <c r="BY347" i="29"/>
  <c r="BX347" i="29"/>
  <c r="BX349" i="29" s="1"/>
  <c r="BW347" i="29"/>
  <c r="BW349" i="29" s="1"/>
  <c r="BV347" i="29"/>
  <c r="BL347" i="29"/>
  <c r="BL349" i="29" s="1"/>
  <c r="BK347" i="29"/>
  <c r="BK349" i="29" s="1"/>
  <c r="BJ347" i="29"/>
  <c r="BI347" i="29"/>
  <c r="BG347" i="29"/>
  <c r="BG349" i="29" s="1"/>
  <c r="BF347" i="29"/>
  <c r="BB347" i="29"/>
  <c r="BA347" i="29"/>
  <c r="AZ347" i="29"/>
  <c r="AZ349" i="29" s="1"/>
  <c r="AV347" i="29"/>
  <c r="AV349" i="29" s="1"/>
  <c r="AQ347" i="29"/>
  <c r="AQ349" i="29" s="1"/>
  <c r="AL347" i="29"/>
  <c r="AG347" i="29"/>
  <c r="AB347" i="29"/>
  <c r="AB349" i="29" s="1"/>
  <c r="AA347" i="29"/>
  <c r="AA349" i="29" s="1"/>
  <c r="W347" i="29"/>
  <c r="W349" i="29" s="1"/>
  <c r="V347" i="29"/>
  <c r="R347" i="29"/>
  <c r="Q347" i="29"/>
  <c r="M347" i="29"/>
  <c r="L347" i="29"/>
  <c r="L349" i="29" s="1"/>
  <c r="H348" i="29"/>
  <c r="H347" i="29"/>
  <c r="BF339" i="29"/>
  <c r="BB339" i="29"/>
  <c r="BA339" i="29"/>
  <c r="AZ339" i="29"/>
  <c r="AV339" i="29"/>
  <c r="AQ339" i="29"/>
  <c r="AL339" i="29"/>
  <c r="AG339" i="29"/>
  <c r="AB339" i="29"/>
  <c r="AA339" i="29"/>
  <c r="W339" i="29"/>
  <c r="V339" i="29"/>
  <c r="R339" i="29"/>
  <c r="Q339" i="29"/>
  <c r="M339" i="29"/>
  <c r="L339" i="29"/>
  <c r="H339" i="29"/>
  <c r="G339" i="29"/>
  <c r="F339" i="29"/>
  <c r="E339" i="29"/>
  <c r="D339" i="29"/>
  <c r="C339" i="29"/>
  <c r="B339" i="29"/>
  <c r="BL339" i="29"/>
  <c r="BK339" i="29"/>
  <c r="BO338" i="29"/>
  <c r="BN338" i="29"/>
  <c r="BM338" i="29"/>
  <c r="BE338" i="29"/>
  <c r="BD338" i="29"/>
  <c r="BC338" i="29"/>
  <c r="AY338" i="29"/>
  <c r="AX338" i="29"/>
  <c r="AW338" i="29"/>
  <c r="AV338" i="29"/>
  <c r="AT338" i="29"/>
  <c r="AS338" i="29"/>
  <c r="AR338" i="29"/>
  <c r="AN338" i="29"/>
  <c r="AM338" i="29"/>
  <c r="AL338" i="29"/>
  <c r="AJ338" i="29"/>
  <c r="AI338" i="29"/>
  <c r="AH338" i="29"/>
  <c r="AG338" i="29"/>
  <c r="AE338" i="29"/>
  <c r="AD338" i="29"/>
  <c r="AC338" i="29"/>
  <c r="AB338" i="29"/>
  <c r="Z338" i="29"/>
  <c r="Y338" i="29"/>
  <c r="X338" i="29"/>
  <c r="W338" i="29"/>
  <c r="U338" i="29"/>
  <c r="T338" i="29"/>
  <c r="S338" i="29"/>
  <c r="R338" i="29"/>
  <c r="P338" i="29"/>
  <c r="O338" i="29"/>
  <c r="N338" i="29"/>
  <c r="M338" i="29"/>
  <c r="K338" i="29"/>
  <c r="J338" i="29"/>
  <c r="I338" i="29"/>
  <c r="G338" i="29"/>
  <c r="F338" i="29"/>
  <c r="E338" i="29"/>
  <c r="D338" i="29"/>
  <c r="C338" i="29"/>
  <c r="BO332" i="29"/>
  <c r="BN332" i="29"/>
  <c r="BM332" i="29"/>
  <c r="BL332" i="29"/>
  <c r="AY333" i="29"/>
  <c r="AQ333" i="29"/>
  <c r="AQ334" i="29" s="1"/>
  <c r="AM333" i="29"/>
  <c r="AM334" i="29" s="1"/>
  <c r="AI333" i="29"/>
  <c r="AI334" i="29" s="1"/>
  <c r="AE333" i="29"/>
  <c r="AE334" i="29" s="1"/>
  <c r="W333" i="29"/>
  <c r="W334" i="29" s="1"/>
  <c r="S333" i="29"/>
  <c r="S334" i="29" s="1"/>
  <c r="O333" i="29"/>
  <c r="O334" i="29" s="1"/>
  <c r="K333" i="29"/>
  <c r="K334" i="29" s="1"/>
  <c r="G333" i="29"/>
  <c r="G334" i="29" s="1"/>
  <c r="C333" i="29"/>
  <c r="C334" i="29" s="1"/>
  <c r="BE332" i="29"/>
  <c r="BD332" i="29"/>
  <c r="BC332" i="29"/>
  <c r="BB332" i="29"/>
  <c r="AY332" i="29"/>
  <c r="AX332" i="29"/>
  <c r="AW332" i="29"/>
  <c r="AV332" i="29"/>
  <c r="AT332" i="29"/>
  <c r="AS332" i="29"/>
  <c r="AR332" i="29"/>
  <c r="AQ332" i="29"/>
  <c r="AN332" i="29"/>
  <c r="AN333" i="29" s="1"/>
  <c r="AN334" i="29" s="1"/>
  <c r="AM332" i="29"/>
  <c r="AL332" i="29"/>
  <c r="AL333" i="29" s="1"/>
  <c r="AL334" i="29" s="1"/>
  <c r="AJ332" i="29"/>
  <c r="AJ333" i="29" s="1"/>
  <c r="AJ334" i="29" s="1"/>
  <c r="AI332" i="29"/>
  <c r="AH332" i="29"/>
  <c r="AH333" i="29" s="1"/>
  <c r="AH334" i="29" s="1"/>
  <c r="AG332" i="29"/>
  <c r="AG333" i="29" s="1"/>
  <c r="AG334" i="29" s="1"/>
  <c r="AE332" i="29"/>
  <c r="AD332" i="29"/>
  <c r="AD333" i="29" s="1"/>
  <c r="AD334" i="29" s="1"/>
  <c r="AC332" i="29"/>
  <c r="AC333" i="29" s="1"/>
  <c r="AC334" i="29" s="1"/>
  <c r="AB332" i="29"/>
  <c r="AB333" i="29" s="1"/>
  <c r="AB334" i="29" s="1"/>
  <c r="Z332" i="29"/>
  <c r="Z333" i="29" s="1"/>
  <c r="Z334" i="29" s="1"/>
  <c r="Y332" i="29"/>
  <c r="Y333" i="29" s="1"/>
  <c r="Y334" i="29" s="1"/>
  <c r="X332" i="29"/>
  <c r="X333" i="29" s="1"/>
  <c r="X334" i="29" s="1"/>
  <c r="W332" i="29"/>
  <c r="U332" i="29"/>
  <c r="U333" i="29" s="1"/>
  <c r="U334" i="29" s="1"/>
  <c r="T332" i="29"/>
  <c r="T333" i="29" s="1"/>
  <c r="T334" i="29" s="1"/>
  <c r="S332" i="29"/>
  <c r="R332" i="29"/>
  <c r="R333" i="29" s="1"/>
  <c r="R334" i="29" s="1"/>
  <c r="P332" i="29"/>
  <c r="P333" i="29" s="1"/>
  <c r="P334" i="29" s="1"/>
  <c r="O332" i="29"/>
  <c r="N332" i="29"/>
  <c r="N333" i="29" s="1"/>
  <c r="N334" i="29" s="1"/>
  <c r="M332" i="29"/>
  <c r="M333" i="29" s="1"/>
  <c r="M334" i="29" s="1"/>
  <c r="K332" i="29"/>
  <c r="J332" i="29"/>
  <c r="J333" i="29" s="1"/>
  <c r="J334" i="29" s="1"/>
  <c r="I332" i="29"/>
  <c r="I333" i="29" s="1"/>
  <c r="I334" i="29" s="1"/>
  <c r="H332" i="29"/>
  <c r="H333" i="29" s="1"/>
  <c r="H334" i="29" s="1"/>
  <c r="G332" i="29"/>
  <c r="F332" i="29"/>
  <c r="F333" i="29" s="1"/>
  <c r="F334" i="29" s="1"/>
  <c r="E332" i="29"/>
  <c r="E333" i="29" s="1"/>
  <c r="E334" i="29" s="1"/>
  <c r="D332" i="29"/>
  <c r="D333" i="29" s="1"/>
  <c r="D334" i="29" s="1"/>
  <c r="C332" i="29"/>
  <c r="B332" i="29"/>
  <c r="B333" i="29" s="1"/>
  <c r="B334" i="29" s="1"/>
  <c r="BF331" i="29"/>
  <c r="BF330" i="29"/>
  <c r="BK330" i="29" s="1"/>
  <c r="BF329" i="29"/>
  <c r="BF328" i="29"/>
  <c r="BF327" i="29"/>
  <c r="AU331" i="29"/>
  <c r="AU330" i="29"/>
  <c r="AU329" i="29"/>
  <c r="AU328" i="29"/>
  <c r="AP331" i="29"/>
  <c r="AP330" i="29"/>
  <c r="AP329" i="29"/>
  <c r="AP328" i="29"/>
  <c r="AK331" i="29"/>
  <c r="AK330" i="29"/>
  <c r="AK329" i="29"/>
  <c r="AK328" i="29"/>
  <c r="AK327" i="29"/>
  <c r="AK332" i="29" s="1"/>
  <c r="AK333" i="29" s="1"/>
  <c r="AK334" i="29" s="1"/>
  <c r="AF331" i="29"/>
  <c r="AF330" i="29"/>
  <c r="AF332" i="29" s="1"/>
  <c r="AF333" i="29" s="1"/>
  <c r="AF334" i="29" s="1"/>
  <c r="AF329" i="29"/>
  <c r="AF328" i="29"/>
  <c r="AF327" i="29"/>
  <c r="AF338" i="29" s="1"/>
  <c r="AA331" i="29"/>
  <c r="AA330" i="29"/>
  <c r="AA329" i="29"/>
  <c r="AA328" i="29"/>
  <c r="AA327" i="29"/>
  <c r="V331" i="29"/>
  <c r="V330" i="29"/>
  <c r="V329" i="29"/>
  <c r="V328" i="29"/>
  <c r="V327" i="29"/>
  <c r="V332" i="29" s="1"/>
  <c r="V333" i="29" s="1"/>
  <c r="V334" i="29" s="1"/>
  <c r="Q331" i="29"/>
  <c r="Q330" i="29"/>
  <c r="Q329" i="29"/>
  <c r="Q328" i="29"/>
  <c r="Q327" i="29"/>
  <c r="Q332" i="29" s="1"/>
  <c r="Q333" i="29" s="1"/>
  <c r="Q334" i="29" s="1"/>
  <c r="L331" i="29"/>
  <c r="L330" i="29"/>
  <c r="L332" i="29" s="1"/>
  <c r="L333" i="29" s="1"/>
  <c r="L334" i="29" s="1"/>
  <c r="L329" i="29"/>
  <c r="L328" i="29"/>
  <c r="L327" i="29"/>
  <c r="L338" i="29" s="1"/>
  <c r="BK328" i="29"/>
  <c r="BK327" i="29"/>
  <c r="BP331" i="29"/>
  <c r="BP330" i="29"/>
  <c r="BP329" i="29"/>
  <c r="BP328" i="29"/>
  <c r="BP327" i="29"/>
  <c r="AZ331" i="29"/>
  <c r="BA331" i="29" s="1"/>
  <c r="AZ330" i="29"/>
  <c r="BA330" i="29" s="1"/>
  <c r="AZ329" i="29"/>
  <c r="AZ328" i="29"/>
  <c r="BA328" i="29" s="1"/>
  <c r="AZ327" i="29"/>
  <c r="AO327" i="29"/>
  <c r="BB325" i="29"/>
  <c r="BB333" i="29" s="1"/>
  <c r="AQ325" i="29"/>
  <c r="AP325" i="29"/>
  <c r="AO325" i="29"/>
  <c r="BF324" i="29"/>
  <c r="BF323" i="29"/>
  <c r="BF322" i="29"/>
  <c r="BF325" i="29" s="1"/>
  <c r="BF320" i="29"/>
  <c r="BF318" i="29"/>
  <c r="BF316" i="29"/>
  <c r="BF315" i="29"/>
  <c r="AU324" i="29"/>
  <c r="AU323" i="29"/>
  <c r="AU320" i="29"/>
  <c r="AU318" i="29"/>
  <c r="AU316" i="29"/>
  <c r="AU315" i="29"/>
  <c r="AQ324" i="29"/>
  <c r="AO324" i="29"/>
  <c r="AP324" i="29" s="1"/>
  <c r="AN324" i="29"/>
  <c r="AM324" i="29"/>
  <c r="AL324" i="29"/>
  <c r="AJ324" i="29"/>
  <c r="AI324" i="29"/>
  <c r="AH324" i="29"/>
  <c r="AG324" i="29"/>
  <c r="AE324" i="29"/>
  <c r="AD324" i="29"/>
  <c r="AC324" i="29"/>
  <c r="AB324" i="29"/>
  <c r="AA324" i="29"/>
  <c r="Z324" i="29"/>
  <c r="Y324" i="29"/>
  <c r="X324" i="29"/>
  <c r="W324" i="29"/>
  <c r="U324" i="29"/>
  <c r="T324" i="29"/>
  <c r="S324" i="29"/>
  <c r="R324" i="29"/>
  <c r="P324" i="29"/>
  <c r="O324" i="29"/>
  <c r="N324" i="29"/>
  <c r="M324" i="29"/>
  <c r="K324" i="29"/>
  <c r="J324" i="29"/>
  <c r="I324" i="29"/>
  <c r="H324" i="29"/>
  <c r="G324" i="29"/>
  <c r="F324" i="29"/>
  <c r="E324" i="29"/>
  <c r="D324" i="29"/>
  <c r="C324" i="29"/>
  <c r="B324" i="29"/>
  <c r="BK323" i="29"/>
  <c r="AZ324" i="29"/>
  <c r="BA324" i="29" s="1"/>
  <c r="AZ323" i="29"/>
  <c r="BA323" i="29" s="1"/>
  <c r="AP323" i="29"/>
  <c r="AP322" i="29"/>
  <c r="AP318" i="29"/>
  <c r="AP316" i="29"/>
  <c r="AK323" i="29"/>
  <c r="AK324" i="29" s="1"/>
  <c r="AF323" i="29"/>
  <c r="AF324" i="29" s="1"/>
  <c r="AA323" i="29"/>
  <c r="V323" i="29"/>
  <c r="V324" i="29" s="1"/>
  <c r="Q323" i="29"/>
  <c r="Q324" i="29" s="1"/>
  <c r="L323" i="29"/>
  <c r="L324" i="29" s="1"/>
  <c r="BO322" i="29"/>
  <c r="BO325" i="29" s="1"/>
  <c r="BO333" i="29" s="1"/>
  <c r="BN322" i="29"/>
  <c r="BN325" i="29" s="1"/>
  <c r="BN333" i="29" s="1"/>
  <c r="BM322" i="29"/>
  <c r="BM325" i="29" s="1"/>
  <c r="BM333" i="29" s="1"/>
  <c r="BL322" i="29"/>
  <c r="BL325" i="29" s="1"/>
  <c r="BL333" i="29" s="1"/>
  <c r="BE322" i="29"/>
  <c r="BE325" i="29" s="1"/>
  <c r="BE333" i="29" s="1"/>
  <c r="BD322" i="29"/>
  <c r="BD325" i="29" s="1"/>
  <c r="BD333" i="29" s="1"/>
  <c r="BC322" i="29"/>
  <c r="BC325" i="29" s="1"/>
  <c r="BC333" i="29" s="1"/>
  <c r="BB322" i="29"/>
  <c r="AY322" i="29"/>
  <c r="AY325" i="29" s="1"/>
  <c r="AX322" i="29"/>
  <c r="AX325" i="29" s="1"/>
  <c r="AX333" i="29" s="1"/>
  <c r="AW322" i="29"/>
  <c r="AW325" i="29" s="1"/>
  <c r="AW333" i="29" s="1"/>
  <c r="AW334" i="29" s="1"/>
  <c r="AV322" i="29"/>
  <c r="AV325" i="29" s="1"/>
  <c r="AV333" i="29" s="1"/>
  <c r="AV334" i="29" s="1"/>
  <c r="AT322" i="29"/>
  <c r="AT325" i="29" s="1"/>
  <c r="AT333" i="29" s="1"/>
  <c r="AT334" i="29" s="1"/>
  <c r="AS322" i="29"/>
  <c r="AS325" i="29" s="1"/>
  <c r="AS333" i="29" s="1"/>
  <c r="AS334" i="29" s="1"/>
  <c r="AR322" i="29"/>
  <c r="AR325" i="29" s="1"/>
  <c r="AQ320" i="29"/>
  <c r="AZ320" i="29"/>
  <c r="BA320" i="29" s="1"/>
  <c r="AN320" i="29"/>
  <c r="AM320" i="29"/>
  <c r="AL320" i="29"/>
  <c r="AJ320" i="29"/>
  <c r="AI320" i="29"/>
  <c r="AH320" i="29"/>
  <c r="AG320" i="29"/>
  <c r="AE320" i="29"/>
  <c r="AD320" i="29"/>
  <c r="AC320" i="29"/>
  <c r="AB320" i="29"/>
  <c r="Z320" i="29"/>
  <c r="Y320" i="29"/>
  <c r="X320" i="29"/>
  <c r="W320" i="29"/>
  <c r="V320" i="29"/>
  <c r="U320" i="29"/>
  <c r="T320" i="29"/>
  <c r="S320" i="29"/>
  <c r="R320" i="29"/>
  <c r="P320" i="29"/>
  <c r="O320" i="29"/>
  <c r="N320" i="29"/>
  <c r="M320" i="29"/>
  <c r="K320" i="29"/>
  <c r="J320" i="29"/>
  <c r="I320" i="29"/>
  <c r="H320" i="29"/>
  <c r="G320" i="29"/>
  <c r="F320" i="29"/>
  <c r="E320" i="29"/>
  <c r="D320" i="29"/>
  <c r="C320" i="29"/>
  <c r="B320" i="29"/>
  <c r="AZ318" i="29"/>
  <c r="BK316" i="29"/>
  <c r="BK315" i="29"/>
  <c r="AK316" i="29"/>
  <c r="AK315" i="29"/>
  <c r="AF316" i="29"/>
  <c r="AF315" i="29"/>
  <c r="AA316" i="29"/>
  <c r="AA315" i="29"/>
  <c r="V316" i="29"/>
  <c r="V315" i="29"/>
  <c r="Q316" i="29"/>
  <c r="Q315" i="29"/>
  <c r="L316" i="29"/>
  <c r="L315" i="29"/>
  <c r="BP324" i="29"/>
  <c r="BP323" i="29"/>
  <c r="BQ323" i="29" s="1"/>
  <c r="BR323" i="29" s="1"/>
  <c r="BS323" i="29" s="1"/>
  <c r="BT323" i="29" s="1"/>
  <c r="BU323" i="29" s="1"/>
  <c r="BZ323" i="29" s="1"/>
  <c r="CE323" i="29" s="1"/>
  <c r="CJ323" i="29" s="1"/>
  <c r="BP320" i="29"/>
  <c r="BP318" i="29"/>
  <c r="BP316" i="29"/>
  <c r="BP315" i="29"/>
  <c r="BA316" i="29"/>
  <c r="AZ316" i="29"/>
  <c r="AZ315" i="29"/>
  <c r="AO315" i="29"/>
  <c r="AU311" i="29"/>
  <c r="AU310" i="29"/>
  <c r="AU309" i="29"/>
  <c r="AU306" i="29"/>
  <c r="AU304" i="29"/>
  <c r="AU302" i="29"/>
  <c r="BF312" i="29"/>
  <c r="BF311" i="29"/>
  <c r="BF310" i="29"/>
  <c r="BF309" i="29"/>
  <c r="BF306" i="29"/>
  <c r="BF304" i="29"/>
  <c r="BF302" i="29"/>
  <c r="AP312" i="29"/>
  <c r="AM312" i="29"/>
  <c r="AL312" i="29"/>
  <c r="AJ312" i="29"/>
  <c r="AI312" i="29"/>
  <c r="AH312" i="29"/>
  <c r="AG312" i="29"/>
  <c r="AE312" i="29"/>
  <c r="AD312" i="29"/>
  <c r="AC312" i="29"/>
  <c r="AB312" i="29"/>
  <c r="Z312" i="29"/>
  <c r="Y312" i="29"/>
  <c r="X312" i="29"/>
  <c r="W312" i="29"/>
  <c r="U312" i="29"/>
  <c r="T312" i="29"/>
  <c r="S312" i="29"/>
  <c r="R312" i="29"/>
  <c r="P312" i="29"/>
  <c r="O312" i="29"/>
  <c r="N312" i="29"/>
  <c r="M312" i="29"/>
  <c r="K312" i="29"/>
  <c r="J312" i="29"/>
  <c r="I312" i="29"/>
  <c r="H312" i="29"/>
  <c r="G312" i="29"/>
  <c r="F312" i="29"/>
  <c r="E312" i="29"/>
  <c r="D312" i="29"/>
  <c r="C312" i="29"/>
  <c r="B312" i="29"/>
  <c r="BK311" i="29"/>
  <c r="BK310" i="29"/>
  <c r="AP311" i="29"/>
  <c r="AP310" i="29"/>
  <c r="AP309" i="29"/>
  <c r="AP306" i="29"/>
  <c r="AP304" i="29"/>
  <c r="AP302" i="29"/>
  <c r="AK311" i="29"/>
  <c r="AK312" i="29" s="1"/>
  <c r="AK310" i="29"/>
  <c r="AK309" i="29"/>
  <c r="AF311" i="29"/>
  <c r="AF310" i="29"/>
  <c r="AF309" i="29"/>
  <c r="AF312" i="29" s="1"/>
  <c r="AA311" i="29"/>
  <c r="AA310" i="29"/>
  <c r="AA309" i="29"/>
  <c r="AA312" i="29" s="1"/>
  <c r="V311" i="29"/>
  <c r="V310" i="29"/>
  <c r="V309" i="29"/>
  <c r="V312" i="29" s="1"/>
  <c r="Q311" i="29"/>
  <c r="Q312" i="29" s="1"/>
  <c r="Q310" i="29"/>
  <c r="Q309" i="29"/>
  <c r="L311" i="29"/>
  <c r="L310" i="29"/>
  <c r="L309" i="29"/>
  <c r="L312" i="29" s="1"/>
  <c r="AZ312" i="29"/>
  <c r="BA312" i="29" s="1"/>
  <c r="BA311" i="29"/>
  <c r="AZ311" i="29"/>
  <c r="AZ310" i="29"/>
  <c r="BA310" i="29" s="1"/>
  <c r="BA309" i="29"/>
  <c r="AZ309" i="29"/>
  <c r="BA306" i="29"/>
  <c r="AZ306" i="29"/>
  <c r="BP312" i="29"/>
  <c r="BP311" i="29"/>
  <c r="BQ311" i="29" s="1"/>
  <c r="BR311" i="29" s="1"/>
  <c r="BS311" i="29" s="1"/>
  <c r="BT311" i="29" s="1"/>
  <c r="BU311" i="29" s="1"/>
  <c r="BZ311" i="29" s="1"/>
  <c r="CE311" i="29" s="1"/>
  <c r="CJ311" i="29" s="1"/>
  <c r="BS310" i="29"/>
  <c r="BT310" i="29" s="1"/>
  <c r="BU310" i="29" s="1"/>
  <c r="BZ310" i="29" s="1"/>
  <c r="CE310" i="29" s="1"/>
  <c r="CJ310" i="29" s="1"/>
  <c r="BQ310" i="29"/>
  <c r="BR310" i="29" s="1"/>
  <c r="BP310" i="29"/>
  <c r="BP309" i="29"/>
  <c r="BP306" i="29"/>
  <c r="BP304" i="29"/>
  <c r="BB304" i="29"/>
  <c r="AZ304" i="29"/>
  <c r="BA304" i="29" s="1"/>
  <c r="AK304" i="29"/>
  <c r="AK302" i="29"/>
  <c r="AA304" i="29"/>
  <c r="AA302" i="29"/>
  <c r="V304" i="29"/>
  <c r="V302" i="29"/>
  <c r="Q304" i="29"/>
  <c r="Q302" i="29"/>
  <c r="L304" i="29"/>
  <c r="L302" i="29"/>
  <c r="BA302" i="29"/>
  <c r="AZ302" i="29"/>
  <c r="AF302" i="29"/>
  <c r="BF298" i="29"/>
  <c r="AZ298" i="29"/>
  <c r="BA298" i="29" s="1"/>
  <c r="AU298" i="29"/>
  <c r="AP298" i="29"/>
  <c r="AK298" i="29"/>
  <c r="AF298" i="29"/>
  <c r="AA298" i="29"/>
  <c r="V298" i="29"/>
  <c r="Q298" i="29"/>
  <c r="L298" i="29"/>
  <c r="BP300" i="29"/>
  <c r="BP298" i="29"/>
  <c r="BK297" i="29"/>
  <c r="BK308" i="29" s="1"/>
  <c r="BK313" i="29" s="1"/>
  <c r="B297" i="29"/>
  <c r="B306" i="29" s="1"/>
  <c r="B293" i="29"/>
  <c r="BK291" i="29"/>
  <c r="BK290" i="29"/>
  <c r="C292" i="29"/>
  <c r="BL291" i="29"/>
  <c r="BG291" i="29"/>
  <c r="BF291" i="29"/>
  <c r="BB291" i="29"/>
  <c r="BA291" i="29"/>
  <c r="AZ291" i="29"/>
  <c r="AV291" i="29"/>
  <c r="AQ291" i="29"/>
  <c r="AL291" i="29"/>
  <c r="AG291" i="29"/>
  <c r="AD291" i="29"/>
  <c r="AC291" i="29"/>
  <c r="AB291" i="29"/>
  <c r="AA291" i="29"/>
  <c r="W291" i="29"/>
  <c r="V291" i="29"/>
  <c r="S291" i="29"/>
  <c r="R291" i="29"/>
  <c r="Q291" i="29"/>
  <c r="O291" i="29"/>
  <c r="N291" i="29"/>
  <c r="M291" i="29"/>
  <c r="L291" i="29"/>
  <c r="J291" i="29"/>
  <c r="I291" i="29"/>
  <c r="H291" i="29"/>
  <c r="H293" i="29" s="1"/>
  <c r="G291" i="29"/>
  <c r="F291" i="29"/>
  <c r="E291" i="29"/>
  <c r="D291" i="29"/>
  <c r="C291" i="29"/>
  <c r="C293" i="29" s="1"/>
  <c r="B291" i="29"/>
  <c r="BU290" i="29"/>
  <c r="BU288" i="29"/>
  <c r="BU286" i="29"/>
  <c r="BU284" i="29"/>
  <c r="BU283" i="29"/>
  <c r="BU280" i="29"/>
  <c r="BU279" i="29"/>
  <c r="BU271" i="29"/>
  <c r="BU270" i="29"/>
  <c r="BP290" i="29"/>
  <c r="BN290" i="29"/>
  <c r="BO290" i="29" s="1"/>
  <c r="BM290" i="29"/>
  <c r="BH290" i="29"/>
  <c r="BH289" i="29"/>
  <c r="BH288" i="29" s="1"/>
  <c r="AS290" i="29"/>
  <c r="AR290" i="29"/>
  <c r="AT290" i="29" s="1"/>
  <c r="AM290" i="29"/>
  <c r="AH290" i="29"/>
  <c r="AE290" i="29"/>
  <c r="Z290" i="29"/>
  <c r="Z291" i="29" s="1"/>
  <c r="Y290" i="29"/>
  <c r="Y291" i="29" s="1"/>
  <c r="X290" i="29"/>
  <c r="X291" i="29" s="1"/>
  <c r="U290" i="29"/>
  <c r="U291" i="29" s="1"/>
  <c r="T290" i="29"/>
  <c r="T291" i="29" s="1"/>
  <c r="S290" i="29"/>
  <c r="P290" i="29"/>
  <c r="P291" i="29" s="1"/>
  <c r="K290" i="29"/>
  <c r="K291" i="29" s="1"/>
  <c r="BM289" i="29"/>
  <c r="BC290" i="29"/>
  <c r="BD289" i="29"/>
  <c r="BC289" i="29"/>
  <c r="AW290" i="29"/>
  <c r="AY289" i="29"/>
  <c r="AX289" i="29"/>
  <c r="AW289" i="29"/>
  <c r="AT289" i="29"/>
  <c r="AS289" i="29"/>
  <c r="AR289" i="29"/>
  <c r="AN289" i="29"/>
  <c r="BL288" i="29"/>
  <c r="BK288" i="29"/>
  <c r="BG288" i="29"/>
  <c r="BF288" i="29"/>
  <c r="BB288" i="29"/>
  <c r="BA288" i="29"/>
  <c r="AZ288" i="29"/>
  <c r="AV288" i="29"/>
  <c r="AQ288" i="29"/>
  <c r="AL288" i="29"/>
  <c r="AH288" i="29"/>
  <c r="AG288" i="29"/>
  <c r="AD288" i="29"/>
  <c r="AB288" i="29"/>
  <c r="W288" i="29"/>
  <c r="V288" i="29"/>
  <c r="R288" i="29"/>
  <c r="M288" i="29"/>
  <c r="H288" i="29"/>
  <c r="G288" i="29"/>
  <c r="F288" i="29"/>
  <c r="E288" i="29"/>
  <c r="D288" i="29"/>
  <c r="C288" i="29"/>
  <c r="B288" i="29"/>
  <c r="BP287" i="29"/>
  <c r="BC287" i="29"/>
  <c r="BD287" i="29" s="1"/>
  <c r="BE287" i="29" s="1"/>
  <c r="AR287" i="29"/>
  <c r="AS287" i="29" s="1"/>
  <c r="AP287" i="29"/>
  <c r="AM287" i="29"/>
  <c r="AN287" i="29" s="1"/>
  <c r="AO287" i="29" s="1"/>
  <c r="AF287" i="29"/>
  <c r="AF283" i="29"/>
  <c r="AA287" i="29"/>
  <c r="AA288" i="29" s="1"/>
  <c r="V287" i="29"/>
  <c r="Q287" i="29"/>
  <c r="Q288" i="29" s="1"/>
  <c r="L287" i="29"/>
  <c r="L288" i="29" s="1"/>
  <c r="BP286" i="29"/>
  <c r="BP284" i="29"/>
  <c r="BP283" i="29"/>
  <c r="BP271" i="29"/>
  <c r="AU286" i="29"/>
  <c r="AP286" i="29"/>
  <c r="AP282" i="29"/>
  <c r="AP347" i="29" s="1"/>
  <c r="AM286" i="29"/>
  <c r="AM285" i="29"/>
  <c r="AM284" i="29"/>
  <c r="AP284" i="29" s="1"/>
  <c r="AM283" i="29"/>
  <c r="AP283" i="29" s="1"/>
  <c r="AM282" i="29"/>
  <c r="AM347" i="29" s="1"/>
  <c r="AC286" i="29"/>
  <c r="AF286" i="29" s="1"/>
  <c r="AC285" i="29"/>
  <c r="AC284" i="29"/>
  <c r="AC283" i="29"/>
  <c r="AC282" i="29"/>
  <c r="AC347" i="29" s="1"/>
  <c r="U285" i="29"/>
  <c r="S286" i="29"/>
  <c r="U286" i="29" s="1"/>
  <c r="S285" i="29"/>
  <c r="S284" i="29"/>
  <c r="S283" i="29"/>
  <c r="U283" i="29" s="1"/>
  <c r="S282" i="29"/>
  <c r="BO285" i="29"/>
  <c r="BN285" i="29"/>
  <c r="BM285" i="29"/>
  <c r="BM288" i="29" s="1"/>
  <c r="BN288" i="29" s="1"/>
  <c r="BO288" i="29" s="1"/>
  <c r="BH285" i="29"/>
  <c r="BH348" i="29" s="1"/>
  <c r="BE286" i="29"/>
  <c r="BD286" i="29"/>
  <c r="BC285" i="29"/>
  <c r="AW287" i="29"/>
  <c r="AX287" i="29" s="1"/>
  <c r="AY287" i="29" s="1"/>
  <c r="AY286" i="29"/>
  <c r="AX286" i="29"/>
  <c r="AW286" i="29"/>
  <c r="AX285" i="29"/>
  <c r="AW285" i="29"/>
  <c r="AW288" i="29" s="1"/>
  <c r="AY288" i="29" s="1"/>
  <c r="AR285" i="29"/>
  <c r="AO285" i="29"/>
  <c r="AN285" i="29"/>
  <c r="AJ287" i="29"/>
  <c r="AK287" i="29" s="1"/>
  <c r="AK286" i="29"/>
  <c r="AJ286" i="29"/>
  <c r="AJ285" i="29"/>
  <c r="AI285" i="29"/>
  <c r="AH285" i="29"/>
  <c r="AD285" i="29"/>
  <c r="X285" i="29"/>
  <c r="X284" i="29"/>
  <c r="X288" i="29" s="1"/>
  <c r="T285" i="29"/>
  <c r="T284" i="29"/>
  <c r="T283" i="29"/>
  <c r="BE284" i="29"/>
  <c r="BE283" i="29"/>
  <c r="BE279" i="29"/>
  <c r="AY284" i="29"/>
  <c r="AY283" i="29"/>
  <c r="AY279" i="29"/>
  <c r="AY271" i="29"/>
  <c r="AY269" i="29"/>
  <c r="AK284" i="29"/>
  <c r="AK283" i="29"/>
  <c r="BD283" i="29"/>
  <c r="BD281" i="29"/>
  <c r="BD280" i="29" s="1"/>
  <c r="AJ283" i="29"/>
  <c r="BH282" i="29"/>
  <c r="BH347" i="29" s="1"/>
  <c r="BH349" i="29" s="1"/>
  <c r="BH281" i="29"/>
  <c r="BC282" i="29"/>
  <c r="BC347" i="29" s="1"/>
  <c r="BC281" i="29"/>
  <c r="AI282" i="29"/>
  <c r="AI347" i="29" s="1"/>
  <c r="AH282" i="29"/>
  <c r="AH347" i="29" s="1"/>
  <c r="AD282" i="29"/>
  <c r="AD347" i="29" s="1"/>
  <c r="Z286" i="29"/>
  <c r="Y286" i="29"/>
  <c r="Y285" i="29"/>
  <c r="Z284" i="29"/>
  <c r="Y284" i="29"/>
  <c r="Y288" i="29" s="1"/>
  <c r="Y283" i="29"/>
  <c r="Z283" i="29" s="1"/>
  <c r="Z282" i="29"/>
  <c r="Z347" i="29" s="1"/>
  <c r="Y282" i="29"/>
  <c r="Y347" i="29" s="1"/>
  <c r="X282" i="29"/>
  <c r="X347" i="29" s="1"/>
  <c r="O286" i="29"/>
  <c r="P286" i="29" s="1"/>
  <c r="N286" i="29"/>
  <c r="N285" i="29"/>
  <c r="N284" i="29"/>
  <c r="P283" i="29"/>
  <c r="O283" i="29"/>
  <c r="N283" i="29"/>
  <c r="O282" i="29"/>
  <c r="N282" i="29"/>
  <c r="N347" i="29" s="1"/>
  <c r="I286" i="29"/>
  <c r="I285" i="29"/>
  <c r="K284" i="29"/>
  <c r="J284" i="29"/>
  <c r="I284" i="29"/>
  <c r="J283" i="29"/>
  <c r="I283" i="29"/>
  <c r="K283" i="29" s="1"/>
  <c r="I282" i="29"/>
  <c r="AR282" i="29"/>
  <c r="AR281" i="29"/>
  <c r="BM282" i="29"/>
  <c r="BM347" i="29" s="1"/>
  <c r="BM281" i="29"/>
  <c r="BL280" i="29"/>
  <c r="BK280" i="29"/>
  <c r="BG280" i="29"/>
  <c r="BF280" i="29"/>
  <c r="BB280" i="29"/>
  <c r="BA280" i="29"/>
  <c r="AZ280" i="29"/>
  <c r="AX282" i="29"/>
  <c r="AX347" i="29" s="1"/>
  <c r="AW282" i="29"/>
  <c r="AW347" i="29" s="1"/>
  <c r="AW281" i="29"/>
  <c r="AV280" i="29"/>
  <c r="AQ280" i="29"/>
  <c r="AO282" i="29"/>
  <c r="AO347" i="29" s="1"/>
  <c r="AN282" i="29"/>
  <c r="AN347" i="29" s="1"/>
  <c r="AN281" i="29"/>
  <c r="AL280" i="29"/>
  <c r="AG280" i="29"/>
  <c r="AB280" i="29"/>
  <c r="AA280" i="29"/>
  <c r="W280" i="29"/>
  <c r="V280" i="29"/>
  <c r="R280" i="29"/>
  <c r="Q280" i="29"/>
  <c r="M280" i="29"/>
  <c r="L280" i="29"/>
  <c r="H280" i="29"/>
  <c r="G280" i="29"/>
  <c r="F280" i="29"/>
  <c r="E280" i="29"/>
  <c r="D280" i="29"/>
  <c r="C280" i="29"/>
  <c r="B280" i="29"/>
  <c r="CR279" i="29"/>
  <c r="CQ279" i="29"/>
  <c r="BO279" i="29"/>
  <c r="BP279" i="29" s="1"/>
  <c r="AS279" i="29"/>
  <c r="AN279" i="29"/>
  <c r="AM279" i="29"/>
  <c r="AP279" i="29" s="1"/>
  <c r="AI279" i="29"/>
  <c r="AJ279" i="29" s="1"/>
  <c r="AH279" i="29"/>
  <c r="AC279" i="29"/>
  <c r="AC276" i="29"/>
  <c r="AC274" i="29"/>
  <c r="AC280" i="29" s="1"/>
  <c r="X279" i="29"/>
  <c r="S279" i="29"/>
  <c r="P279" i="29"/>
  <c r="O279" i="29"/>
  <c r="N279" i="29"/>
  <c r="J279" i="29"/>
  <c r="K279" i="29" s="1"/>
  <c r="I279" i="29"/>
  <c r="CS277" i="29"/>
  <c r="AB277" i="29"/>
  <c r="AA277" i="29"/>
  <c r="X277" i="29"/>
  <c r="W277" i="29"/>
  <c r="V277" i="29"/>
  <c r="R277" i="29"/>
  <c r="Q277" i="29"/>
  <c r="M277" i="29"/>
  <c r="L277" i="29"/>
  <c r="H277" i="29"/>
  <c r="G277" i="29"/>
  <c r="F277" i="29"/>
  <c r="E277" i="29"/>
  <c r="D277" i="29"/>
  <c r="C277" i="29"/>
  <c r="B277" i="29"/>
  <c r="G276" i="29"/>
  <c r="F276" i="29"/>
  <c r="E276" i="29"/>
  <c r="D276" i="29"/>
  <c r="C276" i="29"/>
  <c r="BL277" i="29"/>
  <c r="BK277" i="29"/>
  <c r="BN276" i="29"/>
  <c r="BL276" i="29"/>
  <c r="BK276" i="29"/>
  <c r="BG277" i="29"/>
  <c r="BF277" i="29"/>
  <c r="BG276" i="29"/>
  <c r="BF276" i="29"/>
  <c r="BB277" i="29"/>
  <c r="BA277" i="29"/>
  <c r="AZ277" i="29"/>
  <c r="BB276" i="29"/>
  <c r="BA276" i="29"/>
  <c r="AZ276" i="29"/>
  <c r="AV277" i="29"/>
  <c r="AQ277" i="29"/>
  <c r="AX276" i="29"/>
  <c r="AV276" i="29"/>
  <c r="AQ276" i="29"/>
  <c r="AL277" i="29"/>
  <c r="AI277" i="29"/>
  <c r="AG277" i="29"/>
  <c r="AL276" i="29"/>
  <c r="AI276" i="29"/>
  <c r="AG276" i="29"/>
  <c r="AB276" i="29"/>
  <c r="AA276" i="29"/>
  <c r="Z276" i="29"/>
  <c r="Y276" i="29"/>
  <c r="W276" i="29"/>
  <c r="V276" i="29"/>
  <c r="R276" i="29"/>
  <c r="Q276" i="29"/>
  <c r="M276" i="29"/>
  <c r="L276" i="29"/>
  <c r="CJ271" i="29"/>
  <c r="CE271" i="29"/>
  <c r="BZ271" i="29"/>
  <c r="BH274" i="29"/>
  <c r="BH273" i="29"/>
  <c r="AT274" i="29"/>
  <c r="AS274" i="29"/>
  <c r="AR274" i="29"/>
  <c r="AU274" i="29" s="1"/>
  <c r="AN274" i="29"/>
  <c r="AM274" i="29"/>
  <c r="AI274" i="29"/>
  <c r="AH274" i="29"/>
  <c r="AH277" i="29" s="1"/>
  <c r="AD274" i="29"/>
  <c r="AD276" i="29" s="1"/>
  <c r="Z274" i="29"/>
  <c r="Z277" i="29" s="1"/>
  <c r="Y274" i="29"/>
  <c r="X274" i="29"/>
  <c r="X280" i="29" s="1"/>
  <c r="U274" i="29"/>
  <c r="T274" i="29"/>
  <c r="T276" i="29" s="1"/>
  <c r="S274" i="29"/>
  <c r="O274" i="29"/>
  <c r="N274" i="29"/>
  <c r="N277" i="29" s="1"/>
  <c r="I274" i="29"/>
  <c r="I276" i="29" s="1"/>
  <c r="AT273" i="29"/>
  <c r="AS273" i="29"/>
  <c r="AR273" i="29"/>
  <c r="AO273" i="29"/>
  <c r="AN273" i="29"/>
  <c r="BN274" i="29"/>
  <c r="BM274" i="29"/>
  <c r="BN273" i="29"/>
  <c r="BM273" i="29"/>
  <c r="BD274" i="29"/>
  <c r="BC274" i="29"/>
  <c r="BD273" i="29"/>
  <c r="BC273" i="29"/>
  <c r="AX274" i="29"/>
  <c r="AW274" i="29"/>
  <c r="AW273" i="29"/>
  <c r="AT271" i="29"/>
  <c r="AS271" i="29"/>
  <c r="AR271" i="29"/>
  <c r="AO271" i="29"/>
  <c r="AN271" i="29"/>
  <c r="AM271" i="29"/>
  <c r="AL271" i="29"/>
  <c r="AI271" i="29"/>
  <c r="AH271" i="29"/>
  <c r="AG271" i="29"/>
  <c r="AE271" i="29"/>
  <c r="AD271" i="29"/>
  <c r="AC271" i="29"/>
  <c r="AB271" i="29"/>
  <c r="Z271" i="29"/>
  <c r="Y271" i="29"/>
  <c r="X271" i="29"/>
  <c r="W271" i="29"/>
  <c r="U271" i="29"/>
  <c r="T271" i="29"/>
  <c r="S271" i="29"/>
  <c r="R271" i="29"/>
  <c r="P271" i="29"/>
  <c r="O271" i="29"/>
  <c r="N271" i="29"/>
  <c r="M271" i="29"/>
  <c r="Q271" i="29" s="1"/>
  <c r="K271" i="29"/>
  <c r="J271" i="29"/>
  <c r="I271" i="29"/>
  <c r="H271" i="29"/>
  <c r="L271" i="29" s="1"/>
  <c r="G271" i="29"/>
  <c r="F271" i="29"/>
  <c r="E271" i="29"/>
  <c r="D271" i="29"/>
  <c r="C271" i="29"/>
  <c r="B271" i="29"/>
  <c r="BH270" i="29"/>
  <c r="BH269" i="29"/>
  <c r="AU270" i="29"/>
  <c r="AS270" i="29"/>
  <c r="AR270" i="29"/>
  <c r="AR269" i="29"/>
  <c r="AM270" i="29"/>
  <c r="AM269" i="29"/>
  <c r="AH270" i="29"/>
  <c r="AH269" i="29"/>
  <c r="AC270" i="29"/>
  <c r="AC269" i="29"/>
  <c r="Z270" i="29"/>
  <c r="Y270" i="29"/>
  <c r="X270" i="29"/>
  <c r="Z269" i="29"/>
  <c r="Y269" i="29"/>
  <c r="X269" i="29"/>
  <c r="T270" i="29"/>
  <c r="S270" i="29"/>
  <c r="S269" i="29"/>
  <c r="P270" i="29"/>
  <c r="O270" i="29"/>
  <c r="N270" i="29"/>
  <c r="P269" i="29"/>
  <c r="O269" i="29"/>
  <c r="N269" i="29"/>
  <c r="J270" i="29"/>
  <c r="I270" i="29"/>
  <c r="K270" i="29" s="1"/>
  <c r="I269" i="29"/>
  <c r="BL268" i="29"/>
  <c r="AV268" i="29"/>
  <c r="CQ268" i="29"/>
  <c r="CR268" i="29" s="1"/>
  <c r="CS268" i="29" s="1"/>
  <c r="CT268" i="29" s="1"/>
  <c r="BO270" i="29"/>
  <c r="BN270" i="29"/>
  <c r="BM270" i="29"/>
  <c r="BO269" i="29"/>
  <c r="BN269" i="29"/>
  <c r="BM269" i="29"/>
  <c r="BN268" i="29"/>
  <c r="BM268" i="29"/>
  <c r="BG268" i="29"/>
  <c r="BH268" i="29" s="1"/>
  <c r="BF268" i="29"/>
  <c r="BD270" i="29"/>
  <c r="BC270" i="29"/>
  <c r="BD269" i="29"/>
  <c r="BC269" i="29"/>
  <c r="BB268" i="29"/>
  <c r="BA268" i="29"/>
  <c r="AZ268" i="29"/>
  <c r="AY268" i="29" s="1"/>
  <c r="AX270" i="29"/>
  <c r="AW270" i="29"/>
  <c r="AX269" i="29"/>
  <c r="AW269" i="29"/>
  <c r="AX268" i="29"/>
  <c r="AW268" i="29"/>
  <c r="AT268" i="29"/>
  <c r="AS268" i="29"/>
  <c r="AR268" i="29"/>
  <c r="AQ268" i="29"/>
  <c r="AP268" i="29"/>
  <c r="AO268" i="29"/>
  <c r="AN268" i="29"/>
  <c r="BQ263" i="29"/>
  <c r="BP263" i="29"/>
  <c r="BN263" i="29"/>
  <c r="BM263" i="29"/>
  <c r="BL263" i="29"/>
  <c r="BI263" i="29"/>
  <c r="BH263" i="29"/>
  <c r="BE263" i="29"/>
  <c r="BD263" i="29"/>
  <c r="BC263" i="29"/>
  <c r="BB263" i="29"/>
  <c r="AX263" i="29"/>
  <c r="AW263" i="29"/>
  <c r="AV263" i="29"/>
  <c r="AT263" i="29"/>
  <c r="AS263" i="29"/>
  <c r="AR263" i="29"/>
  <c r="AQ263" i="29"/>
  <c r="AO263" i="29"/>
  <c r="AN263" i="29"/>
  <c r="AM263" i="29"/>
  <c r="AL263" i="29"/>
  <c r="AK263" i="29"/>
  <c r="AJ263" i="29"/>
  <c r="AI263" i="29"/>
  <c r="AH263" i="29"/>
  <c r="AG263" i="29"/>
  <c r="AF263" i="29"/>
  <c r="AE263" i="29"/>
  <c r="AD263" i="29"/>
  <c r="AC263" i="29"/>
  <c r="AB263" i="29"/>
  <c r="Z263" i="29"/>
  <c r="Y263" i="29"/>
  <c r="X263" i="29"/>
  <c r="W263" i="29"/>
  <c r="U263" i="29"/>
  <c r="T263" i="29"/>
  <c r="S263" i="29"/>
  <c r="R263" i="29"/>
  <c r="Q263" i="29"/>
  <c r="P263" i="29"/>
  <c r="O263" i="29"/>
  <c r="N263" i="29"/>
  <c r="M263" i="29"/>
  <c r="L263" i="29"/>
  <c r="G263" i="29"/>
  <c r="F263" i="29"/>
  <c r="E263" i="29"/>
  <c r="D263" i="29"/>
  <c r="BS262" i="29"/>
  <c r="BR262" i="29"/>
  <c r="BR263" i="29" s="1"/>
  <c r="BQ262" i="29"/>
  <c r="BP262" i="29"/>
  <c r="BK262" i="29"/>
  <c r="BJ262" i="29"/>
  <c r="BO263" i="29" s="1"/>
  <c r="BF262" i="29"/>
  <c r="BF263" i="29" s="1"/>
  <c r="BE262" i="29"/>
  <c r="BA262" i="29"/>
  <c r="AZ262" i="29"/>
  <c r="AZ263" i="29" s="1"/>
  <c r="AY262" i="29"/>
  <c r="AY263" i="29" s="1"/>
  <c r="AU262" i="29"/>
  <c r="AP262" i="29"/>
  <c r="AP263" i="29" s="1"/>
  <c r="AK262" i="29"/>
  <c r="AF262" i="29"/>
  <c r="AA262" i="29"/>
  <c r="V262" i="29"/>
  <c r="V263" i="29" s="1"/>
  <c r="Q262" i="29"/>
  <c r="L262" i="29"/>
  <c r="BU256" i="29"/>
  <c r="BU253" i="29"/>
  <c r="BM260" i="29"/>
  <c r="BE260" i="29"/>
  <c r="AT260" i="29"/>
  <c r="AS260" i="29"/>
  <c r="AR260" i="29"/>
  <c r="AQ260" i="29"/>
  <c r="AO260" i="29"/>
  <c r="AN260" i="29"/>
  <c r="AM260" i="29"/>
  <c r="AL260" i="29"/>
  <c r="AJ260" i="29"/>
  <c r="AI260" i="29"/>
  <c r="AH260" i="29"/>
  <c r="AG260" i="29"/>
  <c r="AE260" i="29"/>
  <c r="AD260" i="29"/>
  <c r="AC260" i="29"/>
  <c r="AB260" i="29"/>
  <c r="Z260" i="29"/>
  <c r="Y260" i="29"/>
  <c r="X260" i="29"/>
  <c r="W260" i="29"/>
  <c r="U260" i="29"/>
  <c r="T260" i="29"/>
  <c r="S260" i="29"/>
  <c r="R260" i="29"/>
  <c r="Q260" i="29"/>
  <c r="P260" i="29"/>
  <c r="O260" i="29"/>
  <c r="N260" i="29"/>
  <c r="M260" i="29"/>
  <c r="K260" i="29"/>
  <c r="J260" i="29"/>
  <c r="I260" i="29"/>
  <c r="G260" i="29"/>
  <c r="F260" i="29"/>
  <c r="E260" i="29"/>
  <c r="D260" i="29"/>
  <c r="C260" i="29"/>
  <c r="BQ259" i="29"/>
  <c r="BO260" i="29"/>
  <c r="BN260" i="29"/>
  <c r="BL260" i="29"/>
  <c r="BI260" i="29"/>
  <c r="BH260" i="29"/>
  <c r="BD260" i="29"/>
  <c r="BC260" i="29"/>
  <c r="AY260" i="29"/>
  <c r="AW260" i="29"/>
  <c r="AV260" i="29"/>
  <c r="AU259" i="29"/>
  <c r="AU260" i="29" s="1"/>
  <c r="AP259" i="29"/>
  <c r="AP258" i="29"/>
  <c r="AP257" i="29"/>
  <c r="AP256" i="29" s="1"/>
  <c r="AP255" i="29"/>
  <c r="AP254" i="29"/>
  <c r="AK259" i="29"/>
  <c r="AK260" i="29" s="1"/>
  <c r="AK258" i="29"/>
  <c r="AF259" i="29"/>
  <c r="AF260" i="29" s="1"/>
  <c r="AF258" i="29"/>
  <c r="AA259" i="29"/>
  <c r="AA260" i="29" s="1"/>
  <c r="V259" i="29"/>
  <c r="V260" i="29" s="1"/>
  <c r="V257" i="29"/>
  <c r="Q259" i="29"/>
  <c r="Q258" i="29"/>
  <c r="L259" i="29"/>
  <c r="L260" i="29" s="1"/>
  <c r="L258" i="29"/>
  <c r="BP258" i="29"/>
  <c r="BO258" i="29"/>
  <c r="BN258" i="29"/>
  <c r="BM258" i="29"/>
  <c r="BL258" i="29"/>
  <c r="BK258" i="29"/>
  <c r="BJ258" i="29"/>
  <c r="BI258" i="29"/>
  <c r="BH258" i="29"/>
  <c r="BG258" i="29"/>
  <c r="BF258" i="29"/>
  <c r="BE258" i="29"/>
  <c r="BD258" i="29"/>
  <c r="BC258" i="29"/>
  <c r="BB258" i="29"/>
  <c r="BA258" i="29"/>
  <c r="AY258" i="29"/>
  <c r="AX258" i="29"/>
  <c r="AW258" i="29"/>
  <c r="AV258" i="29"/>
  <c r="AT258" i="29"/>
  <c r="AS258" i="29"/>
  <c r="AR258" i="29"/>
  <c r="AQ258" i="29"/>
  <c r="AO258" i="29"/>
  <c r="AN258" i="29"/>
  <c r="AM258" i="29"/>
  <c r="AL258" i="29"/>
  <c r="AJ258" i="29"/>
  <c r="AI258" i="29"/>
  <c r="AH258" i="29"/>
  <c r="AE258" i="29"/>
  <c r="AD258" i="29"/>
  <c r="AC258" i="29"/>
  <c r="AB258" i="29"/>
  <c r="Z258" i="29"/>
  <c r="Y258" i="29"/>
  <c r="X258" i="29"/>
  <c r="W258" i="29"/>
  <c r="U258" i="29"/>
  <c r="T258" i="29"/>
  <c r="S258" i="29"/>
  <c r="R258" i="29"/>
  <c r="P258" i="29"/>
  <c r="O258" i="29"/>
  <c r="N258" i="29"/>
  <c r="M258" i="29"/>
  <c r="K258" i="29"/>
  <c r="J258" i="29"/>
  <c r="I258" i="29"/>
  <c r="G258" i="29"/>
  <c r="F258" i="29"/>
  <c r="E258" i="29"/>
  <c r="D258" i="29"/>
  <c r="BS257" i="29"/>
  <c r="BR257" i="29"/>
  <c r="BQ257" i="29"/>
  <c r="AU257" i="29"/>
  <c r="AZ258" i="29" s="1"/>
  <c r="AU256" i="29"/>
  <c r="AU254" i="29"/>
  <c r="AE257" i="29"/>
  <c r="AG258" i="29" s="1"/>
  <c r="B257" i="29"/>
  <c r="BP256" i="29"/>
  <c r="BO256" i="29"/>
  <c r="BN256" i="29"/>
  <c r="BM256" i="29"/>
  <c r="BL256" i="29"/>
  <c r="BK256" i="29"/>
  <c r="BJ256" i="29"/>
  <c r="BI256" i="29"/>
  <c r="BH256" i="29"/>
  <c r="BG256" i="29"/>
  <c r="BF256" i="29"/>
  <c r="BE256" i="29"/>
  <c r="BD256" i="29"/>
  <c r="BC256" i="29"/>
  <c r="BB256" i="29"/>
  <c r="BA256" i="29"/>
  <c r="AZ256" i="29"/>
  <c r="AY256" i="29"/>
  <c r="AX256" i="29"/>
  <c r="AW256" i="29"/>
  <c r="AV256" i="29"/>
  <c r="AR256" i="29"/>
  <c r="AQ256" i="29"/>
  <c r="AO256" i="29"/>
  <c r="AN256" i="29"/>
  <c r="AM256" i="29"/>
  <c r="AL256" i="29"/>
  <c r="AK256" i="29"/>
  <c r="AJ256" i="29"/>
  <c r="AI256" i="29"/>
  <c r="AH256" i="29"/>
  <c r="AG256" i="29"/>
  <c r="AF256" i="29"/>
  <c r="AD256" i="29"/>
  <c r="AC256" i="29"/>
  <c r="AB256" i="29"/>
  <c r="AA256" i="29"/>
  <c r="Z256" i="29"/>
  <c r="Y256" i="29"/>
  <c r="X256" i="29"/>
  <c r="W256" i="29"/>
  <c r="U256" i="29"/>
  <c r="T256" i="29"/>
  <c r="S256" i="29"/>
  <c r="R256" i="29"/>
  <c r="Q256" i="29"/>
  <c r="P256" i="29"/>
  <c r="O256" i="29"/>
  <c r="N256" i="29"/>
  <c r="M256" i="29"/>
  <c r="L256" i="29"/>
  <c r="K256" i="29"/>
  <c r="J256" i="29"/>
  <c r="I256" i="29"/>
  <c r="H256" i="29"/>
  <c r="G256" i="29"/>
  <c r="F256" i="29"/>
  <c r="E256" i="29"/>
  <c r="D256" i="29"/>
  <c r="C256" i="29"/>
  <c r="AS255" i="29"/>
  <c r="AU255" i="29" s="1"/>
  <c r="BR255" i="29"/>
  <c r="BQ255" i="29"/>
  <c r="BQ254" i="29"/>
  <c r="BH254" i="29"/>
  <c r="BC254" i="29"/>
  <c r="AX254" i="29"/>
  <c r="AW254" i="29"/>
  <c r="AK252" i="29"/>
  <c r="AI254" i="29"/>
  <c r="AH254" i="29"/>
  <c r="AK254" i="29" s="1"/>
  <c r="BO254" i="29"/>
  <c r="BN254" i="29"/>
  <c r="BP254" i="29" s="1"/>
  <c r="BM254" i="29"/>
  <c r="BO253" i="29"/>
  <c r="BN253" i="29"/>
  <c r="BM253" i="29"/>
  <c r="BG253" i="29"/>
  <c r="BC253" i="29"/>
  <c r="AA253" i="29"/>
  <c r="AA252" i="29"/>
  <c r="BO252" i="29"/>
  <c r="BN252" i="29"/>
  <c r="BM252" i="29"/>
  <c r="BJ252" i="29"/>
  <c r="BI252" i="29"/>
  <c r="BH252" i="29"/>
  <c r="BG252" i="29"/>
  <c r="BE252" i="29"/>
  <c r="BD252" i="29"/>
  <c r="BC252" i="29"/>
  <c r="AY252" i="29"/>
  <c r="AX252" i="29"/>
  <c r="AW252" i="29"/>
  <c r="AT253" i="29"/>
  <c r="AS253" i="29"/>
  <c r="AR253" i="29"/>
  <c r="AT252" i="29"/>
  <c r="AS252" i="29"/>
  <c r="AR252" i="29"/>
  <c r="AM253" i="29"/>
  <c r="AL253" i="29"/>
  <c r="AM252" i="29"/>
  <c r="AL252" i="29"/>
  <c r="AJ253" i="29"/>
  <c r="AI253" i="29"/>
  <c r="AH253" i="29"/>
  <c r="AG253" i="29"/>
  <c r="AF253" i="29"/>
  <c r="AJ252" i="29"/>
  <c r="AI252" i="29"/>
  <c r="AH252" i="29"/>
  <c r="AG252" i="29"/>
  <c r="AF252" i="29"/>
  <c r="AE252" i="29"/>
  <c r="AD252" i="29"/>
  <c r="AC252" i="29"/>
  <c r="AB252" i="29"/>
  <c r="Z252" i="29"/>
  <c r="Y252" i="29"/>
  <c r="X252" i="29"/>
  <c r="W252" i="29"/>
  <c r="V252" i="29"/>
  <c r="U252" i="29"/>
  <c r="T252" i="29"/>
  <c r="S252" i="29"/>
  <c r="R252" i="29"/>
  <c r="Q252" i="29"/>
  <c r="P252" i="29"/>
  <c r="O252" i="29"/>
  <c r="N252" i="29"/>
  <c r="M252" i="29"/>
  <c r="L252" i="29"/>
  <c r="K252" i="29"/>
  <c r="J252" i="29"/>
  <c r="I252" i="29"/>
  <c r="G252" i="29"/>
  <c r="F252" i="29"/>
  <c r="E252" i="29"/>
  <c r="D252" i="29"/>
  <c r="C252" i="29"/>
  <c r="BR251" i="29"/>
  <c r="BQ251" i="29"/>
  <c r="BR254" i="29" s="1"/>
  <c r="AN251" i="29"/>
  <c r="AO253" i="29" s="1"/>
  <c r="BR247" i="29"/>
  <c r="BQ247" i="29"/>
  <c r="BO247" i="29"/>
  <c r="BN247" i="29"/>
  <c r="BM247" i="29"/>
  <c r="BL247" i="29"/>
  <c r="BJ247" i="29"/>
  <c r="BI247" i="29"/>
  <c r="BH247" i="29"/>
  <c r="BG247" i="29"/>
  <c r="BE247" i="29"/>
  <c r="BD247" i="29"/>
  <c r="BC247" i="29"/>
  <c r="BB247" i="29"/>
  <c r="AY247" i="29"/>
  <c r="AX247" i="29"/>
  <c r="AW247" i="29"/>
  <c r="AV247" i="29"/>
  <c r="AU247" i="29"/>
  <c r="AT247" i="29"/>
  <c r="AS247" i="29"/>
  <c r="AR247" i="29"/>
  <c r="AQ247" i="29"/>
  <c r="AO247" i="29"/>
  <c r="AN247" i="29"/>
  <c r="AM247" i="29"/>
  <c r="AL247" i="29"/>
  <c r="AI247" i="29"/>
  <c r="AH247" i="29"/>
  <c r="AG247" i="29"/>
  <c r="AE247" i="29"/>
  <c r="AD247" i="29"/>
  <c r="AC247" i="29"/>
  <c r="AB247" i="29"/>
  <c r="AA247" i="29"/>
  <c r="Z247" i="29"/>
  <c r="Y247" i="29"/>
  <c r="X247" i="29"/>
  <c r="W247" i="29"/>
  <c r="U247" i="29"/>
  <c r="T247" i="29"/>
  <c r="S247" i="29"/>
  <c r="R247" i="29"/>
  <c r="P247" i="29"/>
  <c r="O247" i="29"/>
  <c r="N247" i="29"/>
  <c r="M247" i="29"/>
  <c r="K247" i="29"/>
  <c r="J247" i="29"/>
  <c r="I247" i="29"/>
  <c r="H247" i="29"/>
  <c r="G247" i="29"/>
  <c r="F247" i="29"/>
  <c r="E247" i="29"/>
  <c r="D247" i="29"/>
  <c r="C247" i="29"/>
  <c r="BU245" i="29"/>
  <c r="BU244" i="29"/>
  <c r="BP245" i="29"/>
  <c r="BP247" i="29" s="1"/>
  <c r="BP244" i="29"/>
  <c r="BK245" i="29"/>
  <c r="BK247" i="29" s="1"/>
  <c r="BF245" i="29"/>
  <c r="BF247" i="29" s="1"/>
  <c r="BF244" i="29"/>
  <c r="BK244" i="29" s="1"/>
  <c r="AU245" i="29"/>
  <c r="AU244" i="29"/>
  <c r="AP245" i="29"/>
  <c r="AP247" i="29" s="1"/>
  <c r="AK245" i="29"/>
  <c r="AF245" i="29"/>
  <c r="AF244" i="29"/>
  <c r="AF247" i="29" s="1"/>
  <c r="AA245" i="29"/>
  <c r="V245" i="29"/>
  <c r="V247" i="29" s="1"/>
  <c r="Q245" i="29"/>
  <c r="Q247" i="29" s="1"/>
  <c r="L245" i="29"/>
  <c r="L247" i="29" s="1"/>
  <c r="CJ244" i="29"/>
  <c r="CE244" i="29"/>
  <c r="BZ244" i="29"/>
  <c r="AZ245" i="29"/>
  <c r="AZ244" i="29"/>
  <c r="BA244" i="29" s="1"/>
  <c r="AO244" i="29"/>
  <c r="AP244" i="29" s="1"/>
  <c r="AJ244" i="29"/>
  <c r="BP237" i="29"/>
  <c r="BO237" i="29"/>
  <c r="BK237" i="29"/>
  <c r="BK234" i="29"/>
  <c r="BF237" i="29"/>
  <c r="BF234" i="29"/>
  <c r="BA237" i="29"/>
  <c r="AZ237" i="29"/>
  <c r="AU237" i="29"/>
  <c r="AU234" i="29"/>
  <c r="AP237" i="29"/>
  <c r="AO237" i="29"/>
  <c r="AK237" i="29"/>
  <c r="AJ237" i="29"/>
  <c r="AF237" i="29"/>
  <c r="AF234" i="29"/>
  <c r="AF231" i="29"/>
  <c r="AF232" i="29" s="1"/>
  <c r="AF233" i="29" s="1"/>
  <c r="AF230" i="29"/>
  <c r="AA237" i="29"/>
  <c r="AA234" i="29"/>
  <c r="V237" i="29"/>
  <c r="V234" i="29"/>
  <c r="Q237" i="29"/>
  <c r="L237" i="29"/>
  <c r="BU234" i="29"/>
  <c r="BG235" i="29"/>
  <c r="AZ235" i="29"/>
  <c r="AG235" i="29"/>
  <c r="W235" i="29"/>
  <c r="J235" i="29"/>
  <c r="BP234" i="29"/>
  <c r="BA234" i="29"/>
  <c r="AZ234" i="29"/>
  <c r="AP234" i="29"/>
  <c r="AP230" i="29"/>
  <c r="AJ234" i="29"/>
  <c r="AK234" i="29" s="1"/>
  <c r="Q234" i="29"/>
  <c r="L234" i="29"/>
  <c r="AK231" i="29"/>
  <c r="AK230" i="29"/>
  <c r="AK232" i="29" s="1"/>
  <c r="BN232" i="29"/>
  <c r="BM232" i="29"/>
  <c r="BP231" i="29"/>
  <c r="BO231" i="29"/>
  <c r="BO232" i="29" s="1"/>
  <c r="BN231" i="29"/>
  <c r="BM231" i="29"/>
  <c r="BL231" i="29"/>
  <c r="BL232" i="29" s="1"/>
  <c r="BK231" i="29"/>
  <c r="BG232" i="29"/>
  <c r="BC232" i="29"/>
  <c r="AW232" i="29"/>
  <c r="AS232" i="29"/>
  <c r="AT232" i="29" s="1"/>
  <c r="BG231" i="29"/>
  <c r="BF231" i="29"/>
  <c r="BE231" i="29"/>
  <c r="BD231" i="29"/>
  <c r="BD232" i="29" s="1"/>
  <c r="BE232" i="29" s="1"/>
  <c r="BC231" i="29"/>
  <c r="BB231" i="29"/>
  <c r="BB232" i="29" s="1"/>
  <c r="AZ231" i="29"/>
  <c r="AY231" i="29"/>
  <c r="AX231" i="29"/>
  <c r="AX232" i="29" s="1"/>
  <c r="AY232" i="29" s="1"/>
  <c r="AW231" i="29"/>
  <c r="AV231" i="29"/>
  <c r="AV232" i="29" s="1"/>
  <c r="AT231" i="29"/>
  <c r="AS231" i="29"/>
  <c r="AR231" i="29"/>
  <c r="AR232" i="29" s="1"/>
  <c r="AO231" i="29"/>
  <c r="AN231" i="29"/>
  <c r="AN232" i="29" s="1"/>
  <c r="AO232" i="29" s="1"/>
  <c r="AM231" i="29"/>
  <c r="AM232" i="29" s="1"/>
  <c r="AL231" i="29"/>
  <c r="AL232" i="29" s="1"/>
  <c r="BT230" i="29"/>
  <c r="BR230" i="29"/>
  <c r="BS230" i="29" s="1"/>
  <c r="BQ230" i="29"/>
  <c r="BP230" i="29"/>
  <c r="BK230" i="29"/>
  <c r="BK232" i="29" s="1"/>
  <c r="BF230" i="29"/>
  <c r="BF232" i="29" s="1"/>
  <c r="AZ230" i="29"/>
  <c r="AU230" i="29"/>
  <c r="AA230" i="29"/>
  <c r="V230" i="29"/>
  <c r="Q230" i="29"/>
  <c r="L230" i="29"/>
  <c r="BG225" i="29"/>
  <c r="AM225" i="29"/>
  <c r="W225" i="29"/>
  <c r="G225" i="29"/>
  <c r="C225" i="29"/>
  <c r="BP224" i="29"/>
  <c r="BF224" i="29"/>
  <c r="AZ224" i="29"/>
  <c r="BA224" i="29" s="1"/>
  <c r="AU224" i="29"/>
  <c r="AP224" i="29"/>
  <c r="AK224" i="29"/>
  <c r="BA223" i="29"/>
  <c r="BK224" i="29" s="1"/>
  <c r="BN221" i="29"/>
  <c r="BM221" i="29"/>
  <c r="BL221" i="29"/>
  <c r="BD221" i="29"/>
  <c r="BC221" i="29"/>
  <c r="BB221" i="29"/>
  <c r="AX221" i="29"/>
  <c r="AW221" i="29"/>
  <c r="AV221" i="29"/>
  <c r="AS221" i="29"/>
  <c r="AR221" i="29"/>
  <c r="AQ221" i="29"/>
  <c r="AN221" i="29"/>
  <c r="AM221" i="29"/>
  <c r="AL221" i="29"/>
  <c r="AI221" i="29"/>
  <c r="AH221" i="29"/>
  <c r="AG221" i="29"/>
  <c r="AD221" i="29"/>
  <c r="AC221" i="29"/>
  <c r="AB221" i="29"/>
  <c r="Z221" i="29"/>
  <c r="Y221" i="29"/>
  <c r="X221" i="29"/>
  <c r="W221" i="29"/>
  <c r="T221" i="29"/>
  <c r="S221" i="29"/>
  <c r="R221" i="29"/>
  <c r="O221" i="29"/>
  <c r="N221" i="29"/>
  <c r="M221" i="29"/>
  <c r="G221" i="29"/>
  <c r="F221" i="29"/>
  <c r="E221" i="29"/>
  <c r="D221" i="29"/>
  <c r="C221" i="29"/>
  <c r="BK220" i="29"/>
  <c r="BJ220" i="29"/>
  <c r="BF220" i="29"/>
  <c r="BE220" i="29"/>
  <c r="AY220" i="29"/>
  <c r="AT220" i="29"/>
  <c r="AO220" i="29"/>
  <c r="AE220" i="29"/>
  <c r="Z220" i="29"/>
  <c r="U220" i="29"/>
  <c r="P220" i="29"/>
  <c r="K220" i="29"/>
  <c r="AM219" i="29"/>
  <c r="AL219" i="29"/>
  <c r="AI219" i="29"/>
  <c r="AH219" i="29"/>
  <c r="AG219" i="29"/>
  <c r="AJ219" i="29" s="1"/>
  <c r="AD219" i="29"/>
  <c r="AC219" i="29"/>
  <c r="AE219" i="29" s="1"/>
  <c r="AB219" i="29"/>
  <c r="Y219" i="29"/>
  <c r="X219" i="29"/>
  <c r="W219" i="29"/>
  <c r="U219" i="29"/>
  <c r="T219" i="29"/>
  <c r="S219" i="29"/>
  <c r="R219" i="29"/>
  <c r="V219" i="29" s="1"/>
  <c r="O219" i="29"/>
  <c r="N219" i="29"/>
  <c r="M219" i="29"/>
  <c r="J219" i="29"/>
  <c r="I219" i="29"/>
  <c r="K219" i="29" s="1"/>
  <c r="H219" i="29"/>
  <c r="G219" i="29"/>
  <c r="F219" i="29"/>
  <c r="E219" i="29"/>
  <c r="C219" i="29"/>
  <c r="C213" i="29"/>
  <c r="C235" i="29" s="1"/>
  <c r="BC214" i="29"/>
  <c r="AL214" i="29"/>
  <c r="AD214" i="29"/>
  <c r="N214" i="29"/>
  <c r="BJ213" i="29"/>
  <c r="BI213" i="29"/>
  <c r="BH213" i="29"/>
  <c r="BG213" i="29"/>
  <c r="BD213" i="29"/>
  <c r="BC213" i="29"/>
  <c r="BC235" i="29" s="1"/>
  <c r="BB213" i="29"/>
  <c r="BA213" i="29"/>
  <c r="AY213" i="29"/>
  <c r="AX213" i="29"/>
  <c r="AW213" i="29"/>
  <c r="AV213" i="29"/>
  <c r="AT213" i="29"/>
  <c r="AS213" i="29"/>
  <c r="AR213" i="29"/>
  <c r="AQ213" i="29"/>
  <c r="AQ225" i="29" s="1"/>
  <c r="AN213" i="29"/>
  <c r="AM213" i="29"/>
  <c r="AL213" i="29"/>
  <c r="AJ213" i="29"/>
  <c r="AI213" i="29"/>
  <c r="AH213" i="29"/>
  <c r="AG213" i="29"/>
  <c r="AE213" i="29"/>
  <c r="AE225" i="29" s="1"/>
  <c r="AD213" i="29"/>
  <c r="AB213" i="29"/>
  <c r="Z213" i="29"/>
  <c r="Y213" i="29"/>
  <c r="X213" i="29"/>
  <c r="W213" i="29"/>
  <c r="U213" i="29"/>
  <c r="T213" i="29"/>
  <c r="S213" i="29"/>
  <c r="R213" i="29"/>
  <c r="R225" i="29" s="1"/>
  <c r="P213" i="29"/>
  <c r="O213" i="29"/>
  <c r="O225" i="29" s="1"/>
  <c r="N213" i="29"/>
  <c r="N225" i="29" s="1"/>
  <c r="M213" i="29"/>
  <c r="K213" i="29"/>
  <c r="K235" i="29" s="1"/>
  <c r="J213" i="29"/>
  <c r="J225" i="29" s="1"/>
  <c r="I213" i="29"/>
  <c r="H213" i="29"/>
  <c r="G213" i="29"/>
  <c r="F213" i="29"/>
  <c r="F225" i="29" s="1"/>
  <c r="E213" i="29"/>
  <c r="D213" i="29"/>
  <c r="E214" i="29" s="1"/>
  <c r="B213" i="29"/>
  <c r="B235" i="29" s="1"/>
  <c r="BP220" i="29"/>
  <c r="BO220" i="29"/>
  <c r="BO213" i="29"/>
  <c r="BO235" i="29" s="1"/>
  <c r="BN213" i="29"/>
  <c r="BM213" i="29"/>
  <c r="BL213" i="29"/>
  <c r="BL225" i="29" s="1"/>
  <c r="BL226" i="29" s="1"/>
  <c r="BK205" i="29"/>
  <c r="BK193" i="29"/>
  <c r="BK189" i="29"/>
  <c r="BG208" i="29"/>
  <c r="BC208" i="29"/>
  <c r="BB208" i="29"/>
  <c r="AX208" i="29"/>
  <c r="AW208" i="29"/>
  <c r="AT208" i="29"/>
  <c r="AS208" i="29"/>
  <c r="AQ208" i="29"/>
  <c r="AQ209" i="29" s="1"/>
  <c r="AM208" i="29"/>
  <c r="AM209" i="29" s="1"/>
  <c r="AL208" i="29"/>
  <c r="AI208" i="29"/>
  <c r="AI209" i="29" s="1"/>
  <c r="AH208" i="29"/>
  <c r="AG208" i="29"/>
  <c r="AD208" i="29"/>
  <c r="BJ206" i="29"/>
  <c r="BI206" i="29"/>
  <c r="BG206" i="29"/>
  <c r="BC206" i="29"/>
  <c r="BB206" i="29"/>
  <c r="AX206" i="29"/>
  <c r="AW206" i="29"/>
  <c r="AT206" i="29"/>
  <c r="AS206" i="29"/>
  <c r="AQ206" i="29"/>
  <c r="AM206" i="29"/>
  <c r="AL206" i="29"/>
  <c r="AI206" i="29"/>
  <c r="AH206" i="29"/>
  <c r="AG206" i="29"/>
  <c r="AD206" i="29"/>
  <c r="AZ205" i="29"/>
  <c r="AY205" i="29"/>
  <c r="AY208" i="29" s="1"/>
  <c r="AU205" i="29"/>
  <c r="AU193" i="29"/>
  <c r="AU189" i="29"/>
  <c r="AO205" i="29"/>
  <c r="AO204" i="29" s="1"/>
  <c r="AO193" i="29"/>
  <c r="AO191" i="29"/>
  <c r="AO192" i="29" s="1"/>
  <c r="AO190" i="29"/>
  <c r="AJ205" i="29"/>
  <c r="AF205" i="29"/>
  <c r="AE205" i="29"/>
  <c r="AE208" i="29" s="1"/>
  <c r="BE205" i="29"/>
  <c r="BF205" i="29" s="1"/>
  <c r="BD204" i="29"/>
  <c r="BC204" i="29"/>
  <c r="BB204" i="29"/>
  <c r="AY204" i="29"/>
  <c r="AX204" i="29"/>
  <c r="AW204" i="29"/>
  <c r="AV204" i="29"/>
  <c r="CJ187" i="29"/>
  <c r="CE187" i="29"/>
  <c r="J200" i="29"/>
  <c r="BC199" i="29"/>
  <c r="BJ198" i="29"/>
  <c r="BI198" i="29"/>
  <c r="BH198" i="29"/>
  <c r="BG198" i="29"/>
  <c r="BD198" i="29"/>
  <c r="BC198" i="29"/>
  <c r="BB198" i="29"/>
  <c r="BA198" i="29"/>
  <c r="AY198" i="29"/>
  <c r="AY199" i="29" s="1"/>
  <c r="AX198" i="29"/>
  <c r="AW198" i="29"/>
  <c r="AV198" i="29"/>
  <c r="AV199" i="29" s="1"/>
  <c r="K198" i="29"/>
  <c r="J198" i="29"/>
  <c r="I198" i="29"/>
  <c r="H198" i="29"/>
  <c r="G198" i="29"/>
  <c r="F198" i="29"/>
  <c r="E198" i="29"/>
  <c r="E199" i="29" s="1"/>
  <c r="D198" i="29"/>
  <c r="D199" i="29" s="1"/>
  <c r="C198" i="29"/>
  <c r="B198" i="29"/>
  <c r="BL199" i="29"/>
  <c r="BO198" i="29"/>
  <c r="BN198" i="29"/>
  <c r="BM198" i="29"/>
  <c r="BM199" i="29" s="1"/>
  <c r="BL198" i="29"/>
  <c r="BO194" i="29"/>
  <c r="BN194" i="29"/>
  <c r="BM194" i="29"/>
  <c r="BL194" i="29"/>
  <c r="BJ194" i="29"/>
  <c r="BI194" i="29"/>
  <c r="BH194" i="29"/>
  <c r="BG194" i="29"/>
  <c r="BD194" i="29"/>
  <c r="BC194" i="29"/>
  <c r="BB194" i="29"/>
  <c r="BA194" i="29"/>
  <c r="AY194" i="29"/>
  <c r="AX194" i="29"/>
  <c r="AW194" i="29"/>
  <c r="AV194" i="29"/>
  <c r="AT204" i="29"/>
  <c r="AS204" i="29"/>
  <c r="AR204" i="29"/>
  <c r="AQ204" i="29"/>
  <c r="AQ199" i="29"/>
  <c r="AT198" i="29"/>
  <c r="AS198" i="29"/>
  <c r="AS199" i="29" s="1"/>
  <c r="AR198" i="29"/>
  <c r="AQ198" i="29"/>
  <c r="AT194" i="29"/>
  <c r="AS194" i="29"/>
  <c r="AR194" i="29"/>
  <c r="AQ194" i="29"/>
  <c r="AN204" i="29"/>
  <c r="AM204" i="29"/>
  <c r="AL204" i="29"/>
  <c r="AJ204" i="29"/>
  <c r="AI204" i="29"/>
  <c r="AH204" i="29"/>
  <c r="AG204" i="29"/>
  <c r="AN199" i="29"/>
  <c r="AJ199" i="29"/>
  <c r="AN198" i="29"/>
  <c r="AM198" i="29"/>
  <c r="AM199" i="29" s="1"/>
  <c r="AL198" i="29"/>
  <c r="AJ198" i="29"/>
  <c r="AI198" i="29"/>
  <c r="AH198" i="29"/>
  <c r="AH199" i="29" s="1"/>
  <c r="AG198" i="29"/>
  <c r="AN194" i="29"/>
  <c r="AM194" i="29"/>
  <c r="AL194" i="29"/>
  <c r="AJ194" i="29"/>
  <c r="AI194" i="29"/>
  <c r="AH194" i="29"/>
  <c r="AG194" i="29"/>
  <c r="AC199" i="29"/>
  <c r="AE198" i="29"/>
  <c r="AD198" i="29"/>
  <c r="AC198" i="29"/>
  <c r="AB198" i="29"/>
  <c r="AB199" i="29" s="1"/>
  <c r="AE194" i="29"/>
  <c r="AD194" i="29"/>
  <c r="AB194" i="29"/>
  <c r="R199" i="29"/>
  <c r="N199" i="29"/>
  <c r="Z198" i="29"/>
  <c r="Y198" i="29"/>
  <c r="X198" i="29"/>
  <c r="W198" i="29"/>
  <c r="U198" i="29"/>
  <c r="T198" i="29"/>
  <c r="S198" i="29"/>
  <c r="R198" i="29"/>
  <c r="P198" i="29"/>
  <c r="P199" i="29" s="1"/>
  <c r="O198" i="29"/>
  <c r="N198" i="29"/>
  <c r="M198" i="29"/>
  <c r="Z194" i="29"/>
  <c r="Y194" i="29"/>
  <c r="X194" i="29"/>
  <c r="W194" i="29"/>
  <c r="U194" i="29"/>
  <c r="T194" i="29"/>
  <c r="S194" i="29"/>
  <c r="R194" i="29"/>
  <c r="P194" i="29"/>
  <c r="O194" i="29"/>
  <c r="N194" i="29"/>
  <c r="M194" i="29"/>
  <c r="K194" i="29"/>
  <c r="J194" i="29"/>
  <c r="I194" i="29"/>
  <c r="H194" i="29"/>
  <c r="G194" i="29"/>
  <c r="F194" i="29"/>
  <c r="E194" i="29"/>
  <c r="D194" i="29"/>
  <c r="C194" i="29"/>
  <c r="B194" i="29"/>
  <c r="AZ193" i="29"/>
  <c r="AZ189" i="29"/>
  <c r="AZ190" i="29" s="1"/>
  <c r="AK193" i="29"/>
  <c r="AK189" i="29"/>
  <c r="AK190" i="29" s="1"/>
  <c r="AF193" i="29"/>
  <c r="AF189" i="29"/>
  <c r="AF190" i="29" s="1"/>
  <c r="AA193" i="29"/>
  <c r="AA189" i="29"/>
  <c r="AA190" i="29" s="1"/>
  <c r="V193" i="29"/>
  <c r="V189" i="29"/>
  <c r="V190" i="29" s="1"/>
  <c r="Q193" i="29"/>
  <c r="Q189" i="29"/>
  <c r="Q190" i="29" s="1"/>
  <c r="L193" i="29"/>
  <c r="L189" i="29"/>
  <c r="L190" i="29" s="1"/>
  <c r="BF193" i="29"/>
  <c r="BE193" i="29"/>
  <c r="BB192" i="29"/>
  <c r="BD191" i="29"/>
  <c r="BD192" i="29" s="1"/>
  <c r="BC191" i="29"/>
  <c r="BC192" i="29" s="1"/>
  <c r="BB191" i="29"/>
  <c r="BA191" i="29"/>
  <c r="K191" i="29"/>
  <c r="J191" i="29"/>
  <c r="I191" i="29"/>
  <c r="H191" i="29"/>
  <c r="G191" i="29"/>
  <c r="G192" i="29" s="1"/>
  <c r="F191" i="29"/>
  <c r="F192" i="29" s="1"/>
  <c r="E191" i="29"/>
  <c r="E192" i="29" s="1"/>
  <c r="D191" i="29"/>
  <c r="C191" i="29"/>
  <c r="B191" i="29"/>
  <c r="BO190" i="29"/>
  <c r="BN190" i="29"/>
  <c r="BM190" i="29"/>
  <c r="BL190" i="29"/>
  <c r="BD190" i="29"/>
  <c r="BC190" i="29"/>
  <c r="BB190" i="29"/>
  <c r="AX192" i="29"/>
  <c r="AY191" i="29"/>
  <c r="AY192" i="29" s="1"/>
  <c r="AX191" i="29"/>
  <c r="AW191" i="29"/>
  <c r="AW192" i="29" s="1"/>
  <c r="AV191" i="29"/>
  <c r="AV192" i="29" s="1"/>
  <c r="AY190" i="29"/>
  <c r="AX190" i="29"/>
  <c r="AW190" i="29"/>
  <c r="AV190" i="29"/>
  <c r="AS192" i="29"/>
  <c r="AT191" i="29"/>
  <c r="AS191" i="29"/>
  <c r="AR191" i="29"/>
  <c r="AR192" i="29" s="1"/>
  <c r="AQ191" i="29"/>
  <c r="AQ192" i="29" s="1"/>
  <c r="AT190" i="29"/>
  <c r="AS190" i="29"/>
  <c r="AR190" i="29"/>
  <c r="AQ190" i="29"/>
  <c r="AL192" i="29"/>
  <c r="AN191" i="29"/>
  <c r="AM191" i="29"/>
  <c r="AM192" i="29" s="1"/>
  <c r="AL191" i="29"/>
  <c r="AN190" i="29"/>
  <c r="AM190" i="29"/>
  <c r="AL190" i="29"/>
  <c r="AJ191" i="29"/>
  <c r="AJ192" i="29" s="1"/>
  <c r="AI191" i="29"/>
  <c r="AI192" i="29" s="1"/>
  <c r="AH191" i="29"/>
  <c r="AH192" i="29" s="1"/>
  <c r="AG191" i="29"/>
  <c r="AJ190" i="29"/>
  <c r="AI190" i="29"/>
  <c r="AH190" i="29"/>
  <c r="AG190" i="29"/>
  <c r="AD192" i="29"/>
  <c r="AE191" i="29"/>
  <c r="AD191" i="29"/>
  <c r="AC191" i="29"/>
  <c r="AB191" i="29"/>
  <c r="AB192" i="29" s="1"/>
  <c r="AE190" i="29"/>
  <c r="AD190" i="29"/>
  <c r="AC190" i="29"/>
  <c r="AB190" i="29"/>
  <c r="Z191" i="29"/>
  <c r="Y191" i="29"/>
  <c r="X191" i="29"/>
  <c r="W191" i="29"/>
  <c r="Z190" i="29"/>
  <c r="Y190" i="29"/>
  <c r="X190" i="29"/>
  <c r="W190" i="29"/>
  <c r="T192" i="29"/>
  <c r="U191" i="29"/>
  <c r="U192" i="29" s="1"/>
  <c r="T191" i="29"/>
  <c r="S191" i="29"/>
  <c r="S192" i="29" s="1"/>
  <c r="R191" i="29"/>
  <c r="R192" i="29" s="1"/>
  <c r="U190" i="29"/>
  <c r="T190" i="29"/>
  <c r="S190" i="29"/>
  <c r="R190" i="29"/>
  <c r="P191" i="29"/>
  <c r="P192" i="29" s="1"/>
  <c r="O191" i="29"/>
  <c r="O192" i="29" s="1"/>
  <c r="N191" i="29"/>
  <c r="N192" i="29" s="1"/>
  <c r="M191" i="29"/>
  <c r="M192" i="29" s="1"/>
  <c r="P190" i="29"/>
  <c r="O190" i="29"/>
  <c r="N190" i="29"/>
  <c r="M190" i="29"/>
  <c r="G190" i="29"/>
  <c r="F190" i="29"/>
  <c r="E190" i="29"/>
  <c r="D190" i="29"/>
  <c r="C190" i="29"/>
  <c r="AP189" i="29"/>
  <c r="BP193" i="29"/>
  <c r="BP189" i="29"/>
  <c r="BE189" i="29"/>
  <c r="BD188" i="29"/>
  <c r="BC188" i="29"/>
  <c r="BB188" i="29"/>
  <c r="BD187" i="29"/>
  <c r="G188" i="29"/>
  <c r="F188" i="29"/>
  <c r="E188" i="29"/>
  <c r="D188" i="29"/>
  <c r="C188" i="29"/>
  <c r="G187" i="29"/>
  <c r="C187" i="29"/>
  <c r="BD186" i="29"/>
  <c r="BC186" i="29"/>
  <c r="BB186" i="29"/>
  <c r="BA186" i="29"/>
  <c r="AY188" i="29"/>
  <c r="AX188" i="29"/>
  <c r="AW188" i="29"/>
  <c r="AV188" i="29"/>
  <c r="AY186" i="29"/>
  <c r="AY187" i="29" s="1"/>
  <c r="AX186" i="29"/>
  <c r="AX187" i="29" s="1"/>
  <c r="AW186" i="29"/>
  <c r="AW187" i="29" s="1"/>
  <c r="AV186" i="29"/>
  <c r="AT188" i="29"/>
  <c r="AS188" i="29"/>
  <c r="AR188" i="29"/>
  <c r="AQ188" i="29"/>
  <c r="AT186" i="29"/>
  <c r="AT187" i="29" s="1"/>
  <c r="AS186" i="29"/>
  <c r="AS187" i="29" s="1"/>
  <c r="AR186" i="29"/>
  <c r="AR187" i="29" s="1"/>
  <c r="AQ186" i="29"/>
  <c r="AQ187" i="29" s="1"/>
  <c r="AO188" i="29"/>
  <c r="AN188" i="29"/>
  <c r="AM188" i="29"/>
  <c r="AL188" i="29"/>
  <c r="AO186" i="29"/>
  <c r="AO187" i="29" s="1"/>
  <c r="AN186" i="29"/>
  <c r="AN187" i="29" s="1"/>
  <c r="AM186" i="29"/>
  <c r="AM187" i="29" s="1"/>
  <c r="AL186" i="29"/>
  <c r="AL187" i="29" s="1"/>
  <c r="AJ188" i="29"/>
  <c r="AI188" i="29"/>
  <c r="AH188" i="29"/>
  <c r="AG188" i="29"/>
  <c r="AJ186" i="29"/>
  <c r="AJ187" i="29" s="1"/>
  <c r="AI186" i="29"/>
  <c r="AI187" i="29" s="1"/>
  <c r="AH186" i="29"/>
  <c r="AH187" i="29" s="1"/>
  <c r="AG186" i="29"/>
  <c r="AG187" i="29" s="1"/>
  <c r="AE188" i="29"/>
  <c r="AD188" i="29"/>
  <c r="AC188" i="29"/>
  <c r="AB188" i="29"/>
  <c r="AE186" i="29"/>
  <c r="AE187" i="29" s="1"/>
  <c r="AD186" i="29"/>
  <c r="AD187" i="29" s="1"/>
  <c r="AC186" i="29"/>
  <c r="AC187" i="29" s="1"/>
  <c r="AB186" i="29"/>
  <c r="Z188" i="29"/>
  <c r="Y188" i="29"/>
  <c r="X188" i="29"/>
  <c r="W188" i="29"/>
  <c r="Z186" i="29"/>
  <c r="Z187" i="29" s="1"/>
  <c r="Y186" i="29"/>
  <c r="Y187" i="29" s="1"/>
  <c r="X186" i="29"/>
  <c r="X187" i="29" s="1"/>
  <c r="W186" i="29"/>
  <c r="W187" i="29" s="1"/>
  <c r="U188" i="29"/>
  <c r="T188" i="29"/>
  <c r="S188" i="29"/>
  <c r="R188" i="29"/>
  <c r="U186" i="29"/>
  <c r="U187" i="29" s="1"/>
  <c r="T186" i="29"/>
  <c r="T187" i="29" s="1"/>
  <c r="S186" i="29"/>
  <c r="S187" i="29" s="1"/>
  <c r="R186" i="29"/>
  <c r="R187" i="29" s="1"/>
  <c r="P188" i="29"/>
  <c r="O188" i="29"/>
  <c r="N188" i="29"/>
  <c r="M188" i="29"/>
  <c r="P186" i="29"/>
  <c r="P187" i="29" s="1"/>
  <c r="O186" i="29"/>
  <c r="O187" i="29" s="1"/>
  <c r="N186" i="29"/>
  <c r="N187" i="29" s="1"/>
  <c r="M186" i="29"/>
  <c r="M187" i="29" s="1"/>
  <c r="K186" i="29"/>
  <c r="J186" i="29"/>
  <c r="I186" i="29"/>
  <c r="H186" i="29"/>
  <c r="G186" i="29"/>
  <c r="F186" i="29"/>
  <c r="F187" i="29" s="1"/>
  <c r="E186" i="29"/>
  <c r="E187" i="29" s="1"/>
  <c r="D186" i="29"/>
  <c r="D187" i="29" s="1"/>
  <c r="C186" i="29"/>
  <c r="B186" i="29"/>
  <c r="CJ183" i="29"/>
  <c r="CT269" i="29" s="1"/>
  <c r="CE183" i="29"/>
  <c r="CS269" i="29" s="1"/>
  <c r="BZ183" i="29"/>
  <c r="CR269" i="29" s="1"/>
  <c r="BT183" i="29"/>
  <c r="BS183" i="29"/>
  <c r="BU183" i="29" s="1"/>
  <c r="CQ269" i="29" s="1"/>
  <c r="BR183" i="29"/>
  <c r="BU182" i="29"/>
  <c r="CJ181" i="29"/>
  <c r="CJ176" i="29"/>
  <c r="CE181" i="29"/>
  <c r="CE176" i="29"/>
  <c r="BZ181" i="29"/>
  <c r="BT181" i="29"/>
  <c r="BU181" i="29" s="1"/>
  <c r="BS181" i="29"/>
  <c r="BR181" i="29"/>
  <c r="BS180" i="29"/>
  <c r="BS184" i="29" s="1"/>
  <c r="BR180" i="29"/>
  <c r="BR184" i="29" s="1"/>
  <c r="BT178" i="29"/>
  <c r="BT180" i="29" s="1"/>
  <c r="BT184" i="29" s="1"/>
  <c r="BS178" i="29"/>
  <c r="BU178" i="29" s="1"/>
  <c r="BR178" i="29"/>
  <c r="CJ169" i="29"/>
  <c r="CE169" i="29"/>
  <c r="BB174" i="29"/>
  <c r="AW174" i="29"/>
  <c r="AG174" i="29"/>
  <c r="BG173" i="29"/>
  <c r="BD173" i="29"/>
  <c r="BD174" i="29" s="1"/>
  <c r="BC173" i="29"/>
  <c r="BB173" i="29"/>
  <c r="BA173" i="29"/>
  <c r="AY173" i="29"/>
  <c r="AY174" i="29" s="1"/>
  <c r="AX173" i="29"/>
  <c r="AW173" i="29"/>
  <c r="AV173" i="29"/>
  <c r="AV174" i="29" s="1"/>
  <c r="AT173" i="29"/>
  <c r="AS173" i="29"/>
  <c r="AS174" i="29" s="1"/>
  <c r="AR173" i="29"/>
  <c r="AR174" i="29" s="1"/>
  <c r="AQ173" i="29"/>
  <c r="AQ174" i="29" s="1"/>
  <c r="AO173" i="29"/>
  <c r="AO174" i="29" s="1"/>
  <c r="AN173" i="29"/>
  <c r="AN174" i="29" s="1"/>
  <c r="AM173" i="29"/>
  <c r="AM174" i="29" s="1"/>
  <c r="AL173" i="29"/>
  <c r="AJ173" i="29"/>
  <c r="AJ174" i="29" s="1"/>
  <c r="AI173" i="29"/>
  <c r="AI174" i="29" s="1"/>
  <c r="AH173" i="29"/>
  <c r="AG173" i="29"/>
  <c r="AE173" i="29"/>
  <c r="AE174" i="29" s="1"/>
  <c r="AD173" i="29"/>
  <c r="AC173" i="29"/>
  <c r="AC174" i="29" s="1"/>
  <c r="AB173" i="29"/>
  <c r="AB174" i="29" s="1"/>
  <c r="Z173" i="29"/>
  <c r="Y173" i="29"/>
  <c r="Y174" i="29" s="1"/>
  <c r="X173" i="29"/>
  <c r="X174" i="29" s="1"/>
  <c r="W173" i="29"/>
  <c r="W174" i="29" s="1"/>
  <c r="U173" i="29"/>
  <c r="U174" i="29" s="1"/>
  <c r="T173" i="29"/>
  <c r="T174" i="29" s="1"/>
  <c r="S173" i="29"/>
  <c r="S174" i="29" s="1"/>
  <c r="R173" i="29"/>
  <c r="P173" i="29"/>
  <c r="P174" i="29" s="1"/>
  <c r="O173" i="29"/>
  <c r="O174" i="29" s="1"/>
  <c r="N173" i="29"/>
  <c r="M173" i="29"/>
  <c r="M174" i="29" s="1"/>
  <c r="K173" i="29"/>
  <c r="J173" i="29"/>
  <c r="I173" i="29"/>
  <c r="H173" i="29"/>
  <c r="G173" i="29"/>
  <c r="G174" i="29" s="1"/>
  <c r="F173" i="29"/>
  <c r="E173" i="29"/>
  <c r="E174" i="29" s="1"/>
  <c r="D173" i="29"/>
  <c r="D174" i="29" s="1"/>
  <c r="C173" i="29"/>
  <c r="C174" i="29" s="1"/>
  <c r="B173" i="29"/>
  <c r="BP172" i="29"/>
  <c r="BO172" i="29"/>
  <c r="BN172" i="29"/>
  <c r="BM172" i="29"/>
  <c r="BL172" i="29"/>
  <c r="BD172" i="29"/>
  <c r="BC172" i="29"/>
  <c r="BB172" i="29"/>
  <c r="AY172" i="29"/>
  <c r="AX172" i="29"/>
  <c r="AW172" i="29"/>
  <c r="AV172" i="29"/>
  <c r="AT172" i="29"/>
  <c r="AS172" i="29"/>
  <c r="AR172" i="29"/>
  <c r="AQ172" i="29"/>
  <c r="AO172" i="29"/>
  <c r="AN172" i="29"/>
  <c r="AM172" i="29"/>
  <c r="AL172" i="29"/>
  <c r="AJ172" i="29"/>
  <c r="AI172" i="29"/>
  <c r="AH172" i="29"/>
  <c r="AG172" i="29"/>
  <c r="AE172" i="29"/>
  <c r="AD172" i="29"/>
  <c r="AC172" i="29"/>
  <c r="AB172" i="29"/>
  <c r="AA172" i="29"/>
  <c r="Z172" i="29"/>
  <c r="Y172" i="29"/>
  <c r="X172" i="29"/>
  <c r="W172" i="29"/>
  <c r="U172" i="29"/>
  <c r="T172" i="29"/>
  <c r="S172" i="29"/>
  <c r="R172" i="29"/>
  <c r="P172" i="29"/>
  <c r="O172" i="29"/>
  <c r="N172" i="29"/>
  <c r="M172" i="29"/>
  <c r="G172" i="29"/>
  <c r="F172" i="29"/>
  <c r="E172" i="29"/>
  <c r="D172" i="29"/>
  <c r="C172" i="29"/>
  <c r="BK171" i="29"/>
  <c r="BK164" i="29"/>
  <c r="BK157" i="29"/>
  <c r="BK159" i="29" s="1"/>
  <c r="BK160" i="29" s="1"/>
  <c r="BK156" i="29"/>
  <c r="AZ171" i="29"/>
  <c r="AZ165" i="29"/>
  <c r="AZ164" i="29"/>
  <c r="AZ198" i="29" s="1"/>
  <c r="AZ157" i="29"/>
  <c r="AZ213" i="29" s="1"/>
  <c r="AU171" i="29"/>
  <c r="AP171" i="29"/>
  <c r="AP157" i="29"/>
  <c r="AK171" i="29"/>
  <c r="AK172" i="29" s="1"/>
  <c r="AF171" i="29"/>
  <c r="AF164" i="29"/>
  <c r="AA171" i="29"/>
  <c r="AA164" i="29"/>
  <c r="AA198" i="29" s="1"/>
  <c r="AA158" i="29"/>
  <c r="AA157" i="29"/>
  <c r="AA213" i="29" s="1"/>
  <c r="V171" i="29"/>
  <c r="V164" i="29"/>
  <c r="V157" i="29"/>
  <c r="Q171" i="29"/>
  <c r="Q172" i="29" s="1"/>
  <c r="Q170" i="29"/>
  <c r="Q164" i="29"/>
  <c r="Q198" i="29" s="1"/>
  <c r="Q158" i="29"/>
  <c r="Q157" i="29"/>
  <c r="L171" i="29"/>
  <c r="L172" i="29" s="1"/>
  <c r="L164" i="29"/>
  <c r="L158" i="29"/>
  <c r="L157" i="29"/>
  <c r="BP171" i="29"/>
  <c r="BE171" i="29"/>
  <c r="BF171" i="29" s="1"/>
  <c r="BD170" i="29"/>
  <c r="BC170" i="29"/>
  <c r="BB170" i="29"/>
  <c r="G170" i="29"/>
  <c r="F170" i="29"/>
  <c r="E170" i="29"/>
  <c r="D170" i="29"/>
  <c r="C170" i="29"/>
  <c r="F169" i="29"/>
  <c r="BG168" i="29"/>
  <c r="BD168" i="29"/>
  <c r="BD169" i="29" s="1"/>
  <c r="BC168" i="29"/>
  <c r="BB168" i="29"/>
  <c r="BB169" i="29" s="1"/>
  <c r="BA168" i="29"/>
  <c r="AJ170" i="29"/>
  <c r="AI170" i="29"/>
  <c r="AH170" i="29"/>
  <c r="AG170" i="29"/>
  <c r="AJ168" i="29"/>
  <c r="AJ169" i="29" s="1"/>
  <c r="AI168" i="29"/>
  <c r="AH168" i="29"/>
  <c r="AG168" i="29"/>
  <c r="K168" i="29"/>
  <c r="J168" i="29"/>
  <c r="I168" i="29"/>
  <c r="H168" i="29"/>
  <c r="G168" i="29"/>
  <c r="G169" i="29" s="1"/>
  <c r="F168" i="29"/>
  <c r="E168" i="29"/>
  <c r="E169" i="29" s="1"/>
  <c r="D168" i="29"/>
  <c r="C168" i="29"/>
  <c r="C169" i="29" s="1"/>
  <c r="B168" i="29"/>
  <c r="CJ162" i="29"/>
  <c r="CE162" i="29"/>
  <c r="BB167" i="29"/>
  <c r="D167" i="29"/>
  <c r="BD166" i="29"/>
  <c r="BC166" i="29"/>
  <c r="BB166" i="29"/>
  <c r="BB200" i="29" s="1"/>
  <c r="BA166" i="29"/>
  <c r="K166" i="29"/>
  <c r="K200" i="29" s="1"/>
  <c r="K201" i="29" s="1"/>
  <c r="J166" i="29"/>
  <c r="I166" i="29"/>
  <c r="H166" i="29"/>
  <c r="H200" i="29" s="1"/>
  <c r="G166" i="29"/>
  <c r="F166" i="29"/>
  <c r="F200" i="29" s="1"/>
  <c r="E166" i="29"/>
  <c r="E167" i="29" s="1"/>
  <c r="D166" i="29"/>
  <c r="D200" i="29" s="1"/>
  <c r="C166" i="29"/>
  <c r="B166" i="29"/>
  <c r="B200" i="29" s="1"/>
  <c r="BO165" i="29"/>
  <c r="BN165" i="29"/>
  <c r="BM165" i="29"/>
  <c r="BL165" i="29"/>
  <c r="BD165" i="29"/>
  <c r="BC165" i="29"/>
  <c r="BB165" i="29"/>
  <c r="AY170" i="29"/>
  <c r="AX170" i="29"/>
  <c r="AW170" i="29"/>
  <c r="AV170" i="29"/>
  <c r="AY168" i="29"/>
  <c r="AY169" i="29" s="1"/>
  <c r="AX168" i="29"/>
  <c r="AX169" i="29" s="1"/>
  <c r="AW168" i="29"/>
  <c r="AV168" i="29"/>
  <c r="AV169" i="29" s="1"/>
  <c r="AW167" i="29"/>
  <c r="AY166" i="29"/>
  <c r="AY200" i="29" s="1"/>
  <c r="AX166" i="29"/>
  <c r="AX200" i="29" s="1"/>
  <c r="AW166" i="29"/>
  <c r="AV166" i="29"/>
  <c r="AV200" i="29" s="1"/>
  <c r="AY165" i="29"/>
  <c r="AX165" i="29"/>
  <c r="AW165" i="29"/>
  <c r="AV165" i="29"/>
  <c r="AT170" i="29"/>
  <c r="AS170" i="29"/>
  <c r="AR170" i="29"/>
  <c r="AQ170" i="29"/>
  <c r="AT168" i="29"/>
  <c r="AT169" i="29" s="1"/>
  <c r="AS168" i="29"/>
  <c r="AS169" i="29" s="1"/>
  <c r="AR168" i="29"/>
  <c r="AR169" i="29" s="1"/>
  <c r="AQ168" i="29"/>
  <c r="AQ169" i="29" s="1"/>
  <c r="AR167" i="29"/>
  <c r="AT166" i="29"/>
  <c r="AT200" i="29" s="1"/>
  <c r="AS166" i="29"/>
  <c r="AR166" i="29"/>
  <c r="AR200" i="29" s="1"/>
  <c r="AQ166" i="29"/>
  <c r="AQ200" i="29" s="1"/>
  <c r="AS165" i="29"/>
  <c r="AR165" i="29"/>
  <c r="AQ165" i="29"/>
  <c r="AO170" i="29"/>
  <c r="AN170" i="29"/>
  <c r="AM170" i="29"/>
  <c r="AL170" i="29"/>
  <c r="AM169" i="29"/>
  <c r="AO168" i="29"/>
  <c r="AO169" i="29" s="1"/>
  <c r="AN168" i="29"/>
  <c r="AN169" i="29" s="1"/>
  <c r="AM168" i="29"/>
  <c r="AL168" i="29"/>
  <c r="AL169" i="29" s="1"/>
  <c r="AN166" i="29"/>
  <c r="AN200" i="29" s="1"/>
  <c r="AM166" i="29"/>
  <c r="AM200" i="29" s="1"/>
  <c r="AM201" i="29" s="1"/>
  <c r="AL166" i="29"/>
  <c r="AL200" i="29" s="1"/>
  <c r="AN165" i="29"/>
  <c r="AM165" i="29"/>
  <c r="AL165" i="29"/>
  <c r="AI167" i="29"/>
  <c r="AJ166" i="29"/>
  <c r="AI166" i="29"/>
  <c r="AI200" i="29" s="1"/>
  <c r="AH166" i="29"/>
  <c r="AH200" i="29" s="1"/>
  <c r="AG166" i="29"/>
  <c r="AJ165" i="29"/>
  <c r="AI165" i="29"/>
  <c r="AH165" i="29"/>
  <c r="AG165" i="29"/>
  <c r="AE170" i="29"/>
  <c r="AD170" i="29"/>
  <c r="AC170" i="29"/>
  <c r="AB170" i="29"/>
  <c r="AE168" i="29"/>
  <c r="AE169" i="29" s="1"/>
  <c r="AD168" i="29"/>
  <c r="AD169" i="29" s="1"/>
  <c r="AC168" i="29"/>
  <c r="AB168" i="29"/>
  <c r="AB169" i="29" s="1"/>
  <c r="AE166" i="29"/>
  <c r="AE200" i="29" s="1"/>
  <c r="AD166" i="29"/>
  <c r="AD200" i="29" s="1"/>
  <c r="AC166" i="29"/>
  <c r="AC200" i="29" s="1"/>
  <c r="AB166" i="29"/>
  <c r="AB200" i="29" s="1"/>
  <c r="AE165" i="29"/>
  <c r="AD165" i="29"/>
  <c r="AC165" i="29"/>
  <c r="AB165" i="29"/>
  <c r="Z170" i="29"/>
  <c r="Y170" i="29"/>
  <c r="X170" i="29"/>
  <c r="W170" i="29"/>
  <c r="X169" i="29"/>
  <c r="Z168" i="29"/>
  <c r="Z169" i="29" s="1"/>
  <c r="Y168" i="29"/>
  <c r="Y169" i="29" s="1"/>
  <c r="X168" i="29"/>
  <c r="AC169" i="29" s="1"/>
  <c r="W168" i="29"/>
  <c r="W169" i="29" s="1"/>
  <c r="Z166" i="29"/>
  <c r="Z200" i="29" s="1"/>
  <c r="Y166" i="29"/>
  <c r="X166" i="29"/>
  <c r="X200" i="29" s="1"/>
  <c r="X201" i="29" s="1"/>
  <c r="W166" i="29"/>
  <c r="W200" i="29" s="1"/>
  <c r="Z165" i="29"/>
  <c r="Y165" i="29"/>
  <c r="X165" i="29"/>
  <c r="W165" i="29"/>
  <c r="U170" i="29"/>
  <c r="T170" i="29"/>
  <c r="S170" i="29"/>
  <c r="R170" i="29"/>
  <c r="S169" i="29"/>
  <c r="U168" i="29"/>
  <c r="U169" i="29" s="1"/>
  <c r="T168" i="29"/>
  <c r="T169" i="29" s="1"/>
  <c r="S168" i="29"/>
  <c r="R168" i="29"/>
  <c r="R169" i="29" s="1"/>
  <c r="U166" i="29"/>
  <c r="U200" i="29" s="1"/>
  <c r="T166" i="29"/>
  <c r="T200" i="29" s="1"/>
  <c r="S166" i="29"/>
  <c r="S200" i="29" s="1"/>
  <c r="R166" i="29"/>
  <c r="R200" i="29" s="1"/>
  <c r="U165" i="29"/>
  <c r="T165" i="29"/>
  <c r="S165" i="29"/>
  <c r="R165" i="29"/>
  <c r="P170" i="29"/>
  <c r="O170" i="29"/>
  <c r="N170" i="29"/>
  <c r="M170" i="29"/>
  <c r="N169" i="29"/>
  <c r="P168" i="29"/>
  <c r="P169" i="29" s="1"/>
  <c r="O168" i="29"/>
  <c r="O169" i="29" s="1"/>
  <c r="N168" i="29"/>
  <c r="M168" i="29"/>
  <c r="M169" i="29" s="1"/>
  <c r="P166" i="29"/>
  <c r="P200" i="29" s="1"/>
  <c r="P201" i="29" s="1"/>
  <c r="O166" i="29"/>
  <c r="O200" i="29" s="1"/>
  <c r="O201" i="29" s="1"/>
  <c r="N166" i="29"/>
  <c r="N200" i="29" s="1"/>
  <c r="M166" i="29"/>
  <c r="M200" i="29" s="1"/>
  <c r="M201" i="29" s="1"/>
  <c r="P165" i="29"/>
  <c r="O165" i="29"/>
  <c r="N165" i="29"/>
  <c r="M165" i="29"/>
  <c r="G165" i="29"/>
  <c r="F165" i="29"/>
  <c r="E165" i="29"/>
  <c r="D165" i="29"/>
  <c r="C165" i="29"/>
  <c r="AO164" i="29"/>
  <c r="AO163" i="29"/>
  <c r="AO159" i="29"/>
  <c r="AO158" i="29"/>
  <c r="AK164" i="29"/>
  <c r="AK198" i="29" s="1"/>
  <c r="AK157" i="29"/>
  <c r="BP164" i="29"/>
  <c r="BP198" i="29" s="1"/>
  <c r="BF164" i="29"/>
  <c r="BE164" i="29"/>
  <c r="BD163" i="29"/>
  <c r="BC163" i="29"/>
  <c r="BB163" i="29"/>
  <c r="G163" i="29"/>
  <c r="F163" i="29"/>
  <c r="E163" i="29"/>
  <c r="D163" i="29"/>
  <c r="C163" i="29"/>
  <c r="D162" i="29"/>
  <c r="BD161" i="29"/>
  <c r="BD162" i="29" s="1"/>
  <c r="BC161" i="29"/>
  <c r="BB161" i="29"/>
  <c r="BB162" i="29" s="1"/>
  <c r="BA161" i="29"/>
  <c r="K161" i="29"/>
  <c r="J161" i="29"/>
  <c r="I161" i="29"/>
  <c r="H161" i="29"/>
  <c r="G161" i="29"/>
  <c r="G162" i="29" s="1"/>
  <c r="F161" i="29"/>
  <c r="E161" i="29"/>
  <c r="D161" i="29"/>
  <c r="C161" i="29"/>
  <c r="C162" i="29" s="1"/>
  <c r="B161" i="29"/>
  <c r="CJ155" i="29"/>
  <c r="CE155" i="29"/>
  <c r="BD160" i="29"/>
  <c r="BD159" i="29"/>
  <c r="BC159" i="29"/>
  <c r="BC160" i="29" s="1"/>
  <c r="BB159" i="29"/>
  <c r="BB160" i="29" s="1"/>
  <c r="BA159" i="29"/>
  <c r="K159" i="29"/>
  <c r="J159" i="29"/>
  <c r="I159" i="29"/>
  <c r="H159" i="29"/>
  <c r="G159" i="29"/>
  <c r="G160" i="29" s="1"/>
  <c r="F159" i="29"/>
  <c r="E159" i="29"/>
  <c r="E160" i="29" s="1"/>
  <c r="D159" i="29"/>
  <c r="D160" i="29" s="1"/>
  <c r="C159" i="29"/>
  <c r="C160" i="29" s="1"/>
  <c r="B159" i="29"/>
  <c r="BO158" i="29"/>
  <c r="BN158" i="29"/>
  <c r="BM158" i="29"/>
  <c r="BL158" i="29"/>
  <c r="BD158" i="29"/>
  <c r="BC158" i="29"/>
  <c r="BB158" i="29"/>
  <c r="AY163" i="29"/>
  <c r="AX163" i="29"/>
  <c r="AW163" i="29"/>
  <c r="AV163" i="29"/>
  <c r="AS163" i="29"/>
  <c r="AR163" i="29"/>
  <c r="AQ163" i="29"/>
  <c r="AV162" i="29"/>
  <c r="AR162" i="29"/>
  <c r="AY161" i="29"/>
  <c r="AY162" i="29" s="1"/>
  <c r="AX161" i="29"/>
  <c r="AW161" i="29"/>
  <c r="AV161" i="29"/>
  <c r="AT161" i="29"/>
  <c r="AS161" i="29"/>
  <c r="AR161" i="29"/>
  <c r="AQ161" i="29"/>
  <c r="AQ162" i="29" s="1"/>
  <c r="AX160" i="29"/>
  <c r="AT160" i="29"/>
  <c r="AY159" i="29"/>
  <c r="AY160" i="29" s="1"/>
  <c r="AX159" i="29"/>
  <c r="AW159" i="29"/>
  <c r="AW160" i="29" s="1"/>
  <c r="AV159" i="29"/>
  <c r="AT159" i="29"/>
  <c r="AS159" i="29"/>
  <c r="AS160" i="29" s="1"/>
  <c r="AR159" i="29"/>
  <c r="AR160" i="29" s="1"/>
  <c r="AQ159" i="29"/>
  <c r="AY158" i="29"/>
  <c r="AX158" i="29"/>
  <c r="AW158" i="29"/>
  <c r="AV158" i="29"/>
  <c r="AT158" i="29"/>
  <c r="AS158" i="29"/>
  <c r="AR158" i="29"/>
  <c r="AQ158" i="29"/>
  <c r="AN163" i="29"/>
  <c r="AM163" i="29"/>
  <c r="AL163" i="29"/>
  <c r="AN161" i="29"/>
  <c r="AN162" i="29" s="1"/>
  <c r="AM161" i="29"/>
  <c r="AM162" i="29" s="1"/>
  <c r="AL161" i="29"/>
  <c r="AM160" i="29"/>
  <c r="AN159" i="29"/>
  <c r="AM159" i="29"/>
  <c r="AL159" i="29"/>
  <c r="AL160" i="29" s="1"/>
  <c r="AN158" i="29"/>
  <c r="AM158" i="29"/>
  <c r="AL158" i="29"/>
  <c r="AJ163" i="29"/>
  <c r="AI163" i="29"/>
  <c r="AH163" i="29"/>
  <c r="AG163" i="29"/>
  <c r="AJ162" i="29"/>
  <c r="AJ161" i="29"/>
  <c r="AI161" i="29"/>
  <c r="AI162" i="29" s="1"/>
  <c r="AH161" i="29"/>
  <c r="AH162" i="29" s="1"/>
  <c r="AG161" i="29"/>
  <c r="AL162" i="29" s="1"/>
  <c r="AJ159" i="29"/>
  <c r="AJ160" i="29" s="1"/>
  <c r="AI159" i="29"/>
  <c r="AN160" i="29" s="1"/>
  <c r="AH159" i="29"/>
  <c r="AG159" i="29"/>
  <c r="AG160" i="29" s="1"/>
  <c r="AJ158" i="29"/>
  <c r="AI158" i="29"/>
  <c r="AG158" i="29"/>
  <c r="AE163" i="29"/>
  <c r="AD163" i="29"/>
  <c r="AC163" i="29"/>
  <c r="AB163" i="29"/>
  <c r="AE161" i="29"/>
  <c r="AE162" i="29" s="1"/>
  <c r="AD161" i="29"/>
  <c r="AD162" i="29" s="1"/>
  <c r="AC161" i="29"/>
  <c r="AC162" i="29" s="1"/>
  <c r="AB161" i="29"/>
  <c r="AB162" i="29" s="1"/>
  <c r="AE160" i="29"/>
  <c r="AE159" i="29"/>
  <c r="AD159" i="29"/>
  <c r="AD160" i="29" s="1"/>
  <c r="AB159" i="29"/>
  <c r="AB160" i="29" s="1"/>
  <c r="AE158" i="29"/>
  <c r="AD158" i="29"/>
  <c r="AB158" i="29"/>
  <c r="Z163" i="29"/>
  <c r="Y163" i="29"/>
  <c r="X163" i="29"/>
  <c r="W163" i="29"/>
  <c r="Z161" i="29"/>
  <c r="Z162" i="29" s="1"/>
  <c r="Y161" i="29"/>
  <c r="Y162" i="29" s="1"/>
  <c r="X161" i="29"/>
  <c r="X162" i="29" s="1"/>
  <c r="W161" i="29"/>
  <c r="W162" i="29" s="1"/>
  <c r="Z160" i="29"/>
  <c r="Z159" i="29"/>
  <c r="Y159" i="29"/>
  <c r="Y160" i="29" s="1"/>
  <c r="X159" i="29"/>
  <c r="X160" i="29" s="1"/>
  <c r="W159" i="29"/>
  <c r="W160" i="29" s="1"/>
  <c r="Z158" i="29"/>
  <c r="Y158" i="29"/>
  <c r="X158" i="29"/>
  <c r="W158" i="29"/>
  <c r="U163" i="29"/>
  <c r="T163" i="29"/>
  <c r="S163" i="29"/>
  <c r="R163" i="29"/>
  <c r="U161" i="29"/>
  <c r="U162" i="29" s="1"/>
  <c r="T161" i="29"/>
  <c r="T162" i="29" s="1"/>
  <c r="S161" i="29"/>
  <c r="S162" i="29" s="1"/>
  <c r="R161" i="29"/>
  <c r="R162" i="29" s="1"/>
  <c r="U160" i="29"/>
  <c r="U159" i="29"/>
  <c r="T159" i="29"/>
  <c r="T160" i="29" s="1"/>
  <c r="S159" i="29"/>
  <c r="S160" i="29" s="1"/>
  <c r="R159" i="29"/>
  <c r="R160" i="29" s="1"/>
  <c r="U158" i="29"/>
  <c r="T158" i="29"/>
  <c r="S158" i="29"/>
  <c r="R158" i="29"/>
  <c r="P163" i="29"/>
  <c r="O163" i="29"/>
  <c r="N163" i="29"/>
  <c r="M163" i="29"/>
  <c r="P161" i="29"/>
  <c r="P162" i="29" s="1"/>
  <c r="O161" i="29"/>
  <c r="O162" i="29" s="1"/>
  <c r="N161" i="29"/>
  <c r="N162" i="29" s="1"/>
  <c r="M161" i="29"/>
  <c r="M162" i="29" s="1"/>
  <c r="P160" i="29"/>
  <c r="P159" i="29"/>
  <c r="O159" i="29"/>
  <c r="O160" i="29" s="1"/>
  <c r="N159" i="29"/>
  <c r="M159" i="29"/>
  <c r="M160" i="29" s="1"/>
  <c r="P158" i="29"/>
  <c r="O158" i="29"/>
  <c r="N158" i="29"/>
  <c r="M158" i="29"/>
  <c r="G158" i="29"/>
  <c r="F158" i="29"/>
  <c r="E158" i="29"/>
  <c r="D158" i="29"/>
  <c r="C158" i="29"/>
  <c r="AU157" i="29"/>
  <c r="AC157" i="29"/>
  <c r="AB156" i="29"/>
  <c r="AB154" i="29"/>
  <c r="AB155" i="29" s="1"/>
  <c r="BP157" i="29"/>
  <c r="BE157" i="29"/>
  <c r="BE158" i="29" s="1"/>
  <c r="BD156" i="29"/>
  <c r="BC156" i="29"/>
  <c r="BB156" i="29"/>
  <c r="BD155" i="29"/>
  <c r="G156" i="29"/>
  <c r="F156" i="29"/>
  <c r="E156" i="29"/>
  <c r="D156" i="29"/>
  <c r="C156" i="29"/>
  <c r="BD154" i="29"/>
  <c r="BC154" i="29"/>
  <c r="BC155" i="29" s="1"/>
  <c r="BB154" i="29"/>
  <c r="BA154" i="29"/>
  <c r="AY156" i="29"/>
  <c r="AX156" i="29"/>
  <c r="AW156" i="29"/>
  <c r="AV156" i="29"/>
  <c r="AY154" i="29"/>
  <c r="AY155" i="29" s="1"/>
  <c r="AX154" i="29"/>
  <c r="AX155" i="29" s="1"/>
  <c r="AW154" i="29"/>
  <c r="AW155" i="29" s="1"/>
  <c r="AV154" i="29"/>
  <c r="AV155" i="29" s="1"/>
  <c r="AT156" i="29"/>
  <c r="AS156" i="29"/>
  <c r="AR156" i="29"/>
  <c r="AQ156" i="29"/>
  <c r="AT154" i="29"/>
  <c r="AT155" i="29" s="1"/>
  <c r="AS154" i="29"/>
  <c r="AS155" i="29" s="1"/>
  <c r="AR154" i="29"/>
  <c r="AR155" i="29" s="1"/>
  <c r="AQ154" i="29"/>
  <c r="AQ155" i="29" s="1"/>
  <c r="AO156" i="29"/>
  <c r="AN156" i="29"/>
  <c r="AM156" i="29"/>
  <c r="AL156" i="29"/>
  <c r="AO154" i="29"/>
  <c r="AO155" i="29" s="1"/>
  <c r="AN154" i="29"/>
  <c r="AN155" i="29" s="1"/>
  <c r="AM154" i="29"/>
  <c r="AM155" i="29" s="1"/>
  <c r="AL154" i="29"/>
  <c r="AL155" i="29" s="1"/>
  <c r="AJ156" i="29"/>
  <c r="AI156" i="29"/>
  <c r="AG156" i="29"/>
  <c r="AJ154" i="29"/>
  <c r="AJ155" i="29" s="1"/>
  <c r="AI154" i="29"/>
  <c r="AI155" i="29" s="1"/>
  <c r="AH154" i="29"/>
  <c r="AG154" i="29"/>
  <c r="AG155" i="29" s="1"/>
  <c r="AE156" i="29"/>
  <c r="AD156" i="29"/>
  <c r="AE154" i="29"/>
  <c r="AE155" i="29" s="1"/>
  <c r="AD154" i="29"/>
  <c r="Z156" i="29"/>
  <c r="Y156" i="29"/>
  <c r="X156" i="29"/>
  <c r="W156" i="29"/>
  <c r="Y155" i="29"/>
  <c r="Z154" i="29"/>
  <c r="Z155" i="29" s="1"/>
  <c r="Y154" i="29"/>
  <c r="AD155" i="29" s="1"/>
  <c r="X154" i="29"/>
  <c r="X155" i="29" s="1"/>
  <c r="W154" i="29"/>
  <c r="W155" i="29" s="1"/>
  <c r="U156" i="29"/>
  <c r="T156" i="29"/>
  <c r="S156" i="29"/>
  <c r="R156" i="29"/>
  <c r="U154" i="29"/>
  <c r="U155" i="29" s="1"/>
  <c r="T154" i="29"/>
  <c r="T155" i="29" s="1"/>
  <c r="S154" i="29"/>
  <c r="S155" i="29" s="1"/>
  <c r="R154" i="29"/>
  <c r="R155" i="29" s="1"/>
  <c r="P156" i="29"/>
  <c r="O156" i="29"/>
  <c r="N156" i="29"/>
  <c r="M156" i="29"/>
  <c r="P154" i="29"/>
  <c r="P155" i="29" s="1"/>
  <c r="O154" i="29"/>
  <c r="O155" i="29" s="1"/>
  <c r="N154" i="29"/>
  <c r="N155" i="29" s="1"/>
  <c r="M154" i="29"/>
  <c r="M155" i="29" s="1"/>
  <c r="K154" i="29"/>
  <c r="J154" i="29"/>
  <c r="I154" i="29"/>
  <c r="H154" i="29"/>
  <c r="G154" i="29"/>
  <c r="F154" i="29"/>
  <c r="F155" i="29" s="1"/>
  <c r="E154" i="29"/>
  <c r="E155" i="29" s="1"/>
  <c r="D154" i="29"/>
  <c r="D155" i="29" s="1"/>
  <c r="C154" i="29"/>
  <c r="B154" i="29"/>
  <c r="C155" i="29" s="1"/>
  <c r="AJ152" i="29"/>
  <c r="T152" i="29"/>
  <c r="H152" i="29"/>
  <c r="D152" i="29"/>
  <c r="AQ150" i="29"/>
  <c r="AQ151" i="29" s="1"/>
  <c r="AM150" i="29"/>
  <c r="AM151" i="29" s="1"/>
  <c r="AI150" i="29"/>
  <c r="AI151" i="29" s="1"/>
  <c r="AE150" i="29"/>
  <c r="AE151" i="29" s="1"/>
  <c r="W150" i="29"/>
  <c r="W151" i="29" s="1"/>
  <c r="S150" i="29"/>
  <c r="S151" i="29" s="1"/>
  <c r="O150" i="29"/>
  <c r="O151" i="29" s="1"/>
  <c r="K150" i="29"/>
  <c r="K151" i="29" s="1"/>
  <c r="G150" i="29"/>
  <c r="G151" i="29" s="1"/>
  <c r="C150" i="29"/>
  <c r="C151" i="29" s="1"/>
  <c r="AS149" i="29"/>
  <c r="AM149" i="29"/>
  <c r="AL149" i="29"/>
  <c r="AJ149" i="29"/>
  <c r="AI149" i="29"/>
  <c r="AH149" i="29"/>
  <c r="AG149" i="29"/>
  <c r="AE149" i="29"/>
  <c r="AD149" i="29"/>
  <c r="AC149" i="29"/>
  <c r="AB149" i="29"/>
  <c r="Z149" i="29"/>
  <c r="Y149" i="29"/>
  <c r="X149" i="29"/>
  <c r="W149" i="29"/>
  <c r="U149" i="29"/>
  <c r="T149" i="29"/>
  <c r="S149" i="29"/>
  <c r="R149" i="29"/>
  <c r="Q149" i="29"/>
  <c r="P149" i="29"/>
  <c r="O149" i="29"/>
  <c r="N149" i="29"/>
  <c r="M149" i="29"/>
  <c r="K149" i="29"/>
  <c r="J149" i="29"/>
  <c r="I149" i="29"/>
  <c r="H149" i="29"/>
  <c r="G149" i="29"/>
  <c r="F149" i="29"/>
  <c r="E149" i="29"/>
  <c r="D149" i="29"/>
  <c r="C149" i="29"/>
  <c r="B149" i="29"/>
  <c r="AK148" i="29"/>
  <c r="AK149" i="29" s="1"/>
  <c r="AK146" i="29"/>
  <c r="AK144" i="29"/>
  <c r="AF148" i="29"/>
  <c r="AF149" i="29" s="1"/>
  <c r="AF147" i="29"/>
  <c r="AF146" i="29"/>
  <c r="AF145" i="29"/>
  <c r="AA148" i="29"/>
  <c r="AA149" i="29" s="1"/>
  <c r="AA147" i="29"/>
  <c r="AA146" i="29"/>
  <c r="AA145" i="29"/>
  <c r="V148" i="29"/>
  <c r="V149" i="29" s="1"/>
  <c r="V147" i="29"/>
  <c r="V146" i="29"/>
  <c r="V145" i="29"/>
  <c r="Q148" i="29"/>
  <c r="Q147" i="29"/>
  <c r="Q146" i="29"/>
  <c r="Q145" i="29"/>
  <c r="L148" i="29"/>
  <c r="L149" i="29" s="1"/>
  <c r="L147" i="29"/>
  <c r="L146" i="29"/>
  <c r="L145" i="29"/>
  <c r="AM147" i="29"/>
  <c r="AL147" i="29"/>
  <c r="AJ147" i="29"/>
  <c r="AI147" i="29"/>
  <c r="AH147" i="29"/>
  <c r="AG147" i="29"/>
  <c r="AE147" i="29"/>
  <c r="AD147" i="29"/>
  <c r="AC147" i="29"/>
  <c r="AB147" i="29"/>
  <c r="Z147" i="29"/>
  <c r="Y147" i="29"/>
  <c r="X147" i="29"/>
  <c r="W147" i="29"/>
  <c r="U147" i="29"/>
  <c r="T147" i="29"/>
  <c r="S147" i="29"/>
  <c r="R147" i="29"/>
  <c r="P147" i="29"/>
  <c r="O147" i="29"/>
  <c r="N147" i="29"/>
  <c r="M147" i="29"/>
  <c r="K147" i="29"/>
  <c r="J147" i="29"/>
  <c r="I147" i="29"/>
  <c r="H147" i="29"/>
  <c r="G147" i="29"/>
  <c r="F147" i="29"/>
  <c r="E147" i="29"/>
  <c r="D147" i="29"/>
  <c r="C147" i="29"/>
  <c r="B147" i="29"/>
  <c r="BJ146" i="29"/>
  <c r="BI146" i="29"/>
  <c r="BH146" i="29"/>
  <c r="BG146" i="29"/>
  <c r="BF146" i="29"/>
  <c r="BE146" i="29"/>
  <c r="BD146" i="29"/>
  <c r="BC146" i="29"/>
  <c r="BB146" i="29"/>
  <c r="AS148" i="29"/>
  <c r="AN148" i="29"/>
  <c r="AN149" i="29" s="1"/>
  <c r="AQ147" i="29"/>
  <c r="AZ146" i="29"/>
  <c r="AY146" i="29"/>
  <c r="AX146" i="29"/>
  <c r="AW146" i="29"/>
  <c r="AW147" i="29" s="1"/>
  <c r="AV146" i="29"/>
  <c r="AV147" i="29" s="1"/>
  <c r="AT146" i="29"/>
  <c r="AT147" i="29" s="1"/>
  <c r="AS146" i="29"/>
  <c r="AS147" i="29" s="1"/>
  <c r="AR146" i="29"/>
  <c r="AR147" i="29" s="1"/>
  <c r="AQ146" i="29"/>
  <c r="AO146" i="29"/>
  <c r="AO147" i="29" s="1"/>
  <c r="AN146" i="29"/>
  <c r="AN147" i="29" s="1"/>
  <c r="AW145" i="29"/>
  <c r="AV145" i="29"/>
  <c r="AT145" i="29"/>
  <c r="AS145" i="29"/>
  <c r="AR145" i="29"/>
  <c r="AQ145" i="29"/>
  <c r="AO145" i="29"/>
  <c r="AN145" i="29"/>
  <c r="AM145" i="29"/>
  <c r="AL145" i="29"/>
  <c r="AJ145" i="29"/>
  <c r="AI145" i="29"/>
  <c r="AH145" i="29"/>
  <c r="AG145" i="29"/>
  <c r="AE145" i="29"/>
  <c r="AD145" i="29"/>
  <c r="AC145" i="29"/>
  <c r="AB145" i="29"/>
  <c r="Z145" i="29"/>
  <c r="Y145" i="29"/>
  <c r="X145" i="29"/>
  <c r="W145" i="29"/>
  <c r="U145" i="29"/>
  <c r="T145" i="29"/>
  <c r="S145" i="29"/>
  <c r="R145" i="29"/>
  <c r="P145" i="29"/>
  <c r="O145" i="29"/>
  <c r="N145" i="29"/>
  <c r="M145" i="29"/>
  <c r="G145" i="29"/>
  <c r="F145" i="29"/>
  <c r="E145" i="29"/>
  <c r="D145" i="29"/>
  <c r="C145" i="29"/>
  <c r="BH144" i="29"/>
  <c r="AU144" i="29"/>
  <c r="AU145" i="29" s="1"/>
  <c r="AP144" i="29"/>
  <c r="BO146" i="29"/>
  <c r="BN146" i="29"/>
  <c r="BM146" i="29"/>
  <c r="BL146" i="29"/>
  <c r="G142" i="29"/>
  <c r="BF136" i="29"/>
  <c r="AZ136" i="29"/>
  <c r="AU136" i="29"/>
  <c r="AP136" i="29"/>
  <c r="F138" i="29"/>
  <c r="BG136" i="29"/>
  <c r="BN136" i="29"/>
  <c r="BM136" i="29"/>
  <c r="BL136" i="29"/>
  <c r="BE132" i="29"/>
  <c r="BE130" i="29"/>
  <c r="AY132" i="29"/>
  <c r="AY130" i="29"/>
  <c r="AY131" i="29" s="1"/>
  <c r="AY133" i="29" s="1"/>
  <c r="AY129" i="29"/>
  <c r="AY128" i="29"/>
  <c r="AY121" i="29"/>
  <c r="AY122" i="29" s="1"/>
  <c r="AY119" i="29"/>
  <c r="AY127" i="29" s="1"/>
  <c r="AY116" i="29"/>
  <c r="AY115" i="29"/>
  <c r="AY113" i="29"/>
  <c r="AY114" i="29" s="1"/>
  <c r="AY111" i="29"/>
  <c r="AY112" i="29" s="1"/>
  <c r="AY110" i="29"/>
  <c r="BO142" i="29"/>
  <c r="BO140" i="29"/>
  <c r="BO138" i="29"/>
  <c r="BO136" i="29"/>
  <c r="BP136" i="29" s="1"/>
  <c r="BO132" i="29"/>
  <c r="BP132" i="29" s="1"/>
  <c r="BO130" i="29"/>
  <c r="BF120" i="29"/>
  <c r="BF109" i="29"/>
  <c r="BF110" i="29" s="1"/>
  <c r="BF108" i="29"/>
  <c r="BF107" i="29"/>
  <c r="BF105" i="29"/>
  <c r="AZ111" i="29"/>
  <c r="AZ112" i="29" s="1"/>
  <c r="AZ109" i="29"/>
  <c r="AZ110" i="29" s="1"/>
  <c r="AZ107" i="29"/>
  <c r="AZ105" i="29"/>
  <c r="D129" i="29"/>
  <c r="BD128" i="29"/>
  <c r="BC128" i="29"/>
  <c r="BB128" i="29"/>
  <c r="BA128" i="29"/>
  <c r="BG121" i="29"/>
  <c r="BG122" i="29" s="1"/>
  <c r="BG119" i="29"/>
  <c r="K128" i="29"/>
  <c r="K152" i="29" s="1"/>
  <c r="J128" i="29"/>
  <c r="I128" i="29"/>
  <c r="H128" i="29"/>
  <c r="H150" i="29" s="1"/>
  <c r="H151" i="29" s="1"/>
  <c r="G128" i="29"/>
  <c r="G152" i="29" s="1"/>
  <c r="F128" i="29"/>
  <c r="E128" i="29"/>
  <c r="D128" i="29"/>
  <c r="D150" i="29" s="1"/>
  <c r="D151" i="29" s="1"/>
  <c r="C128" i="29"/>
  <c r="C152" i="29" s="1"/>
  <c r="B128" i="29"/>
  <c r="B140" i="29" s="1"/>
  <c r="D127" i="29"/>
  <c r="U129" i="29"/>
  <c r="M129" i="29"/>
  <c r="AX128" i="29"/>
  <c r="AX129" i="29" s="1"/>
  <c r="AW128" i="29"/>
  <c r="AV128" i="29"/>
  <c r="AV131" i="29" s="1"/>
  <c r="AV133" i="29" s="1"/>
  <c r="AT128" i="29"/>
  <c r="AS128" i="29"/>
  <c r="AR128" i="29"/>
  <c r="AR152" i="29" s="1"/>
  <c r="AQ128" i="29"/>
  <c r="AN128" i="29"/>
  <c r="AN152" i="29" s="1"/>
  <c r="AM128" i="29"/>
  <c r="AL128" i="29"/>
  <c r="AL129" i="29" s="1"/>
  <c r="AJ128" i="29"/>
  <c r="AI128" i="29"/>
  <c r="AH128" i="29"/>
  <c r="AG128" i="29"/>
  <c r="AE128" i="29"/>
  <c r="AD128" i="29"/>
  <c r="AD129" i="29" s="1"/>
  <c r="AB128" i="29"/>
  <c r="Z128" i="29"/>
  <c r="Z129" i="29" s="1"/>
  <c r="Y128" i="29"/>
  <c r="X128" i="29"/>
  <c r="W128" i="29"/>
  <c r="U128" i="29"/>
  <c r="T128" i="29"/>
  <c r="Y129" i="29" s="1"/>
  <c r="S128" i="29"/>
  <c r="R128" i="29"/>
  <c r="R129" i="29" s="1"/>
  <c r="P128" i="29"/>
  <c r="O128" i="29"/>
  <c r="N128" i="29"/>
  <c r="N129" i="29" s="1"/>
  <c r="M128" i="29"/>
  <c r="AM127" i="29"/>
  <c r="W127" i="29"/>
  <c r="U125" i="29"/>
  <c r="U126" i="29" s="1"/>
  <c r="G120" i="29"/>
  <c r="C120" i="29"/>
  <c r="BO122" i="29"/>
  <c r="BO121" i="29"/>
  <c r="BN121" i="29"/>
  <c r="BN122" i="29" s="1"/>
  <c r="BM121" i="29"/>
  <c r="BM122" i="29" s="1"/>
  <c r="BL121" i="29"/>
  <c r="BL122" i="29" s="1"/>
  <c r="BO120" i="29"/>
  <c r="BO119" i="29"/>
  <c r="BN119" i="29"/>
  <c r="BM119" i="29"/>
  <c r="BM120" i="29" s="1"/>
  <c r="BL119" i="29"/>
  <c r="BL120" i="29" s="1"/>
  <c r="BK119" i="29"/>
  <c r="BJ119" i="29"/>
  <c r="BI119" i="29"/>
  <c r="BH119" i="29"/>
  <c r="K119" i="29"/>
  <c r="J119" i="29"/>
  <c r="I119" i="29"/>
  <c r="H119" i="29"/>
  <c r="H127" i="29" s="1"/>
  <c r="G119" i="29"/>
  <c r="F119" i="29"/>
  <c r="E119" i="29"/>
  <c r="E120" i="29" s="1"/>
  <c r="D119" i="29"/>
  <c r="C119" i="29"/>
  <c r="B119" i="29"/>
  <c r="J118" i="29"/>
  <c r="B118" i="29"/>
  <c r="C117" i="29"/>
  <c r="BA116" i="29"/>
  <c r="BA195" i="29" s="1"/>
  <c r="K116" i="29"/>
  <c r="J116" i="29"/>
  <c r="J125" i="29" s="1"/>
  <c r="J126" i="29" s="1"/>
  <c r="I116" i="29"/>
  <c r="H116" i="29"/>
  <c r="G116" i="29"/>
  <c r="F116" i="29"/>
  <c r="E116" i="29"/>
  <c r="D116" i="29"/>
  <c r="D117" i="29" s="1"/>
  <c r="C116" i="29"/>
  <c r="B116" i="29"/>
  <c r="K115" i="29"/>
  <c r="J115" i="29"/>
  <c r="I115" i="29"/>
  <c r="H115" i="29"/>
  <c r="G115" i="29"/>
  <c r="F115" i="29"/>
  <c r="E115" i="29"/>
  <c r="D115" i="29"/>
  <c r="C115" i="29"/>
  <c r="B115" i="29"/>
  <c r="P120" i="29"/>
  <c r="N120" i="29"/>
  <c r="L120" i="29"/>
  <c r="V119" i="29"/>
  <c r="U119" i="29"/>
  <c r="U127" i="29" s="1"/>
  <c r="T119" i="29"/>
  <c r="S119" i="29"/>
  <c r="S125" i="29" s="1"/>
  <c r="S126" i="29" s="1"/>
  <c r="R119" i="29"/>
  <c r="Q119" i="29"/>
  <c r="Q120" i="29" s="1"/>
  <c r="P119" i="29"/>
  <c r="O119" i="29"/>
  <c r="O125" i="29" s="1"/>
  <c r="O126" i="29" s="1"/>
  <c r="N119" i="29"/>
  <c r="M119" i="29"/>
  <c r="M127" i="29" s="1"/>
  <c r="L119" i="29"/>
  <c r="R118" i="29"/>
  <c r="N118" i="29"/>
  <c r="O117" i="29"/>
  <c r="M117" i="29"/>
  <c r="U116" i="29"/>
  <c r="U118" i="29" s="1"/>
  <c r="T116" i="29"/>
  <c r="S116" i="29"/>
  <c r="S195" i="29" s="1"/>
  <c r="R116" i="29"/>
  <c r="R195" i="29" s="1"/>
  <c r="P116" i="29"/>
  <c r="O116" i="29"/>
  <c r="O195" i="29" s="1"/>
  <c r="N116" i="29"/>
  <c r="N117" i="29" s="1"/>
  <c r="M116" i="29"/>
  <c r="M118" i="29" s="1"/>
  <c r="U115" i="29"/>
  <c r="T115" i="29"/>
  <c r="S115" i="29"/>
  <c r="R115" i="29"/>
  <c r="P115" i="29"/>
  <c r="O115" i="29"/>
  <c r="N115" i="29"/>
  <c r="M115" i="29"/>
  <c r="T114" i="29"/>
  <c r="R114" i="29"/>
  <c r="P114" i="29"/>
  <c r="N114" i="29"/>
  <c r="U113" i="29"/>
  <c r="U114" i="29" s="1"/>
  <c r="T113" i="29"/>
  <c r="S113" i="29"/>
  <c r="S114" i="29" s="1"/>
  <c r="R113" i="29"/>
  <c r="Q113" i="29"/>
  <c r="Q114" i="29" s="1"/>
  <c r="P113" i="29"/>
  <c r="O113" i="29"/>
  <c r="O114" i="29" s="1"/>
  <c r="N113" i="29"/>
  <c r="M113" i="29"/>
  <c r="M114" i="29" s="1"/>
  <c r="K114" i="29"/>
  <c r="I114" i="29"/>
  <c r="G114" i="29"/>
  <c r="E114" i="29"/>
  <c r="C114" i="29"/>
  <c r="K113" i="29"/>
  <c r="J113" i="29"/>
  <c r="J114" i="29" s="1"/>
  <c r="I113" i="29"/>
  <c r="H113" i="29"/>
  <c r="H114" i="29" s="1"/>
  <c r="G113" i="29"/>
  <c r="F113" i="29"/>
  <c r="F114" i="29" s="1"/>
  <c r="E113" i="29"/>
  <c r="D113" i="29"/>
  <c r="D114" i="29" s="1"/>
  <c r="C113" i="29"/>
  <c r="BL115" i="29"/>
  <c r="BH115" i="29"/>
  <c r="BN113" i="29"/>
  <c r="BN114" i="29" s="1"/>
  <c r="BO112" i="29"/>
  <c r="BM112" i="29"/>
  <c r="BG112" i="29"/>
  <c r="BG111" i="29"/>
  <c r="BG110" i="29"/>
  <c r="AW123" i="29"/>
  <c r="AW124" i="29" s="1"/>
  <c r="AS123" i="29"/>
  <c r="AS124" i="29" s="1"/>
  <c r="AO123" i="29"/>
  <c r="AO124" i="29" s="1"/>
  <c r="AN123" i="29"/>
  <c r="AN124" i="29" s="1"/>
  <c r="AM123" i="29"/>
  <c r="AM124" i="29" s="1"/>
  <c r="AL123" i="29"/>
  <c r="AL124" i="29" s="1"/>
  <c r="AK123" i="29"/>
  <c r="AG123" i="29"/>
  <c r="AG124" i="29" s="1"/>
  <c r="AF123" i="29"/>
  <c r="AF124" i="29" s="1"/>
  <c r="AC123" i="29"/>
  <c r="AC124" i="29" s="1"/>
  <c r="AX121" i="29"/>
  <c r="AX122" i="29" s="1"/>
  <c r="AW121" i="29"/>
  <c r="AW122" i="29" s="1"/>
  <c r="AV121" i="29"/>
  <c r="AV122" i="29" s="1"/>
  <c r="AT121" i="29"/>
  <c r="AT122" i="29" s="1"/>
  <c r="AS121" i="29"/>
  <c r="AS122" i="29" s="1"/>
  <c r="AR121" i="29"/>
  <c r="AR122" i="29" s="1"/>
  <c r="AQ121" i="29"/>
  <c r="AQ122" i="29" s="1"/>
  <c r="AO121" i="29"/>
  <c r="AO122" i="29" s="1"/>
  <c r="AM121" i="29"/>
  <c r="AM122" i="29" s="1"/>
  <c r="AL121" i="29"/>
  <c r="AL122" i="29" s="1"/>
  <c r="AK121" i="29"/>
  <c r="AJ121" i="29"/>
  <c r="AJ122" i="29" s="1"/>
  <c r="AI121" i="29"/>
  <c r="AI122" i="29" s="1"/>
  <c r="AH121" i="29"/>
  <c r="AH122" i="29" s="1"/>
  <c r="AG121" i="29"/>
  <c r="AG122" i="29" s="1"/>
  <c r="AF121" i="29"/>
  <c r="AF122" i="29" s="1"/>
  <c r="AE121" i="29"/>
  <c r="AE122" i="29" s="1"/>
  <c r="AD121" i="29"/>
  <c r="AD122" i="29" s="1"/>
  <c r="AC121" i="29"/>
  <c r="AC122" i="29" s="1"/>
  <c r="AB121" i="29"/>
  <c r="AB122" i="29" s="1"/>
  <c r="Z121" i="29"/>
  <c r="Z122" i="29" s="1"/>
  <c r="Y121" i="29"/>
  <c r="Y122" i="29" s="1"/>
  <c r="X121" i="29"/>
  <c r="X122" i="29" s="1"/>
  <c r="W121" i="29"/>
  <c r="W122" i="29" s="1"/>
  <c r="AX119" i="29"/>
  <c r="AW119" i="29"/>
  <c r="AW120" i="29" s="1"/>
  <c r="AV119" i="29"/>
  <c r="AT119" i="29"/>
  <c r="AS119" i="29"/>
  <c r="AR119" i="29"/>
  <c r="AQ119" i="29"/>
  <c r="AQ127" i="29" s="1"/>
  <c r="AO119" i="29"/>
  <c r="AN119" i="29"/>
  <c r="AM119" i="29"/>
  <c r="AL119" i="29"/>
  <c r="AJ119" i="29"/>
  <c r="AI119" i="29"/>
  <c r="AH119" i="29"/>
  <c r="AG119" i="29"/>
  <c r="AF119" i="29"/>
  <c r="AE119" i="29"/>
  <c r="AD119" i="29"/>
  <c r="AC119" i="29"/>
  <c r="AC120" i="29" s="1"/>
  <c r="AB119" i="29"/>
  <c r="AA119" i="29"/>
  <c r="Z119" i="29"/>
  <c r="Y119" i="29"/>
  <c r="Y120" i="29" s="1"/>
  <c r="X119" i="29"/>
  <c r="W119" i="29"/>
  <c r="AX116" i="29"/>
  <c r="AX118" i="29" s="1"/>
  <c r="AW116" i="29"/>
  <c r="AW195" i="29" s="1"/>
  <c r="AV116" i="29"/>
  <c r="AV195" i="29" s="1"/>
  <c r="AT116" i="29"/>
  <c r="AT195" i="29" s="1"/>
  <c r="AS116" i="29"/>
  <c r="AS118" i="29" s="1"/>
  <c r="AQ116" i="29"/>
  <c r="AQ195" i="29" s="1"/>
  <c r="AQ196" i="29" s="1"/>
  <c r="AN116" i="29"/>
  <c r="AM116" i="29"/>
  <c r="AL116" i="29"/>
  <c r="AL195" i="29" s="1"/>
  <c r="AJ116" i="29"/>
  <c r="AJ195" i="29" s="1"/>
  <c r="AI116" i="29"/>
  <c r="AI195" i="29" s="1"/>
  <c r="AH116" i="29"/>
  <c r="AG116" i="29"/>
  <c r="AE116" i="29"/>
  <c r="AD116" i="29"/>
  <c r="AD118" i="29" s="1"/>
  <c r="Z116" i="29"/>
  <c r="Z195" i="29" s="1"/>
  <c r="Y116" i="29"/>
  <c r="Y118" i="29" s="1"/>
  <c r="X116" i="29"/>
  <c r="X195" i="29" s="1"/>
  <c r="X196" i="29" s="1"/>
  <c r="W116" i="29"/>
  <c r="W195" i="29" s="1"/>
  <c r="W196" i="29" s="1"/>
  <c r="AX115" i="29"/>
  <c r="AW115" i="29"/>
  <c r="AV115" i="29"/>
  <c r="AT115" i="29"/>
  <c r="AS115" i="29"/>
  <c r="AR115" i="29"/>
  <c r="AQ115" i="29"/>
  <c r="AO115" i="29"/>
  <c r="AN115" i="29"/>
  <c r="AM115" i="29"/>
  <c r="AL115" i="29"/>
  <c r="AK115" i="29"/>
  <c r="AJ115" i="29"/>
  <c r="AI115" i="29"/>
  <c r="AH115" i="29"/>
  <c r="AG115" i="29"/>
  <c r="AE115" i="29"/>
  <c r="AD115" i="29"/>
  <c r="AC115" i="29"/>
  <c r="AB115" i="29"/>
  <c r="Z115" i="29"/>
  <c r="Y115" i="29"/>
  <c r="X115" i="29"/>
  <c r="W115" i="29"/>
  <c r="AX113" i="29"/>
  <c r="AX114" i="29" s="1"/>
  <c r="AW113" i="29"/>
  <c r="AW114" i="29" s="1"/>
  <c r="AT113" i="29"/>
  <c r="AT114" i="29" s="1"/>
  <c r="AS113" i="29"/>
  <c r="AS114" i="29" s="1"/>
  <c r="AR113" i="29"/>
  <c r="AR114" i="29" s="1"/>
  <c r="AO113" i="29"/>
  <c r="AO114" i="29" s="1"/>
  <c r="AN113" i="29"/>
  <c r="AN114" i="29" s="1"/>
  <c r="AM113" i="29"/>
  <c r="AM114" i="29" s="1"/>
  <c r="AK113" i="29"/>
  <c r="AK114" i="29" s="1"/>
  <c r="AJ113" i="29"/>
  <c r="AJ114" i="29" s="1"/>
  <c r="AI113" i="29"/>
  <c r="AI114" i="29" s="1"/>
  <c r="AH113" i="29"/>
  <c r="AH114" i="29" s="1"/>
  <c r="AG113" i="29"/>
  <c r="AG114" i="29" s="1"/>
  <c r="AE113" i="29"/>
  <c r="AE114" i="29" s="1"/>
  <c r="AD113" i="29"/>
  <c r="AD114" i="29" s="1"/>
  <c r="AC113" i="29"/>
  <c r="AC114" i="29" s="1"/>
  <c r="AB113" i="29"/>
  <c r="AB114" i="29" s="1"/>
  <c r="Z113" i="29"/>
  <c r="Z114" i="29" s="1"/>
  <c r="Y113" i="29"/>
  <c r="Y114" i="29" s="1"/>
  <c r="X113" i="29"/>
  <c r="X114" i="29" s="1"/>
  <c r="W113" i="29"/>
  <c r="W114" i="29" s="1"/>
  <c r="AW112" i="29"/>
  <c r="AS112" i="29"/>
  <c r="AQ112" i="29"/>
  <c r="AO112" i="29"/>
  <c r="AN112" i="29"/>
  <c r="AM112" i="29"/>
  <c r="AL112" i="29"/>
  <c r="AK112" i="29"/>
  <c r="AG112" i="29"/>
  <c r="AF112" i="29"/>
  <c r="AE112" i="29"/>
  <c r="AC112" i="29"/>
  <c r="Y112" i="29"/>
  <c r="W112" i="29"/>
  <c r="BL111" i="29"/>
  <c r="BL112" i="29" s="1"/>
  <c r="BK111" i="29"/>
  <c r="BK112" i="29" s="1"/>
  <c r="BJ111" i="29"/>
  <c r="BJ112" i="29" s="1"/>
  <c r="BI111" i="29"/>
  <c r="BI112" i="29" s="1"/>
  <c r="BH111" i="29"/>
  <c r="BH112" i="29" s="1"/>
  <c r="AR111" i="29"/>
  <c r="AR112" i="29" s="1"/>
  <c r="AQ111" i="29"/>
  <c r="AP111" i="29"/>
  <c r="AP112" i="29" s="1"/>
  <c r="AJ111" i="29"/>
  <c r="AJ112" i="29" s="1"/>
  <c r="AI111" i="29"/>
  <c r="AI112" i="29" s="1"/>
  <c r="AH111" i="29"/>
  <c r="AH112" i="29" s="1"/>
  <c r="AG111" i="29"/>
  <c r="AE111" i="29"/>
  <c r="AD111" i="29"/>
  <c r="AD112" i="29" s="1"/>
  <c r="AC111" i="29"/>
  <c r="AB111" i="29"/>
  <c r="AB112" i="29" s="1"/>
  <c r="Z111" i="29"/>
  <c r="Z112" i="29" s="1"/>
  <c r="Y111" i="29"/>
  <c r="X111" i="29"/>
  <c r="X112" i="29" s="1"/>
  <c r="W111" i="29"/>
  <c r="BP111" i="29"/>
  <c r="BP112" i="29" s="1"/>
  <c r="BO111" i="29"/>
  <c r="BN111" i="29"/>
  <c r="BN112" i="29" s="1"/>
  <c r="BO110" i="29"/>
  <c r="BN110" i="29"/>
  <c r="BM110" i="29"/>
  <c r="BL110" i="29"/>
  <c r="BK110" i="29"/>
  <c r="BJ110" i="29"/>
  <c r="BI110" i="29"/>
  <c r="BH110" i="29"/>
  <c r="BE121" i="29"/>
  <c r="BE122" i="29" s="1"/>
  <c r="BD121" i="29"/>
  <c r="BD122" i="29" s="1"/>
  <c r="BC121" i="29"/>
  <c r="BC122" i="29" s="1"/>
  <c r="BB121" i="29"/>
  <c r="BB122" i="29" s="1"/>
  <c r="BE119" i="29"/>
  <c r="BD119" i="29"/>
  <c r="BD127" i="29" s="1"/>
  <c r="BC119" i="29"/>
  <c r="BC127" i="29" s="1"/>
  <c r="BB119" i="29"/>
  <c r="BB127" i="29" s="1"/>
  <c r="BD116" i="29"/>
  <c r="BD195" i="29" s="1"/>
  <c r="BC116" i="29"/>
  <c r="BB116" i="29"/>
  <c r="BB195" i="29" s="1"/>
  <c r="BB196" i="29" s="1"/>
  <c r="BE115" i="29"/>
  <c r="BD115" i="29"/>
  <c r="BC115" i="29"/>
  <c r="BB115" i="29"/>
  <c r="BE113" i="29"/>
  <c r="BE114" i="29" s="1"/>
  <c r="BD113" i="29"/>
  <c r="BD114" i="29" s="1"/>
  <c r="BC113" i="29"/>
  <c r="BC114" i="29" s="1"/>
  <c r="BB113" i="29"/>
  <c r="BB114" i="29" s="1"/>
  <c r="BE111" i="29"/>
  <c r="BF111" i="29" s="1"/>
  <c r="BF112" i="29" s="1"/>
  <c r="BD111" i="29"/>
  <c r="BD112" i="29" s="1"/>
  <c r="BC111" i="29"/>
  <c r="BC112" i="29" s="1"/>
  <c r="BB111" i="29"/>
  <c r="BB112" i="29" s="1"/>
  <c r="BE110" i="29"/>
  <c r="BD110" i="29"/>
  <c r="BC110" i="29"/>
  <c r="BB110" i="29"/>
  <c r="AX111" i="29"/>
  <c r="AX112" i="29" s="1"/>
  <c r="AW111" i="29"/>
  <c r="AV111" i="29"/>
  <c r="AV112" i="29" s="1"/>
  <c r="AT111" i="29"/>
  <c r="AT112" i="29" s="1"/>
  <c r="AX110" i="29"/>
  <c r="AW110" i="29"/>
  <c r="AV110" i="29"/>
  <c r="AU110" i="29"/>
  <c r="AT110" i="29"/>
  <c r="AS110" i="29"/>
  <c r="AR110" i="29"/>
  <c r="AQ110" i="29"/>
  <c r="AO110" i="29"/>
  <c r="AN110" i="29"/>
  <c r="AM110" i="29"/>
  <c r="AL110" i="29"/>
  <c r="AJ110" i="29"/>
  <c r="AI110" i="29"/>
  <c r="AH110" i="29"/>
  <c r="AG110" i="29"/>
  <c r="AF110" i="29"/>
  <c r="AE110" i="29"/>
  <c r="AD110" i="29"/>
  <c r="AC110" i="29"/>
  <c r="AB110" i="29"/>
  <c r="AA110" i="29"/>
  <c r="Z110" i="29"/>
  <c r="Y110" i="29"/>
  <c r="X110" i="29"/>
  <c r="W110" i="29"/>
  <c r="BP109" i="29"/>
  <c r="BP110" i="29" s="1"/>
  <c r="BP108" i="29"/>
  <c r="BP107" i="29"/>
  <c r="BP98" i="29"/>
  <c r="AU109" i="29"/>
  <c r="AU108" i="29"/>
  <c r="AU107" i="29"/>
  <c r="AV113" i="29" s="1"/>
  <c r="AV114" i="29" s="1"/>
  <c r="AU105" i="29"/>
  <c r="AP109" i="29"/>
  <c r="AP110" i="29" s="1"/>
  <c r="AP107" i="29"/>
  <c r="AP108" i="29" s="1"/>
  <c r="AA109" i="29"/>
  <c r="AA108" i="29"/>
  <c r="BO108" i="29"/>
  <c r="BN108" i="29"/>
  <c r="BM108" i="29"/>
  <c r="BL108" i="29"/>
  <c r="BE108" i="29"/>
  <c r="BD108" i="29"/>
  <c r="BC108" i="29"/>
  <c r="BB108" i="29"/>
  <c r="AY108" i="29"/>
  <c r="AX108" i="29"/>
  <c r="AW108" i="29"/>
  <c r="AV108" i="29"/>
  <c r="AT108" i="29"/>
  <c r="AS108" i="29"/>
  <c r="AR108" i="29"/>
  <c r="AQ108" i="29"/>
  <c r="AO108" i="29"/>
  <c r="AN108" i="29"/>
  <c r="AM108" i="29"/>
  <c r="AL108" i="29"/>
  <c r="AJ108" i="29"/>
  <c r="AI108" i="29"/>
  <c r="AH108" i="29"/>
  <c r="AG108" i="29"/>
  <c r="AF108" i="29"/>
  <c r="AE108" i="29"/>
  <c r="AD108" i="29"/>
  <c r="AC108" i="29"/>
  <c r="AB108" i="29"/>
  <c r="Z108" i="29"/>
  <c r="Y108" i="29"/>
  <c r="X108" i="29"/>
  <c r="W108" i="29"/>
  <c r="V108" i="29"/>
  <c r="U108" i="29"/>
  <c r="T108" i="29"/>
  <c r="S108" i="29"/>
  <c r="R108" i="29"/>
  <c r="Q108" i="29"/>
  <c r="P108" i="29"/>
  <c r="O108" i="29"/>
  <c r="N108" i="29"/>
  <c r="M108" i="29"/>
  <c r="L108" i="29"/>
  <c r="G108" i="29"/>
  <c r="F108" i="29"/>
  <c r="E108" i="29"/>
  <c r="D108" i="29"/>
  <c r="C108" i="29"/>
  <c r="AK107" i="29"/>
  <c r="AK110" i="29" s="1"/>
  <c r="AK104" i="29"/>
  <c r="AK106" i="29" s="1"/>
  <c r="AK102" i="29"/>
  <c r="AF102" i="29"/>
  <c r="AA105" i="29"/>
  <c r="V105" i="29"/>
  <c r="BN105" i="29"/>
  <c r="BM105" i="29"/>
  <c r="BL105" i="29"/>
  <c r="BO104" i="29"/>
  <c r="BO106" i="29" s="1"/>
  <c r="BO101" i="29"/>
  <c r="BP101" i="29" s="1"/>
  <c r="BO98" i="29"/>
  <c r="BO99" i="29" s="1"/>
  <c r="BO96" i="29"/>
  <c r="BO95" i="29"/>
  <c r="BP95" i="29" s="1"/>
  <c r="BO92" i="29"/>
  <c r="BJ104" i="29"/>
  <c r="BK104" i="29" s="1"/>
  <c r="BS104" i="29"/>
  <c r="BR104" i="29"/>
  <c r="BR106" i="29" s="1"/>
  <c r="BQ104" i="29"/>
  <c r="BQ106" i="29" s="1"/>
  <c r="BF102" i="29"/>
  <c r="AZ102" i="29"/>
  <c r="AU102" i="29"/>
  <c r="AP102" i="29"/>
  <c r="AA102" i="29"/>
  <c r="V102" i="29"/>
  <c r="BN103" i="29"/>
  <c r="BN102" i="29"/>
  <c r="BM102" i="29"/>
  <c r="BL102" i="29"/>
  <c r="BJ101" i="29"/>
  <c r="BO102" i="29" s="1"/>
  <c r="BT101" i="29"/>
  <c r="BS101" i="29"/>
  <c r="BR101" i="29"/>
  <c r="BR103" i="29" s="1"/>
  <c r="BQ101" i="29"/>
  <c r="BU101" i="29" s="1"/>
  <c r="BF99" i="29"/>
  <c r="AZ99" i="29"/>
  <c r="AU99" i="29"/>
  <c r="AP99" i="29"/>
  <c r="AK100" i="29"/>
  <c r="AK99" i="29"/>
  <c r="AF99" i="29"/>
  <c r="AA99" i="29"/>
  <c r="V99" i="29"/>
  <c r="Q100" i="29"/>
  <c r="BN99" i="29"/>
  <c r="BM99" i="29"/>
  <c r="BL99" i="29"/>
  <c r="BJ98" i="29"/>
  <c r="BJ92" i="29" s="1"/>
  <c r="BT98" i="29"/>
  <c r="BS98" i="29"/>
  <c r="BR98" i="29"/>
  <c r="BR100" i="29" s="1"/>
  <c r="BQ98" i="29"/>
  <c r="BU98" i="29" s="1"/>
  <c r="BF96" i="29"/>
  <c r="AZ96" i="29"/>
  <c r="AU96" i="29"/>
  <c r="AP96" i="29"/>
  <c r="AK96" i="29"/>
  <c r="AF96" i="29"/>
  <c r="AA96" i="29"/>
  <c r="V96" i="29"/>
  <c r="BL97" i="29"/>
  <c r="BN96" i="29"/>
  <c r="BM96" i="29"/>
  <c r="BL96" i="29"/>
  <c r="BK95" i="29"/>
  <c r="BJ95" i="29"/>
  <c r="BD94" i="29"/>
  <c r="BC94" i="29"/>
  <c r="BB94" i="29"/>
  <c r="BA94" i="29"/>
  <c r="AY94" i="29"/>
  <c r="AX94" i="29"/>
  <c r="AW94" i="29"/>
  <c r="AV94" i="29"/>
  <c r="AT94" i="29"/>
  <c r="AS94" i="29"/>
  <c r="AQ94" i="29"/>
  <c r="AN94" i="29"/>
  <c r="AM94" i="29"/>
  <c r="AL94" i="29"/>
  <c r="AJ94" i="29"/>
  <c r="AI94" i="29"/>
  <c r="AH94" i="29"/>
  <c r="AG94" i="29"/>
  <c r="AE94" i="29"/>
  <c r="AD94" i="29"/>
  <c r="Z94" i="29"/>
  <c r="Y94" i="29"/>
  <c r="X94" i="29"/>
  <c r="W94" i="29"/>
  <c r="U94" i="29"/>
  <c r="T94" i="29"/>
  <c r="S94" i="29"/>
  <c r="R94" i="29"/>
  <c r="P94" i="29"/>
  <c r="O94" i="29"/>
  <c r="N94" i="29"/>
  <c r="M94" i="29"/>
  <c r="K94" i="29"/>
  <c r="J94" i="29"/>
  <c r="I94" i="29"/>
  <c r="H94" i="29"/>
  <c r="G94" i="29"/>
  <c r="F94" i="29"/>
  <c r="E94" i="29"/>
  <c r="D94" i="29"/>
  <c r="C94" i="29"/>
  <c r="B94" i="29"/>
  <c r="BD93" i="29"/>
  <c r="BE93" i="29" s="1"/>
  <c r="BC93" i="29"/>
  <c r="BB93" i="29"/>
  <c r="AY93" i="29"/>
  <c r="AX93" i="29"/>
  <c r="AW93" i="29"/>
  <c r="AV93" i="29"/>
  <c r="AR93" i="29"/>
  <c r="AQ93" i="29"/>
  <c r="AS93" i="29" s="1"/>
  <c r="AM93" i="29"/>
  <c r="AL93" i="29"/>
  <c r="AJ93" i="29"/>
  <c r="AI93" i="29"/>
  <c r="AH93" i="29"/>
  <c r="AG93" i="29"/>
  <c r="AE93" i="29"/>
  <c r="AD93" i="29"/>
  <c r="AC93" i="29"/>
  <c r="AB93" i="29"/>
  <c r="Z93" i="29"/>
  <c r="Y93" i="29"/>
  <c r="X93" i="29"/>
  <c r="W93" i="29"/>
  <c r="U93" i="29"/>
  <c r="T93" i="29"/>
  <c r="S93" i="29"/>
  <c r="R93" i="29"/>
  <c r="P93" i="29"/>
  <c r="O93" i="29"/>
  <c r="N93" i="29"/>
  <c r="M93" i="29"/>
  <c r="G93" i="29"/>
  <c r="F93" i="29"/>
  <c r="E93" i="29"/>
  <c r="D93" i="29"/>
  <c r="C93" i="29"/>
  <c r="BT95" i="29"/>
  <c r="BS95" i="29"/>
  <c r="BR95" i="29"/>
  <c r="BR97" i="29" s="1"/>
  <c r="BQ95" i="29"/>
  <c r="BQ97" i="29" s="1"/>
  <c r="BR92" i="29"/>
  <c r="BQ92" i="29"/>
  <c r="BQ93" i="29" s="1"/>
  <c r="BN92" i="29"/>
  <c r="BN115" i="29" s="1"/>
  <c r="BM92" i="29"/>
  <c r="BM115" i="29" s="1"/>
  <c r="BL92" i="29"/>
  <c r="BI92" i="29"/>
  <c r="BI115" i="29" s="1"/>
  <c r="BH92" i="29"/>
  <c r="BG92" i="29"/>
  <c r="BG128" i="29" s="1"/>
  <c r="BE92" i="29"/>
  <c r="AZ92" i="29"/>
  <c r="AU92" i="29"/>
  <c r="AP92" i="29"/>
  <c r="AP191" i="29" s="1"/>
  <c r="AK92" i="29"/>
  <c r="AK191" i="29" s="1"/>
  <c r="AK192" i="29" s="1"/>
  <c r="AF92" i="29"/>
  <c r="AF191" i="29" s="1"/>
  <c r="AA92" i="29"/>
  <c r="AA191" i="29" s="1"/>
  <c r="AA192" i="29" s="1"/>
  <c r="V92" i="29"/>
  <c r="V191" i="29" s="1"/>
  <c r="Q92" i="29"/>
  <c r="Q191" i="29" s="1"/>
  <c r="Q192" i="29" s="1"/>
  <c r="L92" i="29"/>
  <c r="L191" i="29" s="1"/>
  <c r="L192" i="29" s="1"/>
  <c r="BU80" i="29"/>
  <c r="BG79" i="29"/>
  <c r="BD79" i="29"/>
  <c r="BC79" i="29"/>
  <c r="BB79" i="29"/>
  <c r="AY79" i="29"/>
  <c r="AX79" i="29"/>
  <c r="AW79" i="29"/>
  <c r="AV79" i="29"/>
  <c r="AT79" i="29"/>
  <c r="AS79" i="29"/>
  <c r="AR79" i="29"/>
  <c r="AQ79" i="29"/>
  <c r="AO79" i="29"/>
  <c r="AN79" i="29"/>
  <c r="AM79" i="29"/>
  <c r="AL79" i="29"/>
  <c r="AJ79" i="29"/>
  <c r="AI79" i="29"/>
  <c r="AH79" i="29"/>
  <c r="AG79" i="29"/>
  <c r="AE79" i="29"/>
  <c r="AD79" i="29"/>
  <c r="AC79" i="29"/>
  <c r="AB79" i="29"/>
  <c r="Z79" i="29"/>
  <c r="Y79" i="29"/>
  <c r="X79" i="29"/>
  <c r="W79" i="29"/>
  <c r="V79" i="29"/>
  <c r="U79" i="29"/>
  <c r="T79" i="29"/>
  <c r="S79" i="29"/>
  <c r="R79" i="29"/>
  <c r="P79" i="29"/>
  <c r="O79" i="29"/>
  <c r="N79" i="29"/>
  <c r="M79" i="29"/>
  <c r="K79" i="29"/>
  <c r="J79" i="29"/>
  <c r="I79" i="29"/>
  <c r="H79" i="29"/>
  <c r="G79" i="29"/>
  <c r="F79" i="29"/>
  <c r="E79" i="29"/>
  <c r="D79" i="29"/>
  <c r="C79" i="29"/>
  <c r="B79" i="29"/>
  <c r="BC78" i="29"/>
  <c r="BD77" i="29"/>
  <c r="BD78" i="29" s="1"/>
  <c r="BC77" i="29"/>
  <c r="AY78" i="29"/>
  <c r="AR78" i="29"/>
  <c r="AM78" i="29"/>
  <c r="AI78" i="29"/>
  <c r="AE78" i="29"/>
  <c r="W78" i="29"/>
  <c r="S78" i="29"/>
  <c r="O78" i="29"/>
  <c r="K78" i="29"/>
  <c r="G78" i="29"/>
  <c r="C78" i="29"/>
  <c r="AY77" i="29"/>
  <c r="AX77" i="29"/>
  <c r="AX78" i="29" s="1"/>
  <c r="AW77" i="29"/>
  <c r="AW78" i="29" s="1"/>
  <c r="AT77" i="29"/>
  <c r="AT78" i="29" s="1"/>
  <c r="AS77" i="29"/>
  <c r="AS78" i="29" s="1"/>
  <c r="AR77" i="29"/>
  <c r="AO77" i="29"/>
  <c r="AO78" i="29" s="1"/>
  <c r="AN77" i="29"/>
  <c r="AN78" i="29" s="1"/>
  <c r="AM77" i="29"/>
  <c r="AJ77" i="29"/>
  <c r="AJ78" i="29" s="1"/>
  <c r="AI77" i="29"/>
  <c r="AH77" i="29"/>
  <c r="AH78" i="29" s="1"/>
  <c r="AG77" i="29"/>
  <c r="AG78" i="29" s="1"/>
  <c r="AE77" i="29"/>
  <c r="AD77" i="29"/>
  <c r="AD78" i="29" s="1"/>
  <c r="AC77" i="29"/>
  <c r="AC78" i="29" s="1"/>
  <c r="AB77" i="29"/>
  <c r="AB78" i="29" s="1"/>
  <c r="Z77" i="29"/>
  <c r="Z78" i="29" s="1"/>
  <c r="Y77" i="29"/>
  <c r="Y78" i="29" s="1"/>
  <c r="X77" i="29"/>
  <c r="X78" i="29" s="1"/>
  <c r="W77" i="29"/>
  <c r="U77" i="29"/>
  <c r="U78" i="29" s="1"/>
  <c r="T77" i="29"/>
  <c r="T78" i="29" s="1"/>
  <c r="S77" i="29"/>
  <c r="R77" i="29"/>
  <c r="R78" i="29" s="1"/>
  <c r="Q77" i="29"/>
  <c r="Q78" i="29" s="1"/>
  <c r="P77" i="29"/>
  <c r="P78" i="29" s="1"/>
  <c r="O77" i="29"/>
  <c r="N77" i="29"/>
  <c r="N78" i="29" s="1"/>
  <c r="M77" i="29"/>
  <c r="M78" i="29" s="1"/>
  <c r="K77" i="29"/>
  <c r="J77" i="29"/>
  <c r="J78" i="29" s="1"/>
  <c r="I77" i="29"/>
  <c r="I78" i="29" s="1"/>
  <c r="H77" i="29"/>
  <c r="H78" i="29" s="1"/>
  <c r="G77" i="29"/>
  <c r="F77" i="29"/>
  <c r="F78" i="29" s="1"/>
  <c r="E77" i="29"/>
  <c r="E78" i="29" s="1"/>
  <c r="D77" i="29"/>
  <c r="D78" i="29" s="1"/>
  <c r="C77" i="29"/>
  <c r="BL77" i="29"/>
  <c r="BL78" i="29" s="1"/>
  <c r="BH77" i="29"/>
  <c r="BH78" i="29" s="1"/>
  <c r="BM76" i="29"/>
  <c r="BI76" i="29"/>
  <c r="BE76" i="29"/>
  <c r="AV76" i="29"/>
  <c r="AS76" i="29"/>
  <c r="AR76" i="29"/>
  <c r="AO76" i="29"/>
  <c r="AN76" i="29"/>
  <c r="AM76" i="29"/>
  <c r="AL76" i="29"/>
  <c r="AF76" i="29"/>
  <c r="AD76" i="29"/>
  <c r="AB76" i="29"/>
  <c r="Z76" i="29"/>
  <c r="X76" i="29"/>
  <c r="BL75" i="29"/>
  <c r="BL76" i="29" s="1"/>
  <c r="BJ75" i="29"/>
  <c r="BJ76" i="29" s="1"/>
  <c r="BI75" i="29"/>
  <c r="BH75" i="29"/>
  <c r="BH76" i="29" s="1"/>
  <c r="BG75" i="29"/>
  <c r="BG76" i="29" s="1"/>
  <c r="BF75" i="29"/>
  <c r="BF76" i="29" s="1"/>
  <c r="BE75" i="29"/>
  <c r="BD75" i="29"/>
  <c r="BD76" i="29" s="1"/>
  <c r="BC75" i="29"/>
  <c r="BC76" i="29" s="1"/>
  <c r="BB75" i="29"/>
  <c r="BB76" i="29" s="1"/>
  <c r="AR75" i="29"/>
  <c r="AQ75" i="29"/>
  <c r="AQ76" i="29" s="1"/>
  <c r="AP75" i="29"/>
  <c r="AP76" i="29" s="1"/>
  <c r="AJ75" i="29"/>
  <c r="AJ76" i="29" s="1"/>
  <c r="AI75" i="29"/>
  <c r="AI76" i="29" s="1"/>
  <c r="AH75" i="29"/>
  <c r="AH76" i="29" s="1"/>
  <c r="AG75" i="29"/>
  <c r="AG76" i="29" s="1"/>
  <c r="AE75" i="29"/>
  <c r="AE76" i="29" s="1"/>
  <c r="AD75" i="29"/>
  <c r="AC75" i="29"/>
  <c r="AC76" i="29" s="1"/>
  <c r="AB75" i="29"/>
  <c r="AA75" i="29"/>
  <c r="AA76" i="29" s="1"/>
  <c r="Z75" i="29"/>
  <c r="Y75" i="29"/>
  <c r="Y76" i="29" s="1"/>
  <c r="X75" i="29"/>
  <c r="W75" i="29"/>
  <c r="W76" i="29" s="1"/>
  <c r="BO75" i="29"/>
  <c r="BP75" i="29" s="1"/>
  <c r="BP76" i="29" s="1"/>
  <c r="BN75" i="29"/>
  <c r="BN76" i="29" s="1"/>
  <c r="BO74" i="29"/>
  <c r="BN74" i="29"/>
  <c r="BM74" i="29"/>
  <c r="BL74" i="29"/>
  <c r="BJ74" i="29"/>
  <c r="BI74" i="29"/>
  <c r="BH74" i="29"/>
  <c r="BG74" i="29"/>
  <c r="BE74" i="29"/>
  <c r="BD74" i="29"/>
  <c r="BC74" i="29"/>
  <c r="BB74" i="29"/>
  <c r="AY75" i="29"/>
  <c r="AY76" i="29" s="1"/>
  <c r="AX75" i="29"/>
  <c r="AX76" i="29" s="1"/>
  <c r="AW75" i="29"/>
  <c r="AW76" i="29" s="1"/>
  <c r="AV75" i="29"/>
  <c r="AU75" i="29"/>
  <c r="AU76" i="29" s="1"/>
  <c r="AT75" i="29"/>
  <c r="AT76" i="29" s="1"/>
  <c r="AY74" i="29"/>
  <c r="AX74" i="29"/>
  <c r="AW74" i="29"/>
  <c r="AV74" i="29"/>
  <c r="AT74" i="29"/>
  <c r="AS74" i="29"/>
  <c r="AR74" i="29"/>
  <c r="AQ74" i="29"/>
  <c r="AP74" i="29"/>
  <c r="AO74" i="29"/>
  <c r="AN74" i="29"/>
  <c r="AM74" i="29"/>
  <c r="AL74" i="29"/>
  <c r="AJ74" i="29"/>
  <c r="AI74" i="29"/>
  <c r="AH74" i="29"/>
  <c r="AG74" i="29"/>
  <c r="AF74" i="29"/>
  <c r="AE74" i="29"/>
  <c r="AD74" i="29"/>
  <c r="AC74" i="29"/>
  <c r="AB74" i="29"/>
  <c r="Z74" i="29"/>
  <c r="Y74" i="29"/>
  <c r="X74" i="29"/>
  <c r="W74" i="29"/>
  <c r="BP73" i="29"/>
  <c r="BP74" i="29" s="1"/>
  <c r="BP71" i="29"/>
  <c r="BP72" i="29" s="1"/>
  <c r="BP65" i="29"/>
  <c r="BP57" i="29"/>
  <c r="BP55" i="29"/>
  <c r="BP53" i="29"/>
  <c r="BP119" i="29" s="1"/>
  <c r="BP41" i="29"/>
  <c r="BK73" i="29"/>
  <c r="BK74" i="29" s="1"/>
  <c r="BF73" i="29"/>
  <c r="BF74" i="29" s="1"/>
  <c r="BF71" i="29"/>
  <c r="BF79" i="29" s="1"/>
  <c r="BF69" i="29"/>
  <c r="AZ73" i="29"/>
  <c r="AZ74" i="29" s="1"/>
  <c r="AZ71" i="29"/>
  <c r="AZ77" i="29" s="1"/>
  <c r="AZ78" i="29" s="1"/>
  <c r="AZ69" i="29"/>
  <c r="AU73" i="29"/>
  <c r="AU74" i="29" s="1"/>
  <c r="AU71" i="29"/>
  <c r="AV77" i="29" s="1"/>
  <c r="AV78" i="29" s="1"/>
  <c r="AU69" i="29"/>
  <c r="AP73" i="29"/>
  <c r="AP71" i="29"/>
  <c r="AQ77" i="29" s="1"/>
  <c r="AQ78" i="29" s="1"/>
  <c r="AP69" i="29"/>
  <c r="AA73" i="29"/>
  <c r="AA74" i="29" s="1"/>
  <c r="AA72" i="29"/>
  <c r="BO72" i="29"/>
  <c r="BN72" i="29"/>
  <c r="BM72" i="29"/>
  <c r="BL72" i="29"/>
  <c r="BE72" i="29"/>
  <c r="BD72" i="29"/>
  <c r="BC72" i="29"/>
  <c r="BB72" i="29"/>
  <c r="AY72" i="29"/>
  <c r="AX72" i="29"/>
  <c r="AW72" i="29"/>
  <c r="AV72" i="29"/>
  <c r="AT72" i="29"/>
  <c r="AS72" i="29"/>
  <c r="AR72" i="29"/>
  <c r="AQ72" i="29"/>
  <c r="AO72" i="29"/>
  <c r="AN72" i="29"/>
  <c r="AM72" i="29"/>
  <c r="AL72" i="29"/>
  <c r="AJ72" i="29"/>
  <c r="AI72" i="29"/>
  <c r="AH72" i="29"/>
  <c r="AG72" i="29"/>
  <c r="AF72" i="29"/>
  <c r="AE72" i="29"/>
  <c r="AD72" i="29"/>
  <c r="AC72" i="29"/>
  <c r="AB72" i="29"/>
  <c r="Z72" i="29"/>
  <c r="Y72" i="29"/>
  <c r="X72" i="29"/>
  <c r="W72" i="29"/>
  <c r="V72" i="29"/>
  <c r="U72" i="29"/>
  <c r="T72" i="29"/>
  <c r="S72" i="29"/>
  <c r="R72" i="29"/>
  <c r="Q72" i="29"/>
  <c r="P72" i="29"/>
  <c r="O72" i="29"/>
  <c r="N72" i="29"/>
  <c r="M72" i="29"/>
  <c r="L72" i="29"/>
  <c r="G72" i="29"/>
  <c r="F72" i="29"/>
  <c r="E72" i="29"/>
  <c r="D72" i="29"/>
  <c r="C72" i="29"/>
  <c r="AK71" i="29"/>
  <c r="AK79" i="29" s="1"/>
  <c r="AK69" i="29"/>
  <c r="BT70" i="29"/>
  <c r="AF69" i="29"/>
  <c r="AA69" i="29"/>
  <c r="V70" i="29"/>
  <c r="V69" i="29"/>
  <c r="BN69" i="29"/>
  <c r="BM69" i="29"/>
  <c r="BL69" i="29"/>
  <c r="BO68" i="29"/>
  <c r="BP68" i="29" s="1"/>
  <c r="BO65" i="29"/>
  <c r="BO66" i="29" s="1"/>
  <c r="BO57" i="29"/>
  <c r="BO123" i="29" s="1"/>
  <c r="BO124" i="29" s="1"/>
  <c r="BO56" i="29"/>
  <c r="BK68" i="29"/>
  <c r="BJ68" i="29"/>
  <c r="BT68" i="29"/>
  <c r="BS68" i="29"/>
  <c r="BS70" i="29" s="1"/>
  <c r="BR68" i="29"/>
  <c r="BR70" i="29" s="1"/>
  <c r="BQ68" i="29"/>
  <c r="BQ70" i="29" s="1"/>
  <c r="BF66" i="29"/>
  <c r="AZ66" i="29"/>
  <c r="AU66" i="29"/>
  <c r="AP66" i="29"/>
  <c r="AK66" i="29"/>
  <c r="AF66" i="29"/>
  <c r="AA66" i="29"/>
  <c r="V67" i="29"/>
  <c r="V66" i="29"/>
  <c r="BM67" i="29"/>
  <c r="BN66" i="29"/>
  <c r="BM66" i="29"/>
  <c r="BL66" i="29"/>
  <c r="BJ65" i="29"/>
  <c r="BK65" i="29" s="1"/>
  <c r="BD64" i="29"/>
  <c r="BC64" i="29"/>
  <c r="BB64" i="29"/>
  <c r="BA64" i="29"/>
  <c r="AY64" i="29"/>
  <c r="AX64" i="29"/>
  <c r="AW64" i="29"/>
  <c r="AV64" i="29"/>
  <c r="AT64" i="29"/>
  <c r="AS64" i="29"/>
  <c r="AR64" i="29"/>
  <c r="AQ64" i="29"/>
  <c r="AN64" i="29"/>
  <c r="AM64" i="29"/>
  <c r="AL64" i="29"/>
  <c r="AJ64" i="29"/>
  <c r="AI64" i="29"/>
  <c r="AH64" i="29"/>
  <c r="AG64" i="29"/>
  <c r="AE64" i="29"/>
  <c r="AD64" i="29"/>
  <c r="AB64" i="29"/>
  <c r="Z64" i="29"/>
  <c r="Y64" i="29"/>
  <c r="X64" i="29"/>
  <c r="W64" i="29"/>
  <c r="U64" i="29"/>
  <c r="T64" i="29"/>
  <c r="S64" i="29"/>
  <c r="R64" i="29"/>
  <c r="P64" i="29"/>
  <c r="O64" i="29"/>
  <c r="N64" i="29"/>
  <c r="M64" i="29"/>
  <c r="K64" i="29"/>
  <c r="J64" i="29"/>
  <c r="I64" i="29"/>
  <c r="H64" i="29"/>
  <c r="G64" i="29"/>
  <c r="F64" i="29"/>
  <c r="E64" i="29"/>
  <c r="D64" i="29"/>
  <c r="C64" i="29"/>
  <c r="B64" i="29"/>
  <c r="BE63" i="29"/>
  <c r="BD63" i="29"/>
  <c r="BC63" i="29"/>
  <c r="BB63" i="29"/>
  <c r="AX63" i="29"/>
  <c r="AW63" i="29"/>
  <c r="AY63" i="29" s="1"/>
  <c r="AV63" i="29"/>
  <c r="AR63" i="29"/>
  <c r="AQ63" i="29"/>
  <c r="AN63" i="29"/>
  <c r="AO63" i="29" s="1"/>
  <c r="AM63" i="29"/>
  <c r="AL63" i="29"/>
  <c r="AJ63" i="29"/>
  <c r="AI63" i="29"/>
  <c r="AH63" i="29"/>
  <c r="AG63" i="29"/>
  <c r="AE63" i="29"/>
  <c r="AD63" i="29"/>
  <c r="AC63" i="29"/>
  <c r="AB63" i="29"/>
  <c r="Z63" i="29"/>
  <c r="Y63" i="29"/>
  <c r="X63" i="29"/>
  <c r="W63" i="29"/>
  <c r="U63" i="29"/>
  <c r="T63" i="29"/>
  <c r="S63" i="29"/>
  <c r="R63" i="29"/>
  <c r="P63" i="29"/>
  <c r="O63" i="29"/>
  <c r="N63" i="29"/>
  <c r="M63" i="29"/>
  <c r="L63" i="29"/>
  <c r="G63" i="29"/>
  <c r="F63" i="29"/>
  <c r="E63" i="29"/>
  <c r="D63" i="29"/>
  <c r="C63" i="29"/>
  <c r="BT65" i="29"/>
  <c r="BT67" i="29" s="1"/>
  <c r="BS65" i="29"/>
  <c r="BS67" i="29" s="1"/>
  <c r="BR65" i="29"/>
  <c r="BR67" i="29" s="1"/>
  <c r="BQ65" i="29"/>
  <c r="BQ67" i="29" s="1"/>
  <c r="BT62" i="29"/>
  <c r="BS62" i="29"/>
  <c r="BR62" i="29"/>
  <c r="BQ62" i="29"/>
  <c r="BF62" i="29"/>
  <c r="BF70" i="29" s="1"/>
  <c r="BE62" i="29"/>
  <c r="AZ62" i="29"/>
  <c r="AZ70" i="29" s="1"/>
  <c r="AZ56" i="29"/>
  <c r="AZ55" i="29"/>
  <c r="AZ121" i="29" s="1"/>
  <c r="AZ122" i="29" s="1"/>
  <c r="AZ54" i="29"/>
  <c r="AZ53" i="29"/>
  <c r="AZ119" i="29" s="1"/>
  <c r="BK120" i="29" s="1"/>
  <c r="AZ51" i="29"/>
  <c r="AU62" i="29"/>
  <c r="AU56" i="29"/>
  <c r="AU55" i="29"/>
  <c r="AU121" i="29" s="1"/>
  <c r="AU54" i="29"/>
  <c r="AU53" i="29"/>
  <c r="AU61" i="29" s="1"/>
  <c r="AU51" i="29"/>
  <c r="AP62" i="29"/>
  <c r="AP173" i="29" s="1"/>
  <c r="AP174" i="29" s="1"/>
  <c r="AP56" i="29"/>
  <c r="AP55" i="29"/>
  <c r="AP121" i="29" s="1"/>
  <c r="AP53" i="29"/>
  <c r="AK62" i="29"/>
  <c r="AK173" i="29" s="1"/>
  <c r="AF62" i="29"/>
  <c r="AF79" i="29" s="1"/>
  <c r="AF58" i="29"/>
  <c r="AA62" i="29"/>
  <c r="AA77" i="29" s="1"/>
  <c r="AA78" i="29" s="1"/>
  <c r="AA59" i="29"/>
  <c r="AA60" i="29" s="1"/>
  <c r="AA55" i="29"/>
  <c r="AA121" i="29" s="1"/>
  <c r="AA122" i="29" s="1"/>
  <c r="AA54" i="29"/>
  <c r="V62" i="29"/>
  <c r="V77" i="29" s="1"/>
  <c r="V78" i="29" s="1"/>
  <c r="Q62" i="29"/>
  <c r="L62" i="29"/>
  <c r="BD61" i="29"/>
  <c r="BC61" i="29"/>
  <c r="BB61" i="29"/>
  <c r="K61" i="29"/>
  <c r="J61" i="29"/>
  <c r="I61" i="29"/>
  <c r="H61" i="29"/>
  <c r="G61" i="29"/>
  <c r="F61" i="29"/>
  <c r="E61" i="29"/>
  <c r="D61" i="29"/>
  <c r="C61" i="29"/>
  <c r="B61" i="29"/>
  <c r="BD60" i="29"/>
  <c r="BD59" i="29"/>
  <c r="BC59" i="29"/>
  <c r="BC60" i="29" s="1"/>
  <c r="BB59" i="29"/>
  <c r="BB60" i="29" s="1"/>
  <c r="U61" i="29"/>
  <c r="T61" i="29"/>
  <c r="S61" i="29"/>
  <c r="R61" i="29"/>
  <c r="U59" i="29"/>
  <c r="U60" i="29" s="1"/>
  <c r="T59" i="29"/>
  <c r="T60" i="29" s="1"/>
  <c r="S59" i="29"/>
  <c r="S60" i="29" s="1"/>
  <c r="R59" i="29"/>
  <c r="R60" i="29" s="1"/>
  <c r="P61" i="29"/>
  <c r="O61" i="29"/>
  <c r="N61" i="29"/>
  <c r="M61" i="29"/>
  <c r="P59" i="29"/>
  <c r="P60" i="29" s="1"/>
  <c r="O59" i="29"/>
  <c r="O60" i="29" s="1"/>
  <c r="N59" i="29"/>
  <c r="N60" i="29" s="1"/>
  <c r="M59" i="29"/>
  <c r="M60" i="29" s="1"/>
  <c r="K60" i="29"/>
  <c r="G60" i="29"/>
  <c r="C60" i="29"/>
  <c r="K59" i="29"/>
  <c r="J59" i="29"/>
  <c r="J60" i="29" s="1"/>
  <c r="I59" i="29"/>
  <c r="I60" i="29" s="1"/>
  <c r="H59" i="29"/>
  <c r="H60" i="29" s="1"/>
  <c r="G59" i="29"/>
  <c r="F59" i="29"/>
  <c r="F60" i="29" s="1"/>
  <c r="E59" i="29"/>
  <c r="E60" i="29" s="1"/>
  <c r="D59" i="29"/>
  <c r="D60" i="29" s="1"/>
  <c r="C59" i="29"/>
  <c r="AT61" i="29"/>
  <c r="AS61" i="29"/>
  <c r="AR61" i="29"/>
  <c r="AQ61" i="29"/>
  <c r="AT59" i="29"/>
  <c r="AT60" i="29" s="1"/>
  <c r="AS59" i="29"/>
  <c r="AS60" i="29" s="1"/>
  <c r="AR59" i="29"/>
  <c r="AR60" i="29" s="1"/>
  <c r="AQ59" i="29"/>
  <c r="AQ60" i="29" s="1"/>
  <c r="AS58" i="29"/>
  <c r="AN61" i="29"/>
  <c r="AM61" i="29"/>
  <c r="AL61" i="29"/>
  <c r="AN59" i="29"/>
  <c r="AN60" i="29" s="1"/>
  <c r="AM59" i="29"/>
  <c r="AM60" i="29" s="1"/>
  <c r="AN58" i="29"/>
  <c r="AM58" i="29"/>
  <c r="AL58" i="29"/>
  <c r="AT57" i="29"/>
  <c r="AU57" i="29" s="1"/>
  <c r="AT56" i="29"/>
  <c r="AR57" i="29"/>
  <c r="AR123" i="29" s="1"/>
  <c r="AR124" i="29" s="1"/>
  <c r="AQ57" i="29"/>
  <c r="AQ58" i="29" s="1"/>
  <c r="AO57" i="29"/>
  <c r="AP57" i="29" s="1"/>
  <c r="AO56" i="29"/>
  <c r="AJ61" i="29"/>
  <c r="AI61" i="29"/>
  <c r="AH61" i="29"/>
  <c r="AG61" i="29"/>
  <c r="AJ59" i="29"/>
  <c r="AJ60" i="29" s="1"/>
  <c r="AI59" i="29"/>
  <c r="AI60" i="29" s="1"/>
  <c r="AH59" i="29"/>
  <c r="AH60" i="29" s="1"/>
  <c r="AG59" i="29"/>
  <c r="AG60" i="29" s="1"/>
  <c r="AJ57" i="29"/>
  <c r="AJ123" i="29" s="1"/>
  <c r="AJ124" i="29" s="1"/>
  <c r="AI57" i="29"/>
  <c r="AI58" i="29" s="1"/>
  <c r="AH57" i="29"/>
  <c r="AH58" i="29" s="1"/>
  <c r="AG57" i="29"/>
  <c r="AG58" i="29" s="1"/>
  <c r="AE61" i="29"/>
  <c r="AD61" i="29"/>
  <c r="AC61" i="29"/>
  <c r="AB61" i="29"/>
  <c r="AE59" i="29"/>
  <c r="AE60" i="29" s="1"/>
  <c r="AD59" i="29"/>
  <c r="AD60" i="29" s="1"/>
  <c r="AC59" i="29"/>
  <c r="AC60" i="29" s="1"/>
  <c r="AB59" i="29"/>
  <c r="AB60" i="29" s="1"/>
  <c r="AE57" i="29"/>
  <c r="AE58" i="29" s="1"/>
  <c r="AD57" i="29"/>
  <c r="AD58" i="29" s="1"/>
  <c r="AC57" i="29"/>
  <c r="AC58" i="29" s="1"/>
  <c r="AB57" i="29"/>
  <c r="AB123" i="29" s="1"/>
  <c r="AB124" i="29" s="1"/>
  <c r="BN62" i="29"/>
  <c r="BN77" i="29" s="1"/>
  <c r="BN78" i="29" s="1"/>
  <c r="BM62" i="29"/>
  <c r="BM79" i="29" s="1"/>
  <c r="BL62" i="29"/>
  <c r="BL79" i="29" s="1"/>
  <c r="BN57" i="29"/>
  <c r="BN123" i="29" s="1"/>
  <c r="BN124" i="29" s="1"/>
  <c r="BM57" i="29"/>
  <c r="BM58" i="29" s="1"/>
  <c r="BL57" i="29"/>
  <c r="BL123" i="29" s="1"/>
  <c r="BL124" i="29" s="1"/>
  <c r="BN56" i="29"/>
  <c r="BM56" i="29"/>
  <c r="BL56" i="29"/>
  <c r="BJ62" i="29"/>
  <c r="BI62" i="29"/>
  <c r="BI79" i="29" s="1"/>
  <c r="BH62" i="29"/>
  <c r="BH79" i="29" s="1"/>
  <c r="BJ58" i="29"/>
  <c r="BH58" i="29"/>
  <c r="BJ57" i="29"/>
  <c r="BI57" i="29"/>
  <c r="BI58" i="29" s="1"/>
  <c r="BH57" i="29"/>
  <c r="BJ56" i="29"/>
  <c r="BI56" i="29"/>
  <c r="BH56" i="29"/>
  <c r="BE58" i="29"/>
  <c r="BD58" i="29"/>
  <c r="BG57" i="29"/>
  <c r="BG123" i="29" s="1"/>
  <c r="BG124" i="29" s="1"/>
  <c r="BF57" i="29"/>
  <c r="BF123" i="29" s="1"/>
  <c r="BF124" i="29" s="1"/>
  <c r="BE57" i="29"/>
  <c r="BD57" i="29"/>
  <c r="BD123" i="29" s="1"/>
  <c r="BD124" i="29" s="1"/>
  <c r="BC57" i="29"/>
  <c r="BC58" i="29" s="1"/>
  <c r="BB57" i="29"/>
  <c r="BB58" i="29" s="1"/>
  <c r="BG56" i="29"/>
  <c r="BE56" i="29"/>
  <c r="BD56" i="29"/>
  <c r="BC56" i="29"/>
  <c r="BB56" i="29"/>
  <c r="AY61" i="29"/>
  <c r="AX61" i="29"/>
  <c r="AW61" i="29"/>
  <c r="AV61" i="29"/>
  <c r="AY59" i="29"/>
  <c r="AY60" i="29" s="1"/>
  <c r="AX59" i="29"/>
  <c r="AX60" i="29" s="1"/>
  <c r="AW59" i="29"/>
  <c r="AW60" i="29" s="1"/>
  <c r="AV59" i="29"/>
  <c r="AV60" i="29" s="1"/>
  <c r="AY57" i="29"/>
  <c r="AX57" i="29"/>
  <c r="AX58" i="29" s="1"/>
  <c r="AW57" i="29"/>
  <c r="AW58" i="29" s="1"/>
  <c r="AV57" i="29"/>
  <c r="AV123" i="29" s="1"/>
  <c r="AV124" i="29" s="1"/>
  <c r="AY56" i="29"/>
  <c r="AX56" i="29"/>
  <c r="AW56" i="29"/>
  <c r="AV56" i="29"/>
  <c r="AS56" i="29"/>
  <c r="AR56" i="29"/>
  <c r="AQ56" i="29"/>
  <c r="AN56" i="29"/>
  <c r="AM56" i="29"/>
  <c r="AL56" i="29"/>
  <c r="AJ56" i="29"/>
  <c r="AI56" i="29"/>
  <c r="AH56" i="29"/>
  <c r="AG56" i="29"/>
  <c r="AF56" i="29"/>
  <c r="AE56" i="29"/>
  <c r="AD56" i="29"/>
  <c r="AC56" i="29"/>
  <c r="AB56" i="29"/>
  <c r="Z61" i="29"/>
  <c r="Y61" i="29"/>
  <c r="X61" i="29"/>
  <c r="W61" i="29"/>
  <c r="Z59" i="29"/>
  <c r="Z60" i="29" s="1"/>
  <c r="Y59" i="29"/>
  <c r="Y60" i="29" s="1"/>
  <c r="X59" i="29"/>
  <c r="X60" i="29" s="1"/>
  <c r="W59" i="29"/>
  <c r="W60" i="29" s="1"/>
  <c r="Z57" i="29"/>
  <c r="AA57" i="29" s="1"/>
  <c r="Y57" i="29"/>
  <c r="Y123" i="29" s="1"/>
  <c r="Y124" i="29" s="1"/>
  <c r="X57" i="29"/>
  <c r="X123" i="29" s="1"/>
  <c r="X124" i="29" s="1"/>
  <c r="W57" i="29"/>
  <c r="W123" i="29" s="1"/>
  <c r="W124" i="29" s="1"/>
  <c r="Z56" i="29"/>
  <c r="Y56" i="29"/>
  <c r="X56" i="29"/>
  <c r="W56" i="29"/>
  <c r="BK55" i="29"/>
  <c r="BF55" i="29"/>
  <c r="BF121" i="29" s="1"/>
  <c r="BF122" i="29" s="1"/>
  <c r="BF53" i="29"/>
  <c r="BF119" i="29" s="1"/>
  <c r="BF51" i="29"/>
  <c r="AN55" i="29"/>
  <c r="AN121" i="29" s="1"/>
  <c r="AN122" i="29" s="1"/>
  <c r="AN54" i="29"/>
  <c r="BE54" i="29"/>
  <c r="BD54" i="29"/>
  <c r="BC54" i="29"/>
  <c r="BB54" i="29"/>
  <c r="AY54" i="29"/>
  <c r="AX54" i="29"/>
  <c r="AW54" i="29"/>
  <c r="AV54" i="29"/>
  <c r="AT54" i="29"/>
  <c r="AS54" i="29"/>
  <c r="AR54" i="29"/>
  <c r="AQ54" i="29"/>
  <c r="AO54" i="29"/>
  <c r="AM54" i="29"/>
  <c r="AL54" i="29"/>
  <c r="AJ54" i="29"/>
  <c r="AI54" i="29"/>
  <c r="AH54" i="29"/>
  <c r="AG54" i="29"/>
  <c r="AF54" i="29"/>
  <c r="AE54" i="29"/>
  <c r="AD54" i="29"/>
  <c r="AC54" i="29"/>
  <c r="AB54" i="29"/>
  <c r="Z54" i="29"/>
  <c r="Y54" i="29"/>
  <c r="X54" i="29"/>
  <c r="W54" i="29"/>
  <c r="V54" i="29"/>
  <c r="U54" i="29"/>
  <c r="T54" i="29"/>
  <c r="S54" i="29"/>
  <c r="R54" i="29"/>
  <c r="Q54" i="29"/>
  <c r="P54" i="29"/>
  <c r="O54" i="29"/>
  <c r="N54" i="29"/>
  <c r="M54" i="29"/>
  <c r="L54" i="29"/>
  <c r="G54" i="29"/>
  <c r="F54" i="29"/>
  <c r="E54" i="29"/>
  <c r="D54" i="29"/>
  <c r="C54" i="29"/>
  <c r="AK53" i="29"/>
  <c r="AL59" i="29" s="1"/>
  <c r="AL60" i="29" s="1"/>
  <c r="BN51" i="29"/>
  <c r="BM51" i="29"/>
  <c r="BL51" i="29"/>
  <c r="BO50" i="29"/>
  <c r="BT50" i="29" s="1"/>
  <c r="BO47" i="29"/>
  <c r="BO49" i="29" s="1"/>
  <c r="BO44" i="29"/>
  <c r="BP44" i="29" s="1"/>
  <c r="BO42" i="29"/>
  <c r="BO41" i="29"/>
  <c r="BO38" i="29"/>
  <c r="BO166" i="29" s="1"/>
  <c r="BK50" i="29"/>
  <c r="BJ50" i="29"/>
  <c r="BS50" i="29"/>
  <c r="BR50" i="29"/>
  <c r="BQ50" i="29"/>
  <c r="BQ52" i="29" s="1"/>
  <c r="BF48" i="29"/>
  <c r="AZ49" i="29"/>
  <c r="AZ48" i="29"/>
  <c r="AU48" i="29"/>
  <c r="BN48" i="29"/>
  <c r="BM48" i="29"/>
  <c r="BL48" i="29"/>
  <c r="BJ47" i="29"/>
  <c r="BO48" i="29" s="1"/>
  <c r="BS47" i="29"/>
  <c r="BR47" i="29"/>
  <c r="BQ47" i="29"/>
  <c r="BQ49" i="29" s="1"/>
  <c r="BF45" i="29"/>
  <c r="AZ45" i="29"/>
  <c r="AU45" i="29"/>
  <c r="BN45" i="29"/>
  <c r="BM45" i="29"/>
  <c r="BL45" i="29"/>
  <c r="BJ44" i="29"/>
  <c r="BK44" i="29" s="1"/>
  <c r="AI46" i="29"/>
  <c r="AI45" i="29" s="1"/>
  <c r="AH46" i="29"/>
  <c r="AG46" i="29"/>
  <c r="AF46" i="29"/>
  <c r="AF44" i="29" s="1"/>
  <c r="AE46" i="29"/>
  <c r="AE45" i="29" s="1"/>
  <c r="AH45" i="29"/>
  <c r="AG45" i="29"/>
  <c r="AF45" i="29"/>
  <c r="AH44" i="29"/>
  <c r="AG44" i="29"/>
  <c r="BT44" i="29"/>
  <c r="BS44" i="29"/>
  <c r="BR44" i="29"/>
  <c r="BQ44" i="29"/>
  <c r="BU44" i="29" s="1"/>
  <c r="BF42" i="29"/>
  <c r="AZ42" i="29"/>
  <c r="AU42" i="29"/>
  <c r="BL43" i="29"/>
  <c r="BN42" i="29"/>
  <c r="BM42" i="29"/>
  <c r="BL42" i="29"/>
  <c r="BK41" i="29"/>
  <c r="BJ41" i="29"/>
  <c r="BD40" i="29"/>
  <c r="BC40" i="29"/>
  <c r="BB40" i="29"/>
  <c r="BA40" i="29"/>
  <c r="AY40" i="29"/>
  <c r="AX40" i="29"/>
  <c r="AW40" i="29"/>
  <c r="AV40" i="29"/>
  <c r="AT40" i="29"/>
  <c r="AS40" i="29"/>
  <c r="AQ40" i="29"/>
  <c r="AN40" i="29"/>
  <c r="AM40" i="29"/>
  <c r="AL40" i="29"/>
  <c r="AJ40" i="29"/>
  <c r="AI40" i="29"/>
  <c r="AH40" i="29"/>
  <c r="AG40" i="29"/>
  <c r="AE40" i="29"/>
  <c r="AD40" i="29"/>
  <c r="Z40" i="29"/>
  <c r="Y40" i="29"/>
  <c r="X40" i="29"/>
  <c r="W40" i="29"/>
  <c r="U40" i="29"/>
  <c r="T40" i="29"/>
  <c r="S40" i="29"/>
  <c r="R40" i="29"/>
  <c r="P40" i="29"/>
  <c r="O40" i="29"/>
  <c r="N40" i="29"/>
  <c r="M40" i="29"/>
  <c r="K40" i="29"/>
  <c r="J40" i="29"/>
  <c r="I40" i="29"/>
  <c r="H40" i="29"/>
  <c r="G40" i="29"/>
  <c r="F40" i="29"/>
  <c r="E40" i="29"/>
  <c r="D40" i="29"/>
  <c r="C40" i="29"/>
  <c r="B40" i="29"/>
  <c r="BD39" i="29"/>
  <c r="BC39" i="29"/>
  <c r="BB39" i="29"/>
  <c r="AY39" i="29"/>
  <c r="AX39" i="29"/>
  <c r="AW39" i="29"/>
  <c r="AV39" i="29"/>
  <c r="AS39" i="29"/>
  <c r="AR39" i="29"/>
  <c r="AQ39" i="29"/>
  <c r="AN39" i="29"/>
  <c r="AM39" i="29"/>
  <c r="AL39" i="29"/>
  <c r="AJ39" i="29"/>
  <c r="AI39" i="29"/>
  <c r="AH39" i="29"/>
  <c r="AG39" i="29"/>
  <c r="AE39" i="29"/>
  <c r="AD39" i="29"/>
  <c r="AC39" i="29"/>
  <c r="AB39" i="29"/>
  <c r="AA39" i="29"/>
  <c r="Z39" i="29"/>
  <c r="Y39" i="29"/>
  <c r="X39" i="29"/>
  <c r="W39" i="29"/>
  <c r="U39" i="29"/>
  <c r="T39" i="29"/>
  <c r="S39" i="29"/>
  <c r="R39" i="29"/>
  <c r="P39" i="29"/>
  <c r="O39" i="29"/>
  <c r="N39" i="29"/>
  <c r="M39" i="29"/>
  <c r="G39" i="29"/>
  <c r="F39" i="29"/>
  <c r="E39" i="29"/>
  <c r="D39" i="29"/>
  <c r="C39" i="29"/>
  <c r="BT41" i="29"/>
  <c r="BS41" i="29"/>
  <c r="BR41" i="29"/>
  <c r="BQ41" i="29"/>
  <c r="BU41" i="29" s="1"/>
  <c r="BQ38" i="29"/>
  <c r="AZ38" i="29"/>
  <c r="AZ52" i="29" s="1"/>
  <c r="AU38" i="29"/>
  <c r="AU37" i="29"/>
  <c r="AO38" i="29"/>
  <c r="AK38" i="29"/>
  <c r="AK166" i="29" s="1"/>
  <c r="AF38" i="29"/>
  <c r="AF166" i="29" s="1"/>
  <c r="AA38" i="29"/>
  <c r="AA37" i="29"/>
  <c r="V38" i="29"/>
  <c r="V166" i="29" s="1"/>
  <c r="V37" i="29"/>
  <c r="Q38" i="29"/>
  <c r="Q166" i="29" s="1"/>
  <c r="L38" i="29"/>
  <c r="L166" i="29" s="1"/>
  <c r="L37" i="29"/>
  <c r="BI38" i="29"/>
  <c r="BH38" i="29"/>
  <c r="BH59" i="29" s="1"/>
  <c r="BH60" i="29" s="1"/>
  <c r="BG38" i="29"/>
  <c r="BE38" i="29"/>
  <c r="BG37" i="29"/>
  <c r="BD37" i="29"/>
  <c r="BC37" i="29"/>
  <c r="BB37" i="29"/>
  <c r="K37" i="29"/>
  <c r="J37" i="29"/>
  <c r="I37" i="29"/>
  <c r="H37" i="29"/>
  <c r="G37" i="29"/>
  <c r="F37" i="29"/>
  <c r="E37" i="29"/>
  <c r="D37" i="29"/>
  <c r="C37" i="29"/>
  <c r="B37" i="29"/>
  <c r="BN38" i="29"/>
  <c r="BN46" i="29" s="1"/>
  <c r="BM38" i="29"/>
  <c r="BM52" i="29" s="1"/>
  <c r="BL38" i="29"/>
  <c r="BP38" i="29" s="1"/>
  <c r="BN37" i="29"/>
  <c r="BK37" i="29"/>
  <c r="BN35" i="29"/>
  <c r="BN36" i="29" s="1"/>
  <c r="BI35" i="29"/>
  <c r="BI36" i="29" s="1"/>
  <c r="BD36" i="29"/>
  <c r="BE35" i="29"/>
  <c r="BE36" i="29" s="1"/>
  <c r="BD35" i="29"/>
  <c r="BC35" i="29"/>
  <c r="BC36" i="29" s="1"/>
  <c r="AY37" i="29"/>
  <c r="AX37" i="29"/>
  <c r="AW37" i="29"/>
  <c r="AV37" i="29"/>
  <c r="AY35" i="29"/>
  <c r="AY36" i="29" s="1"/>
  <c r="AX35" i="29"/>
  <c r="AX36" i="29" s="1"/>
  <c r="AW35" i="29"/>
  <c r="AW36" i="29" s="1"/>
  <c r="AT37" i="29"/>
  <c r="AS37" i="29"/>
  <c r="AR37" i="29"/>
  <c r="AQ37" i="29"/>
  <c r="AO37" i="29"/>
  <c r="AN37" i="29"/>
  <c r="AM37" i="29"/>
  <c r="AL37" i="29"/>
  <c r="AM36" i="29"/>
  <c r="AT35" i="29"/>
  <c r="AT36" i="29" s="1"/>
  <c r="AS35" i="29"/>
  <c r="AS36" i="29" s="1"/>
  <c r="AR35" i="29"/>
  <c r="AR36" i="29" s="1"/>
  <c r="AO35" i="29"/>
  <c r="AO36" i="29" s="1"/>
  <c r="AN35" i="29"/>
  <c r="AN36" i="29" s="1"/>
  <c r="AM35" i="29"/>
  <c r="AE37" i="29"/>
  <c r="AD37" i="29"/>
  <c r="AB37" i="29"/>
  <c r="AE35" i="29"/>
  <c r="AE36" i="29" s="1"/>
  <c r="AD35" i="29"/>
  <c r="AD36" i="29" s="1"/>
  <c r="AB35" i="29"/>
  <c r="AB36" i="29" s="1"/>
  <c r="Z37" i="29"/>
  <c r="Y37" i="29"/>
  <c r="X37" i="29"/>
  <c r="W37" i="29"/>
  <c r="Z35" i="29"/>
  <c r="Z36" i="29" s="1"/>
  <c r="Y35" i="29"/>
  <c r="Y36" i="29" s="1"/>
  <c r="X35" i="29"/>
  <c r="X36" i="29" s="1"/>
  <c r="W35" i="29"/>
  <c r="W36" i="29" s="1"/>
  <c r="U37" i="29"/>
  <c r="T37" i="29"/>
  <c r="S37" i="29"/>
  <c r="R37" i="29"/>
  <c r="U35" i="29"/>
  <c r="U36" i="29" s="1"/>
  <c r="T35" i="29"/>
  <c r="T36" i="29" s="1"/>
  <c r="S35" i="29"/>
  <c r="S36" i="29" s="1"/>
  <c r="R35" i="29"/>
  <c r="R36" i="29" s="1"/>
  <c r="P37" i="29"/>
  <c r="O37" i="29"/>
  <c r="N37" i="29"/>
  <c r="M37" i="29"/>
  <c r="P35" i="29"/>
  <c r="P36" i="29" s="1"/>
  <c r="O35" i="29"/>
  <c r="O36" i="29" s="1"/>
  <c r="N35" i="29"/>
  <c r="N36" i="29" s="1"/>
  <c r="M35" i="29"/>
  <c r="M36" i="29" s="1"/>
  <c r="J36" i="29"/>
  <c r="F36" i="29"/>
  <c r="K35" i="29"/>
  <c r="K36" i="29" s="1"/>
  <c r="J35" i="29"/>
  <c r="I35" i="29"/>
  <c r="I36" i="29" s="1"/>
  <c r="H35" i="29"/>
  <c r="H36" i="29" s="1"/>
  <c r="G35" i="29"/>
  <c r="G36" i="29" s="1"/>
  <c r="F35" i="29"/>
  <c r="E35" i="29"/>
  <c r="E36" i="29" s="1"/>
  <c r="D35" i="29"/>
  <c r="D36" i="29" s="1"/>
  <c r="C35" i="29"/>
  <c r="C36" i="29" s="1"/>
  <c r="AJ37" i="29"/>
  <c r="AI37" i="29"/>
  <c r="AH37" i="29"/>
  <c r="AG37" i="29"/>
  <c r="AJ35" i="29"/>
  <c r="AJ36" i="29" s="1"/>
  <c r="AI35" i="29"/>
  <c r="AI36" i="29" s="1"/>
  <c r="AH35" i="29"/>
  <c r="AH36" i="29" s="1"/>
  <c r="AG35" i="29"/>
  <c r="AG36" i="29" s="1"/>
  <c r="AI33" i="29"/>
  <c r="AI34" i="29" s="1"/>
  <c r="BF31" i="29"/>
  <c r="BF33" i="29" s="1"/>
  <c r="BF34" i="29" s="1"/>
  <c r="BF27" i="29"/>
  <c r="BF28" i="29" s="1"/>
  <c r="BF26" i="29"/>
  <c r="BF25" i="29"/>
  <c r="BF37" i="29" s="1"/>
  <c r="BF24" i="29"/>
  <c r="BF23" i="29"/>
  <c r="AZ31" i="29"/>
  <c r="AZ27" i="29"/>
  <c r="AZ28" i="29" s="1"/>
  <c r="AZ25" i="29"/>
  <c r="AZ26" i="29" s="1"/>
  <c r="AZ24" i="29"/>
  <c r="AZ23" i="29"/>
  <c r="AU29" i="29"/>
  <c r="AU30" i="29" s="1"/>
  <c r="AU28" i="29"/>
  <c r="AU27" i="29"/>
  <c r="AU25" i="29"/>
  <c r="AU31" i="29" s="1"/>
  <c r="AU33" i="29" s="1"/>
  <c r="AU34" i="29" s="1"/>
  <c r="AU24" i="29"/>
  <c r="AU23" i="29"/>
  <c r="AP29" i="29"/>
  <c r="AP30" i="29" s="1"/>
  <c r="AP27" i="29"/>
  <c r="AP28" i="29" s="1"/>
  <c r="AP25" i="29"/>
  <c r="AQ35" i="29" s="1"/>
  <c r="AQ36" i="29" s="1"/>
  <c r="AP24" i="29"/>
  <c r="AP23" i="29"/>
  <c r="AJ31" i="29"/>
  <c r="AJ33" i="29" s="1"/>
  <c r="AJ34" i="29" s="1"/>
  <c r="AI31" i="29"/>
  <c r="AH31" i="29"/>
  <c r="AH33" i="29" s="1"/>
  <c r="AH34" i="29" s="1"/>
  <c r="AG31" i="29"/>
  <c r="AG33" i="29" s="1"/>
  <c r="AG34" i="29" s="1"/>
  <c r="AF31" i="29"/>
  <c r="AF33" i="29" s="1"/>
  <c r="AF34" i="29" s="1"/>
  <c r="AE31" i="29"/>
  <c r="AE33" i="29" s="1"/>
  <c r="AE34" i="29" s="1"/>
  <c r="AT30" i="29"/>
  <c r="AS30" i="29"/>
  <c r="AR30" i="29"/>
  <c r="AO30" i="29"/>
  <c r="AN30" i="29"/>
  <c r="AM30" i="29"/>
  <c r="AL30" i="29"/>
  <c r="AI30" i="29"/>
  <c r="AF30" i="29"/>
  <c r="AT29" i="29"/>
  <c r="AT148" i="29" s="1"/>
  <c r="AT28" i="29"/>
  <c r="AR29" i="29"/>
  <c r="AQ29" i="29"/>
  <c r="AQ148" i="29" s="1"/>
  <c r="AQ149" i="29" s="1"/>
  <c r="AO29" i="29"/>
  <c r="AO148" i="29" s="1"/>
  <c r="AP148" i="29" s="1"/>
  <c r="AP149" i="29" s="1"/>
  <c r="AO28" i="29"/>
  <c r="AJ29" i="29"/>
  <c r="AJ30" i="29" s="1"/>
  <c r="AI29" i="29"/>
  <c r="AH29" i="29"/>
  <c r="AH30" i="29" s="1"/>
  <c r="AG29" i="29"/>
  <c r="AG30" i="29" s="1"/>
  <c r="AE29" i="29"/>
  <c r="AE30" i="29" s="1"/>
  <c r="AD29" i="29"/>
  <c r="AD30" i="29" s="1"/>
  <c r="AC29" i="29"/>
  <c r="AC30" i="29" s="1"/>
  <c r="AB29" i="29"/>
  <c r="AB30" i="29" s="1"/>
  <c r="AA29" i="29"/>
  <c r="AA30" i="29" s="1"/>
  <c r="Z29" i="29"/>
  <c r="Z30" i="29" s="1"/>
  <c r="Y29" i="29"/>
  <c r="Y30" i="29" s="1"/>
  <c r="X29" i="29"/>
  <c r="X30" i="29" s="1"/>
  <c r="W29" i="29"/>
  <c r="W30" i="29" s="1"/>
  <c r="BN30" i="29"/>
  <c r="BM30" i="29"/>
  <c r="BJ30" i="29"/>
  <c r="BI30" i="29"/>
  <c r="BO29" i="29"/>
  <c r="BO148" i="29" s="1"/>
  <c r="BN29" i="29"/>
  <c r="BM29" i="29"/>
  <c r="BM148" i="29" s="1"/>
  <c r="BL29" i="29"/>
  <c r="BL148" i="29" s="1"/>
  <c r="BK29" i="29"/>
  <c r="BJ29" i="29"/>
  <c r="BJ148" i="29" s="1"/>
  <c r="BI29" i="29"/>
  <c r="BH29" i="29"/>
  <c r="BH148" i="29" s="1"/>
  <c r="BH149" i="29" s="1"/>
  <c r="BG29" i="29"/>
  <c r="BG148" i="29" s="1"/>
  <c r="BO28" i="29"/>
  <c r="BN28" i="29"/>
  <c r="BM28" i="29"/>
  <c r="BL28" i="29"/>
  <c r="BK28" i="29"/>
  <c r="BJ28" i="29"/>
  <c r="BI28" i="29"/>
  <c r="BH28" i="29"/>
  <c r="BG28" i="29"/>
  <c r="BE29" i="29"/>
  <c r="BD29" i="29"/>
  <c r="BD148" i="29" s="1"/>
  <c r="BD144" i="29" s="1"/>
  <c r="BC29" i="29"/>
  <c r="BC148" i="29" s="1"/>
  <c r="BB29" i="29"/>
  <c r="BB148" i="29" s="1"/>
  <c r="BE28" i="29"/>
  <c r="BD28" i="29"/>
  <c r="BC28" i="29"/>
  <c r="BB28" i="29"/>
  <c r="AY29" i="29"/>
  <c r="AX29" i="29"/>
  <c r="AX30" i="29" s="1"/>
  <c r="AW29" i="29"/>
  <c r="AW148" i="29" s="1"/>
  <c r="AW149" i="29" s="1"/>
  <c r="AV29" i="29"/>
  <c r="AV148" i="29" s="1"/>
  <c r="AV149" i="29" s="1"/>
  <c r="AY28" i="29"/>
  <c r="AX28" i="29"/>
  <c r="AW28" i="29"/>
  <c r="AV28" i="29"/>
  <c r="AS28" i="29"/>
  <c r="AR28" i="29"/>
  <c r="AQ28" i="29"/>
  <c r="AN28" i="29"/>
  <c r="AM28" i="29"/>
  <c r="AL28" i="29"/>
  <c r="AJ28" i="29"/>
  <c r="AI28" i="29"/>
  <c r="AH28" i="29"/>
  <c r="AG28" i="29"/>
  <c r="AF28" i="29"/>
  <c r="AE28" i="29"/>
  <c r="AD28" i="29"/>
  <c r="AC28" i="29"/>
  <c r="AB28" i="29"/>
  <c r="Z28" i="29"/>
  <c r="Y28" i="29"/>
  <c r="X28" i="29"/>
  <c r="W28" i="29"/>
  <c r="BP27" i="29"/>
  <c r="BP28" i="29" s="1"/>
  <c r="BP25" i="29"/>
  <c r="BP26" i="29" s="1"/>
  <c r="BP24" i="29"/>
  <c r="BP20" i="29"/>
  <c r="AA27" i="29"/>
  <c r="AA28" i="29" s="1"/>
  <c r="AA26" i="29"/>
  <c r="BO26" i="29"/>
  <c r="BN26" i="29"/>
  <c r="BM26" i="29"/>
  <c r="BL26" i="29"/>
  <c r="BE26" i="29"/>
  <c r="BD26" i="29"/>
  <c r="BC26" i="29"/>
  <c r="BB26" i="29"/>
  <c r="AY26" i="29"/>
  <c r="AX26" i="29"/>
  <c r="AW26" i="29"/>
  <c r="AV26" i="29"/>
  <c r="AT26" i="29"/>
  <c r="AS26" i="29"/>
  <c r="AR26" i="29"/>
  <c r="AQ26" i="29"/>
  <c r="AO26" i="29"/>
  <c r="AN26" i="29"/>
  <c r="AM26" i="29"/>
  <c r="AL26" i="29"/>
  <c r="AJ26" i="29"/>
  <c r="AI26" i="29"/>
  <c r="AH26" i="29"/>
  <c r="AG26" i="29"/>
  <c r="AF26" i="29"/>
  <c r="AE26" i="29"/>
  <c r="AD26" i="29"/>
  <c r="AC26" i="29"/>
  <c r="AB26" i="29"/>
  <c r="Z26" i="29"/>
  <c r="Y26" i="29"/>
  <c r="X26" i="29"/>
  <c r="W26" i="29"/>
  <c r="V26" i="29"/>
  <c r="U26" i="29"/>
  <c r="T26" i="29"/>
  <c r="S26" i="29"/>
  <c r="R26" i="29"/>
  <c r="Q26" i="29"/>
  <c r="P26" i="29"/>
  <c r="O26" i="29"/>
  <c r="N26" i="29"/>
  <c r="M26" i="29"/>
  <c r="L26" i="29"/>
  <c r="G26" i="29"/>
  <c r="F26" i="29"/>
  <c r="E26" i="29"/>
  <c r="D26" i="29"/>
  <c r="C26" i="29"/>
  <c r="AK25" i="29"/>
  <c r="AK28" i="29" s="1"/>
  <c r="AK24" i="29"/>
  <c r="AK23" i="29"/>
  <c r="BK24" i="29"/>
  <c r="AF24" i="29"/>
  <c r="AF23" i="29"/>
  <c r="AA24" i="29"/>
  <c r="AA23" i="29"/>
  <c r="V24" i="29"/>
  <c r="V23" i="29"/>
  <c r="Q24" i="29"/>
  <c r="L24" i="29"/>
  <c r="BS22" i="29"/>
  <c r="BR22" i="29"/>
  <c r="BQ22" i="29"/>
  <c r="BO22" i="29"/>
  <c r="BP22" i="29" s="1"/>
  <c r="BP23" i="29" s="1"/>
  <c r="BO20" i="29"/>
  <c r="BJ22" i="29"/>
  <c r="BK22" i="29" s="1"/>
  <c r="BN21" i="29"/>
  <c r="BM21" i="29"/>
  <c r="BL21" i="29"/>
  <c r="BF21" i="29"/>
  <c r="AZ21" i="29"/>
  <c r="AY21" i="29"/>
  <c r="AW21" i="29"/>
  <c r="AU21" i="29"/>
  <c r="AT21" i="29"/>
  <c r="AS21" i="29"/>
  <c r="AP21" i="29"/>
  <c r="AK21" i="29"/>
  <c r="AF21" i="29"/>
  <c r="AA21" i="29"/>
  <c r="V21" i="29"/>
  <c r="BT20" i="29"/>
  <c r="BS20" i="29"/>
  <c r="BR20" i="29"/>
  <c r="BQ20" i="29"/>
  <c r="BU20" i="29" s="1"/>
  <c r="BJ20" i="29"/>
  <c r="BO21" i="29" s="1"/>
  <c r="BE20" i="29"/>
  <c r="BE21" i="29" s="1"/>
  <c r="BD20" i="29"/>
  <c r="BI21" i="29" s="1"/>
  <c r="BC20" i="29"/>
  <c r="BH21" i="29" s="1"/>
  <c r="BB20" i="29"/>
  <c r="BB21" i="29" s="1"/>
  <c r="AY20" i="29"/>
  <c r="AX20" i="29"/>
  <c r="AX21" i="29" s="1"/>
  <c r="AW20" i="29"/>
  <c r="AV20" i="29"/>
  <c r="AV21" i="29" s="1"/>
  <c r="AT20" i="29"/>
  <c r="AS20" i="29"/>
  <c r="AR20" i="29"/>
  <c r="AR21" i="29" s="1"/>
  <c r="AQ20" i="29"/>
  <c r="AQ21" i="29" s="1"/>
  <c r="AO20" i="29"/>
  <c r="AN20" i="29"/>
  <c r="AM20" i="29"/>
  <c r="AL20" i="29"/>
  <c r="Z20" i="29"/>
  <c r="Y20" i="29"/>
  <c r="X20" i="29"/>
  <c r="W20" i="29"/>
  <c r="BF19" i="29"/>
  <c r="BF18" i="29"/>
  <c r="BF17" i="29"/>
  <c r="BF16" i="29"/>
  <c r="BF15" i="29"/>
  <c r="BF14" i="29"/>
  <c r="AZ19" i="29"/>
  <c r="AZ18" i="29"/>
  <c r="AZ17" i="29"/>
  <c r="AZ16" i="29"/>
  <c r="AZ15" i="29"/>
  <c r="AZ14" i="29"/>
  <c r="AU19" i="29"/>
  <c r="AU18" i="29"/>
  <c r="AU17" i="29"/>
  <c r="AU16" i="29"/>
  <c r="AU15" i="29"/>
  <c r="AU14" i="29"/>
  <c r="AP19" i="29"/>
  <c r="AP18" i="29"/>
  <c r="AP17" i="29"/>
  <c r="AP16" i="29"/>
  <c r="AP15" i="29"/>
  <c r="AP14" i="29"/>
  <c r="AK19" i="29"/>
  <c r="AK18" i="29"/>
  <c r="AK17" i="29"/>
  <c r="AK16" i="29"/>
  <c r="AK15" i="29"/>
  <c r="AK14" i="29"/>
  <c r="AF19" i="29"/>
  <c r="AF18" i="29"/>
  <c r="AF17" i="29"/>
  <c r="AF16" i="29"/>
  <c r="AF15" i="29"/>
  <c r="AF14" i="29"/>
  <c r="AA19" i="29"/>
  <c r="AA18" i="29"/>
  <c r="AA17" i="29"/>
  <c r="AA16" i="29"/>
  <c r="AA15" i="29"/>
  <c r="AA14" i="29"/>
  <c r="V19" i="29"/>
  <c r="V18" i="29"/>
  <c r="V17" i="29"/>
  <c r="V16" i="29"/>
  <c r="V15" i="29"/>
  <c r="V14" i="29"/>
  <c r="Q19" i="29"/>
  <c r="Q18" i="29"/>
  <c r="Q17" i="29"/>
  <c r="Q16" i="29"/>
  <c r="Q15" i="29"/>
  <c r="Q14" i="29"/>
  <c r="L19" i="29"/>
  <c r="L18" i="29"/>
  <c r="L17" i="29"/>
  <c r="L16" i="29"/>
  <c r="L15" i="29"/>
  <c r="L14" i="29"/>
  <c r="BZ12" i="29"/>
  <c r="CE12" i="29" s="1"/>
  <c r="BU13" i="29"/>
  <c r="BZ13" i="29" s="1"/>
  <c r="CE13" i="29" s="1"/>
  <c r="CJ13" i="29" s="1"/>
  <c r="BU12" i="29"/>
  <c r="BU11" i="29"/>
  <c r="BP13" i="29"/>
  <c r="BP11" i="29" s="1"/>
  <c r="BP9" i="29" s="1"/>
  <c r="BP10" i="29" s="1"/>
  <c r="BP12" i="29"/>
  <c r="BP7" i="29"/>
  <c r="BP8" i="29" s="1"/>
  <c r="BJ13" i="29"/>
  <c r="BJ12" i="29"/>
  <c r="BJ11" i="29"/>
  <c r="BO11" i="29"/>
  <c r="BN11" i="29"/>
  <c r="BM11" i="29"/>
  <c r="BL11" i="29"/>
  <c r="BK11" i="29"/>
  <c r="BI11" i="29"/>
  <c r="BH11" i="29"/>
  <c r="BG11" i="29"/>
  <c r="BA11" i="29"/>
  <c r="BK9" i="29"/>
  <c r="BI9" i="29"/>
  <c r="BH9" i="29"/>
  <c r="BG9" i="29"/>
  <c r="BN9" i="29"/>
  <c r="BN10" i="29" s="1"/>
  <c r="BM9" i="29"/>
  <c r="BM10" i="29" s="1"/>
  <c r="BL9" i="29"/>
  <c r="BL10" i="29" s="1"/>
  <c r="BN8" i="29"/>
  <c r="BM8" i="29"/>
  <c r="BL8" i="29"/>
  <c r="BF8" i="29"/>
  <c r="AZ8" i="29"/>
  <c r="AU8" i="29"/>
  <c r="AP8" i="29"/>
  <c r="AK8" i="29"/>
  <c r="AF8" i="29"/>
  <c r="AA8" i="29"/>
  <c r="V8" i="29"/>
  <c r="BO7" i="29"/>
  <c r="BO9" i="29" s="1"/>
  <c r="BO4" i="29"/>
  <c r="BJ7" i="29"/>
  <c r="BJ9" i="29" s="1"/>
  <c r="BD6" i="29"/>
  <c r="BC6" i="29"/>
  <c r="BB6" i="29"/>
  <c r="BA6" i="29"/>
  <c r="AY6" i="29"/>
  <c r="AX6" i="29"/>
  <c r="AW6" i="29"/>
  <c r="AV6" i="29"/>
  <c r="AT6" i="29"/>
  <c r="AS6" i="29"/>
  <c r="AR6" i="29"/>
  <c r="AQ6" i="29"/>
  <c r="AN6" i="29"/>
  <c r="AM6" i="29"/>
  <c r="AL6" i="29"/>
  <c r="AJ6" i="29"/>
  <c r="AI6" i="29"/>
  <c r="AH6" i="29"/>
  <c r="AG6" i="29"/>
  <c r="AE6" i="29"/>
  <c r="AD6" i="29"/>
  <c r="AB6" i="29"/>
  <c r="Z6" i="29"/>
  <c r="Y6" i="29"/>
  <c r="X6" i="29"/>
  <c r="W6" i="29"/>
  <c r="U6" i="29"/>
  <c r="T6" i="29"/>
  <c r="S6" i="29"/>
  <c r="R6" i="29"/>
  <c r="P6" i="29"/>
  <c r="O6" i="29"/>
  <c r="N6" i="29"/>
  <c r="M6" i="29"/>
  <c r="K6" i="29"/>
  <c r="J6" i="29"/>
  <c r="I6" i="29"/>
  <c r="H6" i="29"/>
  <c r="G6" i="29"/>
  <c r="F6" i="29"/>
  <c r="E6" i="29"/>
  <c r="D6" i="29"/>
  <c r="C6" i="29"/>
  <c r="B6" i="29"/>
  <c r="BK5" i="29"/>
  <c r="BE5" i="29"/>
  <c r="BD5" i="29"/>
  <c r="BC5" i="29"/>
  <c r="BB5" i="29"/>
  <c r="AY5" i="29"/>
  <c r="AX5" i="29"/>
  <c r="AW5" i="29"/>
  <c r="AV5" i="29"/>
  <c r="AT5" i="29"/>
  <c r="AS5" i="29"/>
  <c r="AR5" i="29"/>
  <c r="AQ5" i="29"/>
  <c r="AO5" i="29"/>
  <c r="AN5" i="29"/>
  <c r="AM5" i="29"/>
  <c r="AL5" i="29"/>
  <c r="AJ5" i="29"/>
  <c r="AI5" i="29"/>
  <c r="AH5" i="29"/>
  <c r="AG5" i="29"/>
  <c r="AE5" i="29"/>
  <c r="AD5" i="29"/>
  <c r="AC5" i="29"/>
  <c r="AB5" i="29"/>
  <c r="Z5" i="29"/>
  <c r="Y5" i="29"/>
  <c r="X5" i="29"/>
  <c r="W5" i="29"/>
  <c r="U5" i="29"/>
  <c r="T5" i="29"/>
  <c r="S5" i="29"/>
  <c r="R5" i="29"/>
  <c r="P5" i="29"/>
  <c r="O5" i="29"/>
  <c r="N5" i="29"/>
  <c r="M5" i="29"/>
  <c r="L5" i="29"/>
  <c r="G5" i="29"/>
  <c r="F5" i="29"/>
  <c r="E5" i="29"/>
  <c r="D5" i="29"/>
  <c r="C5" i="29"/>
  <c r="BT11" i="29"/>
  <c r="BS11" i="29"/>
  <c r="BR11" i="29"/>
  <c r="BQ11" i="29"/>
  <c r="BN4" i="29"/>
  <c r="BM4" i="29"/>
  <c r="BM159" i="29" s="1"/>
  <c r="BL4" i="29"/>
  <c r="BL37" i="29" s="1"/>
  <c r="BI4" i="29"/>
  <c r="BH4" i="29"/>
  <c r="BH37" i="29" s="1"/>
  <c r="BG4" i="29"/>
  <c r="BF4" i="29"/>
  <c r="BE4" i="29"/>
  <c r="AZ4" i="29"/>
  <c r="AU4" i="29"/>
  <c r="AU159" i="29" s="1"/>
  <c r="AP4" i="29"/>
  <c r="AK4" i="29"/>
  <c r="AF4" i="29"/>
  <c r="AF37" i="29" s="1"/>
  <c r="AC4" i="29"/>
  <c r="AC154" i="29" s="1"/>
  <c r="AC155" i="29" s="1"/>
  <c r="AA4" i="29"/>
  <c r="V4" i="29"/>
  <c r="Q4" i="29"/>
  <c r="L4" i="29"/>
  <c r="L35" i="29" s="1"/>
  <c r="L36" i="29" s="1"/>
  <c r="CJ273" i="136"/>
  <c r="CI273" i="136"/>
  <c r="CH273" i="136"/>
  <c r="CG273" i="136"/>
  <c r="CJ272" i="136"/>
  <c r="CI272" i="136"/>
  <c r="CH272" i="136"/>
  <c r="CG272" i="136"/>
  <c r="P61" i="136"/>
  <c r="O61" i="136"/>
  <c r="O59" i="136"/>
  <c r="O50" i="136"/>
  <c r="N50" i="136"/>
  <c r="T48" i="136"/>
  <c r="S48" i="136"/>
  <c r="R48" i="136"/>
  <c r="Q48" i="136"/>
  <c r="P48" i="136"/>
  <c r="O48" i="136"/>
  <c r="N48" i="136"/>
  <c r="O47" i="136"/>
  <c r="N47" i="136"/>
  <c r="O46" i="136"/>
  <c r="N46" i="136"/>
  <c r="O44" i="136"/>
  <c r="N44" i="136"/>
  <c r="O42" i="136"/>
  <c r="N42" i="136"/>
  <c r="N43" i="136" s="1"/>
  <c r="O40" i="136"/>
  <c r="O52" i="136" s="1"/>
  <c r="N40" i="136"/>
  <c r="N52" i="136" s="1"/>
  <c r="P36" i="136"/>
  <c r="O36" i="136"/>
  <c r="N36" i="136"/>
  <c r="P33" i="136"/>
  <c r="O33" i="136"/>
  <c r="N33" i="136"/>
  <c r="T32" i="136"/>
  <c r="S32" i="136"/>
  <c r="R32" i="136"/>
  <c r="Q32" i="136"/>
  <c r="P32" i="136"/>
  <c r="O32" i="136"/>
  <c r="N32" i="136"/>
  <c r="T31" i="136"/>
  <c r="S31" i="136"/>
  <c r="R31" i="136"/>
  <c r="Q31" i="136"/>
  <c r="P31" i="136"/>
  <c r="O31" i="136"/>
  <c r="P25" i="136"/>
  <c r="O25" i="136"/>
  <c r="N25" i="136"/>
  <c r="N21" i="136"/>
  <c r="N20" i="136"/>
  <c r="N19" i="136"/>
  <c r="N18" i="136"/>
  <c r="P22" i="136"/>
  <c r="O22" i="136"/>
  <c r="P21" i="136"/>
  <c r="O21" i="136"/>
  <c r="P20" i="136"/>
  <c r="O20" i="136"/>
  <c r="P19" i="136"/>
  <c r="O19" i="136"/>
  <c r="P18" i="136"/>
  <c r="O18" i="136"/>
  <c r="O23" i="136" s="1"/>
  <c r="N12" i="136"/>
  <c r="N11" i="136"/>
  <c r="N10" i="136"/>
  <c r="N9" i="136"/>
  <c r="H10" i="136"/>
  <c r="F10" i="136"/>
  <c r="Q13" i="136"/>
  <c r="P13" i="136"/>
  <c r="O13" i="136"/>
  <c r="O9" i="136"/>
  <c r="E36" i="136" s="1"/>
  <c r="B2" i="136"/>
  <c r="C6" i="135"/>
  <c r="N49" i="136" l="1"/>
  <c r="N23" i="136"/>
  <c r="N56" i="136"/>
  <c r="O43" i="136"/>
  <c r="O56" i="136"/>
  <c r="N14" i="136"/>
  <c r="BO10" i="29"/>
  <c r="BQ9" i="29"/>
  <c r="BK38" i="29"/>
  <c r="BJ149" i="29"/>
  <c r="AT149" i="29"/>
  <c r="AU148" i="29"/>
  <c r="AU149" i="29" s="1"/>
  <c r="BP43" i="29"/>
  <c r="BZ178" i="29"/>
  <c r="BZ180" i="29" s="1"/>
  <c r="R22" i="136" s="1"/>
  <c r="R13" i="136"/>
  <c r="CE80" i="29"/>
  <c r="BP102" i="29"/>
  <c r="BD152" i="29"/>
  <c r="BD147" i="29"/>
  <c r="BU21" i="29"/>
  <c r="BZ20" i="29"/>
  <c r="CE20" i="29" s="1"/>
  <c r="CJ20" i="29" s="1"/>
  <c r="BO149" i="29"/>
  <c r="BP148" i="29"/>
  <c r="BO144" i="29"/>
  <c r="BU42" i="29"/>
  <c r="AP58" i="29"/>
  <c r="AP123" i="29"/>
  <c r="AU123" i="29"/>
  <c r="AU124" i="29" s="1"/>
  <c r="AU58" i="29"/>
  <c r="BP69" i="29"/>
  <c r="AO93" i="29"/>
  <c r="BU102" i="29"/>
  <c r="BP96" i="29"/>
  <c r="BP166" i="29"/>
  <c r="BP161" i="29"/>
  <c r="P10" i="136"/>
  <c r="F44" i="136" s="1"/>
  <c r="AK124" i="29"/>
  <c r="CJ12" i="29"/>
  <c r="CJ11" i="29" s="1"/>
  <c r="CE11" i="29"/>
  <c r="BU45" i="29"/>
  <c r="BP45" i="29"/>
  <c r="BP46" i="29"/>
  <c r="AA58" i="29"/>
  <c r="BG215" i="29"/>
  <c r="BG202" i="29"/>
  <c r="BG210" i="29"/>
  <c r="BG227" i="29"/>
  <c r="BG143" i="29"/>
  <c r="BG116" i="29"/>
  <c r="BG131" i="29"/>
  <c r="BG133" i="29" s="1"/>
  <c r="BG139" i="29"/>
  <c r="BG141" i="29"/>
  <c r="BG134" i="29"/>
  <c r="BG135" i="29" s="1"/>
  <c r="BG137" i="29" s="1"/>
  <c r="AT93" i="29"/>
  <c r="BU99" i="29"/>
  <c r="BJ191" i="29"/>
  <c r="BJ186" i="29"/>
  <c r="BJ113" i="29"/>
  <c r="BJ114" i="29" s="1"/>
  <c r="BJ115" i="29"/>
  <c r="Q159" i="29"/>
  <c r="Q154" i="29"/>
  <c r="Q128" i="29"/>
  <c r="Q64" i="29" s="1"/>
  <c r="AZ159" i="29"/>
  <c r="AZ160" i="29" s="1"/>
  <c r="AZ154" i="29"/>
  <c r="AZ128" i="29"/>
  <c r="AZ64" i="29" s="1"/>
  <c r="BM5" i="29"/>
  <c r="BE166" i="29"/>
  <c r="BE161" i="29"/>
  <c r="BE162" i="29" s="1"/>
  <c r="Q37" i="29"/>
  <c r="AF35" i="29"/>
  <c r="AF36" i="29" s="1"/>
  <c r="BO46" i="29"/>
  <c r="BO52" i="29"/>
  <c r="Y58" i="29"/>
  <c r="BJ168" i="29"/>
  <c r="BJ173" i="29"/>
  <c r="BN58" i="29"/>
  <c r="BN63" i="29"/>
  <c r="AK61" i="29"/>
  <c r="AU173" i="29"/>
  <c r="AU174" i="29" s="1"/>
  <c r="AU168" i="29"/>
  <c r="AU169" i="29" s="1"/>
  <c r="BR63" i="29"/>
  <c r="AP67" i="29"/>
  <c r="BO59" i="29"/>
  <c r="BO60" i="29" s="1"/>
  <c r="BU68" i="29"/>
  <c r="AF70" i="29"/>
  <c r="BP123" i="29"/>
  <c r="BP124" i="29" s="1"/>
  <c r="AP79" i="29"/>
  <c r="AU186" i="29"/>
  <c r="AU191" i="29"/>
  <c r="AU192" i="29" s="1"/>
  <c r="BK92" i="29"/>
  <c r="AA93" i="29"/>
  <c r="AU93" i="29"/>
  <c r="AA94" i="29"/>
  <c r="BU95" i="29"/>
  <c r="BE112" i="29"/>
  <c r="Y117" i="29"/>
  <c r="AG118" i="29"/>
  <c r="AG127" i="29"/>
  <c r="AS127" i="29"/>
  <c r="AO120" i="29"/>
  <c r="P195" i="29"/>
  <c r="P197" i="29"/>
  <c r="I195" i="29"/>
  <c r="I118" i="29"/>
  <c r="I127" i="29"/>
  <c r="AB340" i="29"/>
  <c r="AB215" i="29"/>
  <c r="AB150" i="29"/>
  <c r="AB151" i="29" s="1"/>
  <c r="AB129" i="29"/>
  <c r="BP130" i="29"/>
  <c r="AK150" i="29"/>
  <c r="AK151" i="29" s="1"/>
  <c r="AK152" i="29"/>
  <c r="AK145" i="29"/>
  <c r="AL150" i="29"/>
  <c r="AL151" i="29" s="1"/>
  <c r="BO163" i="29"/>
  <c r="BQ164" i="29"/>
  <c r="BQ166" i="29" s="1"/>
  <c r="AP168" i="29"/>
  <c r="AP169" i="29" s="1"/>
  <c r="AP172" i="29"/>
  <c r="AP170" i="29"/>
  <c r="V154" i="29"/>
  <c r="V159" i="29"/>
  <c r="V160" i="29" s="1"/>
  <c r="V156" i="29"/>
  <c r="V128" i="29"/>
  <c r="AK159" i="29"/>
  <c r="AK128" i="29"/>
  <c r="BE159" i="29"/>
  <c r="BE160" i="29" s="1"/>
  <c r="BE128" i="29"/>
  <c r="BE6" i="29" s="1"/>
  <c r="BI128" i="29"/>
  <c r="BI159" i="29"/>
  <c r="BN159" i="29"/>
  <c r="BN160" i="29" s="1"/>
  <c r="BN128" i="29"/>
  <c r="BN6" i="29" s="1"/>
  <c r="Q5" i="29"/>
  <c r="AK5" i="29"/>
  <c r="BF5" i="29"/>
  <c r="BN5" i="29"/>
  <c r="Q6" i="29"/>
  <c r="AC6" i="29"/>
  <c r="AK6" i="29"/>
  <c r="BK20" i="29"/>
  <c r="BK21" i="29" s="1"/>
  <c r="BC21" i="29"/>
  <c r="BG21" i="29"/>
  <c r="BT22" i="29"/>
  <c r="BU22" i="29" s="1"/>
  <c r="AY148" i="29"/>
  <c r="AY30" i="29"/>
  <c r="BE148" i="29"/>
  <c r="BE30" i="29"/>
  <c r="BL149" i="29"/>
  <c r="BP29" i="29"/>
  <c r="BP30" i="29" s="1"/>
  <c r="AK29" i="29"/>
  <c r="AK30" i="29" s="1"/>
  <c r="AR148" i="29"/>
  <c r="AR149" i="29" s="1"/>
  <c r="AK31" i="29"/>
  <c r="AP26" i="29"/>
  <c r="AV35" i="29"/>
  <c r="AV36" i="29" s="1"/>
  <c r="BB35" i="29"/>
  <c r="BB36" i="29" s="1"/>
  <c r="BF35" i="29"/>
  <c r="BF36" i="29" s="1"/>
  <c r="BK35" i="29"/>
  <c r="BK36" i="29" s="1"/>
  <c r="BF38" i="29"/>
  <c r="BJ38" i="29"/>
  <c r="L200" i="29"/>
  <c r="L167" i="29"/>
  <c r="Q167" i="29"/>
  <c r="V167" i="29"/>
  <c r="AA161" i="29"/>
  <c r="AA166" i="29"/>
  <c r="AK200" i="29"/>
  <c r="AK201" i="29" s="1"/>
  <c r="AK167" i="29"/>
  <c r="AU166" i="29"/>
  <c r="AU161" i="29"/>
  <c r="BR38" i="29"/>
  <c r="BR43" i="29" s="1"/>
  <c r="L39" i="29"/>
  <c r="AF39" i="29"/>
  <c r="AZ39" i="29"/>
  <c r="BE39" i="29"/>
  <c r="AB40" i="29"/>
  <c r="AR40" i="29"/>
  <c r="BM43" i="29"/>
  <c r="AU43" i="29"/>
  <c r="AZ46" i="29"/>
  <c r="BK47" i="29"/>
  <c r="BL49" i="29"/>
  <c r="BO35" i="29"/>
  <c r="BO36" i="29" s="1"/>
  <c r="BO39" i="29"/>
  <c r="BO43" i="29"/>
  <c r="BL52" i="29"/>
  <c r="BU50" i="29"/>
  <c r="BK121" i="29"/>
  <c r="BK122" i="29" s="1"/>
  <c r="BK146" i="29"/>
  <c r="Z58" i="29"/>
  <c r="AY123" i="29"/>
  <c r="AY124" i="29" s="1"/>
  <c r="AY58" i="29"/>
  <c r="BK56" i="29"/>
  <c r="BK57" i="29"/>
  <c r="BK62" i="29"/>
  <c r="AB58" i="29"/>
  <c r="BF59" i="29"/>
  <c r="BF60" i="29" s="1"/>
  <c r="BF61" i="29"/>
  <c r="L61" i="29"/>
  <c r="Q61" i="29"/>
  <c r="V61" i="29"/>
  <c r="AA56" i="29"/>
  <c r="AF59" i="29"/>
  <c r="AF60" i="29" s="1"/>
  <c r="AK58" i="29"/>
  <c r="AU59" i="29"/>
  <c r="AU60" i="29" s="1"/>
  <c r="AZ59" i="29"/>
  <c r="AZ60" i="29" s="1"/>
  <c r="BE204" i="29"/>
  <c r="BE168" i="29"/>
  <c r="BE169" i="29" s="1"/>
  <c r="BE173" i="29"/>
  <c r="BE174" i="29" s="1"/>
  <c r="BS173" i="29"/>
  <c r="BS171" i="29"/>
  <c r="BS63" i="29"/>
  <c r="Q63" i="29"/>
  <c r="AK63" i="29"/>
  <c r="AS63" i="29"/>
  <c r="AT63" i="29" s="1"/>
  <c r="BF63" i="29"/>
  <c r="AK64" i="29"/>
  <c r="BE64" i="29"/>
  <c r="BN67" i="29"/>
  <c r="BO69" i="29"/>
  <c r="BO70" i="29"/>
  <c r="BU65" i="29"/>
  <c r="AU72" i="29"/>
  <c r="BP42" i="29"/>
  <c r="BP50" i="29"/>
  <c r="BP54" i="29"/>
  <c r="BP58" i="29"/>
  <c r="BP66" i="29"/>
  <c r="AZ75" i="29"/>
  <c r="AZ76" i="29" s="1"/>
  <c r="BK75" i="29"/>
  <c r="BK76" i="29" s="1"/>
  <c r="AK76" i="29"/>
  <c r="BI77" i="29"/>
  <c r="BI78" i="29" s="1"/>
  <c r="BM77" i="29"/>
  <c r="BM78" i="29" s="1"/>
  <c r="AL77" i="29"/>
  <c r="AL78" i="29" s="1"/>
  <c r="AP77" i="29"/>
  <c r="AP78" i="29" s="1"/>
  <c r="BE77" i="29"/>
  <c r="BE78" i="29" s="1"/>
  <c r="AA79" i="29"/>
  <c r="AU79" i="29"/>
  <c r="AF192" i="29"/>
  <c r="AZ191" i="29"/>
  <c r="AZ106" i="29"/>
  <c r="BH191" i="29"/>
  <c r="BH186" i="29"/>
  <c r="BL191" i="29"/>
  <c r="BL188" i="29"/>
  <c r="BL186" i="29"/>
  <c r="BL93" i="29"/>
  <c r="BR189" i="29"/>
  <c r="BR191" i="29"/>
  <c r="BR192" i="29" s="1"/>
  <c r="BR93" i="29"/>
  <c r="L93" i="29"/>
  <c r="AF93" i="29"/>
  <c r="AN93" i="29"/>
  <c r="AZ93" i="29"/>
  <c r="AB94" i="29"/>
  <c r="AR94" i="29"/>
  <c r="BM97" i="29"/>
  <c r="V97" i="29"/>
  <c r="AF97" i="29"/>
  <c r="AP97" i="29"/>
  <c r="AZ97" i="29"/>
  <c r="BK98" i="29"/>
  <c r="BP99" i="29" s="1"/>
  <c r="BL100" i="29"/>
  <c r="BQ100" i="29"/>
  <c r="Q103" i="29"/>
  <c r="AA103" i="29"/>
  <c r="AU103" i="29"/>
  <c r="BT104" i="29"/>
  <c r="BU104" i="29" s="1"/>
  <c r="BO93" i="29"/>
  <c r="BO97" i="29"/>
  <c r="BL106" i="29"/>
  <c r="V106" i="29"/>
  <c r="AF103" i="29"/>
  <c r="AK108" i="29"/>
  <c r="AP106" i="29"/>
  <c r="AU111" i="29"/>
  <c r="AU112" i="29" s="1"/>
  <c r="BB117" i="29"/>
  <c r="BB118" i="29"/>
  <c r="BB120" i="29"/>
  <c r="BB123" i="29"/>
  <c r="BB124" i="29" s="1"/>
  <c r="BB125" i="29"/>
  <c r="BB126" i="29" s="1"/>
  <c r="AA111" i="29"/>
  <c r="AA112" i="29" s="1"/>
  <c r="AL113" i="29"/>
  <c r="AL114" i="29" s="1"/>
  <c r="AP113" i="29"/>
  <c r="AP114" i="29" s="1"/>
  <c r="AP115" i="29"/>
  <c r="AH195" i="29"/>
  <c r="AL196" i="29"/>
  <c r="Z117" i="29"/>
  <c r="AD117" i="29"/>
  <c r="AL117" i="29"/>
  <c r="AX117" i="29"/>
  <c r="Z118" i="29"/>
  <c r="AH118" i="29"/>
  <c r="AL118" i="29"/>
  <c r="AT118" i="29"/>
  <c r="Z125" i="29"/>
  <c r="Z126" i="29" s="1"/>
  <c r="Z127" i="29"/>
  <c r="AD125" i="29"/>
  <c r="AD126" i="29" s="1"/>
  <c r="AD127" i="29"/>
  <c r="AH125" i="29"/>
  <c r="AH126" i="29" s="1"/>
  <c r="AH127" i="29"/>
  <c r="AL127" i="29"/>
  <c r="AP119" i="29"/>
  <c r="AT125" i="29"/>
  <c r="AT126" i="29" s="1"/>
  <c r="AT127" i="29"/>
  <c r="AX125" i="29"/>
  <c r="AX126" i="29" s="1"/>
  <c r="AX127" i="29"/>
  <c r="Z120" i="29"/>
  <c r="AD120" i="29"/>
  <c r="AH120" i="29"/>
  <c r="AL120" i="29"/>
  <c r="AT120" i="29"/>
  <c r="AX120" i="29"/>
  <c r="Z123" i="29"/>
  <c r="Z124" i="29" s="1"/>
  <c r="AD123" i="29"/>
  <c r="AD124" i="29" s="1"/>
  <c r="AH123" i="29"/>
  <c r="AH124" i="29" s="1"/>
  <c r="AT123" i="29"/>
  <c r="AT124" i="29" s="1"/>
  <c r="AX123" i="29"/>
  <c r="AX124" i="29" s="1"/>
  <c r="BO113" i="29"/>
  <c r="BO114" i="29" s="1"/>
  <c r="V113" i="29"/>
  <c r="V114" i="29" s="1"/>
  <c r="L115" i="29"/>
  <c r="R117" i="29"/>
  <c r="O118" i="29"/>
  <c r="S118" i="29"/>
  <c r="P127" i="29"/>
  <c r="P125" i="29"/>
  <c r="P126" i="29" s="1"/>
  <c r="T127" i="29"/>
  <c r="T125" i="29"/>
  <c r="T126" i="29" s="1"/>
  <c r="M120" i="29"/>
  <c r="U120" i="29"/>
  <c r="F117" i="29"/>
  <c r="B127" i="29"/>
  <c r="F127" i="29"/>
  <c r="J127" i="29"/>
  <c r="BM123" i="29"/>
  <c r="BM124" i="29" s="1"/>
  <c r="Y125" i="29"/>
  <c r="Y126" i="29" s="1"/>
  <c r="X340" i="29"/>
  <c r="X215" i="29"/>
  <c r="X212" i="29"/>
  <c r="X150" i="29"/>
  <c r="X151" i="29" s="1"/>
  <c r="X129" i="29"/>
  <c r="BG127" i="29"/>
  <c r="BB340" i="29"/>
  <c r="BB215" i="29"/>
  <c r="BB305" i="29" s="1"/>
  <c r="BB202" i="29"/>
  <c r="BB210" i="29"/>
  <c r="AZ113" i="29"/>
  <c r="AZ114" i="29" s="1"/>
  <c r="BP140" i="29"/>
  <c r="AY125" i="29"/>
  <c r="AY126" i="29" s="1"/>
  <c r="BL144" i="29"/>
  <c r="AK147" i="29"/>
  <c r="AO149" i="29"/>
  <c r="X152" i="29"/>
  <c r="BE154" i="29"/>
  <c r="BE155" i="29" s="1"/>
  <c r="G155" i="29"/>
  <c r="BP213" i="29"/>
  <c r="BP158" i="29"/>
  <c r="F160" i="29"/>
  <c r="F162" i="29"/>
  <c r="E162" i="29"/>
  <c r="AK154" i="29"/>
  <c r="S167" i="29"/>
  <c r="AC167" i="29"/>
  <c r="BC169" i="29"/>
  <c r="AW169" i="29"/>
  <c r="AF170" i="29"/>
  <c r="AU172" i="29"/>
  <c r="BH159" i="29"/>
  <c r="BM160" i="29" s="1"/>
  <c r="BH128" i="29"/>
  <c r="BH154" i="29"/>
  <c r="AF5" i="29"/>
  <c r="AZ5" i="29"/>
  <c r="BG149" i="29"/>
  <c r="BG144" i="29"/>
  <c r="BG152" i="29" s="1"/>
  <c r="AP37" i="29"/>
  <c r="BN166" i="29"/>
  <c r="BN163" i="29"/>
  <c r="BN161" i="29"/>
  <c r="BI166" i="29"/>
  <c r="BI161" i="29"/>
  <c r="AK33" i="29"/>
  <c r="AK34" i="29" s="1"/>
  <c r="AK37" i="29"/>
  <c r="BQ39" i="29"/>
  <c r="BO51" i="29"/>
  <c r="BN61" i="29"/>
  <c r="AZ173" i="29"/>
  <c r="AZ174" i="29" s="1"/>
  <c r="AZ170" i="29"/>
  <c r="AF63" i="29"/>
  <c r="AZ63" i="29"/>
  <c r="AF67" i="29"/>
  <c r="BN70" i="29"/>
  <c r="BP120" i="29"/>
  <c r="BP61" i="29"/>
  <c r="BQ189" i="29"/>
  <c r="BQ191" i="29" s="1"/>
  <c r="BQ192" i="29" s="1"/>
  <c r="AA100" i="29"/>
  <c r="BO100" i="29"/>
  <c r="BO105" i="29"/>
  <c r="AP105" i="29"/>
  <c r="BE123" i="29"/>
  <c r="BE124" i="29" s="1"/>
  <c r="AS195" i="29"/>
  <c r="AS197" i="29"/>
  <c r="AW118" i="29"/>
  <c r="AS120" i="29"/>
  <c r="T195" i="29"/>
  <c r="T196" i="29" s="1"/>
  <c r="T197" i="29"/>
  <c r="U117" i="29"/>
  <c r="T120" i="29"/>
  <c r="BP138" i="29"/>
  <c r="BH152" i="29"/>
  <c r="BB144" i="29"/>
  <c r="BB149" i="29" s="1"/>
  <c r="AA159" i="29"/>
  <c r="AA160" i="29" s="1"/>
  <c r="AA128" i="29"/>
  <c r="AP154" i="29"/>
  <c r="AP155" i="29" s="1"/>
  <c r="AP128" i="29"/>
  <c r="AP159" i="29"/>
  <c r="AP160" i="29" s="1"/>
  <c r="BJ4" i="29"/>
  <c r="BO5" i="29" s="1"/>
  <c r="V5" i="29"/>
  <c r="AP5" i="29"/>
  <c r="V6" i="29"/>
  <c r="BD21" i="29"/>
  <c r="AK26" i="29"/>
  <c r="AV30" i="29"/>
  <c r="BB30" i="29"/>
  <c r="BI148" i="29"/>
  <c r="BG30" i="29"/>
  <c r="BK30" i="29"/>
  <c r="BO30" i="29"/>
  <c r="AP31" i="29"/>
  <c r="AU26" i="29"/>
  <c r="AZ29" i="29"/>
  <c r="AZ30" i="29" s="1"/>
  <c r="AL35" i="29"/>
  <c r="AL36" i="29" s="1"/>
  <c r="AP35" i="29"/>
  <c r="AP36" i="29" s="1"/>
  <c r="BL35" i="29"/>
  <c r="BL36" i="29" s="1"/>
  <c r="BL166" i="29"/>
  <c r="BL163" i="29"/>
  <c r="BL161" i="29"/>
  <c r="BL39" i="29"/>
  <c r="BL40" i="29"/>
  <c r="BE37" i="29"/>
  <c r="BI37" i="29"/>
  <c r="BG166" i="29"/>
  <c r="BG161" i="29"/>
  <c r="Q35" i="29"/>
  <c r="Q36" i="29" s="1"/>
  <c r="V35" i="29"/>
  <c r="V36" i="29" s="1"/>
  <c r="AA35" i="29"/>
  <c r="AA36" i="29" s="1"/>
  <c r="AK35" i="29"/>
  <c r="AK36" i="29" s="1"/>
  <c r="AO166" i="29"/>
  <c r="AO161" i="29"/>
  <c r="AO162" i="29" s="1"/>
  <c r="AO128" i="29"/>
  <c r="AT163" i="29"/>
  <c r="AU35" i="29"/>
  <c r="AU36" i="29" s="1"/>
  <c r="AZ33" i="29"/>
  <c r="AZ34" i="29" s="1"/>
  <c r="AZ37" i="29"/>
  <c r="BS38" i="29"/>
  <c r="BS46" i="29" s="1"/>
  <c r="Q39" i="29"/>
  <c r="AK39" i="29"/>
  <c r="AO39" i="29"/>
  <c r="Q40" i="29"/>
  <c r="AK40" i="29"/>
  <c r="BE40" i="29"/>
  <c r="BN43" i="29"/>
  <c r="BQ43" i="29"/>
  <c r="AE44" i="29"/>
  <c r="AI44" i="29"/>
  <c r="BL46" i="29"/>
  <c r="BM49" i="29"/>
  <c r="AU49" i="29"/>
  <c r="BU47" i="29"/>
  <c r="AK54" i="29"/>
  <c r="W58" i="29"/>
  <c r="AV58" i="29"/>
  <c r="BF56" i="29"/>
  <c r="BF58" i="29"/>
  <c r="BI59" i="29"/>
  <c r="BI60" i="29" s="1"/>
  <c r="BH173" i="29"/>
  <c r="BH168" i="29"/>
  <c r="BL58" i="29"/>
  <c r="BL59" i="29"/>
  <c r="BL60" i="29" s="1"/>
  <c r="BL61" i="29"/>
  <c r="BL173" i="29"/>
  <c r="BL174" i="29" s="1"/>
  <c r="BL170" i="29"/>
  <c r="BL168" i="29"/>
  <c r="BL63" i="29"/>
  <c r="AO58" i="29"/>
  <c r="AO59" i="29"/>
  <c r="AO60" i="29" s="1"/>
  <c r="AO61" i="29"/>
  <c r="AT58" i="29"/>
  <c r="BG61" i="29"/>
  <c r="L170" i="29"/>
  <c r="L173" i="29"/>
  <c r="L174" i="29" s="1"/>
  <c r="Q168" i="29"/>
  <c r="Q173" i="29"/>
  <c r="V173" i="29"/>
  <c r="V174" i="29" s="1"/>
  <c r="V168" i="29"/>
  <c r="V169" i="29" s="1"/>
  <c r="AA61" i="29"/>
  <c r="AK59" i="29"/>
  <c r="AK60" i="29" s="1"/>
  <c r="AU52" i="29"/>
  <c r="BF204" i="29"/>
  <c r="BF173" i="29"/>
  <c r="BF170" i="29"/>
  <c r="BT173" i="29"/>
  <c r="BT171" i="29"/>
  <c r="V63" i="29"/>
  <c r="AP63" i="29"/>
  <c r="V64" i="29"/>
  <c r="Q67" i="29"/>
  <c r="AA67" i="29"/>
  <c r="AK67" i="29"/>
  <c r="AU67" i="29"/>
  <c r="BF67" i="29"/>
  <c r="BO61" i="29"/>
  <c r="BL70" i="29"/>
  <c r="Q70" i="29"/>
  <c r="AA70" i="29"/>
  <c r="AK72" i="29"/>
  <c r="AP70" i="29"/>
  <c r="AZ72" i="29"/>
  <c r="BP47" i="29"/>
  <c r="BP121" i="29"/>
  <c r="BP122" i="29" s="1"/>
  <c r="BP59" i="29"/>
  <c r="BP60" i="29" s="1"/>
  <c r="BO76" i="29"/>
  <c r="BJ77" i="29"/>
  <c r="BJ78" i="29" s="1"/>
  <c r="AU77" i="29"/>
  <c r="AU78" i="29" s="1"/>
  <c r="BB77" i="29"/>
  <c r="BB78" i="29" s="1"/>
  <c r="BF77" i="29"/>
  <c r="BF78" i="29" s="1"/>
  <c r="L79" i="29"/>
  <c r="AZ79" i="29"/>
  <c r="BE79" i="29"/>
  <c r="BE191" i="29"/>
  <c r="BE192" i="29" s="1"/>
  <c r="BE186" i="29"/>
  <c r="BE187" i="29" s="1"/>
  <c r="BI191" i="29"/>
  <c r="BI186" i="29"/>
  <c r="BM191" i="29"/>
  <c r="BM188" i="29"/>
  <c r="BM186" i="29"/>
  <c r="BR187" i="29" s="1"/>
  <c r="BM93" i="29"/>
  <c r="BS92" i="29"/>
  <c r="BS97" i="29" s="1"/>
  <c r="Q93" i="29"/>
  <c r="AK93" i="29"/>
  <c r="Q94" i="29"/>
  <c r="AK94" i="29"/>
  <c r="BE94" i="29"/>
  <c r="BN97" i="29"/>
  <c r="BM100" i="29"/>
  <c r="V100" i="29"/>
  <c r="AF100" i="29"/>
  <c r="AP100" i="29"/>
  <c r="AZ100" i="29"/>
  <c r="BK101" i="29"/>
  <c r="BL103" i="29"/>
  <c r="BQ103" i="29"/>
  <c r="BM106" i="29"/>
  <c r="AF104" i="29"/>
  <c r="AK105" i="29" s="1"/>
  <c r="AU106" i="29"/>
  <c r="BP92" i="29"/>
  <c r="BP103" i="29" s="1"/>
  <c r="BP104" i="29"/>
  <c r="BC195" i="29"/>
  <c r="BC196" i="29" s="1"/>
  <c r="BC197" i="29"/>
  <c r="BC117" i="29"/>
  <c r="BC118" i="29"/>
  <c r="BC120" i="29"/>
  <c r="BC123" i="29"/>
  <c r="BC124" i="29" s="1"/>
  <c r="BC125" i="29"/>
  <c r="BC126" i="29" s="1"/>
  <c r="AA113" i="29"/>
  <c r="AA114" i="29" s="1"/>
  <c r="AQ113" i="29"/>
  <c r="AQ114" i="29" s="1"/>
  <c r="AU113" i="29"/>
  <c r="AU114" i="29" s="1"/>
  <c r="AA115" i="29"/>
  <c r="AU115" i="29"/>
  <c r="AE195" i="29"/>
  <c r="AE196" i="29" s="1"/>
  <c r="AE197" i="29"/>
  <c r="AI196" i="29"/>
  <c r="AM195" i="29"/>
  <c r="AM196" i="29" s="1"/>
  <c r="AM197" i="29"/>
  <c r="W117" i="29"/>
  <c r="AE117" i="29"/>
  <c r="AI117" i="29"/>
  <c r="AM117" i="29"/>
  <c r="AQ117" i="29"/>
  <c r="W118" i="29"/>
  <c r="AE118" i="29"/>
  <c r="AI118" i="29"/>
  <c r="AM118" i="29"/>
  <c r="AQ118" i="29"/>
  <c r="W125" i="29"/>
  <c r="W126" i="29" s="1"/>
  <c r="AE125" i="29"/>
  <c r="AE126" i="29" s="1"/>
  <c r="AI125" i="29"/>
  <c r="AI126" i="29" s="1"/>
  <c r="AM125" i="29"/>
  <c r="AM126" i="29" s="1"/>
  <c r="AU119" i="29"/>
  <c r="W120" i="29"/>
  <c r="AA120" i="29"/>
  <c r="AE120" i="29"/>
  <c r="AI120" i="29"/>
  <c r="AM120" i="29"/>
  <c r="AQ120" i="29"/>
  <c r="AE123" i="29"/>
  <c r="AE124" i="29" s="1"/>
  <c r="AI123" i="29"/>
  <c r="AI124" i="29" s="1"/>
  <c r="AQ123" i="29"/>
  <c r="AQ124" i="29" s="1"/>
  <c r="BH113" i="29"/>
  <c r="BH114" i="29" s="1"/>
  <c r="BL113" i="29"/>
  <c r="BL114" i="29" s="1"/>
  <c r="Q115" i="29"/>
  <c r="N197" i="29"/>
  <c r="N195" i="29"/>
  <c r="S117" i="29"/>
  <c r="P118" i="29"/>
  <c r="T118" i="29"/>
  <c r="R120" i="29"/>
  <c r="V120" i="29"/>
  <c r="C195" i="29"/>
  <c r="C118" i="29"/>
  <c r="G195" i="29"/>
  <c r="G118" i="29"/>
  <c r="G117" i="29"/>
  <c r="K195" i="29"/>
  <c r="K118" i="29"/>
  <c r="C125" i="29"/>
  <c r="C126" i="29" s="1"/>
  <c r="G125" i="29"/>
  <c r="G126" i="29" s="1"/>
  <c r="K125" i="29"/>
  <c r="K126" i="29" s="1"/>
  <c r="F125" i="29"/>
  <c r="F126" i="29" s="1"/>
  <c r="M125" i="29"/>
  <c r="M126" i="29" s="1"/>
  <c r="AS125" i="29"/>
  <c r="AS126" i="29" s="1"/>
  <c r="O127" i="29"/>
  <c r="AE127" i="29"/>
  <c r="T340" i="29"/>
  <c r="T215" i="29"/>
  <c r="T150" i="29"/>
  <c r="T151" i="29" s="1"/>
  <c r="T129" i="29"/>
  <c r="AN340" i="29"/>
  <c r="AN215" i="29"/>
  <c r="AN150" i="29"/>
  <c r="AN151" i="29" s="1"/>
  <c r="AN129" i="29"/>
  <c r="AT129" i="29"/>
  <c r="AS129" i="29"/>
  <c r="B340" i="29"/>
  <c r="B215" i="29"/>
  <c r="B210" i="29"/>
  <c r="B152" i="29"/>
  <c r="F340" i="29"/>
  <c r="F215" i="29"/>
  <c r="F210" i="29"/>
  <c r="F152" i="29"/>
  <c r="F129" i="29"/>
  <c r="F150" i="29"/>
  <c r="F151" i="29" s="1"/>
  <c r="J340" i="29"/>
  <c r="J215" i="29"/>
  <c r="J210" i="29"/>
  <c r="J152" i="29"/>
  <c r="J150" i="29"/>
  <c r="J151" i="29" s="1"/>
  <c r="AZ115" i="29"/>
  <c r="BP142" i="29"/>
  <c r="BB131" i="29"/>
  <c r="BB133" i="29" s="1"/>
  <c r="AY117" i="29"/>
  <c r="BE131" i="29"/>
  <c r="BE133" i="29" s="1"/>
  <c r="F140" i="29"/>
  <c r="BM144" i="29"/>
  <c r="BM147" i="29"/>
  <c r="AX148" i="29"/>
  <c r="BH147" i="29"/>
  <c r="BD149" i="29"/>
  <c r="AB152" i="29"/>
  <c r="BB155" i="29"/>
  <c r="BI154" i="29"/>
  <c r="BN156" i="29"/>
  <c r="AQ160" i="29"/>
  <c r="BC162" i="29"/>
  <c r="AW162" i="29"/>
  <c r="BO161" i="29"/>
  <c r="BF198" i="29"/>
  <c r="BF165" i="29"/>
  <c r="BF163" i="29"/>
  <c r="S201" i="29"/>
  <c r="AC201" i="29"/>
  <c r="AA154" i="29"/>
  <c r="AA155" i="29" s="1"/>
  <c r="AB187" i="29"/>
  <c r="AF159" i="29"/>
  <c r="AF160" i="29" s="1"/>
  <c r="BM128" i="29"/>
  <c r="BM156" i="29"/>
  <c r="BM154" i="29"/>
  <c r="BR155" i="29" s="1"/>
  <c r="BM6" i="29"/>
  <c r="BO159" i="29"/>
  <c r="BO156" i="29"/>
  <c r="BO154" i="29"/>
  <c r="BJ21" i="29"/>
  <c r="BD30" i="29"/>
  <c r="AP33" i="29"/>
  <c r="AP34" i="29" s="1"/>
  <c r="BN39" i="29"/>
  <c r="BN40" i="29"/>
  <c r="AZ35" i="29"/>
  <c r="AZ36" i="29" s="1"/>
  <c r="BQ46" i="29"/>
  <c r="BI61" i="29"/>
  <c r="BN59" i="29"/>
  <c r="BN60" i="29" s="1"/>
  <c r="BN170" i="29"/>
  <c r="BN168" i="29"/>
  <c r="BN173" i="29"/>
  <c r="BN174" i="29" s="1"/>
  <c r="BN64" i="29"/>
  <c r="AJ58" i="29"/>
  <c r="AR58" i="29"/>
  <c r="BE59" i="29"/>
  <c r="BE60" i="29" s="1"/>
  <c r="BE61" i="29"/>
  <c r="AF173" i="29"/>
  <c r="AF168" i="29"/>
  <c r="AP54" i="29"/>
  <c r="BR171" i="29"/>
  <c r="BR173" i="29" s="1"/>
  <c r="BR174" i="29" s="1"/>
  <c r="AZ67" i="29"/>
  <c r="AP72" i="29"/>
  <c r="AK77" i="29"/>
  <c r="AK78" i="29" s="1"/>
  <c r="BG191" i="29"/>
  <c r="BG186" i="29"/>
  <c r="BG115" i="29"/>
  <c r="AU100" i="29"/>
  <c r="BO191" i="29"/>
  <c r="BO192" i="29" s="1"/>
  <c r="BO188" i="29"/>
  <c r="BO186" i="29"/>
  <c r="BE120" i="29"/>
  <c r="AS117" i="29"/>
  <c r="Y127" i="29"/>
  <c r="AK119" i="29"/>
  <c r="AW127" i="29"/>
  <c r="AG120" i="29"/>
  <c r="E197" i="29"/>
  <c r="E195" i="29"/>
  <c r="E117" i="29"/>
  <c r="E118" i="29"/>
  <c r="AR340" i="29"/>
  <c r="AR215" i="29"/>
  <c r="AR150" i="29"/>
  <c r="AR151" i="29" s="1"/>
  <c r="AR129" i="29"/>
  <c r="BO147" i="29"/>
  <c r="BJ147" i="29"/>
  <c r="BJ144" i="29"/>
  <c r="BE213" i="29"/>
  <c r="BE156" i="29"/>
  <c r="BF157" i="29"/>
  <c r="AT162" i="29"/>
  <c r="P23" i="136"/>
  <c r="L154" i="29"/>
  <c r="L155" i="29" s="1"/>
  <c r="L159" i="29"/>
  <c r="L160" i="29" s="1"/>
  <c r="L156" i="29"/>
  <c r="AC159" i="29"/>
  <c r="AC160" i="29" s="1"/>
  <c r="AH156" i="29"/>
  <c r="AC128" i="29"/>
  <c r="AU128" i="29"/>
  <c r="BG154" i="29"/>
  <c r="BG159" i="29"/>
  <c r="BL156" i="29"/>
  <c r="BL154" i="29"/>
  <c r="BL128" i="29"/>
  <c r="BL159" i="29"/>
  <c r="BL160" i="29" s="1"/>
  <c r="AA5" i="29"/>
  <c r="AU5" i="29"/>
  <c r="BL5" i="29"/>
  <c r="BL6" i="29"/>
  <c r="AA6" i="29"/>
  <c r="AU6" i="29"/>
  <c r="BO8" i="29"/>
  <c r="BP4" i="29"/>
  <c r="BZ11" i="29"/>
  <c r="AW30" i="29"/>
  <c r="BC144" i="29"/>
  <c r="BC147" i="29" s="1"/>
  <c r="BC30" i="29"/>
  <c r="BN148" i="29"/>
  <c r="BH30" i="29"/>
  <c r="BL30" i="29"/>
  <c r="AQ30" i="29"/>
  <c r="BF29" i="29"/>
  <c r="BF30" i="29" s="1"/>
  <c r="AC35" i="29"/>
  <c r="AC36" i="29" s="1"/>
  <c r="AC37" i="29"/>
  <c r="BH35" i="29"/>
  <c r="BH36" i="29" s="1"/>
  <c r="BM35" i="29"/>
  <c r="BM36" i="29" s="1"/>
  <c r="BM37" i="29"/>
  <c r="BM166" i="29"/>
  <c r="BM163" i="29"/>
  <c r="BM161" i="29"/>
  <c r="BR162" i="29" s="1"/>
  <c r="BM39" i="29"/>
  <c r="BM40" i="29"/>
  <c r="BH161" i="29"/>
  <c r="BM162" i="29" s="1"/>
  <c r="BH166" i="29"/>
  <c r="AF200" i="29"/>
  <c r="AF167" i="29"/>
  <c r="AP38" i="29"/>
  <c r="AP59" i="29" s="1"/>
  <c r="AP60" i="29" s="1"/>
  <c r="AZ163" i="29"/>
  <c r="AZ161" i="29"/>
  <c r="AZ162" i="29" s="1"/>
  <c r="AZ166" i="29"/>
  <c r="V39" i="29"/>
  <c r="AT39" i="29"/>
  <c r="V40" i="29"/>
  <c r="AZ43" i="29"/>
  <c r="BM46" i="29"/>
  <c r="AU46" i="29"/>
  <c r="BT47" i="29"/>
  <c r="BN49" i="29"/>
  <c r="BO37" i="29"/>
  <c r="BO45" i="29"/>
  <c r="BN52" i="29"/>
  <c r="BF54" i="29"/>
  <c r="X58" i="29"/>
  <c r="AK56" i="29"/>
  <c r="BG58" i="29"/>
  <c r="BH61" i="29"/>
  <c r="BI168" i="29"/>
  <c r="BI173" i="29"/>
  <c r="BM59" i="29"/>
  <c r="BM60" i="29" s="1"/>
  <c r="BM61" i="29"/>
  <c r="BM173" i="29"/>
  <c r="BM174" i="29" s="1"/>
  <c r="BM168" i="29"/>
  <c r="BR169" i="29" s="1"/>
  <c r="BM170" i="29"/>
  <c r="BM63" i="29"/>
  <c r="BM64" i="29"/>
  <c r="L59" i="29"/>
  <c r="L60" i="29" s="1"/>
  <c r="Q59" i="29"/>
  <c r="Q60" i="29" s="1"/>
  <c r="V59" i="29"/>
  <c r="V60" i="29" s="1"/>
  <c r="AA173" i="29"/>
  <c r="AA168" i="29"/>
  <c r="AA169" i="29" s="1"/>
  <c r="AA170" i="29"/>
  <c r="AF61" i="29"/>
  <c r="AZ120" i="29"/>
  <c r="AZ57" i="29"/>
  <c r="AZ61" i="29"/>
  <c r="BQ171" i="29"/>
  <c r="BQ173" i="29" s="1"/>
  <c r="BQ174" i="29" s="1"/>
  <c r="BQ63" i="29"/>
  <c r="AA63" i="29"/>
  <c r="AU63" i="29"/>
  <c r="AA64" i="29"/>
  <c r="AU64" i="29"/>
  <c r="BL67" i="29"/>
  <c r="BO58" i="29"/>
  <c r="BO62" i="29"/>
  <c r="BM70" i="29"/>
  <c r="AK70" i="29"/>
  <c r="AU70" i="29"/>
  <c r="BF72" i="29"/>
  <c r="BP56" i="29"/>
  <c r="AK74" i="29"/>
  <c r="BK77" i="29"/>
  <c r="BK78" i="29" s="1"/>
  <c r="L77" i="29"/>
  <c r="L78" i="29" s="1"/>
  <c r="AF77" i="29"/>
  <c r="AF78" i="29" s="1"/>
  <c r="Q79" i="29"/>
  <c r="BJ79" i="29"/>
  <c r="BN79" i="29"/>
  <c r="V192" i="29"/>
  <c r="AP192" i="29"/>
  <c r="BF92" i="29"/>
  <c r="BF128" i="29" s="1"/>
  <c r="BN191" i="29"/>
  <c r="BN192" i="29" s="1"/>
  <c r="BN188" i="29"/>
  <c r="BN93" i="29"/>
  <c r="BN94" i="29"/>
  <c r="V93" i="29"/>
  <c r="AP93" i="29"/>
  <c r="V94" i="29"/>
  <c r="Q97" i="29"/>
  <c r="AA97" i="29"/>
  <c r="AK97" i="29"/>
  <c r="AU97" i="29"/>
  <c r="BN100" i="29"/>
  <c r="BM103" i="29"/>
  <c r="V103" i="29"/>
  <c r="AP103" i="29"/>
  <c r="AZ103" i="29"/>
  <c r="BO103" i="29"/>
  <c r="BN106" i="29"/>
  <c r="Q106" i="29"/>
  <c r="AA106" i="29"/>
  <c r="AK103" i="29"/>
  <c r="BD117" i="29"/>
  <c r="BD118" i="29"/>
  <c r="BD120" i="29"/>
  <c r="BD125" i="29"/>
  <c r="BD126" i="29" s="1"/>
  <c r="AF113" i="29"/>
  <c r="AF114" i="29" s="1"/>
  <c r="AF115" i="29"/>
  <c r="AB116" i="29"/>
  <c r="AJ196" i="29"/>
  <c r="AN197" i="29"/>
  <c r="AN195" i="29"/>
  <c r="AN196" i="29" s="1"/>
  <c r="AR116" i="29"/>
  <c r="AV196" i="29"/>
  <c r="X117" i="29"/>
  <c r="AJ117" i="29"/>
  <c r="AN117" i="29"/>
  <c r="AV117" i="29"/>
  <c r="X118" i="29"/>
  <c r="AJ118" i="29"/>
  <c r="AN118" i="29"/>
  <c r="AV118" i="29"/>
  <c r="X127" i="29"/>
  <c r="X125" i="29"/>
  <c r="X126" i="29" s="1"/>
  <c r="AB127" i="29"/>
  <c r="AJ127" i="29"/>
  <c r="AJ125" i="29"/>
  <c r="AJ126" i="29" s="1"/>
  <c r="AN127" i="29"/>
  <c r="AN125" i="29"/>
  <c r="AN126" i="29" s="1"/>
  <c r="AR127" i="29"/>
  <c r="AV127" i="29"/>
  <c r="AV125" i="29"/>
  <c r="AV126" i="29" s="1"/>
  <c r="X120" i="29"/>
  <c r="AB120" i="29"/>
  <c r="AF120" i="29"/>
  <c r="AJ120" i="29"/>
  <c r="AN120" i="29"/>
  <c r="AR120" i="29"/>
  <c r="AV120" i="29"/>
  <c r="BI113" i="29"/>
  <c r="BI114" i="29" s="1"/>
  <c r="BM113" i="29"/>
  <c r="BM114" i="29" s="1"/>
  <c r="BO115" i="29"/>
  <c r="L113" i="29"/>
  <c r="L114" i="29" s="1"/>
  <c r="V115" i="29"/>
  <c r="O196" i="29"/>
  <c r="S196" i="29"/>
  <c r="P117" i="29"/>
  <c r="T117" i="29"/>
  <c r="N125" i="29"/>
  <c r="N126" i="29" s="1"/>
  <c r="N127" i="29"/>
  <c r="R125" i="29"/>
  <c r="R126" i="29" s="1"/>
  <c r="R127" i="29"/>
  <c r="O120" i="29"/>
  <c r="S120" i="29"/>
  <c r="D195" i="29"/>
  <c r="D196" i="29" s="1"/>
  <c r="D197" i="29"/>
  <c r="D118" i="29"/>
  <c r="H195" i="29"/>
  <c r="H118" i="29"/>
  <c r="F118" i="29"/>
  <c r="D125" i="29"/>
  <c r="D126" i="29" s="1"/>
  <c r="D120" i="29"/>
  <c r="H125" i="29"/>
  <c r="H126" i="29" s="1"/>
  <c r="AG125" i="29"/>
  <c r="AG126" i="29" s="1"/>
  <c r="AW125" i="29"/>
  <c r="AW126" i="29" s="1"/>
  <c r="S127" i="29"/>
  <c r="AI127" i="29"/>
  <c r="L128" i="29"/>
  <c r="L94" i="29" s="1"/>
  <c r="P340" i="29"/>
  <c r="P215" i="29"/>
  <c r="P212" i="29"/>
  <c r="P150" i="29"/>
  <c r="P151" i="29" s="1"/>
  <c r="P129" i="29"/>
  <c r="AF128" i="29"/>
  <c r="AF40" i="29" s="1"/>
  <c r="AJ340" i="29"/>
  <c r="AJ215" i="29"/>
  <c r="AJ212" i="29"/>
  <c r="AJ150" i="29"/>
  <c r="AJ151" i="29" s="1"/>
  <c r="AJ129" i="29"/>
  <c r="AV340" i="29"/>
  <c r="AV215" i="29"/>
  <c r="AV212" i="29"/>
  <c r="AV129" i="29"/>
  <c r="AG129" i="29"/>
  <c r="AW129" i="29"/>
  <c r="BF113" i="29"/>
  <c r="BF114" i="29" s="1"/>
  <c r="B138" i="29"/>
  <c r="P152" i="29"/>
  <c r="AV152" i="29"/>
  <c r="AH155" i="29"/>
  <c r="BN154" i="29"/>
  <c r="AU154" i="29"/>
  <c r="AU155" i="29" s="1"/>
  <c r="N160" i="29"/>
  <c r="AV160" i="29"/>
  <c r="AS162" i="29"/>
  <c r="AX162" i="29"/>
  <c r="AO160" i="29"/>
  <c r="N167" i="29"/>
  <c r="X167" i="29"/>
  <c r="AH169" i="29"/>
  <c r="L168" i="29"/>
  <c r="L169" i="29" s="1"/>
  <c r="AD174" i="29"/>
  <c r="BU175" i="29"/>
  <c r="BZ176" i="29" s="1"/>
  <c r="AV187" i="29"/>
  <c r="BN186" i="29"/>
  <c r="X197" i="29"/>
  <c r="BN120" i="29"/>
  <c r="F120" i="29"/>
  <c r="E125" i="29"/>
  <c r="E126" i="29" s="1"/>
  <c r="I125" i="29"/>
  <c r="I126" i="29" s="1"/>
  <c r="O340" i="29"/>
  <c r="O212" i="29"/>
  <c r="O210" i="29"/>
  <c r="O211" i="29" s="1"/>
  <c r="O215" i="29"/>
  <c r="S340" i="29"/>
  <c r="S212" i="29"/>
  <c r="S215" i="29"/>
  <c r="S210" i="29"/>
  <c r="W340" i="29"/>
  <c r="W215" i="29"/>
  <c r="W212" i="29"/>
  <c r="W210" i="29"/>
  <c r="AE340" i="29"/>
  <c r="AE215" i="29"/>
  <c r="AE212" i="29"/>
  <c r="AE210" i="29"/>
  <c r="AI340" i="29"/>
  <c r="AI215" i="29"/>
  <c r="AI212" i="29"/>
  <c r="AI202" i="29"/>
  <c r="AI210" i="29"/>
  <c r="AM340" i="29"/>
  <c r="AM215" i="29"/>
  <c r="AM212" i="29"/>
  <c r="AM202" i="29"/>
  <c r="AM203" i="29" s="1"/>
  <c r="AM210" i="29"/>
  <c r="AQ340" i="29"/>
  <c r="AQ215" i="29"/>
  <c r="AQ212" i="29"/>
  <c r="AQ202" i="29"/>
  <c r="AQ210" i="29"/>
  <c r="AQ227" i="29"/>
  <c r="C127" i="29"/>
  <c r="G127" i="29"/>
  <c r="K127" i="29"/>
  <c r="E340" i="29"/>
  <c r="E215" i="29"/>
  <c r="E210" i="29"/>
  <c r="E212" i="29"/>
  <c r="I340" i="29"/>
  <c r="I210" i="29"/>
  <c r="I215" i="29"/>
  <c r="BG120" i="29"/>
  <c r="BA340" i="29"/>
  <c r="BA215" i="29"/>
  <c r="BA210" i="29"/>
  <c r="C129" i="29"/>
  <c r="G129" i="29"/>
  <c r="AZ108" i="29"/>
  <c r="BF115" i="29"/>
  <c r="AY195" i="29"/>
  <c r="AY196" i="29" s="1"/>
  <c r="AY197" i="29"/>
  <c r="AY120" i="29"/>
  <c r="AY340" i="29"/>
  <c r="AY215" i="29"/>
  <c r="AY212" i="29"/>
  <c r="AY210" i="29"/>
  <c r="AY211" i="29" s="1"/>
  <c r="E138" i="29"/>
  <c r="E140" i="29"/>
  <c r="BP146" i="29"/>
  <c r="AU146" i="29"/>
  <c r="AU147" i="29" s="1"/>
  <c r="N150" i="29"/>
  <c r="N151" i="29" s="1"/>
  <c r="R150" i="29"/>
  <c r="R151" i="29" s="1"/>
  <c r="Z150" i="29"/>
  <c r="Z151" i="29" s="1"/>
  <c r="AD150" i="29"/>
  <c r="AD151" i="29" s="1"/>
  <c r="AH150" i="29"/>
  <c r="AH151" i="29" s="1"/>
  <c r="AT150" i="29"/>
  <c r="AT151" i="29" s="1"/>
  <c r="O152" i="29"/>
  <c r="S152" i="29"/>
  <c r="W152" i="29"/>
  <c r="AE152" i="29"/>
  <c r="AI152" i="29"/>
  <c r="AM152" i="29"/>
  <c r="AQ152" i="29"/>
  <c r="AU152" i="29"/>
  <c r="AC194" i="29"/>
  <c r="AC213" i="29"/>
  <c r="AF157" i="29"/>
  <c r="AU213" i="29"/>
  <c r="AU194" i="29"/>
  <c r="AI160" i="29"/>
  <c r="AU158" i="29"/>
  <c r="BE198" i="29"/>
  <c r="BE165" i="29"/>
  <c r="AK213" i="29"/>
  <c r="AK194" i="29"/>
  <c r="AP156" i="29"/>
  <c r="AP158" i="29"/>
  <c r="AK161" i="29"/>
  <c r="AK162" i="29" s="1"/>
  <c r="M167" i="29"/>
  <c r="R201" i="29"/>
  <c r="R167" i="29"/>
  <c r="W201" i="29"/>
  <c r="W167" i="29"/>
  <c r="AB201" i="29"/>
  <c r="AB167" i="29"/>
  <c r="AK165" i="29"/>
  <c r="AJ200" i="29"/>
  <c r="AJ201" i="29" s="1"/>
  <c r="AJ167" i="29"/>
  <c r="AM167" i="29"/>
  <c r="AW200" i="29"/>
  <c r="AW201" i="29" s="1"/>
  <c r="BP165" i="29"/>
  <c r="D169" i="29"/>
  <c r="AG169" i="29"/>
  <c r="BF172" i="29"/>
  <c r="BF168" i="29"/>
  <c r="L198" i="29"/>
  <c r="L165" i="29"/>
  <c r="L161" i="29"/>
  <c r="L162" i="29" s="1"/>
  <c r="L163" i="29"/>
  <c r="V170" i="29"/>
  <c r="AZ168" i="29"/>
  <c r="AZ169" i="29" s="1"/>
  <c r="BK198" i="29"/>
  <c r="BK165" i="29"/>
  <c r="F174" i="29"/>
  <c r="AH174" i="29"/>
  <c r="AL174" i="29"/>
  <c r="BB187" i="29"/>
  <c r="BP194" i="29"/>
  <c r="Y192" i="29"/>
  <c r="C192" i="29"/>
  <c r="D192" i="29"/>
  <c r="M340" i="29"/>
  <c r="M215" i="29"/>
  <c r="M210" i="29"/>
  <c r="U340" i="29"/>
  <c r="U215" i="29"/>
  <c r="U222" i="29" s="1"/>
  <c r="U210" i="29"/>
  <c r="Y340" i="29"/>
  <c r="Y210" i="29"/>
  <c r="Y215" i="29"/>
  <c r="AG340" i="29"/>
  <c r="AG210" i="29"/>
  <c r="AG215" i="29"/>
  <c r="AS340" i="29"/>
  <c r="AS210" i="29"/>
  <c r="AS215" i="29"/>
  <c r="AW340" i="29"/>
  <c r="AW210" i="29"/>
  <c r="AW215" i="29"/>
  <c r="AW202" i="29"/>
  <c r="E127" i="29"/>
  <c r="C340" i="29"/>
  <c r="C215" i="29"/>
  <c r="C210" i="29"/>
  <c r="C211" i="29" s="1"/>
  <c r="G340" i="29"/>
  <c r="G212" i="29"/>
  <c r="G210" i="29"/>
  <c r="G211" i="29" s="1"/>
  <c r="G215" i="29"/>
  <c r="K340" i="29"/>
  <c r="K215" i="29"/>
  <c r="K222" i="29" s="1"/>
  <c r="K210" i="29"/>
  <c r="BC340" i="29"/>
  <c r="BC215" i="29"/>
  <c r="BC212" i="29"/>
  <c r="BC202" i="29"/>
  <c r="BC203" i="29" s="1"/>
  <c r="BC210" i="29"/>
  <c r="E129" i="29"/>
  <c r="AW131" i="29"/>
  <c r="AW133" i="29" s="1"/>
  <c r="BC131" i="29"/>
  <c r="BC133" i="29" s="1"/>
  <c r="AY118" i="29"/>
  <c r="C138" i="29"/>
  <c r="G138" i="29"/>
  <c r="C140" i="29"/>
  <c r="G140" i="29"/>
  <c r="AP145" i="29"/>
  <c r="AV150" i="29"/>
  <c r="AV151" i="29" s="1"/>
  <c r="E152" i="29"/>
  <c r="I152" i="29"/>
  <c r="M152" i="29"/>
  <c r="U152" i="29"/>
  <c r="Y152" i="29"/>
  <c r="AG152" i="29"/>
  <c r="AS152" i="29"/>
  <c r="AW152" i="29"/>
  <c r="AG162" i="29"/>
  <c r="BE163" i="29"/>
  <c r="AK163" i="29"/>
  <c r="AO198" i="29"/>
  <c r="AO213" i="29"/>
  <c r="AT165" i="29"/>
  <c r="AO165" i="29"/>
  <c r="AP164" i="29"/>
  <c r="AP213" i="29" s="1"/>
  <c r="O167" i="29"/>
  <c r="T201" i="29"/>
  <c r="T167" i="29"/>
  <c r="Y200" i="29"/>
  <c r="Y201" i="29" s="1"/>
  <c r="Y167" i="29"/>
  <c r="AD167" i="29"/>
  <c r="AH201" i="29"/>
  <c r="AR201" i="29"/>
  <c r="BC167" i="29"/>
  <c r="AI169" i="29"/>
  <c r="V198" i="29"/>
  <c r="V165" i="29"/>
  <c r="V161" i="29"/>
  <c r="V163" i="29"/>
  <c r="AZ158" i="29"/>
  <c r="BK170" i="29"/>
  <c r="Z174" i="29"/>
  <c r="AX174" i="29"/>
  <c r="BC174" i="29"/>
  <c r="BE190" i="29"/>
  <c r="BE188" i="29"/>
  <c r="BF189" i="29"/>
  <c r="AP190" i="29"/>
  <c r="AP186" i="29"/>
  <c r="AP188" i="29"/>
  <c r="AD197" i="29"/>
  <c r="AI197" i="29"/>
  <c r="AD199" i="29"/>
  <c r="AD195" i="29"/>
  <c r="AZ238" i="29"/>
  <c r="AZ236" i="29"/>
  <c r="N340" i="29"/>
  <c r="N215" i="29"/>
  <c r="N212" i="29"/>
  <c r="N210" i="29"/>
  <c r="R340" i="29"/>
  <c r="R215" i="29"/>
  <c r="R212" i="29"/>
  <c r="R210" i="29"/>
  <c r="R211" i="29" s="1"/>
  <c r="Z340" i="29"/>
  <c r="Z215" i="29"/>
  <c r="Z212" i="29"/>
  <c r="Z210" i="29"/>
  <c r="Z211" i="29" s="1"/>
  <c r="AD340" i="29"/>
  <c r="AD215" i="29"/>
  <c r="AD212" i="29"/>
  <c r="AD202" i="29"/>
  <c r="AD203" i="29" s="1"/>
  <c r="AD210" i="29"/>
  <c r="AD211" i="29" s="1"/>
  <c r="AH340" i="29"/>
  <c r="AH215" i="29"/>
  <c r="AH202" i="29"/>
  <c r="AH210" i="29"/>
  <c r="AL340" i="29"/>
  <c r="AL215" i="29"/>
  <c r="AL212" i="29"/>
  <c r="AL202" i="29"/>
  <c r="AL210" i="29"/>
  <c r="AL211" i="29" s="1"/>
  <c r="AT340" i="29"/>
  <c r="AT215" i="29"/>
  <c r="AT202" i="29"/>
  <c r="AT210" i="29"/>
  <c r="AX340" i="29"/>
  <c r="AX215" i="29"/>
  <c r="AX212" i="29"/>
  <c r="AX202" i="29"/>
  <c r="AX210" i="29"/>
  <c r="AX211" i="29" s="1"/>
  <c r="O129" i="29"/>
  <c r="S129" i="29"/>
  <c r="W129" i="29"/>
  <c r="AE129" i="29"/>
  <c r="AI129" i="29"/>
  <c r="AM129" i="29"/>
  <c r="AQ129" i="29"/>
  <c r="D340" i="29"/>
  <c r="D215" i="29"/>
  <c r="H340" i="29"/>
  <c r="H215" i="29"/>
  <c r="BD340" i="29"/>
  <c r="BD215" i="29"/>
  <c r="AX131" i="29"/>
  <c r="AX133" i="29" s="1"/>
  <c r="BD131" i="29"/>
  <c r="BD133" i="29" s="1"/>
  <c r="D138" i="29"/>
  <c r="D140" i="29"/>
  <c r="AP146" i="29"/>
  <c r="AP147" i="29" s="1"/>
  <c r="E150" i="29"/>
  <c r="E151" i="29" s="1"/>
  <c r="I150" i="29"/>
  <c r="I151" i="29" s="1"/>
  <c r="M150" i="29"/>
  <c r="M151" i="29" s="1"/>
  <c r="U150" i="29"/>
  <c r="U151" i="29" s="1"/>
  <c r="Y150" i="29"/>
  <c r="Y151" i="29" s="1"/>
  <c r="AG150" i="29"/>
  <c r="AG151" i="29" s="1"/>
  <c r="AS150" i="29"/>
  <c r="AS151" i="29" s="1"/>
  <c r="AW150" i="29"/>
  <c r="AW151" i="29" s="1"/>
  <c r="N152" i="29"/>
  <c r="R152" i="29"/>
  <c r="Z152" i="29"/>
  <c r="AD152" i="29"/>
  <c r="AH152" i="29"/>
  <c r="AL152" i="29"/>
  <c r="AT152" i="29"/>
  <c r="AC156" i="29"/>
  <c r="AU156" i="29"/>
  <c r="AC158" i="29"/>
  <c r="AH158" i="29"/>
  <c r="P167" i="29"/>
  <c r="U201" i="29"/>
  <c r="U167" i="29"/>
  <c r="Z201" i="29"/>
  <c r="Z167" i="29"/>
  <c r="AE201" i="29"/>
  <c r="AE167" i="29"/>
  <c r="C200" i="29"/>
  <c r="C201" i="29" s="1"/>
  <c r="C167" i="29"/>
  <c r="G200" i="29"/>
  <c r="G201" i="29" s="1"/>
  <c r="G167" i="29"/>
  <c r="BD200" i="29"/>
  <c r="BD201" i="29" s="1"/>
  <c r="BD167" i="29"/>
  <c r="AF198" i="29"/>
  <c r="AF165" i="29"/>
  <c r="AF161" i="29"/>
  <c r="AF162" i="29" s="1"/>
  <c r="AF163" i="29"/>
  <c r="AU170" i="29"/>
  <c r="N174" i="29"/>
  <c r="R174" i="29"/>
  <c r="AT174" i="29"/>
  <c r="BU184" i="29"/>
  <c r="BP190" i="29"/>
  <c r="C197" i="29"/>
  <c r="B195" i="29"/>
  <c r="G197" i="29"/>
  <c r="F197" i="29"/>
  <c r="F195" i="29"/>
  <c r="F196" i="29" s="1"/>
  <c r="F199" i="29"/>
  <c r="J195" i="29"/>
  <c r="AX197" i="29"/>
  <c r="BD197" i="29"/>
  <c r="AX195" i="29"/>
  <c r="AX196" i="29" s="1"/>
  <c r="AX199" i="29"/>
  <c r="O226" i="29"/>
  <c r="O227" i="29"/>
  <c r="O228" i="29" s="1"/>
  <c r="T235" i="29"/>
  <c r="T225" i="29"/>
  <c r="T214" i="29"/>
  <c r="T210" i="29"/>
  <c r="T211" i="29" s="1"/>
  <c r="Y212" i="29"/>
  <c r="T212" i="29"/>
  <c r="AE227" i="29"/>
  <c r="AI201" i="29"/>
  <c r="AH167" i="29"/>
  <c r="AL167" i="29"/>
  <c r="AQ201" i="29"/>
  <c r="AQ167" i="29"/>
  <c r="AV201" i="29"/>
  <c r="AV167" i="29"/>
  <c r="BE170" i="29"/>
  <c r="Q213" i="29"/>
  <c r="Q194" i="29"/>
  <c r="Q161" i="29"/>
  <c r="Q165" i="29"/>
  <c r="AA235" i="29"/>
  <c r="AA238" i="29" s="1"/>
  <c r="AA208" i="29"/>
  <c r="AA202" i="29" s="1"/>
  <c r="AA203" i="29" s="1"/>
  <c r="AA206" i="29"/>
  <c r="AA225" i="29"/>
  <c r="AA210" i="29"/>
  <c r="AA165" i="29"/>
  <c r="AZ225" i="29"/>
  <c r="AZ214" i="29"/>
  <c r="AZ208" i="29"/>
  <c r="V172" i="29"/>
  <c r="BK172" i="29"/>
  <c r="BU180" i="29"/>
  <c r="Q22" i="136" s="1"/>
  <c r="G47" i="136" s="1"/>
  <c r="BC187" i="29"/>
  <c r="X192" i="29"/>
  <c r="Z192" i="29"/>
  <c r="AE192" i="29"/>
  <c r="V194" i="29"/>
  <c r="AZ194" i="29"/>
  <c r="O197" i="29"/>
  <c r="Y199" i="29"/>
  <c r="Y195" i="29"/>
  <c r="Y196" i="29" s="1"/>
  <c r="Y197" i="29"/>
  <c r="BC200" i="29"/>
  <c r="AE202" i="29"/>
  <c r="AE203" i="29" s="1"/>
  <c r="AG209" i="29"/>
  <c r="AG202" i="29"/>
  <c r="AG203" i="29" s="1"/>
  <c r="AN235" i="29"/>
  <c r="AN225" i="29"/>
  <c r="AN208" i="29"/>
  <c r="AN206" i="29"/>
  <c r="AN210" i="29"/>
  <c r="AN214" i="29"/>
  <c r="AS212" i="29"/>
  <c r="AN212" i="29"/>
  <c r="BD212" i="29"/>
  <c r="AG200" i="29"/>
  <c r="AG201" i="29" s="1"/>
  <c r="AN201" i="29"/>
  <c r="AN167" i="29"/>
  <c r="AS200" i="29"/>
  <c r="AS201" i="29" s="1"/>
  <c r="AS167" i="29"/>
  <c r="AX201" i="29"/>
  <c r="AX167" i="29"/>
  <c r="D201" i="29"/>
  <c r="BA200" i="29"/>
  <c r="L213" i="29"/>
  <c r="Q163" i="29"/>
  <c r="V213" i="29"/>
  <c r="AA163" i="29"/>
  <c r="AK170" i="29"/>
  <c r="BK213" i="29"/>
  <c r="AF172" i="29"/>
  <c r="AZ172" i="29"/>
  <c r="BE172" i="29"/>
  <c r="BE194" i="29"/>
  <c r="L194" i="29"/>
  <c r="AF194" i="29"/>
  <c r="W197" i="29"/>
  <c r="AJ197" i="29"/>
  <c r="AG199" i="29"/>
  <c r="AG195" i="29"/>
  <c r="AL197" i="29"/>
  <c r="AS202" i="29"/>
  <c r="AS209" i="29"/>
  <c r="B238" i="29"/>
  <c r="B236" i="29"/>
  <c r="J238" i="29"/>
  <c r="J236" i="29"/>
  <c r="AG167" i="29"/>
  <c r="AT167" i="29"/>
  <c r="AY201" i="29"/>
  <c r="AY167" i="29"/>
  <c r="E200" i="29"/>
  <c r="E201" i="29" s="1"/>
  <c r="I200" i="29"/>
  <c r="I201" i="29" s="1"/>
  <c r="BB201" i="29"/>
  <c r="F167" i="29"/>
  <c r="Q156" i="29"/>
  <c r="Q199" i="29"/>
  <c r="V158" i="29"/>
  <c r="AA156" i="29"/>
  <c r="AA199" i="29"/>
  <c r="AZ156" i="29"/>
  <c r="BK154" i="29"/>
  <c r="BK155" i="29" s="1"/>
  <c r="BK158" i="29"/>
  <c r="W192" i="29"/>
  <c r="AN192" i="29"/>
  <c r="BF194" i="29"/>
  <c r="AA194" i="29"/>
  <c r="S197" i="29"/>
  <c r="AQ197" i="29"/>
  <c r="AR199" i="29"/>
  <c r="AR195" i="29"/>
  <c r="AR196" i="29" s="1"/>
  <c r="AL209" i="29"/>
  <c r="BK188" i="29"/>
  <c r="BK190" i="29"/>
  <c r="BK186" i="29"/>
  <c r="BK187" i="29" s="1"/>
  <c r="W227" i="29"/>
  <c r="W226" i="29"/>
  <c r="AI199" i="29"/>
  <c r="BN199" i="29"/>
  <c r="AY209" i="29"/>
  <c r="AY202" i="29"/>
  <c r="AY203" i="29" s="1"/>
  <c r="BC209" i="29"/>
  <c r="BN225" i="29"/>
  <c r="BN235" i="29"/>
  <c r="AB225" i="29"/>
  <c r="AB214" i="29"/>
  <c r="AB208" i="29"/>
  <c r="AB202" i="29" s="1"/>
  <c r="AB203" i="29" s="1"/>
  <c r="AB206" i="29"/>
  <c r="AB235" i="29"/>
  <c r="AB210" i="29"/>
  <c r="AB211" i="29" s="1"/>
  <c r="AG212" i="29"/>
  <c r="AR235" i="29"/>
  <c r="AR225" i="29"/>
  <c r="AR214" i="29"/>
  <c r="AR208" i="29"/>
  <c r="AR206" i="29"/>
  <c r="AR210" i="29"/>
  <c r="AR211" i="29" s="1"/>
  <c r="AW212" i="29"/>
  <c r="P221" i="29"/>
  <c r="Q220" i="29"/>
  <c r="P222" i="29"/>
  <c r="C227" i="29"/>
  <c r="AG236" i="29"/>
  <c r="AG238" i="29"/>
  <c r="BS255" i="29"/>
  <c r="BT257" i="29"/>
  <c r="BS247" i="29"/>
  <c r="AC192" i="29"/>
  <c r="AG192" i="29"/>
  <c r="AT192" i="29"/>
  <c r="M199" i="29"/>
  <c r="M195" i="29"/>
  <c r="M196" i="29" s="1"/>
  <c r="R197" i="29"/>
  <c r="M197" i="29"/>
  <c r="U199" i="29"/>
  <c r="U195" i="29"/>
  <c r="U196" i="29" s="1"/>
  <c r="Z197" i="29"/>
  <c r="U197" i="29"/>
  <c r="Z199" i="29"/>
  <c r="AV197" i="29"/>
  <c r="BO199" i="29"/>
  <c r="AW199" i="29"/>
  <c r="BB199" i="29"/>
  <c r="BB197" i="29"/>
  <c r="AU198" i="29"/>
  <c r="AZ206" i="29"/>
  <c r="AZ204" i="29"/>
  <c r="BA205" i="29"/>
  <c r="AX209" i="29"/>
  <c r="BN212" i="29"/>
  <c r="BN214" i="29"/>
  <c r="AB212" i="29"/>
  <c r="AR212" i="29"/>
  <c r="X235" i="29"/>
  <c r="X225" i="29"/>
  <c r="X210" i="29"/>
  <c r="X211" i="29" s="1"/>
  <c r="X214" i="29"/>
  <c r="BH235" i="29"/>
  <c r="BH225" i="29"/>
  <c r="BH227" i="29" s="1"/>
  <c r="BH206" i="29"/>
  <c r="BH210" i="29"/>
  <c r="G227" i="29"/>
  <c r="G226" i="29"/>
  <c r="C199" i="29"/>
  <c r="G199" i="29"/>
  <c r="BD199" i="29"/>
  <c r="AF204" i="29"/>
  <c r="AO194" i="29"/>
  <c r="BK194" i="29"/>
  <c r="D235" i="29"/>
  <c r="D225" i="29"/>
  <c r="D214" i="29"/>
  <c r="D212" i="29"/>
  <c r="D210" i="29"/>
  <c r="D211" i="29" s="1"/>
  <c r="H235" i="29"/>
  <c r="H225" i="29"/>
  <c r="H227" i="29" s="1"/>
  <c r="M214" i="29"/>
  <c r="H210" i="29"/>
  <c r="M212" i="29"/>
  <c r="P235" i="29"/>
  <c r="P225" i="29"/>
  <c r="P210" i="29"/>
  <c r="P211" i="29" s="1"/>
  <c r="P214" i="29"/>
  <c r="U212" i="29"/>
  <c r="AJ235" i="29"/>
  <c r="AJ225" i="29"/>
  <c r="AJ214" i="29"/>
  <c r="AJ208" i="29"/>
  <c r="AJ210" i="29"/>
  <c r="AJ211" i="29" s="1"/>
  <c r="AQ226" i="29"/>
  <c r="AV225" i="29"/>
  <c r="AV235" i="29"/>
  <c r="AV208" i="29"/>
  <c r="AV206" i="29"/>
  <c r="BB212" i="29"/>
  <c r="AV210" i="29"/>
  <c r="AV211" i="29" s="1"/>
  <c r="AV214" i="29"/>
  <c r="BD214" i="29"/>
  <c r="BD208" i="29"/>
  <c r="BD206" i="29"/>
  <c r="BD210" i="29"/>
  <c r="BD211" i="29" s="1"/>
  <c r="BD235" i="29"/>
  <c r="P219" i="29"/>
  <c r="Q219" i="29"/>
  <c r="AM227" i="29"/>
  <c r="W238" i="29"/>
  <c r="W236" i="29"/>
  <c r="BG238" i="29"/>
  <c r="BG236" i="29"/>
  <c r="L188" i="29"/>
  <c r="Q188" i="29"/>
  <c r="V188" i="29"/>
  <c r="AA188" i="29"/>
  <c r="AF188" i="29"/>
  <c r="AK188" i="29"/>
  <c r="AZ188" i="29"/>
  <c r="O199" i="29"/>
  <c r="S199" i="29"/>
  <c r="W199" i="29"/>
  <c r="AU188" i="29"/>
  <c r="AU204" i="29"/>
  <c r="BO214" i="29"/>
  <c r="F212" i="29"/>
  <c r="E235" i="29"/>
  <c r="E225" i="29"/>
  <c r="I235" i="29"/>
  <c r="I225" i="29"/>
  <c r="I227" i="29" s="1"/>
  <c r="M235" i="29"/>
  <c r="M225" i="29"/>
  <c r="R226" i="29" s="1"/>
  <c r="U235" i="29"/>
  <c r="U225" i="29"/>
  <c r="U214" i="29"/>
  <c r="Y235" i="29"/>
  <c r="Y225" i="29"/>
  <c r="Y214" i="29"/>
  <c r="AG225" i="29"/>
  <c r="AG214" i="29"/>
  <c r="AS225" i="29"/>
  <c r="AS214" i="29"/>
  <c r="AW225" i="29"/>
  <c r="AW235" i="29"/>
  <c r="AW214" i="29"/>
  <c r="BA225" i="29"/>
  <c r="BA235" i="29"/>
  <c r="BI235" i="29"/>
  <c r="BI225" i="29"/>
  <c r="BI227" i="29" s="1"/>
  <c r="F214" i="29"/>
  <c r="L219" i="29"/>
  <c r="AK219" i="29"/>
  <c r="U221" i="29"/>
  <c r="BO221" i="29"/>
  <c r="K225" i="29"/>
  <c r="K227" i="29" s="1"/>
  <c r="BP232" i="29"/>
  <c r="BU232" i="29" s="1"/>
  <c r="BZ232" i="29" s="1"/>
  <c r="CE232" i="29" s="1"/>
  <c r="CJ232" i="29" s="1"/>
  <c r="N235" i="29"/>
  <c r="B256" i="29"/>
  <c r="B247" i="29"/>
  <c r="C258" i="29"/>
  <c r="AD270" i="29"/>
  <c r="AE270" i="29" s="1"/>
  <c r="AN270" i="29"/>
  <c r="BD276" i="29"/>
  <c r="BD275" i="29"/>
  <c r="T199" i="29"/>
  <c r="X199" i="29"/>
  <c r="AE199" i="29"/>
  <c r="AL199" i="29"/>
  <c r="AK205" i="29"/>
  <c r="AE206" i="29"/>
  <c r="AU206" i="29"/>
  <c r="AY206" i="29"/>
  <c r="AE207" i="29"/>
  <c r="AY207" i="29"/>
  <c r="BL227" i="29"/>
  <c r="BL228" i="29" s="1"/>
  <c r="BL214" i="29"/>
  <c r="BP221" i="29"/>
  <c r="F227" i="29"/>
  <c r="J227" i="29"/>
  <c r="N227" i="29"/>
  <c r="N228" i="29" s="1"/>
  <c r="N226" i="29"/>
  <c r="R227" i="29"/>
  <c r="Z235" i="29"/>
  <c r="Z225" i="29"/>
  <c r="AE226" i="29" s="1"/>
  <c r="AD225" i="29"/>
  <c r="AD235" i="29"/>
  <c r="AH225" i="29"/>
  <c r="AH235" i="29"/>
  <c r="AL225" i="29"/>
  <c r="AL235" i="29"/>
  <c r="AT225" i="29"/>
  <c r="AT235" i="29"/>
  <c r="AX225" i="29"/>
  <c r="AX235" i="29"/>
  <c r="BB225" i="29"/>
  <c r="BB235" i="29"/>
  <c r="BB214" i="29"/>
  <c r="BJ235" i="29"/>
  <c r="BJ225" i="29"/>
  <c r="R214" i="29"/>
  <c r="Z214" i="29"/>
  <c r="AH214" i="29"/>
  <c r="AX214" i="29"/>
  <c r="C212" i="29"/>
  <c r="Z222" i="29"/>
  <c r="AA220" i="29"/>
  <c r="AT222" i="29"/>
  <c r="AU220" i="29"/>
  <c r="AT221" i="29"/>
  <c r="AZ232" i="29"/>
  <c r="BA230" i="29"/>
  <c r="R235" i="29"/>
  <c r="BL235" i="29"/>
  <c r="AX253" i="29"/>
  <c r="AY254" i="29"/>
  <c r="AY253" i="29" s="1"/>
  <c r="BO268" i="29"/>
  <c r="BO225" i="29" s="1"/>
  <c r="BP268" i="29"/>
  <c r="AW291" i="29"/>
  <c r="AW277" i="29"/>
  <c r="AY273" i="29"/>
  <c r="AX273" i="29"/>
  <c r="O277" i="29"/>
  <c r="O280" i="29"/>
  <c r="O276" i="29"/>
  <c r="O275" i="29"/>
  <c r="AU277" i="29"/>
  <c r="AU276" i="29"/>
  <c r="BH276" i="29"/>
  <c r="BH280" i="29"/>
  <c r="L186" i="29"/>
  <c r="L187" i="29" s="1"/>
  <c r="Q186" i="29"/>
  <c r="V186" i="29"/>
  <c r="V187" i="29" s="1"/>
  <c r="AA186" i="29"/>
  <c r="AA187" i="29" s="1"/>
  <c r="AF186" i="29"/>
  <c r="AK186" i="29"/>
  <c r="AZ186" i="29"/>
  <c r="AZ187" i="29" s="1"/>
  <c r="AB195" i="29"/>
  <c r="AB196" i="29" s="1"/>
  <c r="AU190" i="29"/>
  <c r="AJ206" i="29"/>
  <c r="BM225" i="29"/>
  <c r="BM235" i="29"/>
  <c r="BM214" i="29"/>
  <c r="BO238" i="29"/>
  <c r="BO236" i="29"/>
  <c r="B225" i="29"/>
  <c r="B227" i="29" s="1"/>
  <c r="C214" i="29"/>
  <c r="G214" i="29"/>
  <c r="G235" i="29"/>
  <c r="K238" i="29"/>
  <c r="K236" i="29"/>
  <c r="O214" i="29"/>
  <c r="O235" i="29"/>
  <c r="S214" i="29"/>
  <c r="S235" i="29"/>
  <c r="W214" i="29"/>
  <c r="AE235" i="29"/>
  <c r="AE214" i="29"/>
  <c r="AI214" i="29"/>
  <c r="AI235" i="29"/>
  <c r="AM214" i="29"/>
  <c r="AM235" i="29"/>
  <c r="AQ214" i="29"/>
  <c r="AQ235" i="29"/>
  <c r="AY235" i="29"/>
  <c r="AY214" i="29"/>
  <c r="BC238" i="29"/>
  <c r="BC236" i="29"/>
  <c r="C238" i="29"/>
  <c r="C236" i="29"/>
  <c r="AF219" i="29"/>
  <c r="AE222" i="29"/>
  <c r="AY222" i="29"/>
  <c r="S225" i="29"/>
  <c r="AI225" i="29"/>
  <c r="AY225" i="29"/>
  <c r="AK233" i="29"/>
  <c r="F235" i="29"/>
  <c r="AS235" i="29"/>
  <c r="AA258" i="29"/>
  <c r="V256" i="29"/>
  <c r="V258" i="29"/>
  <c r="Z219" i="29"/>
  <c r="AA219" i="29" s="1"/>
  <c r="AE221" i="29"/>
  <c r="AY221" i="29"/>
  <c r="BD254" i="29"/>
  <c r="BJ260" i="29"/>
  <c r="AU268" i="29"/>
  <c r="BD268" i="29"/>
  <c r="BD225" i="29" s="1"/>
  <c r="K269" i="29"/>
  <c r="J269" i="29"/>
  <c r="AJ269" i="29"/>
  <c r="AK269" i="29" s="1"/>
  <c r="AI269" i="29"/>
  <c r="AS269" i="29"/>
  <c r="AU269" i="29" s="1"/>
  <c r="V271" i="29"/>
  <c r="AA271" i="29"/>
  <c r="AF271" i="29"/>
  <c r="AP271" i="29"/>
  <c r="AU271" i="29"/>
  <c r="AT277" i="29"/>
  <c r="AI280" i="29"/>
  <c r="AI275" i="29"/>
  <c r="AR347" i="29"/>
  <c r="AT282" i="29"/>
  <c r="AT347" i="29" s="1"/>
  <c r="AS282" i="29"/>
  <c r="AS347" i="29" s="1"/>
  <c r="AP290" i="29"/>
  <c r="AM291" i="29"/>
  <c r="AO290" i="29"/>
  <c r="AN290" i="29"/>
  <c r="BE221" i="29"/>
  <c r="AZ247" i="29"/>
  <c r="BA245" i="29"/>
  <c r="BA247" i="29" s="1"/>
  <c r="AK253" i="29"/>
  <c r="BI254" i="29"/>
  <c r="BH253" i="29"/>
  <c r="BU257" i="29"/>
  <c r="BQ287" i="29"/>
  <c r="BQ282" i="29"/>
  <c r="BR259" i="29"/>
  <c r="BG263" i="29"/>
  <c r="BK263" i="29"/>
  <c r="BS285" i="29"/>
  <c r="BS263" i="29"/>
  <c r="BT262" i="29"/>
  <c r="BA263" i="29"/>
  <c r="U269" i="29"/>
  <c r="T269" i="29"/>
  <c r="AJ270" i="29"/>
  <c r="AK270" i="29" s="1"/>
  <c r="AI270" i="29"/>
  <c r="AO277" i="29"/>
  <c r="I280" i="29"/>
  <c r="I277" i="29"/>
  <c r="K274" i="29"/>
  <c r="J274" i="29"/>
  <c r="AM275" i="29"/>
  <c r="AT275" i="29"/>
  <c r="AT276" i="29"/>
  <c r="U348" i="29"/>
  <c r="U339" i="29"/>
  <c r="AN288" i="29"/>
  <c r="AO289" i="29"/>
  <c r="AO288" i="29" s="1"/>
  <c r="L220" i="29"/>
  <c r="V220" i="29"/>
  <c r="AF220" i="29"/>
  <c r="AP220" i="29"/>
  <c r="AZ220" i="29"/>
  <c r="BF221" i="29" s="1"/>
  <c r="AJ271" i="29"/>
  <c r="AK271" i="29" s="1"/>
  <c r="AK244" i="29"/>
  <c r="AK247" i="29" s="1"/>
  <c r="AJ247" i="29"/>
  <c r="BR252" i="29"/>
  <c r="BS251" i="29"/>
  <c r="AP253" i="29"/>
  <c r="AP260" i="29"/>
  <c r="AX260" i="29"/>
  <c r="AA263" i="29"/>
  <c r="AU263" i="29"/>
  <c r="U270" i="29"/>
  <c r="AD269" i="29"/>
  <c r="AE269" i="29" s="1"/>
  <c r="AP269" i="29"/>
  <c r="AO269" i="29"/>
  <c r="AN269" i="29"/>
  <c r="BO273" i="29"/>
  <c r="BN277" i="29"/>
  <c r="U277" i="29"/>
  <c r="U276" i="29"/>
  <c r="AD280" i="29"/>
  <c r="AD275" i="29"/>
  <c r="AF274" i="29"/>
  <c r="AD277" i="29"/>
  <c r="AE274" i="29"/>
  <c r="AN276" i="29"/>
  <c r="AN275" i="29"/>
  <c r="AY280" i="29"/>
  <c r="O347" i="29"/>
  <c r="P282" i="29"/>
  <c r="P347" i="29" s="1"/>
  <c r="P284" i="29"/>
  <c r="BE281" i="29"/>
  <c r="AR348" i="29"/>
  <c r="AR339" i="29"/>
  <c r="AR288" i="29"/>
  <c r="AS285" i="29"/>
  <c r="AT287" i="29"/>
  <c r="AU287" i="29" s="1"/>
  <c r="BQ252" i="29"/>
  <c r="AE256" i="29"/>
  <c r="AU258" i="29"/>
  <c r="BF259" i="29"/>
  <c r="BG260" i="29" s="1"/>
  <c r="BJ263" i="29"/>
  <c r="BC268" i="29"/>
  <c r="BC225" i="29" s="1"/>
  <c r="BE270" i="29"/>
  <c r="BP270" i="29"/>
  <c r="BC291" i="29"/>
  <c r="BE273" i="29"/>
  <c r="BC277" i="29"/>
  <c r="BM280" i="29"/>
  <c r="BM276" i="29"/>
  <c r="AR291" i="29"/>
  <c r="AR277" i="29"/>
  <c r="P274" i="29"/>
  <c r="AJ274" i="29"/>
  <c r="AO274" i="29"/>
  <c r="N275" i="29"/>
  <c r="Z275" i="29"/>
  <c r="N276" i="29"/>
  <c r="T277" i="29"/>
  <c r="CS279" i="29"/>
  <c r="CT277" i="29"/>
  <c r="CT279" i="29" s="1"/>
  <c r="AH280" i="29"/>
  <c r="AW280" i="29"/>
  <c r="AX281" i="29"/>
  <c r="AX280" i="29" s="1"/>
  <c r="N339" i="29"/>
  <c r="N348" i="29"/>
  <c r="N349" i="29" s="1"/>
  <c r="O285" i="29"/>
  <c r="AY281" i="29"/>
  <c r="AI288" i="29"/>
  <c r="BO339" i="29"/>
  <c r="BO348" i="29"/>
  <c r="S288" i="29"/>
  <c r="B307" i="29"/>
  <c r="AN252" i="29"/>
  <c r="AP252" i="29" s="1"/>
  <c r="AP251" i="29" s="1"/>
  <c r="AN253" i="29"/>
  <c r="AW253" i="29"/>
  <c r="BK259" i="29"/>
  <c r="BQ285" i="29"/>
  <c r="BU262" i="29"/>
  <c r="BP269" i="29"/>
  <c r="BF271" i="29"/>
  <c r="BE271" i="29" s="1"/>
  <c r="AW276" i="29"/>
  <c r="AW275" i="29"/>
  <c r="AY274" i="29"/>
  <c r="BD277" i="29"/>
  <c r="BO274" i="29"/>
  <c r="AS277" i="29"/>
  <c r="S277" i="29"/>
  <c r="S276" i="29"/>
  <c r="S280" i="29"/>
  <c r="Y280" i="29"/>
  <c r="Y277" i="29"/>
  <c r="AK274" i="29"/>
  <c r="AR276" i="29"/>
  <c r="AR275" i="29"/>
  <c r="S275" i="29"/>
  <c r="X276" i="29"/>
  <c r="AH275" i="29"/>
  <c r="Y279" i="29"/>
  <c r="Z279" i="29" s="1"/>
  <c r="Z280" i="29" s="1"/>
  <c r="AE279" i="29"/>
  <c r="AF279" i="29" s="1"/>
  <c r="I288" i="29"/>
  <c r="J286" i="29"/>
  <c r="K286" i="29" s="1"/>
  <c r="AJ348" i="29"/>
  <c r="AJ339" i="29"/>
  <c r="AX339" i="29"/>
  <c r="AX348" i="29"/>
  <c r="N288" i="29"/>
  <c r="BD290" i="29"/>
  <c r="BD291" i="29" s="1"/>
  <c r="AF290" i="29"/>
  <c r="AF291" i="29" s="1"/>
  <c r="AE291" i="29"/>
  <c r="AL321" i="29"/>
  <c r="AO252" i="29"/>
  <c r="AZ259" i="29"/>
  <c r="BP259" i="29"/>
  <c r="BP260" i="29" s="1"/>
  <c r="BR285" i="29"/>
  <c r="AY270" i="29"/>
  <c r="BE269" i="29"/>
  <c r="BE274" i="29"/>
  <c r="BC280" i="29"/>
  <c r="BE280" i="29" s="1"/>
  <c r="BC276" i="29"/>
  <c r="BM291" i="29"/>
  <c r="BM277" i="29"/>
  <c r="AN291" i="29"/>
  <c r="AN277" i="29"/>
  <c r="T280" i="29"/>
  <c r="AM277" i="29"/>
  <c r="AM280" i="29"/>
  <c r="AP280" i="29" s="1"/>
  <c r="AS276" i="29"/>
  <c r="AS275" i="29"/>
  <c r="BH291" i="29"/>
  <c r="BH277" i="29"/>
  <c r="T275" i="29"/>
  <c r="AH276" i="29"/>
  <c r="AM276" i="29"/>
  <c r="BC275" i="29"/>
  <c r="AK279" i="29"/>
  <c r="AU279" i="29"/>
  <c r="N280" i="29"/>
  <c r="AN280" i="29"/>
  <c r="AO281" i="29"/>
  <c r="AO280" i="29" s="1"/>
  <c r="AT281" i="29"/>
  <c r="AT280" i="29" s="1"/>
  <c r="AS281" i="29"/>
  <c r="AS280" i="29" s="1"/>
  <c r="AR280" i="29"/>
  <c r="I347" i="29"/>
  <c r="K282" i="29"/>
  <c r="K347" i="29" s="1"/>
  <c r="J282" i="29"/>
  <c r="J347" i="29" s="1"/>
  <c r="AJ288" i="29"/>
  <c r="AK288" i="29"/>
  <c r="U284" i="29"/>
  <c r="AD339" i="29"/>
  <c r="AD348" i="29"/>
  <c r="AD349" i="29" s="1"/>
  <c r="AE285" i="29"/>
  <c r="BC339" i="29"/>
  <c r="BC348" i="29"/>
  <c r="BC349" i="29" s="1"/>
  <c r="BC288" i="29"/>
  <c r="BE288" i="29" s="1"/>
  <c r="BD285" i="29"/>
  <c r="S347" i="29"/>
  <c r="T282" i="29"/>
  <c r="T347" i="29" s="1"/>
  <c r="T349" i="29" s="1"/>
  <c r="AC288" i="29"/>
  <c r="AF284" i="29"/>
  <c r="AP274" i="29"/>
  <c r="BP288" i="29"/>
  <c r="AX290" i="29"/>
  <c r="AY290" i="29"/>
  <c r="BM349" i="29"/>
  <c r="I348" i="29"/>
  <c r="I339" i="29"/>
  <c r="Y339" i="29"/>
  <c r="Y348" i="29"/>
  <c r="Y349" i="29" s="1"/>
  <c r="AJ282" i="29"/>
  <c r="AJ347" i="29" s="1"/>
  <c r="AJ349" i="29" s="1"/>
  <c r="BD282" i="29"/>
  <c r="BD347" i="29" s="1"/>
  <c r="AY282" i="29"/>
  <c r="AY347" i="29" s="1"/>
  <c r="T348" i="29"/>
  <c r="T339" i="29"/>
  <c r="AK285" i="29"/>
  <c r="AY285" i="29"/>
  <c r="AC339" i="29"/>
  <c r="AC348" i="29"/>
  <c r="BP285" i="29"/>
  <c r="AM288" i="29"/>
  <c r="AH291" i="29"/>
  <c r="C297" i="29"/>
  <c r="C306" i="29" s="1"/>
  <c r="C307" i="29" s="1"/>
  <c r="D292" i="29"/>
  <c r="J321" i="29"/>
  <c r="T279" i="29"/>
  <c r="U279" i="29" s="1"/>
  <c r="U280" i="29" s="1"/>
  <c r="AC277" i="29"/>
  <c r="AT279" i="29"/>
  <c r="BN282" i="29"/>
  <c r="J285" i="29"/>
  <c r="O284" i="29"/>
  <c r="O288" i="29" s="1"/>
  <c r="Z285" i="29"/>
  <c r="AE282" i="29"/>
  <c r="AE347" i="29" s="1"/>
  <c r="AH339" i="29"/>
  <c r="AH348" i="29"/>
  <c r="AN348" i="29"/>
  <c r="AN349" i="29" s="1"/>
  <c r="AN339" i="29"/>
  <c r="BM348" i="29"/>
  <c r="BM339" i="29"/>
  <c r="AC349" i="29"/>
  <c r="AM339" i="29"/>
  <c r="AM348" i="29"/>
  <c r="AF285" i="29"/>
  <c r="BE289" i="29"/>
  <c r="AI290" i="29"/>
  <c r="D293" i="29"/>
  <c r="H297" i="29"/>
  <c r="I292" i="29"/>
  <c r="BA305" i="29"/>
  <c r="C321" i="29"/>
  <c r="G321" i="29"/>
  <c r="K321" i="29"/>
  <c r="P321" i="29"/>
  <c r="AI321" i="29"/>
  <c r="AN321" i="29"/>
  <c r="AO349" i="29"/>
  <c r="AX349" i="29"/>
  <c r="K285" i="29"/>
  <c r="AH349" i="29"/>
  <c r="AK282" i="29"/>
  <c r="AK347" i="29" s="1"/>
  <c r="BE282" i="29"/>
  <c r="BE347" i="29" s="1"/>
  <c r="X348" i="29"/>
  <c r="X349" i="29" s="1"/>
  <c r="X339" i="29"/>
  <c r="AI348" i="29"/>
  <c r="AI349" i="29" s="1"/>
  <c r="AI339" i="29"/>
  <c r="AO339" i="29"/>
  <c r="AO348" i="29"/>
  <c r="AW339" i="29"/>
  <c r="AW348" i="29"/>
  <c r="AW349" i="29" s="1"/>
  <c r="BN348" i="29"/>
  <c r="BN339" i="29"/>
  <c r="S348" i="29"/>
  <c r="S339" i="29"/>
  <c r="AM349" i="29"/>
  <c r="AP285" i="29"/>
  <c r="AF282" i="29"/>
  <c r="AF347" i="29" s="1"/>
  <c r="BD288" i="29"/>
  <c r="AU290" i="29"/>
  <c r="I293" i="29"/>
  <c r="R321" i="29"/>
  <c r="Z321" i="29"/>
  <c r="AA320" i="29"/>
  <c r="D321" i="29"/>
  <c r="H321" i="29"/>
  <c r="M321" i="29"/>
  <c r="AE321" i="29"/>
  <c r="AP315" i="29"/>
  <c r="AO320" i="29"/>
  <c r="I321" i="29"/>
  <c r="S321" i="29"/>
  <c r="W321" i="29"/>
  <c r="AB321" i="29"/>
  <c r="AG321" i="29"/>
  <c r="AQ321" i="29"/>
  <c r="O321" i="29"/>
  <c r="T321" i="29"/>
  <c r="X321" i="29"/>
  <c r="AM321" i="29"/>
  <c r="BK351" i="29"/>
  <c r="BK322" i="29"/>
  <c r="BK325" i="29" s="1"/>
  <c r="BQ328" i="29"/>
  <c r="BQ330" i="29"/>
  <c r="BA315" i="29"/>
  <c r="BQ315" i="29"/>
  <c r="L320" i="29"/>
  <c r="AF320" i="29"/>
  <c r="AR333" i="29"/>
  <c r="AR334" i="29" s="1"/>
  <c r="AU322" i="29"/>
  <c r="AU325" i="29" s="1"/>
  <c r="BP322" i="29"/>
  <c r="BP325" i="29" s="1"/>
  <c r="BA318" i="29"/>
  <c r="BA319" i="29" s="1"/>
  <c r="Q320" i="29"/>
  <c r="AK320" i="29"/>
  <c r="AZ322" i="29"/>
  <c r="AZ325" i="29" s="1"/>
  <c r="BP338" i="29"/>
  <c r="BP332" i="29"/>
  <c r="BQ327" i="29"/>
  <c r="AA332" i="29"/>
  <c r="AA333" i="29" s="1"/>
  <c r="AA334" i="29" s="1"/>
  <c r="AA338" i="29"/>
  <c r="AZ332" i="29"/>
  <c r="AO338" i="29"/>
  <c r="B338" i="29"/>
  <c r="BF338" i="29"/>
  <c r="AO332" i="29"/>
  <c r="AO333" i="29" s="1"/>
  <c r="BB338" i="29"/>
  <c r="BL338" i="29"/>
  <c r="BK338" i="29"/>
  <c r="BK332" i="29"/>
  <c r="Q338" i="29"/>
  <c r="AK338" i="29"/>
  <c r="BF332" i="29"/>
  <c r="BF333" i="29" s="1"/>
  <c r="BA327" i="29"/>
  <c r="BA329" i="29"/>
  <c r="V338" i="29"/>
  <c r="AP327" i="29"/>
  <c r="AQ338" i="29"/>
  <c r="O54" i="136"/>
  <c r="E61" i="136"/>
  <c r="N16" i="136"/>
  <c r="N26" i="136" s="1"/>
  <c r="N28" i="136" s="1"/>
  <c r="N54" i="136"/>
  <c r="E43" i="136"/>
  <c r="O49" i="136"/>
  <c r="O62" i="136"/>
  <c r="H47" i="136" l="1"/>
  <c r="BD227" i="29"/>
  <c r="BD226" i="29"/>
  <c r="BO226" i="29"/>
  <c r="BU105" i="29"/>
  <c r="BZ22" i="29"/>
  <c r="CE22" i="29" s="1"/>
  <c r="CJ22" i="29" s="1"/>
  <c r="BU23" i="29"/>
  <c r="AQ253" i="29"/>
  <c r="AU253" i="29" s="1"/>
  <c r="AQ252" i="29"/>
  <c r="AU252" i="29" s="1"/>
  <c r="AU251" i="29" s="1"/>
  <c r="BQ200" i="29"/>
  <c r="BQ167" i="29"/>
  <c r="AP225" i="29"/>
  <c r="AP235" i="29"/>
  <c r="AP214" i="29"/>
  <c r="AP212" i="29"/>
  <c r="AP208" i="29"/>
  <c r="AP206" i="29"/>
  <c r="AP210" i="29"/>
  <c r="BF215" i="29"/>
  <c r="BF142" i="29"/>
  <c r="BF129" i="29"/>
  <c r="BF140" i="29"/>
  <c r="BF138" i="29"/>
  <c r="BF134" i="29"/>
  <c r="BF135" i="29" s="1"/>
  <c r="BF137" i="29" s="1"/>
  <c r="BF131" i="29"/>
  <c r="BF133" i="29" s="1"/>
  <c r="BF116" i="29"/>
  <c r="BF64" i="29"/>
  <c r="BF6" i="29"/>
  <c r="BK166" i="29"/>
  <c r="O10" i="136"/>
  <c r="F37" i="136" s="1"/>
  <c r="BK128" i="29"/>
  <c r="BK61" i="29"/>
  <c r="BK59" i="29"/>
  <c r="BK60" i="29" s="1"/>
  <c r="BK39" i="29"/>
  <c r="BP333" i="29"/>
  <c r="D297" i="29"/>
  <c r="D306" i="29" s="1"/>
  <c r="D307" i="29" s="1"/>
  <c r="E292" i="29"/>
  <c r="E293" i="29" s="1"/>
  <c r="Z339" i="29"/>
  <c r="Z348" i="29"/>
  <c r="Z349" i="29" s="1"/>
  <c r="BE277" i="29"/>
  <c r="BJ254" i="29"/>
  <c r="BJ253" i="29" s="1"/>
  <c r="BI253" i="29"/>
  <c r="AS236" i="29"/>
  <c r="AS238" i="29"/>
  <c r="BM238" i="29"/>
  <c r="BM236" i="29"/>
  <c r="BB238" i="29"/>
  <c r="BB236" i="29"/>
  <c r="BI238" i="29"/>
  <c r="BI236" i="29"/>
  <c r="E227" i="29"/>
  <c r="E226" i="29"/>
  <c r="AJ227" i="29"/>
  <c r="AJ228" i="29" s="1"/>
  <c r="AJ226" i="29"/>
  <c r="AR227" i="29"/>
  <c r="AR228" i="29" s="1"/>
  <c r="AR226" i="29"/>
  <c r="AB236" i="29"/>
  <c r="AB238" i="29"/>
  <c r="AA239" i="29"/>
  <c r="AA246" i="29"/>
  <c r="AA241" i="29"/>
  <c r="AF199" i="29"/>
  <c r="AZ246" i="29"/>
  <c r="AZ241" i="29"/>
  <c r="AZ239" i="29"/>
  <c r="V199" i="29"/>
  <c r="AO199" i="29"/>
  <c r="Y319" i="29"/>
  <c r="Y305" i="29"/>
  <c r="Y317" i="29"/>
  <c r="Y299" i="29"/>
  <c r="Y303" i="29"/>
  <c r="Y216" i="29"/>
  <c r="Y217" i="29"/>
  <c r="Y222" i="29"/>
  <c r="Y275" i="29"/>
  <c r="BA275" i="29"/>
  <c r="BA217" i="29"/>
  <c r="AB118" i="29"/>
  <c r="AB117" i="29"/>
  <c r="AZ200" i="29"/>
  <c r="AZ167" i="29"/>
  <c r="BF213" i="29"/>
  <c r="BF158" i="29"/>
  <c r="BF154" i="29"/>
  <c r="BF155" i="29" s="1"/>
  <c r="BF156" i="29"/>
  <c r="AW196" i="29"/>
  <c r="BF199" i="29"/>
  <c r="BF195" i="29"/>
  <c r="F317" i="29"/>
  <c r="F299" i="29"/>
  <c r="F321" i="29"/>
  <c r="F319" i="29"/>
  <c r="F305" i="29"/>
  <c r="F303" i="29"/>
  <c r="F275" i="29"/>
  <c r="F217" i="29"/>
  <c r="F222" i="29"/>
  <c r="F216" i="29"/>
  <c r="BU48" i="29"/>
  <c r="BL200" i="29"/>
  <c r="BL201" i="29" s="1"/>
  <c r="BL167" i="29"/>
  <c r="AP340" i="29"/>
  <c r="AP215" i="29"/>
  <c r="AP131" i="29"/>
  <c r="AP133" i="29" s="1"/>
  <c r="AP138" i="29"/>
  <c r="AP134" i="29"/>
  <c r="AP135" i="29" s="1"/>
  <c r="AP137" i="29" s="1"/>
  <c r="AP129" i="29"/>
  <c r="AP142" i="29"/>
  <c r="AP140" i="29"/>
  <c r="AP116" i="29"/>
  <c r="AP125" i="29" s="1"/>
  <c r="AP126" i="29" s="1"/>
  <c r="AP127" i="29"/>
  <c r="AP120" i="29"/>
  <c r="BL187" i="29"/>
  <c r="BQ187" i="29"/>
  <c r="BP52" i="29"/>
  <c r="BP51" i="29"/>
  <c r="AZ148" i="29"/>
  <c r="AY144" i="29"/>
  <c r="BP39" i="29"/>
  <c r="BP167" i="29"/>
  <c r="BS52" i="29"/>
  <c r="BP21" i="29"/>
  <c r="BD150" i="29"/>
  <c r="BD151" i="29" s="1"/>
  <c r="CE178" i="29"/>
  <c r="S13" i="136"/>
  <c r="I40" i="136" s="1"/>
  <c r="CJ80" i="29"/>
  <c r="AZ333" i="29"/>
  <c r="I297" i="29"/>
  <c r="J292" i="29"/>
  <c r="J293" i="29" s="1"/>
  <c r="Y321" i="29"/>
  <c r="AJ290" i="29"/>
  <c r="AI291" i="29"/>
  <c r="BP348" i="29"/>
  <c r="BP339" i="29"/>
  <c r="P47" i="136"/>
  <c r="AK339" i="29"/>
  <c r="AK348" i="29"/>
  <c r="BA307" i="29"/>
  <c r="AF288" i="29"/>
  <c r="S349" i="29"/>
  <c r="BE276" i="29"/>
  <c r="BR348" i="29"/>
  <c r="BR339" i="29"/>
  <c r="BE290" i="29"/>
  <c r="BE291" i="29" s="1"/>
  <c r="BU263" i="29"/>
  <c r="BZ262" i="29"/>
  <c r="BC226" i="29"/>
  <c r="BC227" i="29"/>
  <c r="AS339" i="29"/>
  <c r="AS348" i="29"/>
  <c r="AS288" i="29"/>
  <c r="BO277" i="29"/>
  <c r="BS252" i="29"/>
  <c r="BT251" i="29"/>
  <c r="AF221" i="29"/>
  <c r="AO291" i="29"/>
  <c r="BT263" i="29"/>
  <c r="BT285" i="29"/>
  <c r="BR287" i="29"/>
  <c r="BR282" i="29"/>
  <c r="BS259" i="29"/>
  <c r="AU282" i="29"/>
  <c r="AU347" i="29" s="1"/>
  <c r="BE254" i="29"/>
  <c r="BE253" i="29" s="1"/>
  <c r="BD253" i="29"/>
  <c r="F236" i="29"/>
  <c r="F238" i="29"/>
  <c r="AI227" i="29"/>
  <c r="AI226" i="29"/>
  <c r="C239" i="29"/>
  <c r="C246" i="29"/>
  <c r="C241" i="29"/>
  <c r="AY238" i="29"/>
  <c r="AY236" i="29"/>
  <c r="AE238" i="29"/>
  <c r="AE236" i="29"/>
  <c r="O238" i="29"/>
  <c r="O236" i="29"/>
  <c r="G238" i="29"/>
  <c r="G236" i="29"/>
  <c r="BM226" i="29"/>
  <c r="BM227" i="29"/>
  <c r="AY291" i="29"/>
  <c r="AY277" i="29"/>
  <c r="BL236" i="29"/>
  <c r="BL238" i="29"/>
  <c r="AA221" i="29"/>
  <c r="BB227" i="29"/>
  <c r="BB226" i="29"/>
  <c r="AT227" i="29"/>
  <c r="AH227" i="29"/>
  <c r="Z238" i="29"/>
  <c r="Z236" i="29"/>
  <c r="AF270" i="29"/>
  <c r="BA238" i="29"/>
  <c r="BA236" i="29"/>
  <c r="AW227" i="29"/>
  <c r="AW228" i="29" s="1"/>
  <c r="AW226" i="29"/>
  <c r="AG227" i="29"/>
  <c r="AG226" i="29"/>
  <c r="M236" i="29"/>
  <c r="M238" i="29"/>
  <c r="E238" i="29"/>
  <c r="E236" i="29"/>
  <c r="Z288" i="29"/>
  <c r="AV209" i="29"/>
  <c r="AV202" i="29"/>
  <c r="AV203" i="29" s="1"/>
  <c r="BB209" i="29"/>
  <c r="AJ238" i="29"/>
  <c r="AJ236" i="29"/>
  <c r="P227" i="29"/>
  <c r="P228" i="29" s="1"/>
  <c r="P226" i="29"/>
  <c r="BM228" i="29"/>
  <c r="X227" i="29"/>
  <c r="X226" i="29"/>
  <c r="BT255" i="29"/>
  <c r="BT247" i="29"/>
  <c r="C228" i="29"/>
  <c r="Q221" i="29"/>
  <c r="AR236" i="29"/>
  <c r="AR238" i="29"/>
  <c r="BN238" i="29"/>
  <c r="BN236" i="29"/>
  <c r="AP194" i="29"/>
  <c r="J246" i="29"/>
  <c r="J239" i="29"/>
  <c r="J264" i="29" s="1"/>
  <c r="J241" i="29"/>
  <c r="AS203" i="29"/>
  <c r="AG197" i="29"/>
  <c r="V225" i="29"/>
  <c r="V235" i="29"/>
  <c r="V212" i="29"/>
  <c r="V210" i="29"/>
  <c r="V214" i="29"/>
  <c r="H201" i="29"/>
  <c r="AN209" i="29"/>
  <c r="AN202" i="29"/>
  <c r="AN203" i="29" s="1"/>
  <c r="AZ212" i="29"/>
  <c r="AZ227" i="29"/>
  <c r="AA214" i="29"/>
  <c r="Q235" i="29"/>
  <c r="Q225" i="29"/>
  <c r="Q214" i="29"/>
  <c r="Q210" i="29"/>
  <c r="Q212" i="29"/>
  <c r="AL201" i="29"/>
  <c r="BP188" i="29"/>
  <c r="BD319" i="29"/>
  <c r="BD317" i="29"/>
  <c r="BD303" i="29"/>
  <c r="BD321" i="29"/>
  <c r="BD307" i="29"/>
  <c r="BD305" i="29"/>
  <c r="BD299" i="29"/>
  <c r="BD222" i="29"/>
  <c r="BD217" i="29"/>
  <c r="BD216" i="29"/>
  <c r="BD207" i="29"/>
  <c r="D319" i="29"/>
  <c r="D317" i="29"/>
  <c r="D303" i="29"/>
  <c r="D299" i="29"/>
  <c r="D305" i="29"/>
  <c r="D275" i="29"/>
  <c r="D216" i="29"/>
  <c r="D217" i="29"/>
  <c r="D222" i="29"/>
  <c r="AX321" i="29"/>
  <c r="AX307" i="29"/>
  <c r="AX305" i="29"/>
  <c r="AX319" i="29"/>
  <c r="AX317" i="29"/>
  <c r="AX299" i="29"/>
  <c r="AX303" i="29"/>
  <c r="AX275" i="29"/>
  <c r="AX217" i="29"/>
  <c r="AX222" i="29"/>
  <c r="AX207" i="29"/>
  <c r="AX216" i="29"/>
  <c r="AT305" i="29"/>
  <c r="AT319" i="29"/>
  <c r="AT317" i="29"/>
  <c r="AT321" i="29"/>
  <c r="AT303" i="29"/>
  <c r="AT299" i="29"/>
  <c r="AT307" i="29"/>
  <c r="AT217" i="29"/>
  <c r="AT207" i="29"/>
  <c r="N211" i="29"/>
  <c r="J201" i="29"/>
  <c r="BF190" i="29"/>
  <c r="BF186" i="29"/>
  <c r="BF187" i="29" s="1"/>
  <c r="BF188" i="29"/>
  <c r="BC305" i="29"/>
  <c r="BC319" i="29"/>
  <c r="BC317" i="29"/>
  <c r="BC307" i="29"/>
  <c r="BC303" i="29"/>
  <c r="BC321" i="29"/>
  <c r="BC299" i="29"/>
  <c r="BC222" i="29"/>
  <c r="BC217" i="29"/>
  <c r="BC207" i="29"/>
  <c r="BC216" i="29"/>
  <c r="AG319" i="29"/>
  <c r="AG305" i="29"/>
  <c r="AG317" i="29"/>
  <c r="AG299" i="29"/>
  <c r="AG303" i="29"/>
  <c r="AG275" i="29"/>
  <c r="AG216" i="29"/>
  <c r="AG217" i="29"/>
  <c r="AG222" i="29"/>
  <c r="AG207" i="29"/>
  <c r="Y211" i="29"/>
  <c r="BK163" i="29"/>
  <c r="BE199" i="29"/>
  <c r="AU214" i="29"/>
  <c r="AU235" i="29"/>
  <c r="AU212" i="29"/>
  <c r="AU225" i="29"/>
  <c r="AZ226" i="29" s="1"/>
  <c r="AU208" i="29"/>
  <c r="AU210" i="29"/>
  <c r="AU211" i="29" s="1"/>
  <c r="AQ317" i="29"/>
  <c r="AQ307" i="29"/>
  <c r="AQ305" i="29"/>
  <c r="AQ319" i="29"/>
  <c r="AQ299" i="29"/>
  <c r="AQ275" i="29"/>
  <c r="AQ303" i="29"/>
  <c r="AQ222" i="29"/>
  <c r="AQ216" i="29"/>
  <c r="AQ207" i="29"/>
  <c r="AQ217" i="29"/>
  <c r="AI203" i="29"/>
  <c r="AE211" i="29"/>
  <c r="W211" i="29"/>
  <c r="S211" i="29"/>
  <c r="O319" i="29"/>
  <c r="O305" i="29"/>
  <c r="O303" i="29"/>
  <c r="O317" i="29"/>
  <c r="O222" i="29"/>
  <c r="O216" i="29"/>
  <c r="O299" i="29"/>
  <c r="O217" i="29"/>
  <c r="BO170" i="29"/>
  <c r="BO168" i="29"/>
  <c r="BO173" i="29"/>
  <c r="BO77" i="29"/>
  <c r="BO78" i="29" s="1"/>
  <c r="BO79" i="29"/>
  <c r="BO67" i="29"/>
  <c r="BO63" i="29"/>
  <c r="AZ123" i="29"/>
  <c r="AZ124" i="29" s="1"/>
  <c r="AZ58" i="29"/>
  <c r="BT38" i="29"/>
  <c r="BC149" i="29"/>
  <c r="BL340" i="29"/>
  <c r="BL215" i="29"/>
  <c r="BL212" i="29"/>
  <c r="BL210" i="29"/>
  <c r="BL131" i="29"/>
  <c r="BL133" i="29" s="1"/>
  <c r="BL141" i="29"/>
  <c r="BL139" i="29"/>
  <c r="BL134" i="29"/>
  <c r="BL135" i="29" s="1"/>
  <c r="BL137" i="29" s="1"/>
  <c r="BL129" i="29"/>
  <c r="BL143" i="29"/>
  <c r="BL116" i="29"/>
  <c r="AP152" i="29"/>
  <c r="AR321" i="29"/>
  <c r="AR307" i="29"/>
  <c r="AR305" i="29"/>
  <c r="AR319" i="29"/>
  <c r="AR317" i="29"/>
  <c r="AR303" i="29"/>
  <c r="AR299" i="29"/>
  <c r="AR216" i="29"/>
  <c r="AR217" i="29"/>
  <c r="AR207" i="29"/>
  <c r="AR222" i="29"/>
  <c r="E196" i="29"/>
  <c r="AK120" i="29"/>
  <c r="AF169" i="29"/>
  <c r="AK169" i="29"/>
  <c r="BS169" i="29"/>
  <c r="BN169" i="29"/>
  <c r="BT155" i="29"/>
  <c r="BT162" i="29"/>
  <c r="G196" i="29"/>
  <c r="AU120" i="29"/>
  <c r="AP64" i="29"/>
  <c r="Q174" i="29"/>
  <c r="AO340" i="29"/>
  <c r="AO215" i="29"/>
  <c r="AO150" i="29"/>
  <c r="AO151" i="29" s="1"/>
  <c r="AO152" i="29"/>
  <c r="AO94" i="29"/>
  <c r="AO129" i="29"/>
  <c r="AO64" i="29"/>
  <c r="AO6" i="29"/>
  <c r="AO116" i="29"/>
  <c r="AO195" i="29" s="1"/>
  <c r="BG200" i="29"/>
  <c r="BB147" i="29"/>
  <c r="BN200" i="29"/>
  <c r="BN167" i="29"/>
  <c r="AZ6" i="29"/>
  <c r="BM155" i="29"/>
  <c r="BP225" i="29"/>
  <c r="BP235" i="29"/>
  <c r="BP214" i="29"/>
  <c r="BL145" i="29"/>
  <c r="BL152" i="29"/>
  <c r="BL147" i="29"/>
  <c r="AZ94" i="29"/>
  <c r="BR188" i="29"/>
  <c r="BR190" i="29"/>
  <c r="BP62" i="29"/>
  <c r="BK173" i="29"/>
  <c r="BK174" i="29" s="1"/>
  <c r="BK168" i="29"/>
  <c r="BK169" i="29" s="1"/>
  <c r="BK64" i="29"/>
  <c r="BK63" i="29"/>
  <c r="BK79" i="29"/>
  <c r="O12" i="136"/>
  <c r="BU51" i="29"/>
  <c r="AA200" i="29"/>
  <c r="AA167" i="29"/>
  <c r="BJ166" i="29"/>
  <c r="BJ59" i="29"/>
  <c r="BJ60" i="29" s="1"/>
  <c r="BJ161" i="29"/>
  <c r="BO162" i="29" s="1"/>
  <c r="BJ61" i="29"/>
  <c r="AK340" i="29"/>
  <c r="AK215" i="29"/>
  <c r="AK142" i="29"/>
  <c r="AK140" i="29"/>
  <c r="AK138" i="29"/>
  <c r="AK129" i="29"/>
  <c r="AK116" i="29"/>
  <c r="AK127" i="29" s="1"/>
  <c r="AU187" i="29"/>
  <c r="BU69" i="29"/>
  <c r="BE200" i="29"/>
  <c r="BE201" i="29" s="1"/>
  <c r="BE167" i="29"/>
  <c r="AZ155" i="29"/>
  <c r="Q160" i="29"/>
  <c r="AA123" i="29"/>
  <c r="AA124" i="29" s="1"/>
  <c r="AG117" i="29"/>
  <c r="AU122" i="29"/>
  <c r="AP124" i="29"/>
  <c r="BO145" i="29"/>
  <c r="BP144" i="29"/>
  <c r="AK122" i="29"/>
  <c r="BR9" i="29"/>
  <c r="BQ10" i="29"/>
  <c r="BQ7" i="29"/>
  <c r="AP281" i="29"/>
  <c r="AP277" i="29"/>
  <c r="AP276" i="29"/>
  <c r="AP275" i="29"/>
  <c r="P280" i="29"/>
  <c r="P276" i="29"/>
  <c r="P275" i="29"/>
  <c r="P277" i="29"/>
  <c r="AF277" i="29"/>
  <c r="AF276" i="29"/>
  <c r="AF280" i="29"/>
  <c r="BS348" i="29"/>
  <c r="BS339" i="29"/>
  <c r="AY227" i="29"/>
  <c r="AY228" i="29" s="1"/>
  <c r="AY226" i="29"/>
  <c r="AM238" i="29"/>
  <c r="AM236" i="29"/>
  <c r="K239" i="29"/>
  <c r="K264" i="29" s="1"/>
  <c r="K246" i="29"/>
  <c r="K241" i="29"/>
  <c r="AT236" i="29"/>
  <c r="AT238" i="29"/>
  <c r="Z227" i="29"/>
  <c r="Z226" i="29"/>
  <c r="N236" i="29"/>
  <c r="N238" i="29"/>
  <c r="Y238" i="29"/>
  <c r="Y236" i="29"/>
  <c r="D238" i="29"/>
  <c r="D236" i="29"/>
  <c r="BA207" i="29"/>
  <c r="BA206" i="29"/>
  <c r="BA208" i="29"/>
  <c r="BA202" i="29" s="1"/>
  <c r="AA226" i="29"/>
  <c r="AA227" i="29"/>
  <c r="AE228" i="29"/>
  <c r="AL203" i="29"/>
  <c r="BK199" i="29"/>
  <c r="AK225" i="29"/>
  <c r="AK210" i="29"/>
  <c r="AK235" i="29"/>
  <c r="AK208" i="29"/>
  <c r="AI211" i="29"/>
  <c r="AJ319" i="29"/>
  <c r="AJ305" i="29"/>
  <c r="AJ317" i="29"/>
  <c r="AJ303" i="29"/>
  <c r="AJ299" i="29"/>
  <c r="AJ216" i="29"/>
  <c r="AJ217" i="29"/>
  <c r="AR118" i="29"/>
  <c r="AR117" i="29"/>
  <c r="BP128" i="29"/>
  <c r="BP143" i="29" s="1"/>
  <c r="BP159" i="29"/>
  <c r="BP160" i="29" s="1"/>
  <c r="P9" i="136"/>
  <c r="BP5" i="29"/>
  <c r="BP6" i="29"/>
  <c r="BP37" i="29"/>
  <c r="BT187" i="29"/>
  <c r="BO187" i="29"/>
  <c r="BP191" i="29"/>
  <c r="BP93" i="29"/>
  <c r="P11" i="136"/>
  <c r="BP115" i="29"/>
  <c r="BP94" i="29"/>
  <c r="BT174" i="29"/>
  <c r="BS166" i="29"/>
  <c r="BS164" i="29"/>
  <c r="BS43" i="29"/>
  <c r="BS39" i="29"/>
  <c r="BB321" i="29"/>
  <c r="BB307" i="29"/>
  <c r="BB319" i="29"/>
  <c r="BB317" i="29"/>
  <c r="BB299" i="29"/>
  <c r="BB275" i="29"/>
  <c r="BB303" i="29"/>
  <c r="BB217" i="29"/>
  <c r="BB216" i="29"/>
  <c r="BB222" i="29"/>
  <c r="BB207" i="29"/>
  <c r="BR166" i="29"/>
  <c r="BR164" i="29"/>
  <c r="BR49" i="29"/>
  <c r="BR39" i="29"/>
  <c r="V200" i="29"/>
  <c r="Q155" i="29"/>
  <c r="BR46" i="29"/>
  <c r="AK321" i="29"/>
  <c r="BR315" i="29"/>
  <c r="BR328" i="29"/>
  <c r="BK333" i="29"/>
  <c r="BK334" i="29" s="1"/>
  <c r="AO321" i="29"/>
  <c r="AP320" i="29"/>
  <c r="AP321" i="29" s="1"/>
  <c r="AJ321" i="29"/>
  <c r="BA303" i="29"/>
  <c r="AK349" i="29"/>
  <c r="BA321" i="29"/>
  <c r="U321" i="29"/>
  <c r="BD348" i="29"/>
  <c r="BD349" i="29" s="1"/>
  <c r="BD339" i="29"/>
  <c r="T288" i="29"/>
  <c r="AU280" i="29"/>
  <c r="AU281" i="29" s="1"/>
  <c r="AU291" i="29" s="1"/>
  <c r="AT291" i="29"/>
  <c r="BA317" i="29"/>
  <c r="AS291" i="29"/>
  <c r="BQ348" i="29"/>
  <c r="BQ339" i="29"/>
  <c r="BU285" i="29"/>
  <c r="O348" i="29"/>
  <c r="O349" i="29" s="1"/>
  <c r="O339" i="29"/>
  <c r="AO275" i="29"/>
  <c r="AO276" i="29"/>
  <c r="BN280" i="29"/>
  <c r="BN281" i="29" s="1"/>
  <c r="BF260" i="29"/>
  <c r="U275" i="29"/>
  <c r="AE280" i="29"/>
  <c r="AE277" i="29"/>
  <c r="AE276" i="29"/>
  <c r="AE275" i="29"/>
  <c r="AF269" i="29"/>
  <c r="V221" i="29"/>
  <c r="BQ347" i="29"/>
  <c r="BQ289" i="29"/>
  <c r="BU258" i="29"/>
  <c r="BZ257" i="29"/>
  <c r="BU255" i="29"/>
  <c r="Q36" i="136"/>
  <c r="BU247" i="29"/>
  <c r="AR349" i="29"/>
  <c r="BF254" i="29"/>
  <c r="BK254" i="29" s="1"/>
  <c r="S227" i="29"/>
  <c r="S228" i="29" s="1"/>
  <c r="S226" i="29"/>
  <c r="AQ238" i="29"/>
  <c r="AQ236" i="29"/>
  <c r="AI238" i="29"/>
  <c r="AI236" i="29"/>
  <c r="BO241" i="29"/>
  <c r="BO239" i="29"/>
  <c r="BO246" i="29"/>
  <c r="AK187" i="29"/>
  <c r="Q187" i="29"/>
  <c r="R238" i="29"/>
  <c r="R236" i="29"/>
  <c r="BJ238" i="29"/>
  <c r="BJ236" i="29"/>
  <c r="AX238" i="29"/>
  <c r="AX236" i="29"/>
  <c r="AL236" i="29"/>
  <c r="AL238" i="29"/>
  <c r="AD238" i="29"/>
  <c r="AD236" i="29"/>
  <c r="AK204" i="29"/>
  <c r="AK206" i="29"/>
  <c r="AP204" i="29"/>
  <c r="AK207" i="29"/>
  <c r="AO270" i="29"/>
  <c r="AP270" i="29" s="1"/>
  <c r="BA227" i="29"/>
  <c r="N29" i="136"/>
  <c r="U227" i="29"/>
  <c r="U228" i="29" s="1"/>
  <c r="U226" i="29"/>
  <c r="AB197" i="29"/>
  <c r="W239" i="29"/>
  <c r="W246" i="29"/>
  <c r="W241" i="29"/>
  <c r="BD202" i="29"/>
  <c r="BD203" i="29" s="1"/>
  <c r="BD209" i="29"/>
  <c r="AV238" i="29"/>
  <c r="AV236" i="29"/>
  <c r="AJ209" i="29"/>
  <c r="AJ202" i="29"/>
  <c r="AJ203" i="29" s="1"/>
  <c r="P238" i="29"/>
  <c r="P236" i="29"/>
  <c r="G228" i="29"/>
  <c r="BH238" i="29"/>
  <c r="BH236" i="29"/>
  <c r="X238" i="29"/>
  <c r="X236" i="29"/>
  <c r="AR209" i="29"/>
  <c r="AW209" i="29"/>
  <c r="AR202" i="29"/>
  <c r="AR203" i="29" s="1"/>
  <c r="BN226" i="29"/>
  <c r="BN227" i="29"/>
  <c r="BN228" i="29" s="1"/>
  <c r="AJ207" i="29"/>
  <c r="AW197" i="29"/>
  <c r="BK208" i="29"/>
  <c r="BK225" i="29"/>
  <c r="BK214" i="29"/>
  <c r="BK212" i="29"/>
  <c r="BK210" i="29"/>
  <c r="BK211" i="29" s="1"/>
  <c r="BK235" i="29"/>
  <c r="AN227" i="29"/>
  <c r="AN228" i="29" s="1"/>
  <c r="AN226" i="29"/>
  <c r="AZ210" i="29"/>
  <c r="AZ211" i="29" s="1"/>
  <c r="T227" i="29"/>
  <c r="T228" i="29" s="1"/>
  <c r="T226" i="29"/>
  <c r="AL317" i="29"/>
  <c r="AL299" i="29"/>
  <c r="AL319" i="29"/>
  <c r="AL305" i="29"/>
  <c r="AL303" i="29"/>
  <c r="AL275" i="29"/>
  <c r="AL217" i="29"/>
  <c r="AL218" i="29" s="1"/>
  <c r="AL222" i="29"/>
  <c r="AL216" i="29"/>
  <c r="AL207" i="29"/>
  <c r="AH317" i="29"/>
  <c r="AH299" i="29"/>
  <c r="AH321" i="29"/>
  <c r="AH319" i="29"/>
  <c r="AH305" i="29"/>
  <c r="AH303" i="29"/>
  <c r="AH217" i="29"/>
  <c r="AH222" i="29"/>
  <c r="AH207" i="29"/>
  <c r="AD196" i="29"/>
  <c r="V162" i="29"/>
  <c r="AD201" i="29"/>
  <c r="BC211" i="29"/>
  <c r="G319" i="29"/>
  <c r="G317" i="29"/>
  <c r="G305" i="29"/>
  <c r="G303" i="29"/>
  <c r="G299" i="29"/>
  <c r="G275" i="29"/>
  <c r="G222" i="29"/>
  <c r="G216" i="29"/>
  <c r="G217" i="29"/>
  <c r="G218" i="29" s="1"/>
  <c r="AW203" i="29"/>
  <c r="AS307" i="29"/>
  <c r="AS305" i="29"/>
  <c r="AS319" i="29"/>
  <c r="AS317" i="29"/>
  <c r="AS321" i="29"/>
  <c r="AS303" i="29"/>
  <c r="AS299" i="29"/>
  <c r="AS216" i="29"/>
  <c r="AS217" i="29"/>
  <c r="AS222" i="29"/>
  <c r="AS207" i="29"/>
  <c r="AG211" i="29"/>
  <c r="M211" i="29"/>
  <c r="BK206" i="29"/>
  <c r="BK161" i="29"/>
  <c r="BK162" i="29" s="1"/>
  <c r="L199" i="29"/>
  <c r="BP199" i="29"/>
  <c r="AF213" i="29"/>
  <c r="AF158" i="29"/>
  <c r="AF154" i="29"/>
  <c r="AF155" i="29" s="1"/>
  <c r="AK156" i="29"/>
  <c r="AF156" i="29"/>
  <c r="AK158" i="29"/>
  <c r="AP150" i="29"/>
  <c r="AP151" i="29" s="1"/>
  <c r="AY305" i="29"/>
  <c r="AY319" i="29"/>
  <c r="AY317" i="29"/>
  <c r="AY321" i="29"/>
  <c r="AY303" i="29"/>
  <c r="AY307" i="29"/>
  <c r="AY299" i="29"/>
  <c r="AY216" i="29"/>
  <c r="AY217" i="29"/>
  <c r="AQ211" i="29"/>
  <c r="AM319" i="29"/>
  <c r="AM305" i="29"/>
  <c r="AM317" i="29"/>
  <c r="AM303" i="29"/>
  <c r="AM299" i="29"/>
  <c r="AM222" i="29"/>
  <c r="AM216" i="29"/>
  <c r="AM217" i="29"/>
  <c r="AM218" i="29" s="1"/>
  <c r="AM207" i="29"/>
  <c r="S319" i="29"/>
  <c r="S317" i="29"/>
  <c r="S305" i="29"/>
  <c r="S303" i="29"/>
  <c r="S299" i="29"/>
  <c r="S222" i="29"/>
  <c r="S216" i="29"/>
  <c r="S217" i="29"/>
  <c r="BS155" i="29"/>
  <c r="BN155" i="29"/>
  <c r="AF340" i="29"/>
  <c r="AF215" i="29"/>
  <c r="AF140" i="29"/>
  <c r="AF138" i="29"/>
  <c r="AF150" i="29"/>
  <c r="AF151" i="29" s="1"/>
  <c r="AF142" i="29"/>
  <c r="AF129" i="29"/>
  <c r="AF152" i="29"/>
  <c r="AF116" i="29"/>
  <c r="AF195" i="29" s="1"/>
  <c r="P319" i="29"/>
  <c r="P305" i="29"/>
  <c r="P317" i="29"/>
  <c r="P303" i="29"/>
  <c r="P299" i="29"/>
  <c r="P216" i="29"/>
  <c r="P217" i="29"/>
  <c r="AP94" i="29"/>
  <c r="BF191" i="29"/>
  <c r="BF192" i="29" s="1"/>
  <c r="BF106" i="29"/>
  <c r="BF97" i="29"/>
  <c r="BF94" i="29"/>
  <c r="BF100" i="29"/>
  <c r="BF93" i="29"/>
  <c r="BF103" i="29"/>
  <c r="BH200" i="29"/>
  <c r="BN144" i="29"/>
  <c r="BL155" i="29"/>
  <c r="BQ155" i="29"/>
  <c r="AU340" i="29"/>
  <c r="AU215" i="29"/>
  <c r="AU129" i="29"/>
  <c r="AU140" i="29"/>
  <c r="AU138" i="29"/>
  <c r="AU134" i="29"/>
  <c r="AU135" i="29" s="1"/>
  <c r="AU137" i="29" s="1"/>
  <c r="AU131" i="29"/>
  <c r="AU133" i="29" s="1"/>
  <c r="AU150" i="29"/>
  <c r="AU151" i="29" s="1"/>
  <c r="AU116" i="29"/>
  <c r="AU142" i="29"/>
  <c r="AU40" i="29"/>
  <c r="BE235" i="29"/>
  <c r="BE210" i="29"/>
  <c r="BE211" i="29" s="1"/>
  <c r="BE214" i="29"/>
  <c r="BE212" i="29"/>
  <c r="BE206" i="29"/>
  <c r="BE208" i="29"/>
  <c r="AF174" i="29"/>
  <c r="BM145" i="29"/>
  <c r="BM152" i="29"/>
  <c r="BM150" i="29"/>
  <c r="BM151" i="29" s="1"/>
  <c r="J317" i="29"/>
  <c r="J319" i="29"/>
  <c r="J299" i="29"/>
  <c r="J303" i="29"/>
  <c r="J305" i="29"/>
  <c r="J217" i="29"/>
  <c r="J222" i="29"/>
  <c r="AN319" i="29"/>
  <c r="AN305" i="29"/>
  <c r="AN317" i="29"/>
  <c r="AN307" i="29"/>
  <c r="AN303" i="29"/>
  <c r="AN299" i="29"/>
  <c r="AN216" i="29"/>
  <c r="AN217" i="29"/>
  <c r="AN207" i="29"/>
  <c r="AN222" i="29"/>
  <c r="T319" i="29"/>
  <c r="T305" i="29"/>
  <c r="T317" i="29"/>
  <c r="T303" i="29"/>
  <c r="T299" i="29"/>
  <c r="T216" i="29"/>
  <c r="T217" i="29"/>
  <c r="T218" i="29" s="1"/>
  <c r="T222" i="29"/>
  <c r="R196" i="29"/>
  <c r="AQ125" i="29"/>
  <c r="AQ126" i="29" s="1"/>
  <c r="AF105" i="29"/>
  <c r="AF106" i="29"/>
  <c r="BS191" i="29"/>
  <c r="BS192" i="29" s="1"/>
  <c r="BS189" i="29"/>
  <c r="BS93" i="29"/>
  <c r="BS103" i="29"/>
  <c r="BP48" i="29"/>
  <c r="BP49" i="29"/>
  <c r="BT63" i="29"/>
  <c r="BF174" i="29"/>
  <c r="Q169" i="29"/>
  <c r="BL64" i="29"/>
  <c r="BM169" i="29"/>
  <c r="AO40" i="29"/>
  <c r="BQ162" i="29"/>
  <c r="BL162" i="29"/>
  <c r="BM149" i="29"/>
  <c r="AP6" i="29"/>
  <c r="BJ154" i="29"/>
  <c r="BO155" i="29" s="1"/>
  <c r="BJ128" i="29"/>
  <c r="BJ37" i="29"/>
  <c r="BJ159" i="29"/>
  <c r="BJ35" i="29"/>
  <c r="BJ36" i="29" s="1"/>
  <c r="AA340" i="29"/>
  <c r="AA215" i="29"/>
  <c r="AA222" i="29" s="1"/>
  <c r="AA129" i="29"/>
  <c r="AA140" i="29"/>
  <c r="AA138" i="29"/>
  <c r="AA152" i="29"/>
  <c r="AA142" i="29"/>
  <c r="AA40" i="29"/>
  <c r="AA150" i="29"/>
  <c r="AA151" i="29" s="1"/>
  <c r="AA116" i="29"/>
  <c r="AA197" i="29" s="1"/>
  <c r="N201" i="29"/>
  <c r="BI200" i="29"/>
  <c r="AF6" i="29"/>
  <c r="BH215" i="29"/>
  <c r="BH202" i="29"/>
  <c r="BH116" i="29"/>
  <c r="AK155" i="29"/>
  <c r="BP156" i="29"/>
  <c r="BB211" i="29"/>
  <c r="AL125" i="29"/>
  <c r="AL126" i="29" s="1"/>
  <c r="BL94" i="29"/>
  <c r="BL192" i="29"/>
  <c r="AZ192" i="29"/>
  <c r="BK123" i="29"/>
  <c r="BK124" i="29" s="1"/>
  <c r="BK58" i="29"/>
  <c r="AU200" i="29"/>
  <c r="AA162" i="29"/>
  <c r="Q200" i="29"/>
  <c r="Q201" i="29" s="1"/>
  <c r="BF166" i="29"/>
  <c r="BF46" i="29"/>
  <c r="BF40" i="29"/>
  <c r="BF161" i="29"/>
  <c r="BF162" i="29" s="1"/>
  <c r="BF49" i="29"/>
  <c r="BF39" i="29"/>
  <c r="BF52" i="29"/>
  <c r="BF43" i="29"/>
  <c r="BE149" i="29"/>
  <c r="BE144" i="29"/>
  <c r="BF148" i="29"/>
  <c r="BI210" i="29"/>
  <c r="BI215" i="29"/>
  <c r="BI202" i="29"/>
  <c r="BI116" i="29"/>
  <c r="AK160" i="29"/>
  <c r="V155" i="29"/>
  <c r="P196" i="29"/>
  <c r="BU97" i="29"/>
  <c r="BU96" i="29"/>
  <c r="BU92" i="29"/>
  <c r="BK148" i="29"/>
  <c r="BG195" i="29"/>
  <c r="BG118" i="29"/>
  <c r="BG117" i="29"/>
  <c r="BS49" i="29"/>
  <c r="BP162" i="29"/>
  <c r="BP113" i="29"/>
  <c r="BP114" i="29" s="1"/>
  <c r="BU38" i="29"/>
  <c r="BP149" i="29"/>
  <c r="BS106" i="29"/>
  <c r="BG125" i="29"/>
  <c r="BG126" i="29" s="1"/>
  <c r="BA338" i="29"/>
  <c r="BA332" i="29"/>
  <c r="AF321" i="29"/>
  <c r="AF348" i="29"/>
  <c r="AF349" i="29" s="1"/>
  <c r="AF339" i="29"/>
  <c r="BN347" i="29"/>
  <c r="BN349" i="29" s="1"/>
  <c r="BO282" i="29"/>
  <c r="BN289" i="29"/>
  <c r="AY339" i="29"/>
  <c r="AY348" i="29"/>
  <c r="AY349" i="29" s="1"/>
  <c r="AP222" i="29"/>
  <c r="K277" i="29"/>
  <c r="K280" i="29"/>
  <c r="K276" i="29"/>
  <c r="K275" i="29"/>
  <c r="BT268" i="29"/>
  <c r="BS268" i="29"/>
  <c r="BR268" i="29"/>
  <c r="CQ267" i="29"/>
  <c r="BQ268" i="29"/>
  <c r="AH236" i="29"/>
  <c r="AH238" i="29"/>
  <c r="F228" i="29"/>
  <c r="AW236" i="29"/>
  <c r="AW238" i="29"/>
  <c r="M227" i="29"/>
  <c r="M228" i="29" s="1"/>
  <c r="M226" i="29"/>
  <c r="BG241" i="29"/>
  <c r="BG239" i="29"/>
  <c r="BG246" i="29"/>
  <c r="AB227" i="29"/>
  <c r="AB228" i="29" s="1"/>
  <c r="AB226" i="29"/>
  <c r="AP198" i="29"/>
  <c r="AU199" i="29" s="1"/>
  <c r="AP165" i="29"/>
  <c r="AP161" i="29"/>
  <c r="AP162" i="29" s="1"/>
  <c r="AU165" i="29"/>
  <c r="AP163" i="29"/>
  <c r="AU163" i="29"/>
  <c r="K319" i="29"/>
  <c r="K317" i="29"/>
  <c r="K303" i="29"/>
  <c r="K305" i="29"/>
  <c r="K299" i="29"/>
  <c r="K217" i="29"/>
  <c r="AW211" i="29"/>
  <c r="U319" i="29"/>
  <c r="U305" i="29"/>
  <c r="U317" i="29"/>
  <c r="U303" i="29"/>
  <c r="U299" i="29"/>
  <c r="U216" i="29"/>
  <c r="U217" i="29"/>
  <c r="U218" i="29" s="1"/>
  <c r="BK204" i="29"/>
  <c r="E319" i="29"/>
  <c r="E305" i="29"/>
  <c r="E317" i="29"/>
  <c r="E299" i="29"/>
  <c r="E275" i="29"/>
  <c r="E216" i="29"/>
  <c r="E217" i="29"/>
  <c r="E218" i="29" s="1"/>
  <c r="E303" i="29"/>
  <c r="E222" i="29"/>
  <c r="BS187" i="29"/>
  <c r="BN187" i="29"/>
  <c r="L340" i="29"/>
  <c r="L215" i="29"/>
  <c r="L140" i="29"/>
  <c r="L138" i="29"/>
  <c r="L150" i="29"/>
  <c r="L151" i="29" s="1"/>
  <c r="L142" i="29"/>
  <c r="L129" i="29"/>
  <c r="L116" i="29"/>
  <c r="L6" i="29"/>
  <c r="L152" i="29"/>
  <c r="L64" i="29"/>
  <c r="BM200" i="29"/>
  <c r="BM201" i="29" s="1"/>
  <c r="BM167" i="29"/>
  <c r="BC152" i="29"/>
  <c r="BC150" i="29"/>
  <c r="BC151" i="29" s="1"/>
  <c r="BC145" i="29"/>
  <c r="B317" i="29"/>
  <c r="B299" i="29"/>
  <c r="B305" i="29"/>
  <c r="B321" i="29"/>
  <c r="B319" i="29"/>
  <c r="B303" i="29"/>
  <c r="B275" i="29"/>
  <c r="B222" i="29"/>
  <c r="B217" i="29"/>
  <c r="BL169" i="29"/>
  <c r="BQ169" i="29"/>
  <c r="BB152" i="29"/>
  <c r="BB145" i="29"/>
  <c r="BS174" i="29"/>
  <c r="L201" i="29"/>
  <c r="AZ340" i="29"/>
  <c r="AZ215" i="29"/>
  <c r="AZ140" i="29"/>
  <c r="AZ142" i="29"/>
  <c r="AZ138" i="29"/>
  <c r="AZ134" i="29"/>
  <c r="AZ135" i="29" s="1"/>
  <c r="AZ137" i="29" s="1"/>
  <c r="AZ131" i="29"/>
  <c r="AZ133" i="29" s="1"/>
  <c r="AZ116" i="29"/>
  <c r="AZ129" i="29"/>
  <c r="AP122" i="29"/>
  <c r="BP97" i="29"/>
  <c r="AP338" i="29"/>
  <c r="AP332" i="29"/>
  <c r="AP333" i="29" s="1"/>
  <c r="AU327" i="29"/>
  <c r="BQ338" i="29"/>
  <c r="BR327" i="29"/>
  <c r="BA322" i="29"/>
  <c r="BA325" i="29" s="1"/>
  <c r="BA333" i="29" s="1"/>
  <c r="BA231" i="29"/>
  <c r="N61" i="136"/>
  <c r="E321" i="29"/>
  <c r="AP231" i="29"/>
  <c r="AU231" i="29"/>
  <c r="AU232" i="29" s="1"/>
  <c r="AQ231" i="29"/>
  <c r="AQ232" i="29" s="1"/>
  <c r="AA321" i="29"/>
  <c r="AP339" i="29"/>
  <c r="AP348" i="29"/>
  <c r="AP349" i="29" s="1"/>
  <c r="K348" i="29"/>
  <c r="K339" i="29"/>
  <c r="BA299" i="29"/>
  <c r="H351" i="29"/>
  <c r="H306" i="29"/>
  <c r="H307" i="29" s="1"/>
  <c r="AE349" i="29"/>
  <c r="J348" i="29"/>
  <c r="J339" i="29"/>
  <c r="J288" i="29"/>
  <c r="U282" i="29"/>
  <c r="U347" i="29" s="1"/>
  <c r="U349" i="29" s="1"/>
  <c r="BE285" i="29"/>
  <c r="AE339" i="29"/>
  <c r="AE348" i="29"/>
  <c r="AE288" i="29"/>
  <c r="U288" i="29"/>
  <c r="AZ260" i="29"/>
  <c r="BA259" i="29"/>
  <c r="AK280" i="29"/>
  <c r="AK277" i="29"/>
  <c r="AK276" i="29"/>
  <c r="AK275" i="29"/>
  <c r="BO276" i="29"/>
  <c r="AY276" i="29"/>
  <c r="AY275" i="29"/>
  <c r="BT269" i="29"/>
  <c r="BS269" i="29"/>
  <c r="BR269" i="29"/>
  <c r="BQ269" i="29"/>
  <c r="BK260" i="29"/>
  <c r="P285" i="29"/>
  <c r="AJ277" i="29"/>
  <c r="AJ276" i="29"/>
  <c r="AJ275" i="29"/>
  <c r="AJ280" i="29"/>
  <c r="BP274" i="29"/>
  <c r="BE268" i="29"/>
  <c r="BE225" i="29" s="1"/>
  <c r="AT285" i="29"/>
  <c r="K288" i="29"/>
  <c r="AZ254" i="29"/>
  <c r="BA254" i="29" s="1"/>
  <c r="BS254" i="29"/>
  <c r="AZ221" i="29"/>
  <c r="AZ222" i="29"/>
  <c r="BA220" i="29"/>
  <c r="L221" i="29"/>
  <c r="L222" i="29"/>
  <c r="AP289" i="29"/>
  <c r="AP288" i="29" s="1"/>
  <c r="J277" i="29"/>
  <c r="J276" i="29"/>
  <c r="J275" i="29"/>
  <c r="J280" i="29"/>
  <c r="AS349" i="29"/>
  <c r="BC241" i="29"/>
  <c r="BC239" i="29"/>
  <c r="BC246" i="29"/>
  <c r="S238" i="29"/>
  <c r="S236" i="29"/>
  <c r="AF187" i="29"/>
  <c r="AX291" i="29"/>
  <c r="AX277" i="29"/>
  <c r="AA236" i="29"/>
  <c r="BA232" i="29"/>
  <c r="N31" i="136"/>
  <c r="N35" i="136" s="1"/>
  <c r="AU222" i="29"/>
  <c r="AU221" i="29"/>
  <c r="AX227" i="29"/>
  <c r="AX228" i="29" s="1"/>
  <c r="AX226" i="29"/>
  <c r="AL227" i="29"/>
  <c r="AL228" i="29" s="1"/>
  <c r="AL226" i="29"/>
  <c r="AD227" i="29"/>
  <c r="AD226" i="29"/>
  <c r="R228" i="29"/>
  <c r="F226" i="29"/>
  <c r="C226" i="29"/>
  <c r="AS227" i="29"/>
  <c r="AS228" i="29" s="1"/>
  <c r="AS226" i="29"/>
  <c r="Y227" i="29"/>
  <c r="Y228" i="29" s="1"/>
  <c r="Y226" i="29"/>
  <c r="U238" i="29"/>
  <c r="U236" i="29"/>
  <c r="I236" i="29"/>
  <c r="I238" i="29"/>
  <c r="AM226" i="29"/>
  <c r="BD238" i="29"/>
  <c r="BD236" i="29"/>
  <c r="AV227" i="29"/>
  <c r="AV228" i="29" s="1"/>
  <c r="AV226" i="29"/>
  <c r="H236" i="29"/>
  <c r="H238" i="29"/>
  <c r="D227" i="29"/>
  <c r="D228" i="29" s="1"/>
  <c r="D226" i="29"/>
  <c r="AG241" i="29"/>
  <c r="AG239" i="29"/>
  <c r="AG246" i="29"/>
  <c r="AT199" i="29"/>
  <c r="W228" i="29"/>
  <c r="AR197" i="29"/>
  <c r="AZ199" i="29"/>
  <c r="B246" i="29"/>
  <c r="B241" i="29"/>
  <c r="B239" i="29"/>
  <c r="AG196" i="29"/>
  <c r="L235" i="29"/>
  <c r="L225" i="29"/>
  <c r="L214" i="29"/>
  <c r="L210" i="29"/>
  <c r="L211" i="29" s="1"/>
  <c r="L212" i="29"/>
  <c r="AN211" i="29"/>
  <c r="AN238" i="29"/>
  <c r="AN236" i="29"/>
  <c r="BC201" i="29"/>
  <c r="AZ209" i="29"/>
  <c r="AZ202" i="29"/>
  <c r="AA211" i="29"/>
  <c r="AA212" i="29"/>
  <c r="Q162" i="29"/>
  <c r="F201" i="29"/>
  <c r="T238" i="29"/>
  <c r="T236" i="29"/>
  <c r="BP186" i="29"/>
  <c r="BP187" i="29" s="1"/>
  <c r="AK199" i="29"/>
  <c r="H319" i="29"/>
  <c r="H317" i="29"/>
  <c r="H305" i="29"/>
  <c r="H303" i="29"/>
  <c r="H299" i="29"/>
  <c r="H275" i="29"/>
  <c r="H217" i="29"/>
  <c r="H222" i="29"/>
  <c r="AX203" i="29"/>
  <c r="AT211" i="29"/>
  <c r="AD317" i="29"/>
  <c r="AD299" i="29"/>
  <c r="AD303" i="29"/>
  <c r="AD319" i="29"/>
  <c r="AD321" i="29"/>
  <c r="AD217" i="29"/>
  <c r="AD218" i="29" s="1"/>
  <c r="AD222" i="29"/>
  <c r="AD305" i="29"/>
  <c r="AD216" i="29"/>
  <c r="AD207" i="29"/>
  <c r="Z317" i="29"/>
  <c r="Z319" i="29"/>
  <c r="Z305" i="29"/>
  <c r="Z299" i="29"/>
  <c r="Z303" i="29"/>
  <c r="Z217" i="29"/>
  <c r="Z218" i="29" s="1"/>
  <c r="Z216" i="29"/>
  <c r="R317" i="29"/>
  <c r="R303" i="29"/>
  <c r="R299" i="29"/>
  <c r="R319" i="29"/>
  <c r="R305" i="29"/>
  <c r="R275" i="29"/>
  <c r="R217" i="29"/>
  <c r="R222" i="29"/>
  <c r="R216" i="29"/>
  <c r="N317" i="29"/>
  <c r="N299" i="29"/>
  <c r="N305" i="29"/>
  <c r="N321" i="29"/>
  <c r="N319" i="29"/>
  <c r="N303" i="29"/>
  <c r="N217" i="29"/>
  <c r="N218" i="29" s="1"/>
  <c r="N222" i="29"/>
  <c r="N216" i="29"/>
  <c r="AP187" i="29"/>
  <c r="AO225" i="29"/>
  <c r="AO214" i="29"/>
  <c r="AO210" i="29"/>
  <c r="AO211" i="29" s="1"/>
  <c r="AO235" i="29"/>
  <c r="AT212" i="29"/>
  <c r="AO212" i="29"/>
  <c r="AT214" i="29"/>
  <c r="AO208" i="29"/>
  <c r="AO206" i="29"/>
  <c r="C319" i="29"/>
  <c r="C305" i="29"/>
  <c r="C303" i="29"/>
  <c r="C317" i="29"/>
  <c r="C299" i="29"/>
  <c r="C275" i="29"/>
  <c r="C222" i="29"/>
  <c r="C217" i="29"/>
  <c r="C218" i="29" s="1"/>
  <c r="C216" i="29"/>
  <c r="AW321" i="29"/>
  <c r="AW307" i="29"/>
  <c r="AW305" i="29"/>
  <c r="AW299" i="29"/>
  <c r="AW319" i="29"/>
  <c r="AW317" i="29"/>
  <c r="AW303" i="29"/>
  <c r="AW216" i="29"/>
  <c r="AW217" i="29"/>
  <c r="AW222" i="29"/>
  <c r="AW207" i="29"/>
  <c r="AS211" i="29"/>
  <c r="U211" i="29"/>
  <c r="M319" i="29"/>
  <c r="M305" i="29"/>
  <c r="M317" i="29"/>
  <c r="M303" i="29"/>
  <c r="M299" i="29"/>
  <c r="M216" i="29"/>
  <c r="M217" i="29"/>
  <c r="M275" i="29"/>
  <c r="M222" i="29"/>
  <c r="BF169" i="29"/>
  <c r="AC225" i="29"/>
  <c r="AC235" i="29"/>
  <c r="AC214" i="29"/>
  <c r="AC210" i="29"/>
  <c r="AC211" i="29" s="1"/>
  <c r="AH212" i="29"/>
  <c r="AC212" i="29"/>
  <c r="AC208" i="29"/>
  <c r="AC206" i="29"/>
  <c r="I319" i="29"/>
  <c r="I305" i="29"/>
  <c r="I317" i="29"/>
  <c r="I299" i="29"/>
  <c r="I303" i="29"/>
  <c r="I217" i="29"/>
  <c r="I222" i="29"/>
  <c r="I275" i="29"/>
  <c r="E211" i="29"/>
  <c r="AQ203" i="29"/>
  <c r="AM211" i="29"/>
  <c r="AI319" i="29"/>
  <c r="AI305" i="29"/>
  <c r="AI303" i="29"/>
  <c r="AI317" i="29"/>
  <c r="AI299" i="29"/>
  <c r="AI222" i="29"/>
  <c r="AI216" i="29"/>
  <c r="AI217" i="29"/>
  <c r="AI218" i="29" s="1"/>
  <c r="AI207" i="29"/>
  <c r="AE319" i="29"/>
  <c r="AE305" i="29"/>
  <c r="AE303" i="29"/>
  <c r="AE299" i="29"/>
  <c r="AE317" i="29"/>
  <c r="AE216" i="29"/>
  <c r="AE217" i="29"/>
  <c r="AE218" i="29" s="1"/>
  <c r="W319" i="29"/>
  <c r="W305" i="29"/>
  <c r="W303" i="29"/>
  <c r="W317" i="29"/>
  <c r="W299" i="29"/>
  <c r="W275" i="29"/>
  <c r="W222" i="29"/>
  <c r="W216" i="29"/>
  <c r="W217" i="29"/>
  <c r="W218" i="29" s="1"/>
  <c r="AV319" i="29"/>
  <c r="AV317" i="29"/>
  <c r="AV303" i="29"/>
  <c r="AV321" i="29"/>
  <c r="AV307" i="29"/>
  <c r="AV299" i="29"/>
  <c r="AV275" i="29"/>
  <c r="AV305" i="29"/>
  <c r="AV216" i="29"/>
  <c r="AV217" i="29"/>
  <c r="AV222" i="29"/>
  <c r="AV207" i="29"/>
  <c r="AR125" i="29"/>
  <c r="AR126" i="29" s="1"/>
  <c r="AB125" i="29"/>
  <c r="AB126" i="29" s="1"/>
  <c r="BD196" i="29"/>
  <c r="BQ172" i="29"/>
  <c r="BQ170" i="29"/>
  <c r="BU171" i="29"/>
  <c r="AA174" i="29"/>
  <c r="AP166" i="29"/>
  <c r="AP43" i="29"/>
  <c r="AP40" i="29"/>
  <c r="AP39" i="29"/>
  <c r="AP52" i="29"/>
  <c r="AP49" i="29"/>
  <c r="AP46" i="29"/>
  <c r="AU39" i="29"/>
  <c r="AC340" i="29"/>
  <c r="AC215" i="29"/>
  <c r="AC150" i="29"/>
  <c r="AC151" i="29" s="1"/>
  <c r="AC152" i="29"/>
  <c r="AC129" i="29"/>
  <c r="AC94" i="29"/>
  <c r="AC40" i="29"/>
  <c r="AC116" i="29"/>
  <c r="AC64" i="29"/>
  <c r="BJ152" i="29"/>
  <c r="BR172" i="29"/>
  <c r="BR170" i="29"/>
  <c r="BO160" i="29"/>
  <c r="BM340" i="29"/>
  <c r="BM215" i="29"/>
  <c r="BM212" i="29"/>
  <c r="BM210" i="29"/>
  <c r="BM141" i="29"/>
  <c r="BM139" i="29"/>
  <c r="BM143" i="29"/>
  <c r="BM131" i="29"/>
  <c r="BM133" i="29" s="1"/>
  <c r="BM134" i="29"/>
  <c r="BM135" i="29" s="1"/>
  <c r="BM137" i="29" s="1"/>
  <c r="BM129" i="29"/>
  <c r="BM116" i="29"/>
  <c r="AX149" i="29"/>
  <c r="AX144" i="29"/>
  <c r="F211" i="29"/>
  <c r="C196" i="29"/>
  <c r="N196" i="29"/>
  <c r="BP105" i="29"/>
  <c r="BP106" i="29"/>
  <c r="BM94" i="29"/>
  <c r="BM192" i="29"/>
  <c r="BP35" i="29"/>
  <c r="BP36" i="29" s="1"/>
  <c r="BT172" i="29"/>
  <c r="BT170" i="29"/>
  <c r="AO200" i="29"/>
  <c r="AO167" i="29"/>
  <c r="BI144" i="29"/>
  <c r="AH160" i="29"/>
  <c r="BP139" i="29"/>
  <c r="AS196" i="29"/>
  <c r="BQ190" i="29"/>
  <c r="BQ188" i="29"/>
  <c r="AF64" i="29"/>
  <c r="BN162" i="29"/>
  <c r="BS162" i="29"/>
  <c r="BP154" i="29"/>
  <c r="BP155" i="29" s="1"/>
  <c r="BG147" i="29"/>
  <c r="BP141" i="29"/>
  <c r="BB203" i="29"/>
  <c r="AH129" i="29"/>
  <c r="X319" i="29"/>
  <c r="X305" i="29"/>
  <c r="X317" i="29"/>
  <c r="X299" i="29"/>
  <c r="X275" i="29"/>
  <c r="X303" i="29"/>
  <c r="X216" i="29"/>
  <c r="X217" i="29"/>
  <c r="X218" i="29" s="1"/>
  <c r="X222" i="29"/>
  <c r="Z196" i="29"/>
  <c r="AF94" i="29"/>
  <c r="BM187" i="29"/>
  <c r="BU66" i="29"/>
  <c r="BU62" i="29"/>
  <c r="BS172" i="29"/>
  <c r="BS170" i="29"/>
  <c r="AK174" i="29"/>
  <c r="BK147" i="29"/>
  <c r="BK144" i="29"/>
  <c r="BK152" i="29" s="1"/>
  <c r="AZ40" i="29"/>
  <c r="L40" i="29"/>
  <c r="BN340" i="29"/>
  <c r="BN210" i="29"/>
  <c r="BN143" i="29"/>
  <c r="BN134" i="29"/>
  <c r="BN135" i="29" s="1"/>
  <c r="BN137" i="29" s="1"/>
  <c r="BN129" i="29"/>
  <c r="BN141" i="29"/>
  <c r="BN139" i="29"/>
  <c r="BN116" i="29"/>
  <c r="BN131" i="29"/>
  <c r="BN133" i="29" s="1"/>
  <c r="BN215" i="29"/>
  <c r="BE340" i="29"/>
  <c r="BE215" i="29"/>
  <c r="BE275" i="29" s="1"/>
  <c r="BE116" i="29"/>
  <c r="BE195" i="29" s="1"/>
  <c r="BE196" i="29" s="1"/>
  <c r="V340" i="29"/>
  <c r="V215" i="29"/>
  <c r="V222" i="29" s="1"/>
  <c r="V152" i="29"/>
  <c r="V129" i="29"/>
  <c r="V150" i="29"/>
  <c r="V151" i="29" s="1"/>
  <c r="V142" i="29"/>
  <c r="V140" i="29"/>
  <c r="V116" i="29"/>
  <c r="V138" i="29"/>
  <c r="BQ198" i="29"/>
  <c r="BQ165" i="29"/>
  <c r="BQ163" i="29"/>
  <c r="BP131" i="29"/>
  <c r="BP133" i="29" s="1"/>
  <c r="AB319" i="29"/>
  <c r="AB305" i="29"/>
  <c r="AB317" i="29"/>
  <c r="AB303" i="29"/>
  <c r="AB299" i="29"/>
  <c r="AB275" i="29"/>
  <c r="AB216" i="29"/>
  <c r="AB217" i="29"/>
  <c r="AB207" i="29"/>
  <c r="AB222" i="29"/>
  <c r="AW117" i="29"/>
  <c r="AU94" i="29"/>
  <c r="BK191" i="29"/>
  <c r="BK192" i="29" s="1"/>
  <c r="BK115" i="29"/>
  <c r="O11" i="136"/>
  <c r="BK93" i="29"/>
  <c r="BK113" i="29"/>
  <c r="BK114" i="29" s="1"/>
  <c r="BK94" i="29"/>
  <c r="Q340" i="29"/>
  <c r="Q215" i="29"/>
  <c r="Q222" i="29" s="1"/>
  <c r="Q150" i="29"/>
  <c r="Q151" i="29" s="1"/>
  <c r="Q142" i="29"/>
  <c r="Q152" i="29"/>
  <c r="Q140" i="29"/>
  <c r="Q138" i="29"/>
  <c r="Q129" i="29"/>
  <c r="Q116" i="29"/>
  <c r="BG275" i="29"/>
  <c r="BG222" i="29"/>
  <c r="BG207" i="29"/>
  <c r="BG217" i="29"/>
  <c r="BG219" i="29" s="1"/>
  <c r="AU160" i="29"/>
  <c r="BP163" i="29"/>
  <c r="BS100" i="29"/>
  <c r="BO128" i="29"/>
  <c r="BO152" i="29" s="1"/>
  <c r="AP61" i="29"/>
  <c r="BP100" i="29"/>
  <c r="BT92" i="29"/>
  <c r="BZ184" i="29"/>
  <c r="BR52" i="29"/>
  <c r="BF159" i="29"/>
  <c r="BF160" i="29" s="1"/>
  <c r="N37" i="136" l="1"/>
  <c r="N53" i="136"/>
  <c r="AO196" i="29"/>
  <c r="AT196" i="29"/>
  <c r="BA251" i="29"/>
  <c r="AV253" i="29"/>
  <c r="AZ253" i="29" s="1"/>
  <c r="BA253" i="29" s="1"/>
  <c r="AV252" i="29"/>
  <c r="AZ252" i="29" s="1"/>
  <c r="BA252" i="29" s="1"/>
  <c r="AF196" i="29"/>
  <c r="BE227" i="29"/>
  <c r="BE228" i="29" s="1"/>
  <c r="BE226" i="29"/>
  <c r="BT189" i="29"/>
  <c r="BT191" i="29" s="1"/>
  <c r="BT192" i="29" s="1"/>
  <c r="BT93" i="29"/>
  <c r="BT100" i="29"/>
  <c r="BT97" i="29"/>
  <c r="BT103" i="29"/>
  <c r="Q118" i="29"/>
  <c r="Q117" i="29"/>
  <c r="Q197" i="29"/>
  <c r="Q127" i="29"/>
  <c r="Q195" i="29"/>
  <c r="Q125" i="29"/>
  <c r="Q126" i="29" s="1"/>
  <c r="E45" i="136"/>
  <c r="E38" i="136"/>
  <c r="BN321" i="29"/>
  <c r="BS321" i="29" s="1"/>
  <c r="BN305" i="29"/>
  <c r="BS305" i="29" s="1"/>
  <c r="BN319" i="29"/>
  <c r="BS319" i="29" s="1"/>
  <c r="BN317" i="29"/>
  <c r="BS317" i="29" s="1"/>
  <c r="BN299" i="29"/>
  <c r="BS299" i="29" s="1"/>
  <c r="BN307" i="29"/>
  <c r="BS307" i="29" s="1"/>
  <c r="BN301" i="29"/>
  <c r="BS301" i="29" s="1"/>
  <c r="BN222" i="29"/>
  <c r="BN216" i="29"/>
  <c r="BN217" i="29"/>
  <c r="BN275" i="29"/>
  <c r="BN211" i="29"/>
  <c r="AX152" i="29"/>
  <c r="AX145" i="29"/>
  <c r="AX150" i="29"/>
  <c r="AX151" i="29" s="1"/>
  <c r="BD145" i="29"/>
  <c r="AX147" i="29"/>
  <c r="AC319" i="29"/>
  <c r="AC305" i="29"/>
  <c r="AC317" i="29"/>
  <c r="AC299" i="29"/>
  <c r="AC303" i="29"/>
  <c r="AC216" i="29"/>
  <c r="AC217" i="29"/>
  <c r="AC218" i="29" s="1"/>
  <c r="AC222" i="29"/>
  <c r="AC275" i="29"/>
  <c r="AC207" i="29"/>
  <c r="AC321" i="29"/>
  <c r="AC227" i="29"/>
  <c r="AC228" i="29" s="1"/>
  <c r="AC226" i="29"/>
  <c r="M218" i="29"/>
  <c r="AN246" i="29"/>
  <c r="AN241" i="29"/>
  <c r="AN239" i="29"/>
  <c r="AG264" i="29"/>
  <c r="I241" i="29"/>
  <c r="I239" i="29"/>
  <c r="I264" i="29" s="1"/>
  <c r="I246" i="29"/>
  <c r="AD228" i="29"/>
  <c r="S239" i="29"/>
  <c r="S246" i="29"/>
  <c r="S241" i="29"/>
  <c r="AT339" i="29"/>
  <c r="AT348" i="29"/>
  <c r="AT349" i="29" s="1"/>
  <c r="AT288" i="29"/>
  <c r="AU288" i="29" s="1"/>
  <c r="P348" i="29"/>
  <c r="P349" i="29" s="1"/>
  <c r="P339" i="29"/>
  <c r="N65" i="136"/>
  <c r="Q321" i="29"/>
  <c r="AZ118" i="29"/>
  <c r="AZ117" i="29"/>
  <c r="AZ127" i="29"/>
  <c r="AZ195" i="29"/>
  <c r="L117" i="29"/>
  <c r="L118" i="29"/>
  <c r="L127" i="29"/>
  <c r="L125" i="29"/>
  <c r="L126" i="29" s="1"/>
  <c r="AH211" i="29"/>
  <c r="BG248" i="29"/>
  <c r="BG267" i="29"/>
  <c r="AH246" i="29"/>
  <c r="AH241" i="29"/>
  <c r="AH239" i="29"/>
  <c r="BZ38" i="29"/>
  <c r="BU39" i="29"/>
  <c r="Q10" i="136"/>
  <c r="BU46" i="29"/>
  <c r="BU43" i="29"/>
  <c r="BU93" i="29"/>
  <c r="BZ92" i="29"/>
  <c r="Q11" i="136"/>
  <c r="G38" i="136" s="1"/>
  <c r="BU100" i="29"/>
  <c r="BU103" i="29"/>
  <c r="BI217" i="29"/>
  <c r="BI219" i="29" s="1"/>
  <c r="BI222" i="29"/>
  <c r="BI207" i="29"/>
  <c r="BF200" i="29"/>
  <c r="BF201" i="29" s="1"/>
  <c r="BF167" i="29"/>
  <c r="AU118" i="29"/>
  <c r="AU117" i="29"/>
  <c r="BN152" i="29"/>
  <c r="BN150" i="29"/>
  <c r="BN151" i="29" s="1"/>
  <c r="BN145" i="29"/>
  <c r="BN147" i="29"/>
  <c r="AF319" i="29"/>
  <c r="AF305" i="29"/>
  <c r="AF216" i="29"/>
  <c r="AF217" i="29"/>
  <c r="AF299" i="29"/>
  <c r="AF207" i="29"/>
  <c r="AF317" i="29"/>
  <c r="AF303" i="29"/>
  <c r="S218" i="29"/>
  <c r="L195" i="29"/>
  <c r="L196" i="29" s="1"/>
  <c r="AS218" i="29"/>
  <c r="AS219" i="29"/>
  <c r="BK238" i="29"/>
  <c r="BK236" i="29"/>
  <c r="BK226" i="29"/>
  <c r="BK227" i="29"/>
  <c r="BK228" i="29" s="1"/>
  <c r="O29" i="136"/>
  <c r="BH246" i="29"/>
  <c r="BH241" i="29"/>
  <c r="BH239" i="29"/>
  <c r="W240" i="29"/>
  <c r="W264" i="29"/>
  <c r="AD246" i="29"/>
  <c r="AD239" i="29"/>
  <c r="AD241" i="29"/>
  <c r="AD242" i="29" s="1"/>
  <c r="AX239" i="29"/>
  <c r="AX246" i="29"/>
  <c r="AX241" i="29"/>
  <c r="R246" i="29"/>
  <c r="R241" i="29"/>
  <c r="R239" i="29"/>
  <c r="BO281" i="29"/>
  <c r="BN291" i="29"/>
  <c r="BR200" i="29"/>
  <c r="BR201" i="29" s="1"/>
  <c r="BR167" i="29"/>
  <c r="BS198" i="29"/>
  <c r="BS165" i="29"/>
  <c r="BS163" i="29"/>
  <c r="AK238" i="29"/>
  <c r="AK236" i="29"/>
  <c r="AK197" i="29"/>
  <c r="D246" i="29"/>
  <c r="D241" i="29"/>
  <c r="D242" i="29" s="1"/>
  <c r="D239" i="29"/>
  <c r="AF275" i="29"/>
  <c r="AP291" i="29"/>
  <c r="BR10" i="29"/>
  <c r="BR7" i="29"/>
  <c r="BS9" i="29"/>
  <c r="BO150" i="29"/>
  <c r="BO151" i="29" s="1"/>
  <c r="BU52" i="29"/>
  <c r="BP212" i="29"/>
  <c r="AU125" i="29"/>
  <c r="AU126" i="29" s="1"/>
  <c r="AR219" i="29"/>
  <c r="AR218" i="29"/>
  <c r="BT164" i="29"/>
  <c r="BT39" i="29"/>
  <c r="BT46" i="29"/>
  <c r="BT52" i="29"/>
  <c r="BT43" i="29"/>
  <c r="BO174" i="29"/>
  <c r="BO200" i="29"/>
  <c r="AU238" i="29"/>
  <c r="AU236" i="29"/>
  <c r="AT219" i="29"/>
  <c r="AR246" i="29"/>
  <c r="AR241" i="29"/>
  <c r="AR239" i="29"/>
  <c r="X228" i="29"/>
  <c r="E241" i="29"/>
  <c r="E242" i="29" s="1"/>
  <c r="E239" i="29"/>
  <c r="E246" i="29"/>
  <c r="AG228" i="29"/>
  <c r="BA241" i="29"/>
  <c r="BA239" i="29"/>
  <c r="BA264" i="29" s="1"/>
  <c r="BA246" i="29"/>
  <c r="AH226" i="29"/>
  <c r="C242" i="29"/>
  <c r="AI228" i="29"/>
  <c r="BR347" i="29"/>
  <c r="BR349" i="29" s="1"/>
  <c r="BR289" i="29"/>
  <c r="BZ285" i="29"/>
  <c r="CE262" i="29"/>
  <c r="BZ263" i="29"/>
  <c r="J297" i="29"/>
  <c r="K292" i="29"/>
  <c r="K293" i="29" s="1"/>
  <c r="CE179" i="29"/>
  <c r="CE180" i="29"/>
  <c r="CE177" i="29"/>
  <c r="AY145" i="29"/>
  <c r="AZ144" i="29"/>
  <c r="AY152" i="29"/>
  <c r="AY147" i="29"/>
  <c r="AY150" i="29"/>
  <c r="AY151" i="29" s="1"/>
  <c r="AZ264" i="29"/>
  <c r="AA264" i="29"/>
  <c r="E228" i="29"/>
  <c r="BB241" i="29"/>
  <c r="BB239" i="29"/>
  <c r="BB246" i="29"/>
  <c r="BK340" i="29"/>
  <c r="BK215" i="29"/>
  <c r="BK129" i="29"/>
  <c r="BK131" i="29"/>
  <c r="BK133" i="29" s="1"/>
  <c r="BK116" i="29"/>
  <c r="BK6" i="29"/>
  <c r="BF303" i="29"/>
  <c r="BF307" i="29"/>
  <c r="BF275" i="29"/>
  <c r="BF217" i="29"/>
  <c r="BF216" i="29"/>
  <c r="BF299" i="29"/>
  <c r="BF317" i="29"/>
  <c r="BF321" i="29"/>
  <c r="BF207" i="29"/>
  <c r="BF305" i="29"/>
  <c r="BF319" i="29"/>
  <c r="BF222" i="29"/>
  <c r="AP202" i="29"/>
  <c r="AP209" i="29"/>
  <c r="AP227" i="29"/>
  <c r="AP228" i="29" s="1"/>
  <c r="AP226" i="29"/>
  <c r="BQ201" i="29"/>
  <c r="V118" i="29"/>
  <c r="V117" i="29"/>
  <c r="V127" i="29"/>
  <c r="V125" i="29"/>
  <c r="V126" i="29" s="1"/>
  <c r="BE118" i="29"/>
  <c r="BE117" i="29"/>
  <c r="BE125" i="29"/>
  <c r="BE126" i="29" s="1"/>
  <c r="BE127" i="29"/>
  <c r="BU173" i="29"/>
  <c r="BU63" i="29"/>
  <c r="BZ62" i="29"/>
  <c r="Q12" i="136"/>
  <c r="AO201" i="29"/>
  <c r="AT201" i="29"/>
  <c r="AP200" i="29"/>
  <c r="AP201" i="29" s="1"/>
  <c r="AP167" i="29"/>
  <c r="AO227" i="29"/>
  <c r="AO228" i="29" s="1"/>
  <c r="AO226" i="29"/>
  <c r="L227" i="29"/>
  <c r="L228" i="29" s="1"/>
  <c r="L226" i="29"/>
  <c r="H246" i="29"/>
  <c r="H241" i="29"/>
  <c r="H239" i="29"/>
  <c r="H264" i="29" s="1"/>
  <c r="BC337" i="29"/>
  <c r="BC267" i="29"/>
  <c r="BC248" i="29"/>
  <c r="BA222" i="29"/>
  <c r="BK221" i="29"/>
  <c r="BE339" i="29"/>
  <c r="BE348" i="29"/>
  <c r="BE349" i="29" s="1"/>
  <c r="AP232" i="29"/>
  <c r="AP233" i="29" s="1"/>
  <c r="BS327" i="29"/>
  <c r="AU338" i="29"/>
  <c r="AU332" i="29"/>
  <c r="AU333" i="29" s="1"/>
  <c r="AZ338" i="29"/>
  <c r="BG240" i="29"/>
  <c r="BG264" i="29"/>
  <c r="AW241" i="29"/>
  <c r="AW242" i="29" s="1"/>
  <c r="AW239" i="29"/>
  <c r="AW246" i="29"/>
  <c r="BH222" i="29"/>
  <c r="BH217" i="29"/>
  <c r="BH219" i="29" s="1"/>
  <c r="BH207" i="29"/>
  <c r="BH275" i="29"/>
  <c r="AA118" i="29"/>
  <c r="AA117" i="29"/>
  <c r="AA195" i="29"/>
  <c r="AA125" i="29"/>
  <c r="AA126" i="29" s="1"/>
  <c r="AA127" i="29"/>
  <c r="AA319" i="29"/>
  <c r="AA299" i="29"/>
  <c r="AA275" i="29"/>
  <c r="AA216" i="29"/>
  <c r="AA207" i="29"/>
  <c r="AA217" i="29"/>
  <c r="AA317" i="29"/>
  <c r="AA305" i="29"/>
  <c r="AA303" i="29"/>
  <c r="AF118" i="29"/>
  <c r="AF117" i="29"/>
  <c r="AF127" i="29"/>
  <c r="AF125" i="29"/>
  <c r="AF126" i="29" s="1"/>
  <c r="AF235" i="29"/>
  <c r="AF225" i="29"/>
  <c r="AF208" i="29"/>
  <c r="AF210" i="29"/>
  <c r="AF211" i="29" s="1"/>
  <c r="AF214" i="29"/>
  <c r="AF212" i="29"/>
  <c r="AF206" i="29"/>
  <c r="BK202" i="29"/>
  <c r="BK203" i="29" s="1"/>
  <c r="BK209" i="29"/>
  <c r="AL239" i="29"/>
  <c r="AL246" i="29"/>
  <c r="AL241" i="29"/>
  <c r="AL242" i="29" s="1"/>
  <c r="BO337" i="29"/>
  <c r="BO267" i="29"/>
  <c r="BO272" i="29" s="1"/>
  <c r="BO248" i="29"/>
  <c r="AI239" i="29"/>
  <c r="AI246" i="29"/>
  <c r="AI241" i="29"/>
  <c r="AU285" i="29"/>
  <c r="BS315" i="29"/>
  <c r="BT106" i="29"/>
  <c r="BB219" i="29"/>
  <c r="BB218" i="29"/>
  <c r="BS200" i="29"/>
  <c r="BS201" i="29" s="1"/>
  <c r="BS167" i="29"/>
  <c r="F38" i="136"/>
  <c r="F45" i="136"/>
  <c r="F36" i="136"/>
  <c r="F43" i="136"/>
  <c r="AM239" i="29"/>
  <c r="AM246" i="29"/>
  <c r="AM241" i="29"/>
  <c r="AM242" i="29" s="1"/>
  <c r="AK118" i="29"/>
  <c r="AK117" i="29"/>
  <c r="AK195" i="29"/>
  <c r="AK196" i="29" s="1"/>
  <c r="AA201" i="29"/>
  <c r="E39" i="136"/>
  <c r="E46" i="136"/>
  <c r="AO319" i="29"/>
  <c r="AO305" i="29"/>
  <c r="AO317" i="29"/>
  <c r="AO307" i="29"/>
  <c r="AO303" i="29"/>
  <c r="AO299" i="29"/>
  <c r="AO216" i="29"/>
  <c r="AO217" i="29"/>
  <c r="AO207" i="29"/>
  <c r="AO222" i="29"/>
  <c r="AZ125" i="29"/>
  <c r="AZ126" i="29" s="1"/>
  <c r="BL211" i="29"/>
  <c r="BO169" i="29"/>
  <c r="BT169" i="29"/>
  <c r="AU202" i="29"/>
  <c r="AU203" i="29" s="1"/>
  <c r="AU209" i="29"/>
  <c r="AG218" i="29"/>
  <c r="D218" i="29"/>
  <c r="Q227" i="29"/>
  <c r="Q228" i="29" s="1"/>
  <c r="Q226" i="29"/>
  <c r="V238" i="29"/>
  <c r="V236" i="29"/>
  <c r="AZ197" i="29"/>
  <c r="AJ246" i="29"/>
  <c r="AJ241" i="29"/>
  <c r="AJ239" i="29"/>
  <c r="M241" i="29"/>
  <c r="M242" i="29" s="1"/>
  <c r="M239" i="29"/>
  <c r="M246" i="29"/>
  <c r="AH228" i="29"/>
  <c r="BB228" i="29"/>
  <c r="BL246" i="29"/>
  <c r="BL241" i="29"/>
  <c r="BL242" i="29" s="1"/>
  <c r="BL239" i="29"/>
  <c r="G239" i="29"/>
  <c r="G246" i="29"/>
  <c r="G241" i="29"/>
  <c r="AE239" i="29"/>
  <c r="AE246" i="29"/>
  <c r="AE241" i="29"/>
  <c r="AE242" i="29" s="1"/>
  <c r="C337" i="29"/>
  <c r="C267" i="29"/>
  <c r="C248" i="29"/>
  <c r="F246" i="29"/>
  <c r="F241" i="29"/>
  <c r="F239" i="29"/>
  <c r="BU251" i="29"/>
  <c r="BT252" i="29"/>
  <c r="BO278" i="29"/>
  <c r="AJ291" i="29"/>
  <c r="AK290" i="29"/>
  <c r="AK291" i="29" s="1"/>
  <c r="I351" i="29"/>
  <c r="I306" i="29"/>
  <c r="I307" i="29" s="1"/>
  <c r="CJ178" i="29"/>
  <c r="T13" i="136"/>
  <c r="J40" i="136" s="1"/>
  <c r="AP305" i="29"/>
  <c r="AP217" i="29"/>
  <c r="AP216" i="29"/>
  <c r="AP207" i="29"/>
  <c r="AP307" i="29"/>
  <c r="AP319" i="29"/>
  <c r="AP299" i="29"/>
  <c r="AP317" i="29"/>
  <c r="AP303" i="29"/>
  <c r="BU49" i="29"/>
  <c r="F218" i="29"/>
  <c r="BF225" i="29"/>
  <c r="BF214" i="29"/>
  <c r="BF212" i="29"/>
  <c r="BF235" i="29"/>
  <c r="BF208" i="29"/>
  <c r="BF210" i="29"/>
  <c r="BF211" i="29" s="1"/>
  <c r="BF206" i="29"/>
  <c r="AF197" i="29"/>
  <c r="AB246" i="29"/>
  <c r="AB241" i="29"/>
  <c r="AB242" i="29" s="1"/>
  <c r="AB239" i="29"/>
  <c r="AU195" i="29"/>
  <c r="P288" i="29"/>
  <c r="E297" i="29"/>
  <c r="E306" i="29" s="1"/>
  <c r="E307" i="29" s="1"/>
  <c r="F292" i="29"/>
  <c r="F293" i="29" s="1"/>
  <c r="BK40" i="29"/>
  <c r="E37" i="136"/>
  <c r="E44" i="136"/>
  <c r="O14" i="136"/>
  <c r="BF118" i="29"/>
  <c r="BF117" i="29"/>
  <c r="BF125" i="29"/>
  <c r="BF126" i="29" s="1"/>
  <c r="BF127" i="29"/>
  <c r="BF340" i="29"/>
  <c r="BU106" i="29"/>
  <c r="BE321" i="29"/>
  <c r="BE307" i="29"/>
  <c r="BE305" i="29"/>
  <c r="BE319" i="29"/>
  <c r="BE317" i="29"/>
  <c r="BE303" i="29"/>
  <c r="BE299" i="29"/>
  <c r="BE217" i="29"/>
  <c r="BE216" i="29"/>
  <c r="BE222" i="29"/>
  <c r="BE207" i="29"/>
  <c r="BN118" i="29"/>
  <c r="BN117" i="29"/>
  <c r="BN127" i="29"/>
  <c r="BN125" i="29"/>
  <c r="BN126" i="29" s="1"/>
  <c r="BN197" i="29"/>
  <c r="BN195" i="29"/>
  <c r="BI152" i="29"/>
  <c r="BI147" i="29"/>
  <c r="BM197" i="29"/>
  <c r="BM195" i="29"/>
  <c r="BM118" i="29"/>
  <c r="BM125" i="29"/>
  <c r="BM126" i="29" s="1"/>
  <c r="BM117" i="29"/>
  <c r="BM127" i="29"/>
  <c r="AC195" i="29"/>
  <c r="AC118" i="29"/>
  <c r="AC117" i="29"/>
  <c r="AC125" i="29"/>
  <c r="AC126" i="29" s="1"/>
  <c r="AH117" i="29"/>
  <c r="AC127" i="29"/>
  <c r="AH197" i="29"/>
  <c r="AC197" i="29"/>
  <c r="AC202" i="29"/>
  <c r="AH209" i="29"/>
  <c r="AO202" i="29"/>
  <c r="AO209" i="29"/>
  <c r="AT209" i="29"/>
  <c r="AO238" i="29"/>
  <c r="AO236" i="29"/>
  <c r="R218" i="29"/>
  <c r="L238" i="29"/>
  <c r="L236" i="29"/>
  <c r="B337" i="29"/>
  <c r="B267" i="29"/>
  <c r="B248" i="29"/>
  <c r="BM211" i="29"/>
  <c r="BD246" i="29"/>
  <c r="BD239" i="29"/>
  <c r="BD241" i="29"/>
  <c r="BD242" i="29" s="1"/>
  <c r="BC240" i="29"/>
  <c r="BC264" i="29"/>
  <c r="BU269" i="29"/>
  <c r="BZ269" i="29" s="1"/>
  <c r="CE269" i="29" s="1"/>
  <c r="CJ269" i="29" s="1"/>
  <c r="BA260" i="29"/>
  <c r="BB260" i="29"/>
  <c r="AZ307" i="29"/>
  <c r="AZ275" i="29"/>
  <c r="AZ216" i="29"/>
  <c r="AZ217" i="29"/>
  <c r="AZ218" i="29" s="1"/>
  <c r="AZ207" i="29"/>
  <c r="AZ319" i="29"/>
  <c r="AZ317" i="29"/>
  <c r="AZ299" i="29"/>
  <c r="AZ321" i="29"/>
  <c r="AZ303" i="29"/>
  <c r="AZ305" i="29"/>
  <c r="L319" i="29"/>
  <c r="L305" i="29"/>
  <c r="L275" i="29"/>
  <c r="L303" i="29"/>
  <c r="L216" i="29"/>
  <c r="L217" i="29"/>
  <c r="L218" i="29" s="1"/>
  <c r="L317" i="29"/>
  <c r="L299" i="29"/>
  <c r="BG242" i="29"/>
  <c r="BU268" i="29"/>
  <c r="BZ268" i="29" s="1"/>
  <c r="CE268" i="29" s="1"/>
  <c r="CJ268" i="29" s="1"/>
  <c r="BO347" i="29"/>
  <c r="BO349" i="29" s="1"/>
  <c r="BO289" i="29"/>
  <c r="BI195" i="29"/>
  <c r="BI118" i="29"/>
  <c r="BJ215" i="29"/>
  <c r="BJ116" i="29"/>
  <c r="BJ118" i="29" s="1"/>
  <c r="BJ210" i="29"/>
  <c r="BE209" i="29"/>
  <c r="BE202" i="29"/>
  <c r="BE203" i="29" s="1"/>
  <c r="P218" i="29"/>
  <c r="AY218" i="29"/>
  <c r="AY219" i="29"/>
  <c r="AH218" i="29"/>
  <c r="X246" i="29"/>
  <c r="X241" i="29"/>
  <c r="X242" i="29" s="1"/>
  <c r="X239" i="29"/>
  <c r="W242" i="29"/>
  <c r="BJ241" i="29"/>
  <c r="BJ242" i="29" s="1"/>
  <c r="BJ239" i="29"/>
  <c r="BJ246" i="29"/>
  <c r="BJ248" i="29" s="1"/>
  <c r="BO264" i="29"/>
  <c r="BU348" i="29"/>
  <c r="BU339" i="29"/>
  <c r="Q47" i="136"/>
  <c r="AJ220" i="29"/>
  <c r="AJ218" i="29"/>
  <c r="AK209" i="29"/>
  <c r="AK202" i="29"/>
  <c r="AK214" i="29"/>
  <c r="Y241" i="29"/>
  <c r="Y239" i="29"/>
  <c r="Y246" i="29"/>
  <c r="Z228" i="29"/>
  <c r="K337" i="29"/>
  <c r="K267" i="29"/>
  <c r="K272" i="29" s="1"/>
  <c r="K248" i="29"/>
  <c r="BQ8" i="29"/>
  <c r="BQ4" i="29"/>
  <c r="BP145" i="29"/>
  <c r="BP152" i="29"/>
  <c r="AK319" i="29"/>
  <c r="AK216" i="29"/>
  <c r="AK217" i="29"/>
  <c r="AK218" i="29" s="1"/>
  <c r="AK305" i="29"/>
  <c r="AK303" i="29"/>
  <c r="AK299" i="29"/>
  <c r="AK317" i="29"/>
  <c r="AU162" i="29"/>
  <c r="BP238" i="29"/>
  <c r="BP236" i="29"/>
  <c r="AO118" i="29"/>
  <c r="AO117" i="29"/>
  <c r="AO127" i="29"/>
  <c r="AO125" i="29"/>
  <c r="AO126" i="29" s="1"/>
  <c r="AT117" i="29"/>
  <c r="BL197" i="29"/>
  <c r="BL195" i="29"/>
  <c r="BL117" i="29"/>
  <c r="BL118" i="29"/>
  <c r="BL125" i="29"/>
  <c r="BL126" i="29" s="1"/>
  <c r="BL127" i="29"/>
  <c r="AF201" i="29"/>
  <c r="AQ228" i="29"/>
  <c r="AU226" i="29"/>
  <c r="AU227" i="29"/>
  <c r="AU228" i="29" s="1"/>
  <c r="BE197" i="29"/>
  <c r="Q238" i="29"/>
  <c r="Q236" i="29"/>
  <c r="V227" i="29"/>
  <c r="V228" i="29" s="1"/>
  <c r="V226" i="29"/>
  <c r="AT197" i="29"/>
  <c r="AT226" i="29"/>
  <c r="BJ227" i="29"/>
  <c r="C240" i="29"/>
  <c r="C264" i="29"/>
  <c r="BR330" i="29"/>
  <c r="BR338" i="29" s="1"/>
  <c r="AY149" i="29"/>
  <c r="AP118" i="29"/>
  <c r="AP117" i="29"/>
  <c r="BF196" i="29"/>
  <c r="Y218" i="29"/>
  <c r="V195" i="29"/>
  <c r="V196" i="29" s="1"/>
  <c r="AZ248" i="29"/>
  <c r="AZ267" i="29"/>
  <c r="AZ337" i="29"/>
  <c r="AM228" i="29"/>
  <c r="BI241" i="29"/>
  <c r="BI242" i="29" s="1"/>
  <c r="BI239" i="29"/>
  <c r="BI246" i="29"/>
  <c r="BI248" i="29" s="1"/>
  <c r="BM241" i="29"/>
  <c r="BM242" i="29" s="1"/>
  <c r="BM239" i="29"/>
  <c r="BM246" i="29"/>
  <c r="BK200" i="29"/>
  <c r="BK201" i="29" s="1"/>
  <c r="BK167" i="29"/>
  <c r="AP211" i="29"/>
  <c r="BP282" i="29"/>
  <c r="BD228" i="29"/>
  <c r="BO340" i="29"/>
  <c r="BO215" i="29"/>
  <c r="BO129" i="29"/>
  <c r="BO116" i="29"/>
  <c r="BO134" i="29"/>
  <c r="BO135" i="29" s="1"/>
  <c r="BO137" i="29" s="1"/>
  <c r="BO143" i="29"/>
  <c r="BO6" i="29"/>
  <c r="BO94" i="29"/>
  <c r="BO210" i="29"/>
  <c r="BO139" i="29"/>
  <c r="BO40" i="29"/>
  <c r="BO212" i="29"/>
  <c r="BO131" i="29"/>
  <c r="BO133" i="29" s="1"/>
  <c r="BO141" i="29"/>
  <c r="Q319" i="29"/>
  <c r="Q216" i="29"/>
  <c r="Q275" i="29"/>
  <c r="Q217" i="29"/>
  <c r="Q218" i="29" s="1"/>
  <c r="Q303" i="29"/>
  <c r="Q299" i="29"/>
  <c r="Q305" i="29"/>
  <c r="Q317" i="29"/>
  <c r="AB218" i="29"/>
  <c r="BQ199" i="29"/>
  <c r="V319" i="29"/>
  <c r="V305" i="29"/>
  <c r="V303" i="29"/>
  <c r="V275" i="29"/>
  <c r="V217" i="29"/>
  <c r="V218" i="29" s="1"/>
  <c r="V216" i="29"/>
  <c r="V299" i="29"/>
  <c r="V317" i="29"/>
  <c r="V321" i="29"/>
  <c r="BU67" i="29"/>
  <c r="BI149" i="29"/>
  <c r="BM319" i="29"/>
  <c r="BR319" i="29" s="1"/>
  <c r="BM317" i="29"/>
  <c r="BR317" i="29" s="1"/>
  <c r="BM307" i="29"/>
  <c r="BR307" i="29" s="1"/>
  <c r="BM321" i="29"/>
  <c r="BR321" i="29" s="1"/>
  <c r="BM305" i="29"/>
  <c r="BR305" i="29" s="1"/>
  <c r="BM301" i="29"/>
  <c r="BR301" i="29" s="1"/>
  <c r="BM299" i="29"/>
  <c r="BR299" i="29" s="1"/>
  <c r="BM222" i="29"/>
  <c r="BM217" i="29"/>
  <c r="BM216" i="29"/>
  <c r="BM275" i="29"/>
  <c r="BU172" i="29"/>
  <c r="BU168" i="29"/>
  <c r="BU170" i="29"/>
  <c r="Q21" i="136"/>
  <c r="AV219" i="29"/>
  <c r="AV218" i="29"/>
  <c r="AC238" i="29"/>
  <c r="AC236" i="29"/>
  <c r="AW218" i="29"/>
  <c r="AW219" i="29"/>
  <c r="T246" i="29"/>
  <c r="T241" i="29"/>
  <c r="T242" i="29" s="1"/>
  <c r="T239" i="29"/>
  <c r="AG337" i="29"/>
  <c r="AG267" i="29"/>
  <c r="AG248" i="29"/>
  <c r="U241" i="29"/>
  <c r="U239" i="29"/>
  <c r="U246" i="29"/>
  <c r="BP276" i="29"/>
  <c r="P42" i="136"/>
  <c r="AP199" i="29"/>
  <c r="AP195" i="29"/>
  <c r="AP196" i="29" s="1"/>
  <c r="AP197" i="29"/>
  <c r="CR267" i="29"/>
  <c r="CQ270" i="29"/>
  <c r="K278" i="29"/>
  <c r="BK149" i="29"/>
  <c r="BE145" i="29"/>
  <c r="BF144" i="29"/>
  <c r="BF149" i="29" s="1"/>
  <c r="BE150" i="29"/>
  <c r="BE151" i="29" s="1"/>
  <c r="BE152" i="29"/>
  <c r="BE147" i="29"/>
  <c r="AU167" i="29"/>
  <c r="BH195" i="29"/>
  <c r="BM196" i="29" s="1"/>
  <c r="BH118" i="29"/>
  <c r="BS188" i="29"/>
  <c r="BS190" i="29"/>
  <c r="AN219" i="29"/>
  <c r="AN218" i="29"/>
  <c r="BE238" i="29"/>
  <c r="BE236" i="29"/>
  <c r="AU299" i="29"/>
  <c r="AU216" i="29"/>
  <c r="AU217" i="29"/>
  <c r="AU218" i="29" s="1"/>
  <c r="AU275" i="29"/>
  <c r="AU307" i="29"/>
  <c r="AU207" i="29"/>
  <c r="AU321" i="29"/>
  <c r="AU317" i="29"/>
  <c r="AU319" i="29"/>
  <c r="AU303" i="29"/>
  <c r="AU305" i="29"/>
  <c r="BN149" i="29"/>
  <c r="L197" i="29"/>
  <c r="AH216" i="29"/>
  <c r="P246" i="29"/>
  <c r="P241" i="29"/>
  <c r="P242" i="29" s="1"/>
  <c r="P239" i="29"/>
  <c r="AV246" i="29"/>
  <c r="AV241" i="29"/>
  <c r="AV239" i="29"/>
  <c r="W337" i="29"/>
  <c r="W267" i="29"/>
  <c r="W248" i="29"/>
  <c r="AQ239" i="29"/>
  <c r="AQ246" i="29"/>
  <c r="AQ241" i="29"/>
  <c r="CE257" i="29"/>
  <c r="BZ255" i="29"/>
  <c r="BZ247" i="29"/>
  <c r="R36" i="136"/>
  <c r="BQ349" i="29"/>
  <c r="V201" i="29"/>
  <c r="BR165" i="29"/>
  <c r="BR198" i="29"/>
  <c r="BR163" i="29"/>
  <c r="BP192" i="29"/>
  <c r="BP340" i="29"/>
  <c r="BP215" i="29"/>
  <c r="BP275" i="29" s="1"/>
  <c r="BP134" i="29"/>
  <c r="BP135" i="29" s="1"/>
  <c r="BP137" i="29" s="1"/>
  <c r="BP129" i="29"/>
  <c r="BP116" i="29"/>
  <c r="BP40" i="29"/>
  <c r="AK212" i="29"/>
  <c r="AK227" i="29"/>
  <c r="AK226" i="29"/>
  <c r="N246" i="29"/>
  <c r="N239" i="29"/>
  <c r="N241" i="29"/>
  <c r="N242" i="29" s="1"/>
  <c r="AT239" i="29"/>
  <c r="AT246" i="29"/>
  <c r="AT241" i="29"/>
  <c r="BU70" i="29"/>
  <c r="BJ200" i="29"/>
  <c r="BO167" i="29"/>
  <c r="BP173" i="29"/>
  <c r="BP174" i="29" s="1"/>
  <c r="BP168" i="29"/>
  <c r="BP169" i="29" s="1"/>
  <c r="BP170" i="29"/>
  <c r="BP64" i="29"/>
  <c r="BP63" i="29"/>
  <c r="P12" i="136"/>
  <c r="BP77" i="29"/>
  <c r="BP78" i="29" s="1"/>
  <c r="BP70" i="29"/>
  <c r="BP67" i="29"/>
  <c r="BP79" i="29"/>
  <c r="BP210" i="29"/>
  <c r="BP227" i="29"/>
  <c r="BP228" i="29" s="1"/>
  <c r="BP226" i="29"/>
  <c r="P29" i="136"/>
  <c r="BN201" i="29"/>
  <c r="AU127" i="29"/>
  <c r="AK125" i="29"/>
  <c r="AK126" i="29" s="1"/>
  <c r="BL305" i="29"/>
  <c r="BQ305" i="29" s="1"/>
  <c r="BL319" i="29"/>
  <c r="BQ319" i="29" s="1"/>
  <c r="BL317" i="29"/>
  <c r="BQ317" i="29" s="1"/>
  <c r="BL307" i="29"/>
  <c r="BQ307" i="29" s="1"/>
  <c r="BL321" i="29"/>
  <c r="BQ321" i="29" s="1"/>
  <c r="BL301" i="29"/>
  <c r="BQ301" i="29" s="1"/>
  <c r="BL299" i="29"/>
  <c r="BQ299" i="29" s="1"/>
  <c r="BL275" i="29"/>
  <c r="BL222" i="29"/>
  <c r="BL217" i="29"/>
  <c r="BL216" i="29"/>
  <c r="BT49" i="29"/>
  <c r="BO64" i="29"/>
  <c r="O218" i="29"/>
  <c r="AQ218" i="29"/>
  <c r="AQ219" i="29"/>
  <c r="AU219" i="29" s="1"/>
  <c r="BP147" i="29"/>
  <c r="BC219" i="29"/>
  <c r="BC218" i="29"/>
  <c r="AT216" i="29"/>
  <c r="AX218" i="29"/>
  <c r="AX219" i="29"/>
  <c r="BD219" i="29"/>
  <c r="BD218" i="29"/>
  <c r="Q211" i="29"/>
  <c r="V211" i="29"/>
  <c r="J337" i="29"/>
  <c r="J267" i="29"/>
  <c r="J272" i="29" s="1"/>
  <c r="J248" i="29"/>
  <c r="BN241" i="29"/>
  <c r="BN242" i="29" s="1"/>
  <c r="BN239" i="29"/>
  <c r="BN246" i="29"/>
  <c r="Z246" i="29"/>
  <c r="Z241" i="29"/>
  <c r="Z242" i="29" s="1"/>
  <c r="Z239" i="29"/>
  <c r="AT228" i="29"/>
  <c r="O239" i="29"/>
  <c r="O246" i="29"/>
  <c r="O241" i="29"/>
  <c r="O242" i="29" s="1"/>
  <c r="AY239" i="29"/>
  <c r="AY246" i="29"/>
  <c r="AY241" i="29"/>
  <c r="AY242" i="29" s="1"/>
  <c r="BS287" i="29"/>
  <c r="BS328" i="29" s="1"/>
  <c r="BS282" i="29"/>
  <c r="BT259" i="29"/>
  <c r="BU259" i="29" s="1"/>
  <c r="BT348" i="29"/>
  <c r="BT339" i="29"/>
  <c r="AF222" i="29"/>
  <c r="BT254" i="29"/>
  <c r="BC228" i="29"/>
  <c r="L321" i="29"/>
  <c r="BF197" i="29"/>
  <c r="AZ201" i="29"/>
  <c r="AO197" i="29"/>
  <c r="V197" i="29"/>
  <c r="AA267" i="29"/>
  <c r="AA248" i="29"/>
  <c r="AA337" i="29"/>
  <c r="AU197" i="29"/>
  <c r="AS241" i="29"/>
  <c r="AS242" i="29" s="1"/>
  <c r="AS239" i="29"/>
  <c r="AS246" i="29"/>
  <c r="AP238" i="29"/>
  <c r="AP236" i="29"/>
  <c r="BO227" i="29"/>
  <c r="BU260" i="29" l="1"/>
  <c r="BZ259" i="29"/>
  <c r="AP239" i="29"/>
  <c r="AP246" i="29"/>
  <c r="AP241" i="29"/>
  <c r="AY240" i="29"/>
  <c r="AY264" i="29"/>
  <c r="BR199" i="29"/>
  <c r="BL196" i="29"/>
  <c r="AJ221" i="29"/>
  <c r="AK220" i="29"/>
  <c r="AJ222" i="29"/>
  <c r="AO221" i="29"/>
  <c r="BD337" i="29"/>
  <c r="BD248" i="29"/>
  <c r="BD267" i="29"/>
  <c r="BE218" i="29"/>
  <c r="BE219" i="29"/>
  <c r="BF219" i="29" s="1"/>
  <c r="BK219" i="29" s="1"/>
  <c r="AB337" i="29"/>
  <c r="AB267" i="29"/>
  <c r="AB248" i="29"/>
  <c r="AB249" i="29" s="1"/>
  <c r="F337" i="29"/>
  <c r="F267" i="29"/>
  <c r="F248" i="29"/>
  <c r="BL337" i="29"/>
  <c r="BL248" i="29"/>
  <c r="BL267" i="29"/>
  <c r="AZ228" i="29"/>
  <c r="AZ150" i="29"/>
  <c r="AZ151" i="29" s="1"/>
  <c r="AZ145" i="29"/>
  <c r="AZ152" i="29"/>
  <c r="AZ147" i="29"/>
  <c r="BB150" i="29"/>
  <c r="BB151" i="29" s="1"/>
  <c r="BT198" i="29"/>
  <c r="BT163" i="29"/>
  <c r="BT165" i="29"/>
  <c r="BU164" i="29"/>
  <c r="BS10" i="29"/>
  <c r="BT9" i="29"/>
  <c r="BS7" i="29"/>
  <c r="R337" i="29"/>
  <c r="R267" i="29"/>
  <c r="R248" i="29"/>
  <c r="BK241" i="29"/>
  <c r="BK242" i="29" s="1"/>
  <c r="BK239" i="29"/>
  <c r="BK246" i="29"/>
  <c r="S337" i="29"/>
  <c r="S267" i="29"/>
  <c r="S248" i="29"/>
  <c r="AN240" i="29"/>
  <c r="AN264" i="29"/>
  <c r="BO228" i="29"/>
  <c r="AS264" i="29"/>
  <c r="AS240" i="29"/>
  <c r="O337" i="29"/>
  <c r="O267" i="29"/>
  <c r="O248" i="29"/>
  <c r="O249" i="29" s="1"/>
  <c r="Z240" i="29"/>
  <c r="Z264" i="29"/>
  <c r="BN240" i="29"/>
  <c r="BN264" i="29"/>
  <c r="G33" i="136"/>
  <c r="AQ242" i="29"/>
  <c r="W249" i="29"/>
  <c r="AV242" i="29"/>
  <c r="P337" i="29"/>
  <c r="P267" i="29"/>
  <c r="P248" i="29"/>
  <c r="P249" i="29" s="1"/>
  <c r="BE241" i="29"/>
  <c r="BE242" i="29" s="1"/>
  <c r="BE239" i="29"/>
  <c r="BE246" i="29"/>
  <c r="CS267" i="29"/>
  <c r="CR270" i="29"/>
  <c r="U264" i="29"/>
  <c r="U240" i="29"/>
  <c r="BU169" i="29"/>
  <c r="BZ169" i="29"/>
  <c r="BM218" i="29"/>
  <c r="BM219" i="29"/>
  <c r="BO305" i="29"/>
  <c r="BT305" i="29" s="1"/>
  <c r="BO319" i="29"/>
  <c r="BT319" i="29" s="1"/>
  <c r="BO317" i="29"/>
  <c r="BT317" i="29" s="1"/>
  <c r="BO307" i="29"/>
  <c r="BT307" i="29" s="1"/>
  <c r="BO321" i="29"/>
  <c r="BT321" i="29" s="1"/>
  <c r="BO301" i="29"/>
  <c r="BT301" i="29" s="1"/>
  <c r="BO299" i="29"/>
  <c r="BT299" i="29" s="1"/>
  <c r="BO217" i="29"/>
  <c r="BO216" i="29"/>
  <c r="BO222" i="29"/>
  <c r="BO275" i="29"/>
  <c r="BM337" i="29"/>
  <c r="BM267" i="29"/>
  <c r="BM248" i="29"/>
  <c r="BM249" i="29" s="1"/>
  <c r="BI264" i="29"/>
  <c r="BI240" i="29"/>
  <c r="Q241" i="29"/>
  <c r="Q239" i="29"/>
  <c r="Q246" i="29"/>
  <c r="Y242" i="29"/>
  <c r="BJ249" i="29"/>
  <c r="X240" i="29"/>
  <c r="X264" i="29"/>
  <c r="L246" i="29"/>
  <c r="L241" i="29"/>
  <c r="L242" i="29" s="1"/>
  <c r="L239" i="29"/>
  <c r="AC203" i="29"/>
  <c r="AH203" i="29"/>
  <c r="AC196" i="29"/>
  <c r="AH196" i="29"/>
  <c r="E51" i="136"/>
  <c r="E48" i="136"/>
  <c r="O16" i="136"/>
  <c r="O26" i="136" s="1"/>
  <c r="O28" i="136" s="1"/>
  <c r="E41" i="136"/>
  <c r="F297" i="29"/>
  <c r="F306" i="29" s="1"/>
  <c r="F307" i="29" s="1"/>
  <c r="G292" i="29"/>
  <c r="G293" i="29" s="1"/>
  <c r="AB240" i="29"/>
  <c r="AB264" i="29"/>
  <c r="BF238" i="29"/>
  <c r="BF236" i="29"/>
  <c r="F240" i="29"/>
  <c r="F264" i="29"/>
  <c r="C272" i="29"/>
  <c r="C278" i="29"/>
  <c r="AE240" i="29"/>
  <c r="AE264" i="29"/>
  <c r="BL264" i="29"/>
  <c r="BL240" i="29"/>
  <c r="AJ240" i="29"/>
  <c r="AJ264" i="29"/>
  <c r="AO218" i="29"/>
  <c r="AO219" i="29"/>
  <c r="AM240" i="29"/>
  <c r="AM264" i="29"/>
  <c r="BT315" i="29"/>
  <c r="AI242" i="29"/>
  <c r="AL240" i="29"/>
  <c r="AL264" i="29"/>
  <c r="AF227" i="29"/>
  <c r="AF228" i="29" s="1"/>
  <c r="AF226" i="29"/>
  <c r="AW337" i="29"/>
  <c r="AW267" i="29"/>
  <c r="AW248" i="29"/>
  <c r="BT327" i="29"/>
  <c r="H267" i="29"/>
  <c r="H248" i="29"/>
  <c r="AP203" i="29"/>
  <c r="BB240" i="29"/>
  <c r="BB264" i="29"/>
  <c r="J351" i="29"/>
  <c r="J306" i="29"/>
  <c r="J307" i="29" s="1"/>
  <c r="CE285" i="29"/>
  <c r="CJ262" i="29"/>
  <c r="CE263" i="29"/>
  <c r="BA267" i="29"/>
  <c r="BA248" i="29"/>
  <c r="BA337" i="29"/>
  <c r="E337" i="29"/>
  <c r="E267" i="29"/>
  <c r="E248" i="29"/>
  <c r="AR240" i="29"/>
  <c r="AR264" i="29"/>
  <c r="AT218" i="29"/>
  <c r="AK241" i="29"/>
  <c r="AK239" i="29"/>
  <c r="AK246" i="29"/>
  <c r="R240" i="29"/>
  <c r="R264" i="29"/>
  <c r="AX337" i="29"/>
  <c r="AX267" i="29"/>
  <c r="AX248" i="29"/>
  <c r="AD337" i="29"/>
  <c r="AD267" i="29"/>
  <c r="AD248" i="29"/>
  <c r="BH242" i="29"/>
  <c r="G37" i="136"/>
  <c r="BG272" i="29"/>
  <c r="BG278" i="29"/>
  <c r="AG240" i="29"/>
  <c r="AN337" i="29"/>
  <c r="AN267" i="29"/>
  <c r="AN248" i="29"/>
  <c r="BN219" i="29"/>
  <c r="BN218" i="29"/>
  <c r="BS347" i="29"/>
  <c r="BS349" i="29" s="1"/>
  <c r="BS289" i="29"/>
  <c r="Z337" i="29"/>
  <c r="Z267" i="29"/>
  <c r="Z248" i="29"/>
  <c r="N337" i="29"/>
  <c r="N267" i="29"/>
  <c r="N248" i="29"/>
  <c r="BP321" i="29"/>
  <c r="BP319" i="29"/>
  <c r="BP317" i="29"/>
  <c r="BP307" i="29"/>
  <c r="BP301" i="29"/>
  <c r="BP305" i="29"/>
  <c r="BP299" i="29"/>
  <c r="BP216" i="29"/>
  <c r="BP217" i="29"/>
  <c r="BP218" i="29" s="1"/>
  <c r="BP222" i="29"/>
  <c r="P240" i="29"/>
  <c r="P264" i="29"/>
  <c r="AP219" i="29"/>
  <c r="AG249" i="29"/>
  <c r="BO195" i="29"/>
  <c r="BO118" i="29"/>
  <c r="BO117" i="29"/>
  <c r="BO197" i="29"/>
  <c r="BO127" i="29"/>
  <c r="BO125" i="29"/>
  <c r="BO126" i="29" s="1"/>
  <c r="Y337" i="29"/>
  <c r="Y248" i="29"/>
  <c r="Y267" i="29"/>
  <c r="BZ251" i="29"/>
  <c r="G337" i="29"/>
  <c r="G267" i="29"/>
  <c r="G248" i="29"/>
  <c r="G249" i="29" s="1"/>
  <c r="M264" i="29"/>
  <c r="M240" i="29"/>
  <c r="AI240" i="29"/>
  <c r="AI264" i="29"/>
  <c r="AR337" i="29"/>
  <c r="AR267" i="29"/>
  <c r="AR248" i="29"/>
  <c r="AA272" i="29"/>
  <c r="AA278" i="29"/>
  <c r="BT282" i="29"/>
  <c r="BT287" i="29"/>
  <c r="BT328" i="29" s="1"/>
  <c r="BU328" i="29" s="1"/>
  <c r="AY337" i="29"/>
  <c r="AY267" i="29"/>
  <c r="AY278" i="29" s="1"/>
  <c r="AY248" i="29"/>
  <c r="O240" i="29"/>
  <c r="O264" i="29"/>
  <c r="BL219" i="29"/>
  <c r="BL218" i="29"/>
  <c r="BP211" i="29"/>
  <c r="N240" i="29"/>
  <c r="N264" i="29"/>
  <c r="AQ337" i="29"/>
  <c r="AQ267" i="29"/>
  <c r="AQ248" i="29"/>
  <c r="W272" i="29"/>
  <c r="W278" i="29"/>
  <c r="AV337" i="29"/>
  <c r="AV248" i="29"/>
  <c r="AV249" i="29" s="1"/>
  <c r="AV267" i="29"/>
  <c r="BC242" i="29"/>
  <c r="U242" i="29"/>
  <c r="T240" i="29"/>
  <c r="T264" i="29"/>
  <c r="AZ219" i="29"/>
  <c r="BA219" i="29" s="1"/>
  <c r="BO211" i="29"/>
  <c r="BM264" i="29"/>
  <c r="BM240" i="29"/>
  <c r="AZ278" i="29"/>
  <c r="AZ272" i="29"/>
  <c r="BS330" i="29"/>
  <c r="BT330" i="29" s="1"/>
  <c r="BU330" i="29" s="1"/>
  <c r="AA228" i="29"/>
  <c r="BJ240" i="29"/>
  <c r="BJ264" i="29"/>
  <c r="BD264" i="29"/>
  <c r="BD240" i="29"/>
  <c r="B272" i="29"/>
  <c r="B278" i="29"/>
  <c r="BN196" i="29"/>
  <c r="AP218" i="29"/>
  <c r="F242" i="29"/>
  <c r="G242" i="29"/>
  <c r="M337" i="29"/>
  <c r="M267" i="29"/>
  <c r="M248" i="29"/>
  <c r="M249" i="29" s="1"/>
  <c r="AJ242" i="29"/>
  <c r="V246" i="29"/>
  <c r="V241" i="29"/>
  <c r="V239" i="29"/>
  <c r="AK211" i="29"/>
  <c r="AU339" i="29"/>
  <c r="AU348" i="29"/>
  <c r="AU349" i="29" s="1"/>
  <c r="AI337" i="29"/>
  <c r="AI267" i="29"/>
  <c r="AI248" i="29"/>
  <c r="AI249" i="29" s="1"/>
  <c r="AF238" i="29"/>
  <c r="AF236" i="29"/>
  <c r="AA218" i="29"/>
  <c r="AA196" i="29"/>
  <c r="AW264" i="29"/>
  <c r="AW240" i="29"/>
  <c r="J278" i="29"/>
  <c r="AG242" i="29"/>
  <c r="BZ171" i="29"/>
  <c r="R12" i="136"/>
  <c r="H39" i="136" s="1"/>
  <c r="CE62" i="29"/>
  <c r="BF218" i="29"/>
  <c r="BK305" i="29"/>
  <c r="BK319" i="29"/>
  <c r="BK307" i="29"/>
  <c r="BK301" i="29"/>
  <c r="BK299" i="29"/>
  <c r="BK275" i="29"/>
  <c r="BK321" i="29"/>
  <c r="BK217" i="29"/>
  <c r="BK218" i="29" s="1"/>
  <c r="BK216" i="29"/>
  <c r="BK207" i="29"/>
  <c r="BK222" i="29"/>
  <c r="BK317" i="29"/>
  <c r="BB242" i="29"/>
  <c r="S22" i="136"/>
  <c r="I47" i="136" s="1"/>
  <c r="CE184" i="29"/>
  <c r="CE185" i="29" s="1"/>
  <c r="BZ339" i="29"/>
  <c r="BZ348" i="29"/>
  <c r="R47" i="136"/>
  <c r="E264" i="29"/>
  <c r="E240" i="29"/>
  <c r="AR242" i="29"/>
  <c r="D337" i="29"/>
  <c r="D267" i="29"/>
  <c r="D248" i="29"/>
  <c r="D249" i="29" s="1"/>
  <c r="R242" i="29"/>
  <c r="AX240" i="29"/>
  <c r="AX264" i="29"/>
  <c r="BH248" i="29"/>
  <c r="BH267" i="29"/>
  <c r="AU201" i="29"/>
  <c r="AH264" i="29"/>
  <c r="BG249" i="29"/>
  <c r="S242" i="29"/>
  <c r="I337" i="29"/>
  <c r="I248" i="29"/>
  <c r="I267" i="29"/>
  <c r="AZ203" i="29"/>
  <c r="Q196" i="29"/>
  <c r="BP200" i="29"/>
  <c r="BP201" i="29" s="1"/>
  <c r="AZ251" i="29"/>
  <c r="P65" i="136"/>
  <c r="F39" i="136"/>
  <c r="F46" i="136"/>
  <c r="AT337" i="29"/>
  <c r="AT267" i="29"/>
  <c r="AT248" i="29"/>
  <c r="AQ240" i="29"/>
  <c r="AQ264" i="29"/>
  <c r="BP246" i="29"/>
  <c r="BP239" i="29"/>
  <c r="BP241" i="29"/>
  <c r="BP242" i="29" s="1"/>
  <c r="X337" i="29"/>
  <c r="X267" i="29"/>
  <c r="X248" i="29"/>
  <c r="X249" i="29" s="1"/>
  <c r="AO203" i="29"/>
  <c r="AT203" i="29"/>
  <c r="AJ337" i="29"/>
  <c r="AJ267" i="29"/>
  <c r="AJ248" i="29"/>
  <c r="BK118" i="29"/>
  <c r="BK117" i="29"/>
  <c r="BK125" i="29"/>
  <c r="BK126" i="29" s="1"/>
  <c r="BK127" i="29"/>
  <c r="BK195" i="29"/>
  <c r="BK196" i="29" s="1"/>
  <c r="BK197" i="29"/>
  <c r="AU239" i="29"/>
  <c r="AU246" i="29"/>
  <c r="AU241" i="29"/>
  <c r="O65" i="136"/>
  <c r="O64" i="136"/>
  <c r="E60" i="136"/>
  <c r="BZ191" i="29"/>
  <c r="BZ189" i="29"/>
  <c r="CE92" i="29"/>
  <c r="R11" i="136"/>
  <c r="H38" i="136" s="1"/>
  <c r="BZ164" i="29"/>
  <c r="R10" i="136"/>
  <c r="H37" i="136" s="1"/>
  <c r="CE38" i="29"/>
  <c r="AS337" i="29"/>
  <c r="AS267" i="29"/>
  <c r="AS248" i="29"/>
  <c r="AS249" i="29" s="1"/>
  <c r="BU287" i="29"/>
  <c r="BN337" i="29"/>
  <c r="BN267" i="29"/>
  <c r="BN248" i="29"/>
  <c r="AT264" i="29"/>
  <c r="BP117" i="29"/>
  <c r="BP118" i="29"/>
  <c r="BP195" i="29"/>
  <c r="BP196" i="29" s="1"/>
  <c r="BP127" i="29"/>
  <c r="BP125" i="29"/>
  <c r="BP126" i="29" s="1"/>
  <c r="BP197" i="29"/>
  <c r="CE247" i="29"/>
  <c r="CE255" i="29"/>
  <c r="CJ257" i="29"/>
  <c r="S36" i="136"/>
  <c r="BO242" i="29"/>
  <c r="AV240" i="29"/>
  <c r="AV264" i="29"/>
  <c r="BF152" i="29"/>
  <c r="BF145" i="29"/>
  <c r="BF150" i="29"/>
  <c r="BF151" i="29" s="1"/>
  <c r="BF147" i="29"/>
  <c r="BL150" i="29"/>
  <c r="BL151" i="29" s="1"/>
  <c r="U337" i="29"/>
  <c r="U267" i="29"/>
  <c r="U248" i="29"/>
  <c r="U249" i="29" s="1"/>
  <c r="AG272" i="29"/>
  <c r="AG278" i="29"/>
  <c r="T337" i="29"/>
  <c r="T267" i="29"/>
  <c r="T248" i="29"/>
  <c r="T249" i="29" s="1"/>
  <c r="AC241" i="29"/>
  <c r="AC242" i="29" s="1"/>
  <c r="AC239" i="29"/>
  <c r="AC246" i="29"/>
  <c r="BP347" i="29"/>
  <c r="BP349" i="29" s="1"/>
  <c r="BP289" i="29"/>
  <c r="P50" i="136" s="1"/>
  <c r="P46" i="136"/>
  <c r="BI249" i="29"/>
  <c r="BP150" i="29"/>
  <c r="BP151" i="29" s="1"/>
  <c r="BQ128" i="29"/>
  <c r="BQ6" i="29" s="1"/>
  <c r="BQ157" i="29"/>
  <c r="BQ5" i="29"/>
  <c r="Y264" i="29"/>
  <c r="Y240" i="29"/>
  <c r="BO240" i="29"/>
  <c r="BJ217" i="29"/>
  <c r="BJ219" i="29" s="1"/>
  <c r="BJ207" i="29"/>
  <c r="BJ222" i="29"/>
  <c r="AO241" i="29"/>
  <c r="AO242" i="29" s="1"/>
  <c r="AO239" i="29"/>
  <c r="AO246" i="29"/>
  <c r="AU196" i="29"/>
  <c r="BF202" i="29"/>
  <c r="BF203" i="29" s="1"/>
  <c r="BF209" i="29"/>
  <c r="BF227" i="29"/>
  <c r="BF228" i="29" s="1"/>
  <c r="BF226" i="29"/>
  <c r="AZ149" i="29"/>
  <c r="CJ177" i="29"/>
  <c r="CJ180" i="29"/>
  <c r="CJ179" i="29"/>
  <c r="C249" i="29"/>
  <c r="AE337" i="29"/>
  <c r="AE267" i="29"/>
  <c r="AE248" i="29"/>
  <c r="AE249" i="29" s="1"/>
  <c r="G240" i="29"/>
  <c r="G264" i="29"/>
  <c r="AM337" i="29"/>
  <c r="AM267" i="29"/>
  <c r="AM248" i="29"/>
  <c r="P14" i="136"/>
  <c r="F51" i="136" s="1"/>
  <c r="AL337" i="29"/>
  <c r="AL267" i="29"/>
  <c r="AL248" i="29"/>
  <c r="AL249" i="29" s="1"/>
  <c r="AF209" i="29"/>
  <c r="AF202" i="29"/>
  <c r="AF203" i="29" s="1"/>
  <c r="BC272" i="29"/>
  <c r="BC278" i="29"/>
  <c r="G46" i="136"/>
  <c r="G39" i="136"/>
  <c r="BU174" i="29"/>
  <c r="BB267" i="29"/>
  <c r="BB248" i="29"/>
  <c r="BB249" i="29" s="1"/>
  <c r="BB337" i="29"/>
  <c r="M292" i="29"/>
  <c r="M293" i="29" s="1"/>
  <c r="K297" i="29"/>
  <c r="BO201" i="29"/>
  <c r="BT166" i="29"/>
  <c r="BR8" i="29"/>
  <c r="BR4" i="29"/>
  <c r="D240" i="29"/>
  <c r="D264" i="29"/>
  <c r="BS199" i="29"/>
  <c r="BO280" i="29"/>
  <c r="BP280" i="29" s="1"/>
  <c r="BP281" i="29" s="1"/>
  <c r="P44" i="136" s="1"/>
  <c r="P43" i="136" s="1"/>
  <c r="BO291" i="29"/>
  <c r="AX242" i="29"/>
  <c r="AD240" i="29"/>
  <c r="AD264" i="29"/>
  <c r="BH264" i="29"/>
  <c r="BH240" i="29"/>
  <c r="AF218" i="29"/>
  <c r="AH337" i="29"/>
  <c r="AH267" i="29"/>
  <c r="AH248" i="29"/>
  <c r="AZ196" i="29"/>
  <c r="S240" i="29"/>
  <c r="S264" i="29"/>
  <c r="AN242" i="29"/>
  <c r="BT190" i="29"/>
  <c r="BT188" i="29"/>
  <c r="BU189" i="29"/>
  <c r="BT200" i="29" l="1"/>
  <c r="BT201" i="29" s="1"/>
  <c r="BT167" i="29"/>
  <c r="AE272" i="29"/>
  <c r="AE278" i="29"/>
  <c r="AK203" i="29"/>
  <c r="CE164" i="29"/>
  <c r="CE166" i="29"/>
  <c r="S10" i="136"/>
  <c r="I37" i="136" s="1"/>
  <c r="CJ38" i="29"/>
  <c r="BZ192" i="29"/>
  <c r="AU242" i="29"/>
  <c r="AZ242" i="29"/>
  <c r="AT272" i="29"/>
  <c r="AT278" i="29"/>
  <c r="I272" i="29"/>
  <c r="I278" i="29"/>
  <c r="BH272" i="29"/>
  <c r="BH278" i="29"/>
  <c r="V267" i="29"/>
  <c r="V248" i="29"/>
  <c r="V337" i="29"/>
  <c r="AQ249" i="29"/>
  <c r="BP219" i="29"/>
  <c r="AY249" i="29"/>
  <c r="BT347" i="29"/>
  <c r="BT349" i="29" s="1"/>
  <c r="BT289" i="29"/>
  <c r="AR249" i="29"/>
  <c r="G272" i="29"/>
  <c r="G278" i="29"/>
  <c r="BU282" i="29"/>
  <c r="AD272" i="29"/>
  <c r="AD278" i="29"/>
  <c r="AK264" i="29"/>
  <c r="BS338" i="29"/>
  <c r="BO219" i="29"/>
  <c r="BO218" i="29"/>
  <c r="CT267" i="29"/>
  <c r="CT270" i="29" s="1"/>
  <c r="CS270" i="29"/>
  <c r="AK228" i="29"/>
  <c r="S249" i="29"/>
  <c r="BK337" i="29"/>
  <c r="BK267" i="29"/>
  <c r="BK248" i="29"/>
  <c r="BK249" i="29" s="1"/>
  <c r="R272" i="29"/>
  <c r="R278" i="29"/>
  <c r="BT199" i="29"/>
  <c r="F249" i="29"/>
  <c r="AB272" i="29"/>
  <c r="AB278" i="29"/>
  <c r="BD272" i="29"/>
  <c r="BD278" i="29"/>
  <c r="AP240" i="29"/>
  <c r="AP264" i="29"/>
  <c r="P16" i="136"/>
  <c r="P26" i="136" s="1"/>
  <c r="P28" i="136" s="1"/>
  <c r="F48" i="136"/>
  <c r="F41" i="136"/>
  <c r="T22" i="136"/>
  <c r="J47" i="136" s="1"/>
  <c r="CJ184" i="29"/>
  <c r="CJ185" i="29" s="1"/>
  <c r="AO337" i="29"/>
  <c r="AO248" i="29"/>
  <c r="AO249" i="29" s="1"/>
  <c r="AO267" i="29"/>
  <c r="AC337" i="29"/>
  <c r="AC267" i="29"/>
  <c r="AC248" i="29"/>
  <c r="AC249" i="29" s="1"/>
  <c r="T272" i="29"/>
  <c r="T278" i="29"/>
  <c r="CJ255" i="29"/>
  <c r="CJ247" i="29"/>
  <c r="T36" i="136"/>
  <c r="BN272" i="29"/>
  <c r="BN278" i="29"/>
  <c r="AS272" i="29"/>
  <c r="AS278" i="29"/>
  <c r="CE189" i="29"/>
  <c r="S11" i="136"/>
  <c r="I38" i="136" s="1"/>
  <c r="CJ92" i="29"/>
  <c r="AU248" i="29"/>
  <c r="AU267" i="29"/>
  <c r="AU278" i="29" s="1"/>
  <c r="AU337" i="29"/>
  <c r="AJ249" i="29"/>
  <c r="BH249" i="29"/>
  <c r="AI272" i="29"/>
  <c r="AI278" i="29"/>
  <c r="AQ272" i="29"/>
  <c r="AU272" i="29" s="1"/>
  <c r="AQ278" i="29"/>
  <c r="AT242" i="29"/>
  <c r="AR272" i="29"/>
  <c r="AR278" i="29"/>
  <c r="N249" i="29"/>
  <c r="Z249" i="29"/>
  <c r="E249" i="29"/>
  <c r="CJ285" i="29"/>
  <c r="CJ263" i="29"/>
  <c r="H272" i="29"/>
  <c r="H278" i="29"/>
  <c r="AW249" i="29"/>
  <c r="BU315" i="29"/>
  <c r="L240" i="29"/>
  <c r="L264" i="29"/>
  <c r="Q267" i="29"/>
  <c r="Q248" i="29"/>
  <c r="Q337" i="29"/>
  <c r="BE337" i="29"/>
  <c r="BE248" i="29"/>
  <c r="BE249" i="29" s="1"/>
  <c r="BE267" i="29"/>
  <c r="BE278" i="29" s="1"/>
  <c r="P272" i="29"/>
  <c r="P278" i="29"/>
  <c r="S272" i="29"/>
  <c r="S278" i="29"/>
  <c r="BK240" i="29"/>
  <c r="BK264" i="29"/>
  <c r="BU198" i="29"/>
  <c r="BU165" i="29"/>
  <c r="BU161" i="29"/>
  <c r="BU163" i="29"/>
  <c r="Q19" i="136"/>
  <c r="G44" i="136" s="1"/>
  <c r="BU166" i="29"/>
  <c r="BL272" i="29"/>
  <c r="BL278" i="29"/>
  <c r="F272" i="29"/>
  <c r="F278" i="29"/>
  <c r="BD249" i="29"/>
  <c r="AK221" i="29"/>
  <c r="AK222" i="29"/>
  <c r="AP221" i="29"/>
  <c r="AH249" i="29"/>
  <c r="BR157" i="29"/>
  <c r="BR159" i="29"/>
  <c r="BR160" i="29" s="1"/>
  <c r="BR128" i="29"/>
  <c r="BR6" i="29" s="1"/>
  <c r="BR5" i="29"/>
  <c r="K351" i="29"/>
  <c r="K306" i="29"/>
  <c r="K307" i="29" s="1"/>
  <c r="BB272" i="29"/>
  <c r="BB278" i="29"/>
  <c r="AM249" i="29"/>
  <c r="AO264" i="29"/>
  <c r="AO240" i="29"/>
  <c r="BQ193" i="29"/>
  <c r="BQ213" i="29" s="1"/>
  <c r="BQ158" i="29"/>
  <c r="BQ156" i="29"/>
  <c r="P49" i="136"/>
  <c r="AC264" i="29"/>
  <c r="AC240" i="29"/>
  <c r="U272" i="29"/>
  <c r="U278" i="29"/>
  <c r="BZ198" i="29"/>
  <c r="BZ163" i="29"/>
  <c r="BZ165" i="29"/>
  <c r="R19" i="136"/>
  <c r="H44" i="136" s="1"/>
  <c r="AU240" i="29"/>
  <c r="AU264" i="29"/>
  <c r="AZ240" i="29"/>
  <c r="AJ272" i="29"/>
  <c r="AJ278" i="29"/>
  <c r="BP240" i="29"/>
  <c r="BP264" i="29"/>
  <c r="AH240" i="29"/>
  <c r="D272" i="29"/>
  <c r="D278" i="29"/>
  <c r="BZ170" i="29"/>
  <c r="BZ172" i="29"/>
  <c r="R21" i="136"/>
  <c r="V240" i="29"/>
  <c r="V264" i="29"/>
  <c r="AA240" i="29"/>
  <c r="CE251" i="29"/>
  <c r="CE254" i="29" s="1"/>
  <c r="BZ252" i="29"/>
  <c r="Y272" i="29"/>
  <c r="Y278" i="29"/>
  <c r="BO196" i="29"/>
  <c r="N272" i="29"/>
  <c r="N278" i="29"/>
  <c r="Z272" i="29"/>
  <c r="Z278" i="29"/>
  <c r="AN249" i="29"/>
  <c r="AX249" i="29"/>
  <c r="E278" i="29"/>
  <c r="E272" i="29"/>
  <c r="BA272" i="29"/>
  <c r="BA278" i="29"/>
  <c r="CE348" i="29"/>
  <c r="CE339" i="29"/>
  <c r="S47" i="136"/>
  <c r="BT338" i="29"/>
  <c r="BU327" i="29"/>
  <c r="AW272" i="29"/>
  <c r="AW278" i="29"/>
  <c r="G297" i="29"/>
  <c r="L292" i="29"/>
  <c r="L293" i="29" s="1"/>
  <c r="E50" i="136"/>
  <c r="O35" i="136"/>
  <c r="Q240" i="29"/>
  <c r="Q264" i="29"/>
  <c r="BE264" i="29"/>
  <c r="BE240" i="29"/>
  <c r="F33" i="136"/>
  <c r="H33" i="136"/>
  <c r="O272" i="29"/>
  <c r="O278" i="29"/>
  <c r="BS8" i="29"/>
  <c r="BS4" i="29"/>
  <c r="BC249" i="29"/>
  <c r="BL249" i="29"/>
  <c r="AP242" i="29"/>
  <c r="BZ287" i="29"/>
  <c r="BZ328" i="29" s="1"/>
  <c r="CE259" i="29"/>
  <c r="BU188" i="29"/>
  <c r="BU190" i="29"/>
  <c r="BU186" i="29"/>
  <c r="Q20" i="136"/>
  <c r="G45" i="136" s="1"/>
  <c r="BU191" i="29"/>
  <c r="BU192" i="29" s="1"/>
  <c r="AH272" i="29"/>
  <c r="AH278" i="29"/>
  <c r="N292" i="29"/>
  <c r="N293" i="29" s="1"/>
  <c r="M297" i="29"/>
  <c r="AL272" i="29"/>
  <c r="AL278" i="29"/>
  <c r="AM272" i="29"/>
  <c r="AM278" i="29"/>
  <c r="BQ159" i="29"/>
  <c r="BQ160" i="29" s="1"/>
  <c r="BQ274" i="29"/>
  <c r="BQ215" i="29"/>
  <c r="BQ116" i="29"/>
  <c r="BQ64" i="29"/>
  <c r="BQ40" i="29"/>
  <c r="BQ94" i="29"/>
  <c r="AT240" i="29"/>
  <c r="BZ166" i="29"/>
  <c r="BZ188" i="29"/>
  <c r="BZ190" i="29"/>
  <c r="R20" i="136"/>
  <c r="H45" i="136" s="1"/>
  <c r="X272" i="29"/>
  <c r="X278" i="29"/>
  <c r="BP267" i="29"/>
  <c r="BP248" i="29"/>
  <c r="BP337" i="29"/>
  <c r="AT249" i="29"/>
  <c r="BB253" i="29"/>
  <c r="BF253" i="29" s="1"/>
  <c r="BK253" i="29" s="1"/>
  <c r="BB252" i="29"/>
  <c r="BF252" i="29" s="1"/>
  <c r="CE171" i="29"/>
  <c r="CJ62" i="29"/>
  <c r="S12" i="136"/>
  <c r="I39" i="136" s="1"/>
  <c r="BZ173" i="29"/>
  <c r="BZ174" i="29" s="1"/>
  <c r="AF246" i="29"/>
  <c r="AF241" i="29"/>
  <c r="AF242" i="29" s="1"/>
  <c r="AF239" i="29"/>
  <c r="V242" i="29"/>
  <c r="AA242" i="29"/>
  <c r="M272" i="29"/>
  <c r="M278" i="29"/>
  <c r="AV272" i="29"/>
  <c r="AV278" i="29"/>
  <c r="BZ254" i="29"/>
  <c r="BZ282" i="29" s="1"/>
  <c r="Y249" i="29"/>
  <c r="AN272" i="29"/>
  <c r="AN278" i="29"/>
  <c r="AD249" i="29"/>
  <c r="AX272" i="29"/>
  <c r="AY272" i="29" s="1"/>
  <c r="AX278" i="29"/>
  <c r="AK267" i="29"/>
  <c r="AK248" i="29"/>
  <c r="AK337" i="29"/>
  <c r="BF241" i="29"/>
  <c r="BF242" i="29" s="1"/>
  <c r="BF239" i="29"/>
  <c r="BF246" i="29"/>
  <c r="L267" i="29"/>
  <c r="L248" i="29"/>
  <c r="L249" i="29" s="1"/>
  <c r="L337" i="29"/>
  <c r="Q242" i="29"/>
  <c r="BM272" i="29"/>
  <c r="BM278" i="29"/>
  <c r="AH242" i="29"/>
  <c r="R249" i="29"/>
  <c r="BT10" i="29"/>
  <c r="BT7" i="29"/>
  <c r="AP267" i="29"/>
  <c r="AP278" i="29" s="1"/>
  <c r="AP248" i="29"/>
  <c r="AP337" i="29"/>
  <c r="H46" i="136" l="1"/>
  <c r="BQ225" i="29"/>
  <c r="BQ235" i="29"/>
  <c r="BQ214" i="29"/>
  <c r="BQ212" i="29"/>
  <c r="BQ210" i="29"/>
  <c r="BQ211" i="29" s="1"/>
  <c r="BQ340" i="29"/>
  <c r="BZ347" i="29"/>
  <c r="BZ349" i="29" s="1"/>
  <c r="BZ289" i="29"/>
  <c r="R50" i="136" s="1"/>
  <c r="R46" i="136"/>
  <c r="BZ330" i="29"/>
  <c r="BF267" i="29"/>
  <c r="BF248" i="29"/>
  <c r="BF249" i="29" s="1"/>
  <c r="BF337" i="29"/>
  <c r="AF240" i="29"/>
  <c r="AF264" i="29"/>
  <c r="Q278" i="29"/>
  <c r="Q272" i="29"/>
  <c r="CE188" i="29"/>
  <c r="CE190" i="29"/>
  <c r="S20" i="136"/>
  <c r="I45" i="136" s="1"/>
  <c r="CE167" i="29"/>
  <c r="BK252" i="29"/>
  <c r="BK251" i="29" s="1"/>
  <c r="BF251" i="29"/>
  <c r="BP249" i="29"/>
  <c r="BQ118" i="29"/>
  <c r="BQ117" i="29"/>
  <c r="BQ197" i="29"/>
  <c r="BQ195" i="29"/>
  <c r="BQ196" i="29" s="1"/>
  <c r="AP272" i="29"/>
  <c r="BZ187" i="29"/>
  <c r="BU187" i="29"/>
  <c r="O37" i="136"/>
  <c r="E59" i="136" s="1"/>
  <c r="O53" i="136"/>
  <c r="BR213" i="29"/>
  <c r="BR193" i="29"/>
  <c r="BR156" i="29"/>
  <c r="BR158" i="29"/>
  <c r="AK242" i="29"/>
  <c r="CJ189" i="29"/>
  <c r="CJ191" i="29" s="1"/>
  <c r="CJ192" i="29" s="1"/>
  <c r="CV92" i="29"/>
  <c r="T11" i="136"/>
  <c r="J38" i="136" s="1"/>
  <c r="AO272" i="29"/>
  <c r="AO278" i="29"/>
  <c r="AK240" i="29"/>
  <c r="CE165" i="29"/>
  <c r="CE198" i="29"/>
  <c r="CE163" i="29"/>
  <c r="S19" i="136"/>
  <c r="I44" i="136" s="1"/>
  <c r="BT8" i="29"/>
  <c r="BT4" i="29"/>
  <c r="BZ200" i="29"/>
  <c r="BZ167" i="29"/>
  <c r="CE287" i="29"/>
  <c r="CE328" i="29" s="1"/>
  <c r="CE282" i="29"/>
  <c r="CJ259" i="29"/>
  <c r="G351" i="29"/>
  <c r="G306" i="29"/>
  <c r="G307" i="29" s="1"/>
  <c r="CJ251" i="29"/>
  <c r="CJ252" i="29" s="1"/>
  <c r="CE252" i="29"/>
  <c r="P35" i="136"/>
  <c r="P37" i="136" s="1"/>
  <c r="F59" i="136" s="1"/>
  <c r="F50" i="136"/>
  <c r="BU347" i="29"/>
  <c r="BU349" i="29" s="1"/>
  <c r="BU289" i="29"/>
  <c r="Q50" i="136" s="1"/>
  <c r="Q46" i="136"/>
  <c r="BF240" i="29"/>
  <c r="BF264" i="29"/>
  <c r="AK272" i="29"/>
  <c r="AK278" i="29"/>
  <c r="CJ171" i="29"/>
  <c r="T12" i="136"/>
  <c r="J39" i="136" s="1"/>
  <c r="CV62" i="29"/>
  <c r="AP249" i="29"/>
  <c r="AF267" i="29"/>
  <c r="AF248" i="29"/>
  <c r="AF249" i="29" s="1"/>
  <c r="AF337" i="29"/>
  <c r="BQ306" i="29"/>
  <c r="BQ318" i="29"/>
  <c r="BQ316" i="29"/>
  <c r="BQ298" i="29"/>
  <c r="BQ300" i="29"/>
  <c r="BQ220" i="29"/>
  <c r="BQ216" i="29"/>
  <c r="BQ217" i="29"/>
  <c r="BQ320" i="29"/>
  <c r="BQ304" i="29"/>
  <c r="M351" i="29"/>
  <c r="M306" i="29"/>
  <c r="M307" i="29" s="1"/>
  <c r="BU7" i="29"/>
  <c r="BZ199" i="29"/>
  <c r="BP272" i="29"/>
  <c r="BP273" i="29" s="1"/>
  <c r="BZ162" i="29"/>
  <c r="BU162" i="29"/>
  <c r="V249" i="29"/>
  <c r="AA249" i="29"/>
  <c r="CJ166" i="29"/>
  <c r="CJ164" i="29"/>
  <c r="CV38" i="29"/>
  <c r="T10" i="136"/>
  <c r="J37" i="136" s="1"/>
  <c r="AK249" i="29"/>
  <c r="CE172" i="29"/>
  <c r="CE170" i="29"/>
  <c r="S21" i="136"/>
  <c r="BU199" i="29"/>
  <c r="L272" i="29"/>
  <c r="L278" i="29"/>
  <c r="CE173" i="29"/>
  <c r="CE174" i="29" s="1"/>
  <c r="BQ276" i="29"/>
  <c r="BQ281" i="29"/>
  <c r="BQ309" i="29"/>
  <c r="BR309" i="29" s="1"/>
  <c r="N297" i="29"/>
  <c r="O292" i="29"/>
  <c r="O293" i="29" s="1"/>
  <c r="BS157" i="29"/>
  <c r="BS128" i="29"/>
  <c r="BS5" i="29"/>
  <c r="Q292" i="29"/>
  <c r="Q293" i="29" s="1"/>
  <c r="L297" i="29"/>
  <c r="BU338" i="29"/>
  <c r="BZ327" i="29"/>
  <c r="BR274" i="29"/>
  <c r="BR215" i="29"/>
  <c r="BR116" i="29"/>
  <c r="BR82" i="29"/>
  <c r="BR94" i="29"/>
  <c r="BR64" i="29"/>
  <c r="BR40" i="29"/>
  <c r="BU200" i="29"/>
  <c r="BU201" i="29" s="1"/>
  <c r="BU167" i="29"/>
  <c r="Q249" i="29"/>
  <c r="BZ315" i="29"/>
  <c r="BU231" i="29"/>
  <c r="BU233" i="29" s="1"/>
  <c r="Q61" i="136"/>
  <c r="CJ348" i="29"/>
  <c r="CJ339" i="29"/>
  <c r="T47" i="136"/>
  <c r="AU249" i="29"/>
  <c r="AZ249" i="29"/>
  <c r="CE191" i="29"/>
  <c r="CE192" i="29" s="1"/>
  <c r="AC272" i="29"/>
  <c r="AC278" i="29"/>
  <c r="BK272" i="29"/>
  <c r="BK278" i="29"/>
  <c r="V272" i="29"/>
  <c r="V278" i="29"/>
  <c r="R49" i="136" l="1"/>
  <c r="Q49" i="136"/>
  <c r="I46" i="136"/>
  <c r="BP291" i="29"/>
  <c r="BP277" i="29"/>
  <c r="BP278" i="29" s="1"/>
  <c r="P40" i="136"/>
  <c r="P52" i="136" s="1"/>
  <c r="BR318" i="29"/>
  <c r="BR316" i="29"/>
  <c r="BR322" i="29" s="1"/>
  <c r="BR300" i="29"/>
  <c r="BR298" i="29"/>
  <c r="BR306" i="29"/>
  <c r="BR217" i="29"/>
  <c r="BR220" i="29"/>
  <c r="BR221" i="29" s="1"/>
  <c r="BR216" i="29"/>
  <c r="BR320" i="29"/>
  <c r="BR304" i="29"/>
  <c r="BQ218" i="29"/>
  <c r="BQ219" i="29"/>
  <c r="CJ170" i="29"/>
  <c r="CV168" i="29"/>
  <c r="T21" i="136"/>
  <c r="CJ172" i="29"/>
  <c r="CJ287" i="29"/>
  <c r="CJ328" i="29" s="1"/>
  <c r="BZ201" i="29"/>
  <c r="BR118" i="29"/>
  <c r="BR117" i="29"/>
  <c r="BR197" i="29"/>
  <c r="BR195" i="29"/>
  <c r="BR196" i="29" s="1"/>
  <c r="L306" i="29"/>
  <c r="L307" i="29" s="1"/>
  <c r="L351" i="29"/>
  <c r="N351" i="29"/>
  <c r="N306" i="29"/>
  <c r="N307" i="29" s="1"/>
  <c r="BU9" i="29"/>
  <c r="BU8" i="29"/>
  <c r="BU4" i="29"/>
  <c r="BR225" i="29"/>
  <c r="BR235" i="29"/>
  <c r="BR214" i="29"/>
  <c r="BR212" i="29"/>
  <c r="BR210" i="29"/>
  <c r="BR211" i="29" s="1"/>
  <c r="BP251" i="29"/>
  <c r="BL253" i="29"/>
  <c r="BP253" i="29" s="1"/>
  <c r="BL252" i="29"/>
  <c r="BP252" i="29" s="1"/>
  <c r="BF278" i="29"/>
  <c r="BF272" i="29"/>
  <c r="BE272" i="29" s="1"/>
  <c r="Q297" i="29"/>
  <c r="V292" i="29"/>
  <c r="V293" i="29" s="1"/>
  <c r="BS213" i="29"/>
  <c r="BS340" i="29" s="1"/>
  <c r="BS193" i="29"/>
  <c r="BS156" i="29"/>
  <c r="BS158" i="29"/>
  <c r="BR276" i="29"/>
  <c r="BR281" i="29"/>
  <c r="BZ338" i="29"/>
  <c r="CE327" i="29"/>
  <c r="BS159" i="29"/>
  <c r="BS160" i="29" s="1"/>
  <c r="CJ198" i="29"/>
  <c r="CJ163" i="29"/>
  <c r="CV161" i="29"/>
  <c r="CJ165" i="29"/>
  <c r="T19" i="136"/>
  <c r="J44" i="136" s="1"/>
  <c r="BQ322" i="29"/>
  <c r="CJ173" i="29"/>
  <c r="CJ174" i="29" s="1"/>
  <c r="CJ254" i="29"/>
  <c r="CJ282" i="29" s="1"/>
  <c r="CE347" i="29"/>
  <c r="CE349" i="29" s="1"/>
  <c r="CE289" i="29"/>
  <c r="S50" i="136" s="1"/>
  <c r="S46" i="136"/>
  <c r="BT128" i="29"/>
  <c r="BT157" i="29"/>
  <c r="BT6" i="29"/>
  <c r="BT5" i="29"/>
  <c r="CE199" i="29"/>
  <c r="CE200" i="29"/>
  <c r="CE201" i="29" s="1"/>
  <c r="CE330" i="29"/>
  <c r="BQ238" i="29"/>
  <c r="BQ237" i="29"/>
  <c r="BS274" i="29"/>
  <c r="BS309" i="29" s="1"/>
  <c r="BS215" i="29"/>
  <c r="BS116" i="29"/>
  <c r="BS82" i="29"/>
  <c r="BS64" i="29"/>
  <c r="BS40" i="29"/>
  <c r="BS94" i="29"/>
  <c r="AF272" i="29"/>
  <c r="AF278" i="29"/>
  <c r="CE315" i="29"/>
  <c r="BZ231" i="29"/>
  <c r="BZ233" i="29" s="1"/>
  <c r="R61" i="136"/>
  <c r="BR340" i="29"/>
  <c r="BS6" i="29"/>
  <c r="P292" i="29"/>
  <c r="P293" i="29" s="1"/>
  <c r="O297" i="29"/>
  <c r="CJ200" i="29"/>
  <c r="CJ201" i="29" s="1"/>
  <c r="CJ167" i="29"/>
  <c r="BQ221" i="29"/>
  <c r="CJ190" i="29"/>
  <c r="CJ188" i="29"/>
  <c r="CV186" i="29"/>
  <c r="T20" i="136"/>
  <c r="J45" i="136" s="1"/>
  <c r="BQ226" i="29"/>
  <c r="BQ227" i="29"/>
  <c r="BQ228" i="29" s="1"/>
  <c r="S49" i="136" l="1"/>
  <c r="J46" i="136"/>
  <c r="CJ347" i="29"/>
  <c r="CJ349" i="29" s="1"/>
  <c r="CJ289" i="29"/>
  <c r="T50" i="136" s="1"/>
  <c r="T46" i="136"/>
  <c r="O351" i="29"/>
  <c r="O306" i="29"/>
  <c r="O307" i="29" s="1"/>
  <c r="BQ241" i="29"/>
  <c r="BQ242" i="29" s="1"/>
  <c r="BQ239" i="29"/>
  <c r="BQ246" i="29"/>
  <c r="BQ329" i="29"/>
  <c r="BT158" i="29"/>
  <c r="BT156" i="29"/>
  <c r="BT193" i="29"/>
  <c r="BT213" i="29" s="1"/>
  <c r="BU157" i="29"/>
  <c r="BT274" i="29"/>
  <c r="BT309" i="29" s="1"/>
  <c r="BU309" i="29" s="1"/>
  <c r="BT215" i="29"/>
  <c r="BT116" i="29"/>
  <c r="BT82" i="29"/>
  <c r="BT64" i="29"/>
  <c r="BT94" i="29"/>
  <c r="BT40" i="29"/>
  <c r="Q306" i="29"/>
  <c r="Q307" i="29" s="1"/>
  <c r="Q351" i="29"/>
  <c r="BS235" i="29"/>
  <c r="BS214" i="29"/>
  <c r="BS212" i="29"/>
  <c r="BS210" i="29"/>
  <c r="BS211" i="29" s="1"/>
  <c r="BS225" i="29"/>
  <c r="CJ315" i="29"/>
  <c r="CE231" i="29"/>
  <c r="CE233" i="29" s="1"/>
  <c r="S61" i="136"/>
  <c r="BS118" i="29"/>
  <c r="BS117" i="29"/>
  <c r="BS197" i="29"/>
  <c r="BS195" i="29"/>
  <c r="BS196" i="29" s="1"/>
  <c r="BU254" i="29"/>
  <c r="BU252" i="29"/>
  <c r="BR238" i="29"/>
  <c r="BR237" i="29"/>
  <c r="BU10" i="29"/>
  <c r="BZ9" i="29"/>
  <c r="P54" i="136"/>
  <c r="F61" i="136"/>
  <c r="P53" i="136"/>
  <c r="P56" i="136"/>
  <c r="BR219" i="29"/>
  <c r="BR218" i="29"/>
  <c r="G28" i="136"/>
  <c r="BS318" i="29"/>
  <c r="BS316" i="29"/>
  <c r="BS300" i="29"/>
  <c r="BS298" i="29"/>
  <c r="BS306" i="29"/>
  <c r="BS217" i="29"/>
  <c r="BS220" i="29"/>
  <c r="BS216" i="29"/>
  <c r="BS304" i="29"/>
  <c r="BS320" i="29"/>
  <c r="CE338" i="29"/>
  <c r="CJ327" i="29"/>
  <c r="BR226" i="29"/>
  <c r="BR227" i="29"/>
  <c r="BR228" i="29" s="1"/>
  <c r="R292" i="29"/>
  <c r="R293" i="29" s="1"/>
  <c r="P297" i="29"/>
  <c r="BS281" i="29"/>
  <c r="BS276" i="29"/>
  <c r="BU274" i="29"/>
  <c r="CJ330" i="29"/>
  <c r="BT159" i="29"/>
  <c r="BT160" i="29" s="1"/>
  <c r="CJ199" i="29"/>
  <c r="V297" i="29"/>
  <c r="AA292" i="29"/>
  <c r="AA293" i="29" s="1"/>
  <c r="BU159" i="29"/>
  <c r="BU160" i="29" s="1"/>
  <c r="BU128" i="29"/>
  <c r="BU6" i="29"/>
  <c r="BU5" i="29"/>
  <c r="Q9" i="136"/>
  <c r="BT225" i="29" l="1"/>
  <c r="BT214" i="29"/>
  <c r="BT212" i="29"/>
  <c r="BT210" i="29"/>
  <c r="BT211" i="29" s="1"/>
  <c r="BT235" i="29"/>
  <c r="BT340" i="29"/>
  <c r="AA297" i="29"/>
  <c r="AF292" i="29"/>
  <c r="AF293" i="29" s="1"/>
  <c r="BS221" i="29"/>
  <c r="BU215" i="29"/>
  <c r="BU129" i="29"/>
  <c r="BU116" i="29"/>
  <c r="BU82" i="29"/>
  <c r="BU40" i="29"/>
  <c r="BU94" i="29"/>
  <c r="BU64" i="29"/>
  <c r="P351" i="29"/>
  <c r="P306" i="29"/>
  <c r="P307" i="29" s="1"/>
  <c r="BS219" i="29"/>
  <c r="BS218" i="29"/>
  <c r="BS322" i="29"/>
  <c r="BQ240" i="29"/>
  <c r="BQ264" i="29"/>
  <c r="Q14" i="136"/>
  <c r="G36" i="136"/>
  <c r="BU275" i="29"/>
  <c r="BU281" i="29"/>
  <c r="Q44" i="136" s="1"/>
  <c r="BU276" i="29"/>
  <c r="Q42" i="136"/>
  <c r="R297" i="29"/>
  <c r="S292" i="29"/>
  <c r="S293" i="29" s="1"/>
  <c r="CJ338" i="29"/>
  <c r="H28" i="136"/>
  <c r="F28" i="136"/>
  <c r="BU193" i="29"/>
  <c r="BS226" i="29"/>
  <c r="BS227" i="29"/>
  <c r="BS228" i="29" s="1"/>
  <c r="BS237" i="29"/>
  <c r="BS238" i="29" s="1"/>
  <c r="BT117" i="29"/>
  <c r="BT118" i="29"/>
  <c r="BT197" i="29"/>
  <c r="BT195" i="29"/>
  <c r="BT196" i="29" s="1"/>
  <c r="BU213" i="29"/>
  <c r="BU156" i="29"/>
  <c r="BU158" i="29"/>
  <c r="BU154" i="29"/>
  <c r="Q18" i="136"/>
  <c r="T49" i="136"/>
  <c r="BR241" i="29"/>
  <c r="BR242" i="29" s="1"/>
  <c r="BR239" i="29"/>
  <c r="BR246" i="29"/>
  <c r="BT318" i="29"/>
  <c r="BU318" i="29" s="1"/>
  <c r="BU319" i="29" s="1"/>
  <c r="BT316" i="29"/>
  <c r="BT306" i="29"/>
  <c r="BU306" i="29" s="1"/>
  <c r="BU307" i="29" s="1"/>
  <c r="BZ307" i="29" s="1"/>
  <c r="CE307" i="29" s="1"/>
  <c r="CJ307" i="29" s="1"/>
  <c r="BT300" i="29"/>
  <c r="BU300" i="29" s="1"/>
  <c r="BU301" i="29" s="1"/>
  <c r="BZ301" i="29" s="1"/>
  <c r="CE301" i="29" s="1"/>
  <c r="CJ301" i="29" s="1"/>
  <c r="BT298" i="29"/>
  <c r="BU298" i="29" s="1"/>
  <c r="BT220" i="29"/>
  <c r="BT221" i="29" s="1"/>
  <c r="BT216" i="29"/>
  <c r="BT217" i="29"/>
  <c r="BT304" i="29"/>
  <c r="BU304" i="29" s="1"/>
  <c r="BU305" i="29" s="1"/>
  <c r="BT320" i="29"/>
  <c r="BU320" i="29" s="1"/>
  <c r="BU321" i="29" s="1"/>
  <c r="BZ321" i="29" s="1"/>
  <c r="BQ337" i="29"/>
  <c r="BR329" i="29"/>
  <c r="V306" i="29"/>
  <c r="V307" i="29" s="1"/>
  <c r="V351" i="29"/>
  <c r="CE9" i="29"/>
  <c r="BZ7" i="29"/>
  <c r="CJ231" i="29"/>
  <c r="CJ233" i="29" s="1"/>
  <c r="T61" i="136"/>
  <c r="BT281" i="29"/>
  <c r="BT276" i="29"/>
  <c r="BQ267" i="29"/>
  <c r="BQ248" i="29"/>
  <c r="BQ249" i="29" s="1"/>
  <c r="Q43" i="136" l="1"/>
  <c r="BS241" i="29"/>
  <c r="BS242" i="29" s="1"/>
  <c r="BS239" i="29"/>
  <c r="BS246" i="29"/>
  <c r="BR267" i="29"/>
  <c r="BR248" i="29"/>
  <c r="BR249" i="29" s="1"/>
  <c r="S297" i="29"/>
  <c r="T292" i="29"/>
  <c r="T293" i="29" s="1"/>
  <c r="CJ9" i="29"/>
  <c r="CJ7" i="29" s="1"/>
  <c r="CE7" i="29"/>
  <c r="BR337" i="29"/>
  <c r="BS329" i="29"/>
  <c r="BT218" i="29"/>
  <c r="BT219" i="29"/>
  <c r="G41" i="136"/>
  <c r="BU118" i="29"/>
  <c r="BU117" i="29"/>
  <c r="BU195" i="29"/>
  <c r="BU196" i="29" s="1"/>
  <c r="BU197" i="29"/>
  <c r="BU220" i="29"/>
  <c r="AA306" i="29"/>
  <c r="AA307" i="29" s="1"/>
  <c r="AA351" i="29"/>
  <c r="CE321" i="29"/>
  <c r="BU316" i="29"/>
  <c r="BT322" i="29"/>
  <c r="BR240" i="29"/>
  <c r="BR264" i="29"/>
  <c r="Q23" i="136"/>
  <c r="G48" i="136" s="1"/>
  <c r="G43" i="136"/>
  <c r="BU235" i="29"/>
  <c r="BU225" i="29"/>
  <c r="BU212" i="29"/>
  <c r="BU214" i="29"/>
  <c r="BU210" i="29"/>
  <c r="BU211" i="29" s="1"/>
  <c r="R351" i="29"/>
  <c r="R306" i="29"/>
  <c r="R307" i="29" s="1"/>
  <c r="BU217" i="29"/>
  <c r="BU216" i="29"/>
  <c r="BT237" i="29"/>
  <c r="BT238" i="29" s="1"/>
  <c r="BT227" i="29"/>
  <c r="BT228" i="29" s="1"/>
  <c r="BT226" i="29"/>
  <c r="BZ8" i="29"/>
  <c r="BZ4" i="29"/>
  <c r="BU299" i="29"/>
  <c r="BU155" i="29"/>
  <c r="BZ155" i="29"/>
  <c r="BU194" i="29"/>
  <c r="BZ194" i="29" s="1"/>
  <c r="Q25" i="136"/>
  <c r="BU340" i="29"/>
  <c r="AK292" i="29"/>
  <c r="AK293" i="29" s="1"/>
  <c r="AF297" i="29"/>
  <c r="BT246" i="29" l="1"/>
  <c r="BT239" i="29"/>
  <c r="BT241" i="29"/>
  <c r="BT242" i="29" s="1"/>
  <c r="AK297" i="29"/>
  <c r="AP292" i="29"/>
  <c r="AP293" i="29" s="1"/>
  <c r="BU317" i="29"/>
  <c r="BU322" i="29"/>
  <c r="Q16" i="136"/>
  <c r="Q26" i="136" s="1"/>
  <c r="Q28" i="136" s="1"/>
  <c r="CE8" i="29"/>
  <c r="CE4" i="29"/>
  <c r="U292" i="29"/>
  <c r="U293" i="29" s="1"/>
  <c r="T297" i="29"/>
  <c r="BS267" i="29"/>
  <c r="BS248" i="29"/>
  <c r="BS249" i="29" s="1"/>
  <c r="BU237" i="29"/>
  <c r="BU226" i="29"/>
  <c r="BU227" i="29"/>
  <c r="BU228" i="29" s="1"/>
  <c r="Q29" i="136"/>
  <c r="BU221" i="29"/>
  <c r="BU222" i="29"/>
  <c r="CJ8" i="29"/>
  <c r="CJ4" i="29"/>
  <c r="S351" i="29"/>
  <c r="S306" i="29"/>
  <c r="S307" i="29" s="1"/>
  <c r="BS240" i="29"/>
  <c r="BS264" i="29"/>
  <c r="AF306" i="29"/>
  <c r="AF307" i="29" s="1"/>
  <c r="AF351" i="29"/>
  <c r="CE194" i="29"/>
  <c r="BZ193" i="29"/>
  <c r="R25" i="136" s="1"/>
  <c r="BZ157" i="29"/>
  <c r="BZ159" i="29" s="1"/>
  <c r="BZ160" i="29" s="1"/>
  <c r="BZ128" i="29"/>
  <c r="BZ6" i="29" s="1"/>
  <c r="R9" i="136"/>
  <c r="BZ5" i="29"/>
  <c r="BU219" i="29"/>
  <c r="BU218" i="29"/>
  <c r="CJ321" i="29"/>
  <c r="BS337" i="29"/>
  <c r="BT329" i="29"/>
  <c r="T351" i="29" l="1"/>
  <c r="T306" i="29"/>
  <c r="T307" i="29" s="1"/>
  <c r="G50" i="136"/>
  <c r="AK306" i="29"/>
  <c r="AK307" i="29" s="1"/>
  <c r="AK351" i="29"/>
  <c r="BU236" i="29"/>
  <c r="Q33" i="136"/>
  <c r="Q35" i="136" s="1"/>
  <c r="Q37" i="136" s="1"/>
  <c r="G59" i="136" s="1"/>
  <c r="BT337" i="29"/>
  <c r="BU329" i="29"/>
  <c r="BU238" i="29"/>
  <c r="H36" i="136"/>
  <c r="R14" i="136"/>
  <c r="BZ213" i="29"/>
  <c r="BZ158" i="29"/>
  <c r="BZ156" i="29"/>
  <c r="R18" i="136"/>
  <c r="U297" i="29"/>
  <c r="W292" i="29"/>
  <c r="W293" i="29" s="1"/>
  <c r="CE128" i="29"/>
  <c r="CE159" i="29"/>
  <c r="CE160" i="29" s="1"/>
  <c r="CE157" i="29"/>
  <c r="S9" i="136"/>
  <c r="CE6" i="29"/>
  <c r="CE5" i="29"/>
  <c r="BT240" i="29"/>
  <c r="BT264" i="29"/>
  <c r="BZ215" i="29"/>
  <c r="BZ274" i="29"/>
  <c r="BZ116" i="29"/>
  <c r="BZ129" i="29"/>
  <c r="BZ82" i="29"/>
  <c r="BZ40" i="29"/>
  <c r="BZ94" i="29"/>
  <c r="BZ64" i="29"/>
  <c r="CJ194" i="29"/>
  <c r="CJ193" i="29" s="1"/>
  <c r="T25" i="136" s="1"/>
  <c r="CE193" i="29"/>
  <c r="S25" i="136" s="1"/>
  <c r="CJ157" i="29"/>
  <c r="CJ159" i="29" s="1"/>
  <c r="T9" i="136"/>
  <c r="CJ5" i="29"/>
  <c r="CV4" i="29"/>
  <c r="CJ128" i="29"/>
  <c r="G51" i="136"/>
  <c r="Q65" i="136"/>
  <c r="AP297" i="29"/>
  <c r="AU292" i="29"/>
  <c r="AU293" i="29" s="1"/>
  <c r="BT267" i="29"/>
  <c r="BT248" i="29"/>
  <c r="BT249" i="29" s="1"/>
  <c r="CJ215" i="29" l="1"/>
  <c r="CJ274" i="29"/>
  <c r="CV128" i="29"/>
  <c r="CJ129" i="29"/>
  <c r="CJ116" i="29"/>
  <c r="CJ82" i="29"/>
  <c r="CJ94" i="29"/>
  <c r="CJ40" i="29"/>
  <c r="CJ64" i="29"/>
  <c r="CJ6" i="29"/>
  <c r="BZ318" i="29"/>
  <c r="BZ316" i="29"/>
  <c r="BZ298" i="29"/>
  <c r="BZ306" i="29"/>
  <c r="BZ300" i="29"/>
  <c r="BZ304" i="29"/>
  <c r="BZ217" i="29"/>
  <c r="BZ220" i="29"/>
  <c r="BZ221" i="29" s="1"/>
  <c r="BZ216" i="29"/>
  <c r="BZ320" i="29"/>
  <c r="U351" i="29"/>
  <c r="U306" i="29"/>
  <c r="U307" i="29" s="1"/>
  <c r="BZ225" i="29"/>
  <c r="BZ214" i="29"/>
  <c r="BZ210" i="29"/>
  <c r="BZ211" i="29" s="1"/>
  <c r="BZ235" i="29"/>
  <c r="BZ212" i="29"/>
  <c r="AU297" i="29"/>
  <c r="AU351" i="29" s="1"/>
  <c r="BA292" i="29"/>
  <c r="BA293" i="29" s="1"/>
  <c r="AZ292" i="29"/>
  <c r="AZ293" i="29" s="1"/>
  <c r="AV292" i="29"/>
  <c r="AV293" i="29" s="1"/>
  <c r="CJ160" i="29"/>
  <c r="BZ340" i="29"/>
  <c r="CE215" i="29"/>
  <c r="CE274" i="29"/>
  <c r="CE116" i="29"/>
  <c r="CE129" i="29"/>
  <c r="CE82" i="29"/>
  <c r="CE94" i="29"/>
  <c r="CE64" i="29"/>
  <c r="CE40" i="29"/>
  <c r="H43" i="136"/>
  <c r="R23" i="136"/>
  <c r="H41" i="136"/>
  <c r="BU337" i="29"/>
  <c r="AP308" i="29"/>
  <c r="AP313" i="29" s="1"/>
  <c r="AP334" i="29" s="1"/>
  <c r="AP351" i="29"/>
  <c r="CJ213" i="29"/>
  <c r="CJ340" i="29" s="1"/>
  <c r="CJ158" i="29"/>
  <c r="CV154" i="29"/>
  <c r="CJ156" i="29"/>
  <c r="T18" i="136"/>
  <c r="BZ117" i="29"/>
  <c r="BZ118" i="29"/>
  <c r="BZ195" i="29"/>
  <c r="BZ196" i="29" s="1"/>
  <c r="BZ197" i="29"/>
  <c r="S14" i="136"/>
  <c r="I36" i="136"/>
  <c r="J36" i="136"/>
  <c r="T14" i="136"/>
  <c r="BZ281" i="29"/>
  <c r="R44" i="136" s="1"/>
  <c r="BZ276" i="29"/>
  <c r="R42" i="136"/>
  <c r="BZ309" i="29"/>
  <c r="CE309" i="29" s="1"/>
  <c r="CE213" i="29"/>
  <c r="CE156" i="29"/>
  <c r="S18" i="136"/>
  <c r="CE158" i="29"/>
  <c r="W297" i="29"/>
  <c r="X292" i="29"/>
  <c r="X293" i="29" s="1"/>
  <c r="BU241" i="29"/>
  <c r="BU242" i="29" s="1"/>
  <c r="BU239" i="29"/>
  <c r="BU246" i="29"/>
  <c r="H48" i="136" l="1"/>
  <c r="H55" i="136"/>
  <c r="H54" i="136"/>
  <c r="CJ309" i="29"/>
  <c r="R43" i="136"/>
  <c r="CE281" i="29"/>
  <c r="S44" i="136" s="1"/>
  <c r="CE276" i="29"/>
  <c r="S42" i="136"/>
  <c r="BZ322" i="29"/>
  <c r="X297" i="29"/>
  <c r="Y292" i="29"/>
  <c r="Y293" i="29" s="1"/>
  <c r="R16" i="136"/>
  <c r="R26" i="136" s="1"/>
  <c r="R28" i="136" s="1"/>
  <c r="CE318" i="29"/>
  <c r="CE316" i="29"/>
  <c r="CE306" i="29"/>
  <c r="CE300" i="29"/>
  <c r="CE304" i="29"/>
  <c r="CE298" i="29"/>
  <c r="CE217" i="29"/>
  <c r="CE216" i="29"/>
  <c r="CE220" i="29"/>
  <c r="CE221" i="29" s="1"/>
  <c r="CE320" i="29"/>
  <c r="AV297" i="29"/>
  <c r="AW292" i="29"/>
  <c r="AW293" i="29" s="1"/>
  <c r="BZ227" i="29"/>
  <c r="BZ228" i="29" s="1"/>
  <c r="BZ226" i="29"/>
  <c r="R29" i="136"/>
  <c r="BU240" i="29"/>
  <c r="BU264" i="29"/>
  <c r="S23" i="136"/>
  <c r="I54" i="136" s="1"/>
  <c r="I43" i="136"/>
  <c r="BU267" i="29"/>
  <c r="BU248" i="29"/>
  <c r="BU249" i="29" s="1"/>
  <c r="W351" i="29"/>
  <c r="W306" i="29"/>
  <c r="W307" i="29" s="1"/>
  <c r="CE225" i="29"/>
  <c r="CE235" i="29"/>
  <c r="CE214" i="29"/>
  <c r="CE210" i="29"/>
  <c r="CE211" i="29" s="1"/>
  <c r="CE212" i="29"/>
  <c r="I41" i="136"/>
  <c r="CE340" i="29"/>
  <c r="BF292" i="29"/>
  <c r="BF293" i="29" s="1"/>
  <c r="BB292" i="29"/>
  <c r="BB293" i="29" s="1"/>
  <c r="AZ297" i="29"/>
  <c r="AZ351" i="29" s="1"/>
  <c r="BG292" i="29"/>
  <c r="BG293" i="29" s="1"/>
  <c r="BH292" i="29" s="1"/>
  <c r="BH293" i="29" s="1"/>
  <c r="BZ237" i="29"/>
  <c r="R33" i="136" s="1"/>
  <c r="CJ281" i="29"/>
  <c r="T44" i="136" s="1"/>
  <c r="CJ276" i="29"/>
  <c r="T42" i="136"/>
  <c r="J41" i="136"/>
  <c r="J43" i="136"/>
  <c r="T23" i="136"/>
  <c r="J54" i="136" s="1"/>
  <c r="CJ235" i="29"/>
  <c r="CJ225" i="29"/>
  <c r="CV213" i="29"/>
  <c r="CJ214" i="29"/>
  <c r="CJ210" i="29"/>
  <c r="CJ211" i="29" s="1"/>
  <c r="CJ212" i="29"/>
  <c r="CE117" i="29"/>
  <c r="CE118" i="29"/>
  <c r="CE197" i="29"/>
  <c r="CE195" i="29"/>
  <c r="CE196" i="29" s="1"/>
  <c r="BA297" i="29"/>
  <c r="BK292" i="29"/>
  <c r="BZ219" i="29"/>
  <c r="BZ218" i="29"/>
  <c r="CJ118" i="29"/>
  <c r="CJ117" i="29"/>
  <c r="CJ197" i="29"/>
  <c r="CJ195" i="29"/>
  <c r="CJ316" i="29"/>
  <c r="CJ318" i="29"/>
  <c r="CJ304" i="29"/>
  <c r="CJ298" i="29"/>
  <c r="CJ306" i="29"/>
  <c r="CJ300" i="29"/>
  <c r="CJ217" i="29"/>
  <c r="CJ220" i="29"/>
  <c r="CJ216" i="29"/>
  <c r="CJ320" i="29"/>
  <c r="S16" i="136" l="1"/>
  <c r="S26" i="136" s="1"/>
  <c r="S28" i="136" s="1"/>
  <c r="I50" i="136" s="1"/>
  <c r="H56" i="136"/>
  <c r="J48" i="136"/>
  <c r="J55" i="136"/>
  <c r="J56" i="136" s="1"/>
  <c r="I48" i="136"/>
  <c r="I55" i="136"/>
  <c r="I56" i="136" s="1"/>
  <c r="CJ221" i="29"/>
  <c r="S43" i="136"/>
  <c r="T43" i="136"/>
  <c r="T16" i="136"/>
  <c r="T26" i="136" s="1"/>
  <c r="T28" i="136" s="1"/>
  <c r="J50" i="136" s="1"/>
  <c r="CE227" i="29"/>
  <c r="CE228" i="29" s="1"/>
  <c r="CE226" i="29"/>
  <c r="S29" i="136"/>
  <c r="R35" i="136"/>
  <c r="G26" i="136" s="1"/>
  <c r="H50" i="136"/>
  <c r="CJ322" i="29"/>
  <c r="CJ237" i="29"/>
  <c r="T33" i="136" s="1"/>
  <c r="BB297" i="29"/>
  <c r="BC292" i="29"/>
  <c r="BC293" i="29" s="1"/>
  <c r="H51" i="136"/>
  <c r="R65" i="136"/>
  <c r="AV351" i="29"/>
  <c r="AV308" i="29"/>
  <c r="AV312" i="29" s="1"/>
  <c r="CE219" i="29"/>
  <c r="CE218" i="29"/>
  <c r="Z292" i="29"/>
  <c r="Z293" i="29" s="1"/>
  <c r="Y297" i="29"/>
  <c r="CJ196" i="29"/>
  <c r="BZ238" i="29"/>
  <c r="BF297" i="29"/>
  <c r="BF351" i="29" s="1"/>
  <c r="BP292" i="29"/>
  <c r="BP293" i="29" s="1"/>
  <c r="BL292" i="29"/>
  <c r="BL293" i="29" s="1"/>
  <c r="CE322" i="29"/>
  <c r="X351" i="29"/>
  <c r="X306" i="29"/>
  <c r="X307" i="29" s="1"/>
  <c r="CJ227" i="29"/>
  <c r="CJ228" i="29" s="1"/>
  <c r="CJ226" i="29"/>
  <c r="T29" i="136"/>
  <c r="AW297" i="29"/>
  <c r="AX292" i="29"/>
  <c r="AX293" i="29" s="1"/>
  <c r="CJ219" i="29"/>
  <c r="CJ218" i="29"/>
  <c r="N59" i="136"/>
  <c r="BA351" i="29"/>
  <c r="CE237" i="29"/>
  <c r="S33" i="136" s="1"/>
  <c r="S35" i="136" s="1"/>
  <c r="S37" i="136" s="1"/>
  <c r="I59" i="136" s="1"/>
  <c r="T35" i="136" l="1"/>
  <c r="T37" i="136" s="1"/>
  <c r="J59" i="136" s="1"/>
  <c r="H26" i="136"/>
  <c r="H20" i="136" s="1"/>
  <c r="F26" i="136"/>
  <c r="F20" i="136" s="1"/>
  <c r="J51" i="136"/>
  <c r="T65" i="136"/>
  <c r="BP297" i="29"/>
  <c r="BU292" i="29"/>
  <c r="BQ292" i="29"/>
  <c r="CE238" i="29"/>
  <c r="I51" i="136"/>
  <c r="S65" i="136"/>
  <c r="Z297" i="29"/>
  <c r="AB292" i="29"/>
  <c r="AB293" i="29" s="1"/>
  <c r="BB351" i="29"/>
  <c r="BB308" i="29"/>
  <c r="BB313" i="29" s="1"/>
  <c r="BB334" i="29" s="1"/>
  <c r="R37" i="136"/>
  <c r="H59" i="136" s="1"/>
  <c r="G17" i="136"/>
  <c r="AX297" i="29"/>
  <c r="AY292" i="29"/>
  <c r="AY293" i="29" s="1"/>
  <c r="AY297" i="29" s="1"/>
  <c r="BZ241" i="29"/>
  <c r="BZ242" i="29" s="1"/>
  <c r="BZ246" i="29"/>
  <c r="BZ239" i="29"/>
  <c r="BZ329" i="29"/>
  <c r="N64" i="136"/>
  <c r="N62" i="136"/>
  <c r="AW351" i="29"/>
  <c r="AW308" i="29"/>
  <c r="AW312" i="29" s="1"/>
  <c r="BL297" i="29"/>
  <c r="BM292" i="29"/>
  <c r="BM293" i="29" s="1"/>
  <c r="Y351" i="29"/>
  <c r="Y306" i="29"/>
  <c r="Y307" i="29" s="1"/>
  <c r="BC297" i="29"/>
  <c r="BD292" i="29"/>
  <c r="BD293" i="29" s="1"/>
  <c r="CJ238" i="29"/>
  <c r="BL351" i="29" l="1"/>
  <c r="BL308" i="29"/>
  <c r="BL313" i="29" s="1"/>
  <c r="BL334" i="29" s="1"/>
  <c r="AX351" i="29"/>
  <c r="AX308" i="29"/>
  <c r="AX313" i="29" s="1"/>
  <c r="AX334" i="29" s="1"/>
  <c r="BZ248" i="29"/>
  <c r="BZ249" i="29" s="1"/>
  <c r="BZ267" i="29"/>
  <c r="F17" i="136"/>
  <c r="H17" i="136"/>
  <c r="G21" i="136"/>
  <c r="G24" i="136" s="1"/>
  <c r="G32" i="136" s="1"/>
  <c r="G9" i="136" s="1"/>
  <c r="AB297" i="29"/>
  <c r="AC292" i="29"/>
  <c r="AC293" i="29" s="1"/>
  <c r="BP308" i="29"/>
  <c r="BP313" i="29" s="1"/>
  <c r="BP334" i="29" s="1"/>
  <c r="P59" i="136"/>
  <c r="BP351" i="29"/>
  <c r="CJ241" i="29"/>
  <c r="CJ246" i="29"/>
  <c r="CJ239" i="29"/>
  <c r="Z351" i="29"/>
  <c r="Z306" i="29"/>
  <c r="Z307" i="29" s="1"/>
  <c r="CE239" i="29"/>
  <c r="CE246" i="29"/>
  <c r="CE241" i="29"/>
  <c r="CE242" i="29" s="1"/>
  <c r="F19" i="136"/>
  <c r="F18" i="136"/>
  <c r="F21" i="136" s="1"/>
  <c r="F24" i="136" s="1"/>
  <c r="F32" i="136" s="1"/>
  <c r="F9" i="136" s="1"/>
  <c r="BC351" i="29"/>
  <c r="BC308" i="29"/>
  <c r="BC313" i="29" s="1"/>
  <c r="BC334" i="29" s="1"/>
  <c r="BZ240" i="29"/>
  <c r="BZ264" i="29"/>
  <c r="BD297" i="29"/>
  <c r="BE292" i="29"/>
  <c r="BE293" i="29" s="1"/>
  <c r="BE297" i="29" s="1"/>
  <c r="BM297" i="29"/>
  <c r="BN292" i="29"/>
  <c r="BN293" i="29" s="1"/>
  <c r="BZ337" i="29"/>
  <c r="CE329" i="29"/>
  <c r="AY351" i="29"/>
  <c r="AY308" i="29"/>
  <c r="H19" i="136"/>
  <c r="H18" i="136"/>
  <c r="BE351" i="29" l="1"/>
  <c r="BE308" i="29"/>
  <c r="AB351" i="29"/>
  <c r="AB306" i="29"/>
  <c r="AB307" i="29" s="1"/>
  <c r="CE267" i="29"/>
  <c r="CE248" i="29"/>
  <c r="CE249" i="29" s="1"/>
  <c r="CJ240" i="29"/>
  <c r="CJ264" i="29"/>
  <c r="P64" i="136"/>
  <c r="P62" i="136"/>
  <c r="F60" i="136"/>
  <c r="C5" i="135"/>
  <c r="G11" i="136"/>
  <c r="G13" i="136"/>
  <c r="CE337" i="29"/>
  <c r="CJ329" i="29"/>
  <c r="BD351" i="29"/>
  <c r="BD308" i="29"/>
  <c r="BD313" i="29" s="1"/>
  <c r="BD334" i="29" s="1"/>
  <c r="BN297" i="29"/>
  <c r="BO292" i="29"/>
  <c r="BO293" i="29" s="1"/>
  <c r="BO297" i="29" s="1"/>
  <c r="CE240" i="29"/>
  <c r="CE264" i="29"/>
  <c r="CJ248" i="29"/>
  <c r="CJ267" i="29"/>
  <c r="H21" i="136"/>
  <c r="H24" i="136" s="1"/>
  <c r="H32" i="136" s="1"/>
  <c r="H9" i="136" s="1"/>
  <c r="AZ308" i="29"/>
  <c r="AY313" i="29"/>
  <c r="AY334" i="29" s="1"/>
  <c r="F13" i="136"/>
  <c r="F11" i="136"/>
  <c r="BM351" i="29"/>
  <c r="BM308" i="29"/>
  <c r="BM313" i="29" s="1"/>
  <c r="BM334" i="29" s="1"/>
  <c r="CJ242" i="29"/>
  <c r="AC297" i="29"/>
  <c r="AD292" i="29"/>
  <c r="AD293" i="29" s="1"/>
  <c r="H11" i="136" l="1"/>
  <c r="H13" i="136"/>
  <c r="BO351" i="29"/>
  <c r="BO308" i="29"/>
  <c r="BO313" i="29" s="1"/>
  <c r="BO334" i="29" s="1"/>
  <c r="AE292" i="29"/>
  <c r="AE293" i="29" s="1"/>
  <c r="AD297" i="29"/>
  <c r="CJ249" i="29"/>
  <c r="BN351" i="29"/>
  <c r="BN308" i="29"/>
  <c r="BN313" i="29" s="1"/>
  <c r="BN334" i="29" s="1"/>
  <c r="CJ337" i="29"/>
  <c r="AZ313" i="29"/>
  <c r="AZ334" i="29" s="1"/>
  <c r="BA308" i="29"/>
  <c r="BA313" i="29" s="1"/>
  <c r="BA334" i="29" s="1"/>
  <c r="BE313" i="29"/>
  <c r="BE334" i="29" s="1"/>
  <c r="BF308" i="29"/>
  <c r="BF313" i="29" s="1"/>
  <c r="BF334" i="29" s="1"/>
  <c r="AC351" i="29"/>
  <c r="AC306" i="29"/>
  <c r="AC307" i="29" s="1"/>
  <c r="AG292" i="29" l="1"/>
  <c r="AG293" i="29" s="1"/>
  <c r="AE297" i="29"/>
  <c r="AD351" i="29"/>
  <c r="AD306" i="29"/>
  <c r="AD307" i="29" s="1"/>
  <c r="AH292" i="29" l="1"/>
  <c r="AH293" i="29" s="1"/>
  <c r="AG297" i="29"/>
  <c r="AE351" i="29"/>
  <c r="AE306" i="29"/>
  <c r="AE307" i="29" s="1"/>
  <c r="AG351" i="29" l="1"/>
  <c r="AG306" i="29"/>
  <c r="AG307" i="29" s="1"/>
  <c r="AH297" i="29"/>
  <c r="AI292" i="29"/>
  <c r="AI293" i="29" s="1"/>
  <c r="BQ273" i="29" l="1"/>
  <c r="BR273" i="29"/>
  <c r="BS273" i="29"/>
  <c r="BQ332" i="29"/>
  <c r="AJ292" i="29"/>
  <c r="AJ293" i="29" s="1"/>
  <c r="AI297" i="29"/>
  <c r="AH351" i="29"/>
  <c r="AH306" i="29"/>
  <c r="AH307" i="29" s="1"/>
  <c r="BU272" i="29" l="1"/>
  <c r="BU273" i="29" s="1"/>
  <c r="BT273" i="29"/>
  <c r="BS277" i="29"/>
  <c r="BS278" i="29" s="1"/>
  <c r="BS291" i="29"/>
  <c r="BR277" i="29"/>
  <c r="BR278" i="29" s="1"/>
  <c r="BR291" i="29"/>
  <c r="BR332" i="29"/>
  <c r="BQ291" i="29"/>
  <c r="BQ293" i="29" s="1"/>
  <c r="BQ277" i="29"/>
  <c r="BQ278" i="29" s="1"/>
  <c r="AI351" i="29"/>
  <c r="AI306" i="29"/>
  <c r="AI307" i="29" s="1"/>
  <c r="AL292" i="29"/>
  <c r="AL293" i="29" s="1"/>
  <c r="AJ297" i="29"/>
  <c r="BS332" i="29" l="1"/>
  <c r="BQ297" i="29"/>
  <c r="BR292" i="29"/>
  <c r="BR293" i="29" s="1"/>
  <c r="BT291" i="29"/>
  <c r="BT277" i="29"/>
  <c r="BT278" i="29" s="1"/>
  <c r="BU277" i="29"/>
  <c r="BU278" i="29" s="1"/>
  <c r="Q40" i="136"/>
  <c r="Q52" i="136" s="1"/>
  <c r="BU291" i="29"/>
  <c r="BU293" i="29" s="1"/>
  <c r="AJ351" i="29"/>
  <c r="AJ306" i="29"/>
  <c r="AJ307" i="29" s="1"/>
  <c r="AL297" i="29"/>
  <c r="AM292" i="29"/>
  <c r="AM293" i="29" s="1"/>
  <c r="BZ273" i="29"/>
  <c r="BU297" i="29" l="1"/>
  <c r="BZ292" i="29"/>
  <c r="BQ325" i="29"/>
  <c r="BQ333" i="29" s="1"/>
  <c r="BZ291" i="29"/>
  <c r="BZ277" i="29"/>
  <c r="BZ278" i="29" s="1"/>
  <c r="R40" i="136"/>
  <c r="R52" i="136" s="1"/>
  <c r="Q53" i="136"/>
  <c r="Q56" i="136"/>
  <c r="Q54" i="136"/>
  <c r="G61" i="136"/>
  <c r="BU312" i="29"/>
  <c r="BR297" i="29"/>
  <c r="BS292" i="29"/>
  <c r="BS293" i="29" s="1"/>
  <c r="BQ308" i="29"/>
  <c r="BQ351" i="29"/>
  <c r="BU331" i="29"/>
  <c r="BT332" i="29"/>
  <c r="AM297" i="29"/>
  <c r="AN292" i="29"/>
  <c r="AN293" i="29" s="1"/>
  <c r="AL351" i="29"/>
  <c r="AL306" i="29"/>
  <c r="AL307" i="29" s="1"/>
  <c r="BZ293" i="29" l="1"/>
  <c r="BZ297" i="29" s="1"/>
  <c r="BU332" i="29"/>
  <c r="BS297" i="29"/>
  <c r="BT292" i="29"/>
  <c r="BT293" i="29" s="1"/>
  <c r="BT297" i="29" s="1"/>
  <c r="BR351" i="29"/>
  <c r="BR308" i="29"/>
  <c r="BR313" i="29" s="1"/>
  <c r="H61" i="136"/>
  <c r="R56" i="136"/>
  <c r="R54" i="136"/>
  <c r="G15" i="136"/>
  <c r="R53" i="136"/>
  <c r="H15" i="136"/>
  <c r="F15" i="136"/>
  <c r="BR325" i="29"/>
  <c r="BR333" i="29" s="1"/>
  <c r="BQ313" i="29"/>
  <c r="BQ334" i="29" s="1"/>
  <c r="CE292" i="29"/>
  <c r="Q59" i="136"/>
  <c r="BU351" i="29"/>
  <c r="BU308" i="29"/>
  <c r="BU313" i="29" s="1"/>
  <c r="AO292" i="29"/>
  <c r="AO293" i="29" s="1"/>
  <c r="AN297" i="29"/>
  <c r="AM351" i="29"/>
  <c r="AM306" i="29"/>
  <c r="AM307" i="29" s="1"/>
  <c r="CE273" i="29"/>
  <c r="BS308" i="29" l="1"/>
  <c r="BS313" i="29" s="1"/>
  <c r="BS351" i="29"/>
  <c r="BZ308" i="29"/>
  <c r="BZ313" i="29" s="1"/>
  <c r="R59" i="136"/>
  <c r="BZ351" i="29"/>
  <c r="BR334" i="29"/>
  <c r="CE291" i="29"/>
  <c r="CE293" i="29" s="1"/>
  <c r="CE277" i="29"/>
  <c r="CE278" i="29" s="1"/>
  <c r="S40" i="136"/>
  <c r="S52" i="136" s="1"/>
  <c r="BS325" i="29"/>
  <c r="BS333" i="29" s="1"/>
  <c r="BZ332" i="29"/>
  <c r="Q62" i="136"/>
  <c r="G60" i="136"/>
  <c r="Q64" i="136"/>
  <c r="BT308" i="29"/>
  <c r="BT313" i="29" s="1"/>
  <c r="BT351" i="29"/>
  <c r="AN351" i="29"/>
  <c r="AN308" i="29"/>
  <c r="AN312" i="29" s="1"/>
  <c r="AO297" i="29"/>
  <c r="AQ292" i="29"/>
  <c r="AQ293" i="29" s="1"/>
  <c r="BU324" i="29" l="1"/>
  <c r="BT325" i="29"/>
  <c r="BT333" i="29" s="1"/>
  <c r="BT334" i="29" s="1"/>
  <c r="S54" i="136"/>
  <c r="I61" i="136"/>
  <c r="S53" i="136"/>
  <c r="S56" i="136"/>
  <c r="CJ332" i="29"/>
  <c r="CE332" i="29"/>
  <c r="CE297" i="29"/>
  <c r="CJ292" i="29"/>
  <c r="R64" i="136"/>
  <c r="H60" i="136"/>
  <c r="G29" i="136"/>
  <c r="R62" i="136"/>
  <c r="BS334" i="29"/>
  <c r="AQ297" i="29"/>
  <c r="AR292" i="29"/>
  <c r="AR293" i="29" s="1"/>
  <c r="AO308" i="29"/>
  <c r="AO313" i="29" s="1"/>
  <c r="AO334" i="29" s="1"/>
  <c r="AO351" i="29"/>
  <c r="CJ273" i="29"/>
  <c r="CJ277" i="29" l="1"/>
  <c r="CJ278" i="29" s="1"/>
  <c r="T40" i="136"/>
  <c r="T52" i="136" s="1"/>
  <c r="CJ291" i="29"/>
  <c r="CJ293" i="29" s="1"/>
  <c r="CJ297" i="29" s="1"/>
  <c r="H29" i="136"/>
  <c r="H30" i="136" s="1"/>
  <c r="H14" i="136" s="1"/>
  <c r="F29" i="136"/>
  <c r="F30" i="136" s="1"/>
  <c r="F14" i="136" s="1"/>
  <c r="G30" i="136"/>
  <c r="G14" i="136" s="1"/>
  <c r="S59" i="136"/>
  <c r="CE351" i="29"/>
  <c r="CE308" i="29"/>
  <c r="CE313" i="29" s="1"/>
  <c r="BU325" i="29"/>
  <c r="BU333" i="29" s="1"/>
  <c r="BU334" i="29" s="1"/>
  <c r="AR297" i="29"/>
  <c r="AS292" i="29"/>
  <c r="AS293" i="29" s="1"/>
  <c r="AQ351" i="29"/>
  <c r="AQ308" i="29"/>
  <c r="AQ312" i="29" s="1"/>
  <c r="BZ325" i="29" l="1"/>
  <c r="BZ333" i="29" s="1"/>
  <c r="BZ334" i="29" s="1"/>
  <c r="S62" i="136"/>
  <c r="I60" i="136"/>
  <c r="S64" i="136"/>
  <c r="CJ308" i="29"/>
  <c r="CJ313" i="29" s="1"/>
  <c r="T59" i="136"/>
  <c r="CJ351" i="29"/>
  <c r="J61" i="136"/>
  <c r="T54" i="136"/>
  <c r="T53" i="136"/>
  <c r="T56" i="136"/>
  <c r="AT292" i="29"/>
  <c r="AT293" i="29" s="1"/>
  <c r="AT297" i="29" s="1"/>
  <c r="AS297" i="29"/>
  <c r="AR351" i="29"/>
  <c r="AR308" i="29"/>
  <c r="AR312" i="29" s="1"/>
  <c r="J60" i="136" l="1"/>
  <c r="T62" i="136"/>
  <c r="T64" i="136"/>
  <c r="CJ325" i="29"/>
  <c r="CJ333" i="29" s="1"/>
  <c r="CJ334" i="29" s="1"/>
  <c r="CE325" i="29"/>
  <c r="CE333" i="29" s="1"/>
  <c r="CE334" i="29" s="1"/>
  <c r="AT351" i="29"/>
  <c r="AT308" i="29"/>
  <c r="AS351" i="29"/>
  <c r="AS308" i="29"/>
  <c r="AS312" i="29" s="1"/>
  <c r="AU308" i="29" l="1"/>
  <c r="AU313" i="29" s="1"/>
  <c r="AU334" i="29" s="1"/>
  <c r="AT312" i="29"/>
  <c r="AU312" i="29" s="1"/>
</calcChain>
</file>

<file path=xl/comments1.xml><?xml version="1.0" encoding="utf-8"?>
<comments xmlns="http://schemas.openxmlformats.org/spreadsheetml/2006/main">
  <authors>
    <author>Heidi Wood</author>
    <author>boonekev</author>
    <author>Michael Ashby Brown</author>
    <author>Giuseppe Incitti</author>
    <author>noelkjac</author>
    <author>mcdonnm</author>
    <author>Streger, David W (Research)</author>
    <author>sang</author>
    <author>corralab</author>
    <author>Sharpe, Matt (Research)</author>
    <author>Laura Sanchez Bolaños</author>
  </authors>
  <commentList>
    <comment ref="V4" authorId="0">
      <text>
        <r>
          <rPr>
            <b/>
            <sz val="8"/>
            <color indexed="81"/>
            <rFont val="Tahoma"/>
            <family val="2"/>
          </rPr>
          <t xml:space="preserve">KB
</t>
        </r>
        <r>
          <rPr>
            <sz val="8"/>
            <color indexed="81"/>
            <rFont val="Tahoma"/>
            <family val="2"/>
          </rPr>
          <t>10/09 guide:  -4% y/y</t>
        </r>
        <r>
          <rPr>
            <b/>
            <sz val="8"/>
            <color indexed="81"/>
            <rFont val="Tahoma"/>
            <family val="2"/>
          </rPr>
          <t xml:space="preserve">
MAB
</t>
        </r>
        <r>
          <rPr>
            <sz val="8"/>
            <color indexed="81"/>
            <rFont val="Tahoma"/>
            <family val="2"/>
          </rPr>
          <t xml:space="preserve">7/09 guide: -5% y/y
</t>
        </r>
        <r>
          <rPr>
            <b/>
            <sz val="8"/>
            <color indexed="81"/>
            <rFont val="Tahoma"/>
            <family val="2"/>
          </rPr>
          <t xml:space="preserve">
KB
</t>
        </r>
        <r>
          <rPr>
            <sz val="8"/>
            <color indexed="81"/>
            <rFont val="Tahoma"/>
            <family val="2"/>
          </rPr>
          <t>1Q09 includes $278MM for jet aviation implying $1.1B in incremental sales from jet aviation</t>
        </r>
        <r>
          <rPr>
            <b/>
            <sz val="8"/>
            <color indexed="81"/>
            <rFont val="Tahoma"/>
            <family val="2"/>
          </rPr>
          <t xml:space="preserve">
Matthew McDonnell:
</t>
        </r>
        <r>
          <rPr>
            <sz val="8"/>
            <color indexed="81"/>
            <rFont val="Tahoma"/>
            <family val="2"/>
          </rPr>
          <t>1/29/09 (4Q08): guide up to 25% (&lt;$6.89)</t>
        </r>
        <r>
          <rPr>
            <b/>
            <sz val="8"/>
            <color indexed="81"/>
            <rFont val="Tahoma"/>
            <family val="2"/>
          </rPr>
          <t xml:space="preserve">
Heidi Wood:</t>
        </r>
        <r>
          <rPr>
            <sz val="8"/>
            <color indexed="81"/>
            <rFont val="Tahoma"/>
            <family val="2"/>
          </rPr>
          <t xml:space="preserve">
Jet Av adds $1.5B</t>
        </r>
      </text>
    </comment>
    <comment ref="AA4" authorId="0">
      <text>
        <r>
          <rPr>
            <b/>
            <sz val="8"/>
            <color indexed="81"/>
            <rFont val="Tahoma"/>
            <family val="2"/>
          </rPr>
          <t xml:space="preserve">KB:
</t>
        </r>
        <r>
          <rPr>
            <sz val="8"/>
            <color indexed="81"/>
            <rFont val="Tahoma"/>
            <family val="2"/>
          </rPr>
          <t>10/10 mid single digit growth $5.5B</t>
        </r>
        <r>
          <rPr>
            <b/>
            <sz val="8"/>
            <color indexed="81"/>
            <rFont val="Tahoma"/>
            <family val="2"/>
          </rPr>
          <t xml:space="preserve">
</t>
        </r>
        <r>
          <rPr>
            <sz val="8"/>
            <color indexed="81"/>
            <rFont val="Tahoma"/>
            <family val="2"/>
          </rPr>
          <t>1/10 Guide: low to mid single digit growth implies ~$5.3B-$5.5B</t>
        </r>
        <r>
          <rPr>
            <b/>
            <sz val="8"/>
            <color indexed="81"/>
            <rFont val="Tahoma"/>
            <family val="2"/>
          </rPr>
          <t xml:space="preserve">
Heidi Wood:</t>
        </r>
        <r>
          <rPr>
            <sz val="8"/>
            <color indexed="81"/>
            <rFont val="Tahoma"/>
            <family val="2"/>
          </rPr>
          <t xml:space="preserve">
JetAv=$1.6B</t>
        </r>
      </text>
    </comment>
    <comment ref="AE4" authorId="1">
      <text>
        <r>
          <rPr>
            <b/>
            <sz val="8"/>
            <color indexed="81"/>
            <rFont val="Tahoma"/>
            <family val="2"/>
          </rPr>
          <t>boonekev:</t>
        </r>
        <r>
          <rPr>
            <sz val="8"/>
            <color indexed="81"/>
            <rFont val="Tahoma"/>
            <family val="2"/>
          </rPr>
          <t xml:space="preserve">
12 G650's at 65M per</t>
        </r>
      </text>
    </comment>
    <comment ref="AF4" authorId="2">
      <text>
        <r>
          <rPr>
            <b/>
            <sz val="8"/>
            <color indexed="81"/>
            <rFont val="Tahoma"/>
            <family val="2"/>
          </rPr>
          <t>Michael Ashby Brown:</t>
        </r>
        <r>
          <rPr>
            <sz val="8"/>
            <color indexed="81"/>
            <rFont val="Tahoma"/>
            <family val="2"/>
          </rPr>
          <t xml:space="preserve">
4/11 no change
1/11: 15-16% growth implying $6.1 - 6.15</t>
        </r>
      </text>
    </comment>
    <comment ref="AK4" authorId="3">
      <text>
        <r>
          <rPr>
            <b/>
            <sz val="8"/>
            <color indexed="81"/>
            <rFont val="Tahoma"/>
            <family val="2"/>
          </rPr>
          <t>Giuseppe Incitti:</t>
        </r>
        <r>
          <rPr>
            <sz val="8"/>
            <color indexed="81"/>
            <rFont val="Tahoma"/>
            <family val="2"/>
          </rPr>
          <t xml:space="preserve">
15% rev growth y/y</t>
        </r>
      </text>
    </comment>
    <comment ref="AF5" authorId="3">
      <text>
        <r>
          <rPr>
            <b/>
            <sz val="8"/>
            <color indexed="81"/>
            <rFont val="Tahoma"/>
            <family val="2"/>
          </rPr>
          <t>Giuseppe Incitti:</t>
        </r>
        <r>
          <rPr>
            <sz val="8"/>
            <color indexed="81"/>
            <rFont val="Tahoma"/>
            <family val="2"/>
          </rPr>
          <t xml:space="preserve">
10/11: sales up 13%</t>
        </r>
      </text>
    </comment>
    <comment ref="A29" authorId="4">
      <text>
        <r>
          <rPr>
            <b/>
            <sz val="8"/>
            <color indexed="81"/>
            <rFont val="Tahoma"/>
            <family val="2"/>
          </rPr>
          <t>noelkjac:</t>
        </r>
        <r>
          <rPr>
            <sz val="8"/>
            <color indexed="81"/>
            <rFont val="Tahoma"/>
            <family val="2"/>
          </rPr>
          <t xml:space="preserve">
Aerospace funded backlog represents aircraft orders for which we have definitive purchase contracts and deposits from customers. Unfunded backlog consists of agreements to provide future aircraft maintenance and support services</t>
        </r>
      </text>
    </comment>
    <comment ref="V38" authorId="5">
      <text>
        <r>
          <rPr>
            <b/>
            <sz val="8"/>
            <color indexed="81"/>
            <rFont val="Tahoma"/>
            <family val="2"/>
          </rPr>
          <t xml:space="preserve">KB
</t>
        </r>
        <r>
          <rPr>
            <sz val="8"/>
            <color indexed="81"/>
            <rFont val="Tahoma"/>
            <family val="2"/>
          </rPr>
          <t>10/09 guide: up 21%</t>
        </r>
        <r>
          <rPr>
            <b/>
            <sz val="8"/>
            <color indexed="81"/>
            <rFont val="Tahoma"/>
            <family val="2"/>
          </rPr>
          <t xml:space="preserve">
MAB
</t>
        </r>
        <r>
          <rPr>
            <sz val="8"/>
            <color indexed="81"/>
            <rFont val="Tahoma"/>
            <family val="2"/>
          </rPr>
          <t>7/09 guide: up 22%</t>
        </r>
        <r>
          <rPr>
            <b/>
            <sz val="8"/>
            <color indexed="81"/>
            <rFont val="Tahoma"/>
            <family val="2"/>
          </rPr>
          <t xml:space="preserve">
KB
</t>
        </r>
        <r>
          <rPr>
            <sz val="8"/>
            <color indexed="81"/>
            <rFont val="Tahoma"/>
            <family val="2"/>
          </rPr>
          <t>4/29/09 1Q09: guide no change +20-25%</t>
        </r>
        <r>
          <rPr>
            <b/>
            <sz val="8"/>
            <color indexed="81"/>
            <rFont val="Tahoma"/>
            <family val="2"/>
          </rPr>
          <t xml:space="preserve">
mcdonnm:</t>
        </r>
        <r>
          <rPr>
            <sz val="8"/>
            <color indexed="81"/>
            <rFont val="Tahoma"/>
            <family val="2"/>
          </rPr>
          <t xml:space="preserve">
1/29/09 (4Q08): guide +20-25% ($9.833-10.243)</t>
        </r>
      </text>
    </comment>
    <comment ref="Y38" authorId="2">
      <text>
        <r>
          <rPr>
            <b/>
            <sz val="8"/>
            <color indexed="81"/>
            <rFont val="Tahoma"/>
            <family val="2"/>
          </rPr>
          <t>Michael Ashby Brown:</t>
        </r>
        <r>
          <rPr>
            <sz val="8"/>
            <color indexed="81"/>
            <rFont val="Tahoma"/>
            <family val="2"/>
          </rPr>
          <t xml:space="preserve">
2Q10 call: "Looking forward for the group, sales in the remainder of the year will be higher than both year to date and last year’s second half, with particular strength in the fourth quarter."
"stronger MRAP and Stryker volume"
"offset by $150M FX impact"</t>
        </r>
      </text>
    </comment>
    <comment ref="Z38" authorId="2">
      <text>
        <r>
          <rPr>
            <b/>
            <sz val="8"/>
            <color indexed="81"/>
            <rFont val="Tahoma"/>
            <family val="2"/>
          </rPr>
          <t>Michael Ashby Brown:</t>
        </r>
        <r>
          <rPr>
            <sz val="8"/>
            <color indexed="81"/>
            <rFont val="Tahoma"/>
            <family val="2"/>
          </rPr>
          <t xml:space="preserve">
10/10 $2.8B
2Q10 call: "Looking forward for the group, sales in the remainder of the year will be higher than both year to date and last year’s second half, with particular strength in the fourth quarter."
"stronger MRAP and Stryker volume"
"offset by $150M FX impact"</t>
        </r>
      </text>
    </comment>
    <comment ref="AA38" authorId="1">
      <text>
        <r>
          <rPr>
            <b/>
            <sz val="8"/>
            <color indexed="81"/>
            <rFont val="Tahoma"/>
            <family val="2"/>
          </rPr>
          <t>boonekev:</t>
        </r>
        <r>
          <rPr>
            <sz val="8"/>
            <color indexed="81"/>
            <rFont val="Tahoma"/>
            <family val="2"/>
          </rPr>
          <t xml:space="preserve">
10/10 $9B
7/10 Guide - "flat to slightly below 2009"
1/10 Guide - $10B - $10.1B up 4%-5%</t>
        </r>
      </text>
    </comment>
    <comment ref="AE38" authorId="3">
      <text>
        <r>
          <rPr>
            <b/>
            <sz val="8"/>
            <color indexed="81"/>
            <rFont val="Tahoma"/>
            <family val="2"/>
          </rPr>
          <t>Giuseppe Incitti:</t>
        </r>
        <r>
          <rPr>
            <sz val="8"/>
            <color indexed="81"/>
            <rFont val="Tahoma"/>
            <family val="2"/>
          </rPr>
          <t xml:space="preserve">
Highest volume of the year</t>
        </r>
      </text>
    </comment>
    <comment ref="AF38" authorId="2">
      <text>
        <r>
          <rPr>
            <b/>
            <sz val="8"/>
            <color indexed="81"/>
            <rFont val="Tahoma"/>
            <family val="2"/>
          </rPr>
          <t>Giuseppe Incitti:</t>
        </r>
        <r>
          <rPr>
            <sz val="8"/>
            <color indexed="81"/>
            <rFont val="Tahoma"/>
            <family val="2"/>
          </rPr>
          <t xml:space="preserve">
10/11: On track for $9B
4/11 no change
1/11: ~$9B (+1%)</t>
        </r>
      </text>
    </comment>
    <comment ref="AJ38" authorId="3">
      <text>
        <r>
          <rPr>
            <b/>
            <sz val="8"/>
            <color indexed="81"/>
            <rFont val="Tahoma"/>
            <family val="2"/>
          </rPr>
          <t>Giuseppe Incitti:</t>
        </r>
        <r>
          <rPr>
            <sz val="8"/>
            <color indexed="81"/>
            <rFont val="Tahoma"/>
            <family val="2"/>
          </rPr>
          <t xml:space="preserve">
Non-GAAP of $2,145</t>
        </r>
      </text>
    </comment>
    <comment ref="AK38" authorId="3">
      <text>
        <r>
          <rPr>
            <b/>
            <sz val="8"/>
            <color indexed="81"/>
            <rFont val="Tahoma"/>
            <family val="2"/>
          </rPr>
          <t>Giuseppe Incitti:</t>
        </r>
        <r>
          <rPr>
            <sz val="8"/>
            <color indexed="81"/>
            <rFont val="Tahoma"/>
            <family val="2"/>
          </rPr>
          <t xml:space="preserve">
Around $8.5B</t>
        </r>
      </text>
    </comment>
    <comment ref="AE53" authorId="3">
      <text>
        <r>
          <rPr>
            <b/>
            <sz val="8"/>
            <color indexed="81"/>
            <rFont val="Tahoma"/>
            <family val="2"/>
          </rPr>
          <t>Giuseppe Incitti:</t>
        </r>
        <r>
          <rPr>
            <sz val="8"/>
            <color indexed="81"/>
            <rFont val="Tahoma"/>
            <family val="2"/>
          </rPr>
          <t xml:space="preserve">
Includes FRPT, est $~650M</t>
        </r>
      </text>
    </comment>
    <comment ref="V62" authorId="5">
      <text>
        <r>
          <rPr>
            <b/>
            <sz val="8"/>
            <color indexed="81"/>
            <rFont val="Tahoma"/>
            <family val="2"/>
          </rPr>
          <t xml:space="preserve">KB
</t>
        </r>
        <r>
          <rPr>
            <sz val="8"/>
            <color indexed="81"/>
            <rFont val="Tahoma"/>
            <family val="2"/>
          </rPr>
          <t>10/09 guide: 8%-9% growth</t>
        </r>
        <r>
          <rPr>
            <b/>
            <sz val="8"/>
            <color indexed="81"/>
            <rFont val="Tahoma"/>
            <family val="2"/>
          </rPr>
          <t xml:space="preserve">
MAB:
</t>
        </r>
        <r>
          <rPr>
            <sz val="8"/>
            <color indexed="81"/>
            <rFont val="Tahoma"/>
            <family val="2"/>
          </rPr>
          <t>7/09: 8% y/y growth</t>
        </r>
        <r>
          <rPr>
            <b/>
            <sz val="8"/>
            <color indexed="81"/>
            <rFont val="Tahoma"/>
            <family val="2"/>
          </rPr>
          <t xml:space="preserve">
kb:
</t>
        </r>
        <r>
          <rPr>
            <sz val="8"/>
            <color indexed="81"/>
            <rFont val="Tahoma"/>
            <family val="2"/>
          </rPr>
          <t>4/29/09 1Q09: achieve if not beat previous revenue growth of 8%</t>
        </r>
        <r>
          <rPr>
            <b/>
            <sz val="8"/>
            <color indexed="81"/>
            <rFont val="Tahoma"/>
            <family val="2"/>
          </rPr>
          <t xml:space="preserve">
mcdonnm:</t>
        </r>
        <r>
          <rPr>
            <sz val="8"/>
            <color indexed="81"/>
            <rFont val="Tahoma"/>
            <family val="2"/>
          </rPr>
          <t xml:space="preserve">
1/29/09 (4Q08): guide +8% ($10.841)</t>
        </r>
      </text>
    </comment>
    <comment ref="AA62" authorId="1">
      <text>
        <r>
          <rPr>
            <b/>
            <sz val="8"/>
            <color indexed="81"/>
            <rFont val="Tahoma"/>
            <family val="2"/>
          </rPr>
          <t>boonekev:</t>
        </r>
        <r>
          <rPr>
            <sz val="8"/>
            <color indexed="81"/>
            <rFont val="Tahoma"/>
            <family val="2"/>
          </rPr>
          <t xml:space="preserve">
10/10 8-8.5% up implied $11,660
1/10 Guide: $11.7B - $11.8B up 8%-9% y/y</t>
        </r>
      </text>
    </comment>
    <comment ref="AE62" authorId="3">
      <text>
        <r>
          <rPr>
            <b/>
            <sz val="8"/>
            <color indexed="81"/>
            <rFont val="Tahoma"/>
            <family val="2"/>
          </rPr>
          <t>Giuseppe Incitti:</t>
        </r>
        <r>
          <rPr>
            <sz val="8"/>
            <color indexed="81"/>
            <rFont val="Tahoma"/>
            <family val="2"/>
          </rPr>
          <t xml:space="preserve">
Highest volume of the year</t>
        </r>
      </text>
    </comment>
    <comment ref="AF62" authorId="2">
      <text>
        <r>
          <rPr>
            <b/>
            <sz val="8"/>
            <color indexed="81"/>
            <rFont val="Tahoma"/>
            <family val="2"/>
          </rPr>
          <t>Giuseppe Incitti:</t>
        </r>
        <r>
          <rPr>
            <sz val="8"/>
            <color indexed="81"/>
            <rFont val="Tahoma"/>
            <family val="2"/>
          </rPr>
          <t xml:space="preserve">
10/11: down 2-3%
4/11 no change
1/11: 3-5% range implying $11.96 - 12.19</t>
        </r>
      </text>
    </comment>
    <comment ref="AK62" authorId="3">
      <text>
        <r>
          <rPr>
            <b/>
            <sz val="8"/>
            <color indexed="81"/>
            <rFont val="Tahoma"/>
            <family val="2"/>
          </rPr>
          <t>Giuseppe Incitti:</t>
        </r>
        <r>
          <rPr>
            <sz val="8"/>
            <color indexed="81"/>
            <rFont val="Tahoma"/>
            <family val="2"/>
          </rPr>
          <t xml:space="preserve">
Flat y/y</t>
        </r>
      </text>
    </comment>
    <comment ref="AU65" authorId="6">
      <text>
        <r>
          <rPr>
            <b/>
            <sz val="9"/>
            <color indexed="81"/>
            <rFont val="Tahoma"/>
            <family val="2"/>
          </rPr>
          <t>Streger, David W (Research):</t>
        </r>
        <r>
          <rPr>
            <sz val="9"/>
            <color indexed="81"/>
            <rFont val="Tahoma"/>
            <family val="2"/>
          </rPr>
          <t xml:space="preserve">
restated</t>
        </r>
      </text>
    </comment>
    <comment ref="AZ65" authorId="6">
      <text>
        <r>
          <rPr>
            <b/>
            <sz val="9"/>
            <color indexed="81"/>
            <rFont val="Tahoma"/>
            <family val="2"/>
          </rPr>
          <t>Streger, David W (Research):</t>
        </r>
        <r>
          <rPr>
            <sz val="9"/>
            <color indexed="81"/>
            <rFont val="Tahoma"/>
            <family val="2"/>
          </rPr>
          <t xml:space="preserve">
restated</t>
        </r>
      </text>
    </comment>
    <comment ref="AU68" authorId="6">
      <text>
        <r>
          <rPr>
            <b/>
            <sz val="9"/>
            <color indexed="81"/>
            <rFont val="Tahoma"/>
            <family val="2"/>
          </rPr>
          <t>Streger, David W (Research):</t>
        </r>
        <r>
          <rPr>
            <sz val="9"/>
            <color indexed="81"/>
            <rFont val="Tahoma"/>
            <family val="2"/>
          </rPr>
          <t xml:space="preserve">
restated</t>
        </r>
      </text>
    </comment>
    <comment ref="AZ68" authorId="6">
      <text>
        <r>
          <rPr>
            <b/>
            <sz val="9"/>
            <color indexed="81"/>
            <rFont val="Tahoma"/>
            <family val="2"/>
          </rPr>
          <t>Streger, David W (Research):</t>
        </r>
        <r>
          <rPr>
            <sz val="9"/>
            <color indexed="81"/>
            <rFont val="Tahoma"/>
            <family val="2"/>
          </rPr>
          <t xml:space="preserve">
restated</t>
        </r>
      </text>
    </comment>
    <comment ref="AA80" authorId="1">
      <text>
        <r>
          <rPr>
            <b/>
            <sz val="8"/>
            <color indexed="81"/>
            <rFont val="Tahoma"/>
            <family val="2"/>
          </rPr>
          <t>boonekev:</t>
        </r>
        <r>
          <rPr>
            <sz val="8"/>
            <color indexed="81"/>
            <rFont val="Tahoma"/>
            <family val="2"/>
          </rPr>
          <t xml:space="preserve">
10/10 8-8.5% up implied $11,660
1/10 Guide: $11.7B - $11.8B up 8%-9% y/y</t>
        </r>
      </text>
    </comment>
    <comment ref="AE80" authorId="3">
      <text>
        <r>
          <rPr>
            <b/>
            <sz val="8"/>
            <color indexed="81"/>
            <rFont val="Tahoma"/>
            <family val="2"/>
          </rPr>
          <t>Giuseppe Incitti:</t>
        </r>
        <r>
          <rPr>
            <sz val="8"/>
            <color indexed="81"/>
            <rFont val="Tahoma"/>
            <family val="2"/>
          </rPr>
          <t xml:space="preserve">
Highest volume of the year</t>
        </r>
      </text>
    </comment>
    <comment ref="AF80" authorId="2">
      <text>
        <r>
          <rPr>
            <b/>
            <sz val="8"/>
            <color indexed="81"/>
            <rFont val="Tahoma"/>
            <family val="2"/>
          </rPr>
          <t>Giuseppe Incitti:</t>
        </r>
        <r>
          <rPr>
            <sz val="8"/>
            <color indexed="81"/>
            <rFont val="Tahoma"/>
            <family val="2"/>
          </rPr>
          <t xml:space="preserve">
10/11: down 2-3%
4/11 no change
1/11: 3-5% range implying $11.96 - 12.19</t>
        </r>
      </text>
    </comment>
    <comment ref="AK80" authorId="3">
      <text>
        <r>
          <rPr>
            <b/>
            <sz val="8"/>
            <color indexed="81"/>
            <rFont val="Tahoma"/>
            <family val="2"/>
          </rPr>
          <t>Giuseppe Incitti:</t>
        </r>
        <r>
          <rPr>
            <sz val="8"/>
            <color indexed="81"/>
            <rFont val="Tahoma"/>
            <family val="2"/>
          </rPr>
          <t xml:space="preserve">
Flat y/y</t>
        </r>
      </text>
    </comment>
    <comment ref="V92" authorId="5">
      <text>
        <r>
          <rPr>
            <b/>
            <sz val="8"/>
            <color indexed="81"/>
            <rFont val="Tahoma"/>
            <family val="2"/>
          </rPr>
          <t xml:space="preserve">KB
</t>
        </r>
        <r>
          <rPr>
            <sz val="8"/>
            <color indexed="81"/>
            <rFont val="Tahoma"/>
            <family val="2"/>
          </rPr>
          <t>10/09: up 15%</t>
        </r>
        <r>
          <rPr>
            <b/>
            <sz val="8"/>
            <color indexed="81"/>
            <rFont val="Tahoma"/>
            <family val="2"/>
          </rPr>
          <t xml:space="preserve">
MAB
</t>
        </r>
        <r>
          <rPr>
            <sz val="8"/>
            <color indexed="81"/>
            <rFont val="Tahoma"/>
            <family val="2"/>
          </rPr>
          <t>7/09: up 16% y/y</t>
        </r>
        <r>
          <rPr>
            <b/>
            <sz val="8"/>
            <color indexed="81"/>
            <rFont val="Tahoma"/>
            <family val="2"/>
          </rPr>
          <t xml:space="preserve">
KB
</t>
        </r>
        <r>
          <rPr>
            <sz val="8"/>
            <color indexed="81"/>
            <rFont val="Tahoma"/>
            <family val="2"/>
          </rPr>
          <t>4/29/09 1Q09: previous guide of 5.5% to 6% conservative</t>
        </r>
        <r>
          <rPr>
            <b/>
            <sz val="8"/>
            <color indexed="81"/>
            <rFont val="Tahoma"/>
            <family val="2"/>
          </rPr>
          <t xml:space="preserve">
mcdonnm:</t>
        </r>
        <r>
          <rPr>
            <sz val="8"/>
            <color indexed="81"/>
            <rFont val="Tahoma"/>
            <family val="2"/>
          </rPr>
          <t xml:space="preserve">
1/29/09 4Q08: guide +5.5-6.0% (5.862-5.889)</t>
        </r>
      </text>
    </comment>
    <comment ref="Y92" authorId="2">
      <text>
        <r>
          <rPr>
            <b/>
            <sz val="8"/>
            <color indexed="81"/>
            <rFont val="Tahoma"/>
            <family val="2"/>
          </rPr>
          <t>Michael Ashby Brown:</t>
        </r>
        <r>
          <rPr>
            <sz val="8"/>
            <color indexed="81"/>
            <rFont val="Tahoma"/>
            <family val="2"/>
          </rPr>
          <t xml:space="preserve">
2Q10 call:
"Group sales will grow progressively through the second half, driven by the continued ramp to two per-year Virginia-class submarine production."</t>
        </r>
      </text>
    </comment>
    <comment ref="AA92" authorId="0">
      <text>
        <r>
          <rPr>
            <b/>
            <sz val="8"/>
            <color indexed="81"/>
            <rFont val="Tahoma"/>
            <family val="2"/>
          </rPr>
          <t xml:space="preserve">KB:
</t>
        </r>
        <r>
          <rPr>
            <sz val="8"/>
            <color indexed="81"/>
            <rFont val="Tahoma"/>
            <family val="2"/>
          </rPr>
          <t>No change implied $5.5B</t>
        </r>
        <r>
          <rPr>
            <b/>
            <sz val="8"/>
            <color indexed="81"/>
            <rFont val="Tahoma"/>
            <family val="2"/>
          </rPr>
          <t xml:space="preserve">
</t>
        </r>
        <r>
          <rPr>
            <sz val="8"/>
            <color indexed="81"/>
            <rFont val="Tahoma"/>
            <family val="2"/>
          </rPr>
          <t>7/10 Guide up ~5%</t>
        </r>
        <r>
          <rPr>
            <b/>
            <sz val="8"/>
            <color indexed="81"/>
            <rFont val="Tahoma"/>
            <family val="2"/>
          </rPr>
          <t xml:space="preserve">
</t>
        </r>
        <r>
          <rPr>
            <sz val="8"/>
            <color indexed="81"/>
            <rFont val="Tahoma"/>
            <family val="2"/>
          </rPr>
          <t>1/10 Guide $6.81B - $6.87B up 7%-8% y/y</t>
        </r>
        <r>
          <rPr>
            <b/>
            <sz val="8"/>
            <color indexed="81"/>
            <rFont val="Tahoma"/>
            <family val="2"/>
          </rPr>
          <t xml:space="preserve">
Heidi Wood:</t>
        </r>
        <r>
          <rPr>
            <sz val="8"/>
            <color indexed="81"/>
            <rFont val="Tahoma"/>
            <family val="2"/>
          </rPr>
          <t xml:space="preserve">
$6.5-7B by 2010 (12/07)</t>
        </r>
      </text>
    </comment>
    <comment ref="AF92" authorId="2">
      <text>
        <r>
          <rPr>
            <b/>
            <sz val="8"/>
            <color indexed="81"/>
            <rFont val="Tahoma"/>
            <family val="2"/>
          </rPr>
          <t>Michael Ashby Brown:</t>
        </r>
        <r>
          <rPr>
            <sz val="8"/>
            <color indexed="81"/>
            <rFont val="Tahoma"/>
            <family val="2"/>
          </rPr>
          <t xml:space="preserve">
4/11 flat sales
1/11: "challenged to maintain sales in 2011"…implies flat to down or $6.5-6.7B</t>
        </r>
      </text>
    </comment>
    <comment ref="AK92" authorId="3">
      <text>
        <r>
          <rPr>
            <b/>
            <sz val="8"/>
            <color indexed="81"/>
            <rFont val="Tahoma"/>
            <family val="2"/>
          </rPr>
          <t>Giuseppe Incitti:</t>
        </r>
        <r>
          <rPr>
            <sz val="8"/>
            <color indexed="81"/>
            <rFont val="Tahoma"/>
            <family val="2"/>
          </rPr>
          <t xml:space="preserve">
Slightly down y/y</t>
        </r>
      </text>
    </comment>
    <comment ref="V128" authorId="5">
      <text>
        <r>
          <rPr>
            <b/>
            <sz val="8"/>
            <color indexed="81"/>
            <rFont val="Tahoma"/>
            <family val="2"/>
          </rPr>
          <t>mcdonnm:</t>
        </r>
        <r>
          <rPr>
            <sz val="8"/>
            <color indexed="81"/>
            <rFont val="Tahoma"/>
            <family val="2"/>
          </rPr>
          <t xml:space="preserve">
7/09 guide: 11% y/y
1/09 (4Q08): guide +15%, just &lt;$34</t>
        </r>
      </text>
    </comment>
    <comment ref="A136" authorId="6">
      <text>
        <r>
          <rPr>
            <b/>
            <sz val="9"/>
            <color indexed="81"/>
            <rFont val="Tahoma"/>
            <family val="2"/>
          </rPr>
          <t>Streger, David W (Research):</t>
        </r>
        <r>
          <rPr>
            <sz val="9"/>
            <color indexed="81"/>
            <rFont val="Tahoma"/>
            <family val="2"/>
          </rPr>
          <t xml:space="preserve">
We exclude FMS, which are sales made through the US government to non-US government customers</t>
        </r>
      </text>
    </comment>
    <comment ref="V154" authorId="5">
      <text>
        <r>
          <rPr>
            <b/>
            <sz val="8"/>
            <color indexed="81"/>
            <rFont val="Tahoma"/>
            <family val="2"/>
          </rPr>
          <t xml:space="preserve">KB:
</t>
        </r>
        <r>
          <rPr>
            <sz val="8"/>
            <color indexed="81"/>
            <rFont val="Tahoma"/>
            <family val="2"/>
          </rPr>
          <t>10/09 guide: 13.2%-13.4%</t>
        </r>
        <r>
          <rPr>
            <b/>
            <sz val="8"/>
            <color indexed="81"/>
            <rFont val="Tahoma"/>
            <family val="2"/>
          </rPr>
          <t xml:space="preserve">
</t>
        </r>
        <r>
          <rPr>
            <sz val="8"/>
            <color indexed="81"/>
            <rFont val="Tahoma"/>
            <family val="2"/>
          </rPr>
          <t>4/29/09: 1Q margins 15.2% excluding impact of pre-owned</t>
        </r>
        <r>
          <rPr>
            <b/>
            <sz val="8"/>
            <color indexed="81"/>
            <rFont val="Tahoma"/>
            <family val="2"/>
          </rPr>
          <t xml:space="preserve">
mcdonnm:</t>
        </r>
        <r>
          <rPr>
            <sz val="8"/>
            <color indexed="81"/>
            <rFont val="Tahoma"/>
            <family val="2"/>
          </rPr>
          <t xml:space="preserve">
1/29/09 (4Q08): guide mid-16%</t>
        </r>
      </text>
    </comment>
    <comment ref="AA154" authorId="1">
      <text>
        <r>
          <rPr>
            <b/>
            <sz val="8"/>
            <color indexed="81"/>
            <rFont val="Tahoma"/>
            <family val="2"/>
          </rPr>
          <t>boonekev:</t>
        </r>
        <r>
          <rPr>
            <sz val="8"/>
            <color indexed="81"/>
            <rFont val="Tahoma"/>
            <family val="2"/>
          </rPr>
          <t xml:space="preserve">
10/10: guide close to 16
7/10 guide mid 15's
1/10 guide 14%</t>
        </r>
      </text>
    </comment>
    <comment ref="AF154" authorId="2">
      <text>
        <r>
          <rPr>
            <b/>
            <sz val="8"/>
            <color indexed="81"/>
            <rFont val="Tahoma"/>
            <family val="2"/>
          </rPr>
          <t>Giuseppe Incitti:</t>
        </r>
        <r>
          <rPr>
            <sz val="8"/>
            <color indexed="81"/>
            <rFont val="Tahoma"/>
            <family val="2"/>
          </rPr>
          <t xml:space="preserve">
10/11: margins of 15%
4/11 15.5% to 16%
1/11: mid-to-high 15%</t>
        </r>
      </text>
    </comment>
    <comment ref="R157" authorId="0">
      <text>
        <r>
          <rPr>
            <b/>
            <sz val="8"/>
            <color indexed="81"/>
            <rFont val="Tahoma"/>
            <family val="2"/>
          </rPr>
          <t>Heidi Wood:</t>
        </r>
        <r>
          <rPr>
            <sz val="8"/>
            <color indexed="81"/>
            <rFont val="Tahoma"/>
            <family val="2"/>
          </rPr>
          <t xml:space="preserve">
incl $30MM in liquid damages</t>
        </r>
      </text>
    </comment>
    <comment ref="W157" authorId="0">
      <text>
        <r>
          <rPr>
            <b/>
            <sz val="8"/>
            <color indexed="81"/>
            <rFont val="Tahoma"/>
            <family val="2"/>
          </rPr>
          <t>Heidi Wood:</t>
        </r>
        <r>
          <rPr>
            <sz val="8"/>
            <color indexed="81"/>
            <rFont val="Tahoma"/>
            <family val="2"/>
          </rPr>
          <t xml:space="preserve">
$20MM liquid damages</t>
        </r>
      </text>
    </comment>
    <comment ref="AB157" authorId="1">
      <text>
        <r>
          <rPr>
            <b/>
            <sz val="8"/>
            <color indexed="81"/>
            <rFont val="Tahoma"/>
            <family val="2"/>
          </rPr>
          <t>boonekev:</t>
        </r>
        <r>
          <rPr>
            <sz val="8"/>
            <color indexed="81"/>
            <rFont val="Tahoma"/>
            <family val="2"/>
          </rPr>
          <t xml:space="preserve">
$30-$40M launch assistance for r&amp;d</t>
        </r>
      </text>
    </comment>
    <comment ref="AE157" authorId="3">
      <text>
        <r>
          <rPr>
            <b/>
            <sz val="8"/>
            <color indexed="81"/>
            <rFont val="Tahoma"/>
            <family val="2"/>
          </rPr>
          <t>Giuseppe Incitti:</t>
        </r>
        <r>
          <rPr>
            <sz val="8"/>
            <color indexed="81"/>
            <rFont val="Tahoma"/>
            <family val="2"/>
          </rPr>
          <t xml:space="preserve">
$111M non-cash charge $0.21; $78M cash charge $0.15</t>
        </r>
      </text>
    </comment>
    <comment ref="AF157" authorId="3">
      <text>
        <r>
          <rPr>
            <b/>
            <sz val="8"/>
            <color indexed="81"/>
            <rFont val="Tahoma"/>
            <family val="2"/>
          </rPr>
          <t>Giuseppe Incitti:</t>
        </r>
        <r>
          <rPr>
            <sz val="8"/>
            <color indexed="81"/>
            <rFont val="Tahoma"/>
            <family val="2"/>
          </rPr>
          <t xml:space="preserve">
$111M non-cash charge $0.21; $78M cash charge $0.15</t>
        </r>
      </text>
    </comment>
    <comment ref="V161" authorId="5">
      <text>
        <r>
          <rPr>
            <b/>
            <sz val="8"/>
            <color indexed="81"/>
            <rFont val="Tahoma"/>
            <family val="2"/>
          </rPr>
          <t xml:space="preserve">KB
</t>
        </r>
        <r>
          <rPr>
            <sz val="8"/>
            <color indexed="81"/>
            <rFont val="Tahoma"/>
            <family val="2"/>
          </rPr>
          <t>10/09 guide: 12.5% - 12.7%</t>
        </r>
        <r>
          <rPr>
            <b/>
            <sz val="8"/>
            <color indexed="81"/>
            <rFont val="Tahoma"/>
            <family val="2"/>
          </rPr>
          <t xml:space="preserve">
MAB
</t>
        </r>
        <r>
          <rPr>
            <sz val="8"/>
            <color indexed="81"/>
            <rFont val="Tahoma"/>
            <family val="2"/>
          </rPr>
          <t>7/09: 12.3-12.5%</t>
        </r>
        <r>
          <rPr>
            <b/>
            <sz val="8"/>
            <color indexed="81"/>
            <rFont val="Tahoma"/>
            <family val="2"/>
          </rPr>
          <t xml:space="preserve">
kb
</t>
        </r>
        <r>
          <rPr>
            <sz val="8"/>
            <color indexed="81"/>
            <rFont val="Tahoma"/>
            <family val="2"/>
          </rPr>
          <t>4/29/09 1Q09: guide no change mid 12's</t>
        </r>
        <r>
          <rPr>
            <b/>
            <sz val="8"/>
            <color indexed="81"/>
            <rFont val="Tahoma"/>
            <family val="2"/>
          </rPr>
          <t xml:space="preserve">
mcdonnm:</t>
        </r>
        <r>
          <rPr>
            <sz val="8"/>
            <color indexed="81"/>
            <rFont val="Tahoma"/>
            <family val="2"/>
          </rPr>
          <t xml:space="preserve">
1/29/09 (4Q08): guide mid 12%</t>
        </r>
      </text>
    </comment>
    <comment ref="AA161" authorId="1">
      <text>
        <r>
          <rPr>
            <b/>
            <sz val="8"/>
            <color indexed="81"/>
            <rFont val="Tahoma"/>
            <family val="2"/>
          </rPr>
          <t>boonekev:</t>
        </r>
        <r>
          <rPr>
            <sz val="8"/>
            <color indexed="81"/>
            <rFont val="Tahoma"/>
            <family val="2"/>
          </rPr>
          <t xml:space="preserve">
10/10 approaching 14%
7/10 Guide: mid-13% range, up 50-60 bps vs. prior guide
1/10 Guide hi 12% range</t>
        </r>
      </text>
    </comment>
    <comment ref="AF161" authorId="2">
      <text>
        <r>
          <rPr>
            <b/>
            <sz val="8"/>
            <color indexed="81"/>
            <rFont val="Tahoma"/>
            <family val="2"/>
          </rPr>
          <t>Giuseppe Incitti:</t>
        </r>
        <r>
          <rPr>
            <sz val="8"/>
            <color indexed="81"/>
            <rFont val="Tahoma"/>
            <family val="2"/>
          </rPr>
          <t xml:space="preserve">
10/11: on track for 14%
4/11 no change
1/11: ~14%</t>
        </r>
      </text>
    </comment>
    <comment ref="AG164" authorId="7">
      <text>
        <r>
          <rPr>
            <b/>
            <sz val="8"/>
            <color indexed="81"/>
            <rFont val="Tahoma"/>
            <family val="2"/>
          </rPr>
          <t>sang:</t>
        </r>
        <r>
          <rPr>
            <sz val="8"/>
            <color indexed="81"/>
            <rFont val="Tahoma"/>
            <family val="2"/>
          </rPr>
          <t xml:space="preserve">
(67)mm non-cash adj in European ops</t>
        </r>
      </text>
    </comment>
    <comment ref="V168" authorId="5">
      <text>
        <r>
          <rPr>
            <b/>
            <sz val="8"/>
            <color indexed="81"/>
            <rFont val="Tahoma"/>
            <family val="2"/>
          </rPr>
          <t xml:space="preserve">KB
</t>
        </r>
        <r>
          <rPr>
            <sz val="8"/>
            <color indexed="81"/>
            <rFont val="Tahoma"/>
            <family val="2"/>
          </rPr>
          <t>10/09 guide: 10.4%-10.5%</t>
        </r>
        <r>
          <rPr>
            <b/>
            <sz val="8"/>
            <color indexed="81"/>
            <rFont val="Tahoma"/>
            <family val="2"/>
          </rPr>
          <t xml:space="preserve">
MAB:
</t>
        </r>
        <r>
          <rPr>
            <sz val="8"/>
            <color indexed="81"/>
            <rFont val="Tahoma"/>
            <family val="2"/>
          </rPr>
          <t>7/09 guide: 10.3-10.4%</t>
        </r>
        <r>
          <rPr>
            <b/>
            <sz val="8"/>
            <color indexed="81"/>
            <rFont val="Tahoma"/>
            <family val="2"/>
          </rPr>
          <t xml:space="preserve">
KB:
</t>
        </r>
        <r>
          <rPr>
            <sz val="8"/>
            <color indexed="81"/>
            <rFont val="Tahoma"/>
            <family val="2"/>
          </rPr>
          <t xml:space="preserve">4/29/09 1Q09: opportunity to beat 10.3% - 10.4% </t>
        </r>
        <r>
          <rPr>
            <b/>
            <sz val="8"/>
            <color indexed="81"/>
            <rFont val="Tahoma"/>
            <family val="2"/>
          </rPr>
          <t xml:space="preserve">
mcdonnm:</t>
        </r>
        <r>
          <rPr>
            <sz val="8"/>
            <color indexed="81"/>
            <rFont val="Tahoma"/>
            <family val="2"/>
          </rPr>
          <t xml:space="preserve">
1/29/09 (4Q08): guide 10.8-10.9%</t>
        </r>
      </text>
    </comment>
    <comment ref="AA168" authorId="1">
      <text>
        <r>
          <rPr>
            <b/>
            <sz val="8"/>
            <color indexed="81"/>
            <rFont val="Tahoma"/>
            <family val="2"/>
          </rPr>
          <t>boonekev:</t>
        </r>
        <r>
          <rPr>
            <sz val="8"/>
            <color indexed="81"/>
            <rFont val="Tahoma"/>
            <family val="2"/>
          </rPr>
          <t xml:space="preserve">
no change
7/10 guide: ~10.5%
1/10 guide: mid-10%</t>
        </r>
      </text>
    </comment>
    <comment ref="AF168" authorId="2">
      <text>
        <r>
          <rPr>
            <b/>
            <sz val="8"/>
            <color indexed="81"/>
            <rFont val="Tahoma"/>
            <family val="2"/>
          </rPr>
          <t>Giuseppe Incitti:</t>
        </r>
        <r>
          <rPr>
            <sz val="8"/>
            <color indexed="81"/>
            <rFont val="Tahoma"/>
            <family val="2"/>
          </rPr>
          <t xml:space="preserve">
10/11: Margins in the 10% range
4/11 no change
1/11: low to mid 10%</t>
        </r>
      </text>
    </comment>
    <comment ref="V186" authorId="5">
      <text>
        <r>
          <rPr>
            <b/>
            <sz val="10"/>
            <color indexed="81"/>
            <rFont val="Tahoma"/>
            <family val="2"/>
          </rPr>
          <t xml:space="preserve">KB
</t>
        </r>
        <r>
          <rPr>
            <sz val="10"/>
            <color indexed="81"/>
            <rFont val="Tahoma"/>
            <family val="2"/>
          </rPr>
          <t>10/09 guide: 10%</t>
        </r>
        <r>
          <rPr>
            <b/>
            <sz val="10"/>
            <color indexed="81"/>
            <rFont val="Tahoma"/>
            <family val="2"/>
          </rPr>
          <t xml:space="preserve">
MAB
</t>
        </r>
        <r>
          <rPr>
            <sz val="10"/>
            <color indexed="81"/>
            <rFont val="Tahoma"/>
            <family val="2"/>
          </rPr>
          <t>7/09 guide: 9.8-9.9%</t>
        </r>
        <r>
          <rPr>
            <b/>
            <sz val="10"/>
            <color indexed="81"/>
            <rFont val="Tahoma"/>
            <family val="2"/>
          </rPr>
          <t xml:space="preserve">
KB
</t>
        </r>
        <r>
          <rPr>
            <sz val="10"/>
            <color indexed="81"/>
            <rFont val="Tahoma"/>
            <family val="2"/>
          </rPr>
          <t>4/29/09: guide no change 9.7-9.8%</t>
        </r>
        <r>
          <rPr>
            <b/>
            <sz val="10"/>
            <color indexed="81"/>
            <rFont val="Tahoma"/>
            <family val="2"/>
          </rPr>
          <t xml:space="preserve">
mcdonnm:</t>
        </r>
        <r>
          <rPr>
            <sz val="10"/>
            <color indexed="81"/>
            <rFont val="Tahoma"/>
            <family val="2"/>
          </rPr>
          <t xml:space="preserve">
1/29/09 (4Q08): guide 9.7-9.8%</t>
        </r>
      </text>
    </comment>
    <comment ref="AA186" authorId="1">
      <text>
        <r>
          <rPr>
            <b/>
            <sz val="8"/>
            <color indexed="81"/>
            <rFont val="Tahoma"/>
            <family val="2"/>
          </rPr>
          <t>boonekev:</t>
        </r>
        <r>
          <rPr>
            <sz val="8"/>
            <color indexed="81"/>
            <rFont val="Tahoma"/>
            <family val="2"/>
          </rPr>
          <t xml:space="preserve">
high nines
7/10 guide: ~9.5% with some upside potential
1/10 guide: 9% range</t>
        </r>
      </text>
    </comment>
    <comment ref="AF186" authorId="2">
      <text>
        <r>
          <rPr>
            <b/>
            <sz val="8"/>
            <color indexed="81"/>
            <rFont val="Tahoma"/>
            <family val="2"/>
          </rPr>
          <t>Giuseppe Incitti:</t>
        </r>
        <r>
          <rPr>
            <sz val="8"/>
            <color indexed="81"/>
            <rFont val="Tahoma"/>
            <family val="2"/>
          </rPr>
          <t xml:space="preserve">
10/11: margins around 10%
4/11: no change
1/11: low 9% range</t>
        </r>
      </text>
    </comment>
    <comment ref="V193" authorId="5">
      <text>
        <r>
          <rPr>
            <b/>
            <sz val="8"/>
            <color indexed="81"/>
            <rFont val="Tahoma"/>
            <family val="2"/>
          </rPr>
          <t>mcdonnm:</t>
        </r>
        <r>
          <rPr>
            <sz val="8"/>
            <color indexed="81"/>
            <rFont val="Tahoma"/>
            <family val="2"/>
          </rPr>
          <t xml:space="preserve">
4/23/09 (1Q09): guide (90)</t>
        </r>
      </text>
    </comment>
    <comment ref="AA193" authorId="1">
      <text>
        <r>
          <rPr>
            <b/>
            <sz val="8"/>
            <color indexed="81"/>
            <rFont val="Tahoma"/>
            <family val="2"/>
          </rPr>
          <t>boonekev:</t>
        </r>
        <r>
          <rPr>
            <sz val="8"/>
            <color indexed="81"/>
            <rFont val="Tahoma"/>
            <family val="2"/>
          </rPr>
          <t xml:space="preserve">
10/10 guide: $85M
1/10 guide: $95M</t>
        </r>
      </text>
    </comment>
    <comment ref="AF193" authorId="2">
      <text>
        <r>
          <rPr>
            <b/>
            <sz val="8"/>
            <color indexed="81"/>
            <rFont val="Tahoma"/>
            <family val="2"/>
          </rPr>
          <t>Michael Ashby Brown:</t>
        </r>
        <r>
          <rPr>
            <sz val="8"/>
            <color indexed="81"/>
            <rFont val="Tahoma"/>
            <family val="2"/>
          </rPr>
          <t xml:space="preserve">
1/11: 90-95</t>
        </r>
      </text>
    </comment>
    <comment ref="A195" authorId="4">
      <text>
        <r>
          <rPr>
            <b/>
            <sz val="8"/>
            <color indexed="81"/>
            <rFont val="Tahoma"/>
            <family val="2"/>
          </rPr>
          <t>noelkjac:</t>
        </r>
        <r>
          <rPr>
            <sz val="8"/>
            <color indexed="81"/>
            <rFont val="Tahoma"/>
            <family val="2"/>
          </rPr>
          <t xml:space="preserve">
Operating margin less FAS/CAS expense. The company guides to this but does not include in 10-k</t>
        </r>
      </text>
    </comment>
    <comment ref="A202" authorId="4">
      <text>
        <r>
          <rPr>
            <b/>
            <sz val="8"/>
            <color indexed="81"/>
            <rFont val="Tahoma"/>
            <family val="2"/>
          </rPr>
          <t>noelkjac:</t>
        </r>
        <r>
          <rPr>
            <sz val="8"/>
            <color indexed="81"/>
            <rFont val="Tahoma"/>
            <family val="2"/>
          </rPr>
          <t xml:space="preserve">
Operating margin less FAS/CAS expense. The company guides to this but does not include in 10-k</t>
        </r>
      </text>
    </comment>
    <comment ref="A205" authorId="4">
      <text>
        <r>
          <rPr>
            <b/>
            <sz val="8"/>
            <color indexed="81"/>
            <rFont val="Tahoma"/>
            <family val="2"/>
          </rPr>
          <t>noelkjac:</t>
        </r>
        <r>
          <rPr>
            <sz val="8"/>
            <color indexed="81"/>
            <rFont val="Tahoma"/>
            <family val="2"/>
          </rPr>
          <t xml:space="preserve">
"revisions in contract estimates"</t>
        </r>
      </text>
    </comment>
    <comment ref="AA210" authorId="1">
      <text>
        <r>
          <rPr>
            <b/>
            <sz val="8"/>
            <color indexed="81"/>
            <rFont val="Tahoma"/>
            <family val="2"/>
          </rPr>
          <t>boonekev:</t>
        </r>
        <r>
          <rPr>
            <sz val="8"/>
            <color indexed="81"/>
            <rFont val="Tahoma"/>
            <family val="2"/>
          </rPr>
          <t xml:space="preserve">
1/10 guide: low to mid 11's</t>
        </r>
      </text>
    </comment>
    <comment ref="AJ213" authorId="8">
      <text>
        <r>
          <rPr>
            <b/>
            <sz val="8"/>
            <color indexed="81"/>
            <rFont val="Tahoma"/>
            <family val="2"/>
          </rPr>
          <t>corralab:</t>
        </r>
        <r>
          <rPr>
            <sz val="8"/>
            <color indexed="81"/>
            <rFont val="Tahoma"/>
            <family val="2"/>
          </rPr>
          <t xml:space="preserve">
Charges:
</t>
        </r>
        <r>
          <rPr>
            <b/>
            <sz val="8"/>
            <color indexed="81"/>
            <rFont val="Tahoma"/>
            <family val="2"/>
          </rPr>
          <t>(a) Impairments:</t>
        </r>
        <r>
          <rPr>
            <sz val="8"/>
            <color indexed="81"/>
            <rFont val="Tahoma"/>
            <family val="2"/>
          </rPr>
          <t xml:space="preserve"> Represents goodwill impairment charge of $1,994 in the Information Systems and Technology group and intangible asset impairments of $191 in the Aerospace group and $110 in the Information Systems and Technology group. 
</t>
        </r>
        <r>
          <rPr>
            <b/>
            <sz val="8"/>
            <color indexed="81"/>
            <rFont val="Tahoma"/>
            <family val="2"/>
          </rPr>
          <t>(b) Contract disputes accruals</t>
        </r>
        <r>
          <rPr>
            <sz val="8"/>
            <color indexed="81"/>
            <rFont val="Tahoma"/>
            <family val="2"/>
          </rPr>
          <t xml:space="preserve">: Represents accruals of $292 for contract disputes related to the Combat Systems group’s European Land Systems business, primarily with the government of Portugal. 
</t>
        </r>
        <r>
          <rPr>
            <b/>
            <sz val="8"/>
            <color indexed="81"/>
            <rFont val="Tahoma"/>
            <family val="2"/>
          </rPr>
          <t>(c) Restructuring-related charges:</t>
        </r>
        <r>
          <rPr>
            <sz val="8"/>
            <color indexed="81"/>
            <rFont val="Tahoma"/>
            <family val="2"/>
          </rPr>
          <t xml:space="preserve"> Represents restructuring-related charges of $98, primarily severance costs, related to the Combat Systems group’s European Land Systems business.
</t>
        </r>
        <r>
          <rPr>
            <b/>
            <sz val="8"/>
            <color indexed="81"/>
            <rFont val="Tahoma"/>
            <family val="2"/>
          </rPr>
          <t>(d) Inventory-related charges</t>
        </r>
        <r>
          <rPr>
            <sz val="8"/>
            <color indexed="81"/>
            <rFont val="Tahoma"/>
            <family val="2"/>
          </rPr>
          <t xml:space="preserve">: Represents increases to inventory reserves for obsolete inventory in the Information Systems and Technology group of $38 and in the Combat Systems group of $15 for the quarter ended December 31, 2012. Represents increases to inventory reserves for obsolete inventory in the Information Systems and Technology group of $63 and in the Combat Systems group of $15 for the twelve months ended December 31, 2012. The Information Systems and Technology charge was primarily for ruggedized hardware products that ceased production in 2012. 
</t>
        </r>
        <r>
          <rPr>
            <b/>
            <sz val="8"/>
            <color indexed="81"/>
            <rFont val="Tahoma"/>
            <family val="2"/>
          </rPr>
          <t>(e) Debt retirement charges:</t>
        </r>
        <r>
          <rPr>
            <sz val="8"/>
            <color indexed="81"/>
            <rFont val="Tahoma"/>
            <family val="2"/>
          </rPr>
          <t xml:space="preserve"> Represents the premium associated with the early redemption of debt completed in December 2012. 
</t>
        </r>
        <r>
          <rPr>
            <b/>
            <sz val="8"/>
            <color indexed="81"/>
            <rFont val="Tahoma"/>
            <family val="2"/>
          </rPr>
          <t>(f) Tax effects</t>
        </r>
        <r>
          <rPr>
            <sz val="8"/>
            <color indexed="81"/>
            <rFont val="Tahoma"/>
            <family val="2"/>
          </rPr>
          <t>: Represents the limited tax benefit on the charges in (a)—(e) due to the non-deductible nature of a substantial portion of the charges. The tax effects of these changes have been reflected because management evaluates performance on an after-tax basis. 
(g) Calculated based on basic weighted average shares outstanding as the inclusion of dilutive securities (stock options and restricted stock) would have an antidilutive effect.</t>
        </r>
      </text>
    </comment>
    <comment ref="V230" authorId="5">
      <text>
        <r>
          <rPr>
            <b/>
            <sz val="8"/>
            <color indexed="81"/>
            <rFont val="Tahoma"/>
            <family val="2"/>
          </rPr>
          <t xml:space="preserve">KB
</t>
        </r>
        <r>
          <rPr>
            <sz val="8"/>
            <color indexed="81"/>
            <rFont val="Tahoma"/>
            <family val="2"/>
          </rPr>
          <t>10/09 guide: $160</t>
        </r>
        <r>
          <rPr>
            <b/>
            <sz val="8"/>
            <color indexed="81"/>
            <rFont val="Tahoma"/>
            <family val="2"/>
          </rPr>
          <t xml:space="preserve">
</t>
        </r>
        <r>
          <rPr>
            <sz val="8"/>
            <color indexed="81"/>
            <rFont val="Tahoma"/>
            <family val="2"/>
          </rPr>
          <t>4/29/09: guide 150</t>
        </r>
        <r>
          <rPr>
            <b/>
            <sz val="8"/>
            <color indexed="81"/>
            <rFont val="Tahoma"/>
            <family val="2"/>
          </rPr>
          <t xml:space="preserve">
mcdonnm:</t>
        </r>
        <r>
          <rPr>
            <sz val="8"/>
            <color indexed="81"/>
            <rFont val="Tahoma"/>
            <family val="2"/>
          </rPr>
          <t xml:space="preserve">
1/29/09 (4Q08): guide 140-150</t>
        </r>
      </text>
    </comment>
    <comment ref="AA230" authorId="1">
      <text>
        <r>
          <rPr>
            <b/>
            <sz val="8"/>
            <color indexed="81"/>
            <rFont val="Tahoma"/>
            <family val="2"/>
          </rPr>
          <t>boonekev:</t>
        </r>
        <r>
          <rPr>
            <sz val="8"/>
            <color indexed="81"/>
            <rFont val="Tahoma"/>
            <family val="2"/>
          </rPr>
          <t xml:space="preserve">
1/10 guide: $150M
hwood:
4/10: $150-160MM
MAB:
7/10 - $155-160
10/10 -$155-$160</t>
        </r>
      </text>
    </comment>
    <comment ref="AF230" authorId="2">
      <text>
        <r>
          <rPr>
            <b/>
            <sz val="8"/>
            <color indexed="81"/>
            <rFont val="Tahoma"/>
            <family val="2"/>
          </rPr>
          <t>Michael Ashby Brown:</t>
        </r>
        <r>
          <rPr>
            <sz val="8"/>
            <color indexed="81"/>
            <rFont val="Tahoma"/>
            <family val="2"/>
          </rPr>
          <t xml:space="preserve">
7/11: $140
1/11: $135
4/11: 130</t>
        </r>
      </text>
    </comment>
    <comment ref="AD234" authorId="3">
      <text>
        <r>
          <rPr>
            <b/>
            <sz val="8"/>
            <color indexed="81"/>
            <rFont val="Tahoma"/>
            <family val="2"/>
          </rPr>
          <t>Giuseppe Incitti:</t>
        </r>
        <r>
          <rPr>
            <sz val="8"/>
            <color indexed="81"/>
            <rFont val="Tahoma"/>
            <family val="2"/>
          </rPr>
          <t xml:space="preserve">
Associated with vangent acquisition</t>
        </r>
      </text>
    </comment>
    <comment ref="V236" authorId="5">
      <text>
        <r>
          <rPr>
            <b/>
            <sz val="8"/>
            <color indexed="81"/>
            <rFont val="Tahoma"/>
            <family val="2"/>
          </rPr>
          <t xml:space="preserve">kb:
</t>
        </r>
        <r>
          <rPr>
            <sz val="8"/>
            <color indexed="81"/>
            <rFont val="Tahoma"/>
            <family val="2"/>
          </rPr>
          <t>4/29/09 1Q09: guide 31.5%</t>
        </r>
        <r>
          <rPr>
            <b/>
            <sz val="8"/>
            <color indexed="81"/>
            <rFont val="Tahoma"/>
            <family val="2"/>
          </rPr>
          <t xml:space="preserve">
mcdonnm:</t>
        </r>
        <r>
          <rPr>
            <sz val="8"/>
            <color indexed="81"/>
            <rFont val="Tahoma"/>
            <family val="2"/>
          </rPr>
          <t xml:space="preserve">
1/29/09 (4Q08): guide 31.5-32.0%</t>
        </r>
      </text>
    </comment>
    <comment ref="AA236" authorId="2">
      <text>
        <r>
          <rPr>
            <b/>
            <sz val="8"/>
            <color indexed="81"/>
            <rFont val="Tahoma"/>
            <family val="2"/>
          </rPr>
          <t>Michael Ashby Brown:</t>
        </r>
        <r>
          <rPr>
            <sz val="8"/>
            <color indexed="81"/>
            <rFont val="Tahoma"/>
            <family val="2"/>
          </rPr>
          <t xml:space="preserve">
10/10 31.2%
31.5%, potentially 20-30s lower</t>
        </r>
      </text>
    </comment>
    <comment ref="AF236" authorId="2">
      <text>
        <r>
          <rPr>
            <b/>
            <sz val="8"/>
            <color indexed="81"/>
            <rFont val="Tahoma"/>
            <family val="2"/>
          </rPr>
          <t>Michael Ashby Brown:</t>
        </r>
        <r>
          <rPr>
            <sz val="8"/>
            <color indexed="81"/>
            <rFont val="Tahoma"/>
            <family val="2"/>
          </rPr>
          <t xml:space="preserve">
1/11: 31% at the high end, possibly lower</t>
        </r>
      </text>
    </comment>
    <comment ref="BO239" authorId="9">
      <text>
        <r>
          <rPr>
            <b/>
            <sz val="9"/>
            <color indexed="81"/>
            <rFont val="Tahoma"/>
            <family val="2"/>
          </rPr>
          <t>Needs to be $2.50 which excluedes tax charge</t>
        </r>
        <r>
          <rPr>
            <sz val="9"/>
            <color indexed="81"/>
            <rFont val="Tahoma"/>
            <family val="2"/>
          </rPr>
          <t xml:space="preserve">
</t>
        </r>
      </text>
    </comment>
    <comment ref="AI273" authorId="3">
      <text>
        <r>
          <rPr>
            <b/>
            <sz val="8"/>
            <color indexed="81"/>
            <rFont val="Tahoma"/>
            <family val="2"/>
          </rPr>
          <t>Giuseppe Incitti:</t>
        </r>
        <r>
          <rPr>
            <sz val="8"/>
            <color indexed="81"/>
            <rFont val="Tahoma"/>
            <family val="2"/>
          </rPr>
          <t xml:space="preserve">
$321M pension contribution</t>
        </r>
      </text>
    </comment>
    <comment ref="W290" authorId="10">
      <text>
        <r>
          <rPr>
            <sz val="8"/>
            <color indexed="81"/>
            <rFont val="Tahoma"/>
            <family val="2"/>
          </rPr>
          <t xml:space="preserve">Net cash used by discontinued operations
</t>
        </r>
      </text>
    </comment>
    <comment ref="A302" authorId="6">
      <text>
        <r>
          <rPr>
            <b/>
            <sz val="9"/>
            <color indexed="81"/>
            <rFont val="Tahoma"/>
            <family val="2"/>
          </rPr>
          <t>Streger, David W (Research):</t>
        </r>
        <r>
          <rPr>
            <sz val="9"/>
            <color indexed="81"/>
            <rFont val="Tahoma"/>
            <family val="2"/>
          </rPr>
          <t xml:space="preserve">
Discontinued reporting in restated periods</t>
        </r>
      </text>
    </comment>
  </commentList>
</comments>
</file>

<file path=xl/comments2.xml><?xml version="1.0" encoding="utf-8"?>
<comments xmlns="http://schemas.openxmlformats.org/spreadsheetml/2006/main">
  <authors>
    <author>sanclaur</author>
  </authors>
  <commentList>
    <comment ref="A1" authorId="0">
      <text>
        <r>
          <rPr>
            <b/>
            <sz val="8"/>
            <color indexed="81"/>
            <rFont val="Tahoma"/>
            <family val="2"/>
          </rPr>
          <t>卟䙄_x0003_＀＀듭䷰R䝍呇䰭乏䙞彆久剔剐噟䱁䑟䥁奌〨⼴㔱㈯㄰ⰱⰬⰬ䐢䱉⤢䔯䅃䵟䅅彎䅓䕌⡓〲㈱〬⼴㔱㈯㄰⤱ƛ＀＀ ＀＀ƃ＀＀_x0008_＀＀_x0001_＀＀_x0001_＀＀_x0001_＀＀천∨䀀摦畳㩰⼯楤敲瑣潩獮䘯呁嘠敩敷㽲捡楴湯唽䑐呁♅牣慥潴㵲慦瑣敳♴奄彎剁升吽啒♅佄彃䅎䕍䘽呁䘺䱑䅟䑕呉义彇䱃䕉呎呟䵅䱐呁⹅䅆♔楤灳慬役瑳楲杮䄽摵瑩嘦剁䬺奅唽䍌䵌佂䅐♌䅖㩒啑剅㵙歒晚啒唵汕卂ㅘ䉚䙔䔹啑䵬南睧䍎砸华礸䑍硅䍌獷䍌湷䕒䵬祊癫啒䉎じ䘱啑昵さ䵆噒潍橍硁楍睷䍎砸华礸䑍硅克㴽圦义佄㵗䥆卒彔佐啐♐䕈䝉呈㐽〵圦䑉䡔㐽〵匦䅔呒䵟塁䵉婉䑅䘽䱁䕓嘦剁䌺䱁久䅄㵒单嘦剁区䵙佂㵌㔰㔷〸嘦剁䤺䑎塅〽찀뿎䭠B䑇䍞彁䕐华偟佒彊䉏⡌㈱㈯〰ⰵⰬ唬䑓䀩南偟久䥓乏偟佂ㄨ⼲〲㔰ⰬⰬ单⥄ ＀＀ ＀＀_x0008_＀＀_x0008_＀＀_x0001_＀＀_x0001_＀＀_x0001_＀＀＀＀＀＀✀䂽듩䷰L䍐幐䙆䕟呎偒归䅖彌䅄䱉⡙㐰ㄯ⼵〲ㄱⰬⰬ∬䥄≌⼩䍅彁䕍乁䕟䥂⡔〲〱〬⼴㔱㈯㄰⤱Ɣ＀＀ ＀＀ż＀＀_x0008_＀＀_x0001_＀＀_x0001_＀＀_x0001_＀＀旣ⶅ䀪摦畳㩰⼯楤敲瑣潩獮䘯呁嘠敩敷㽲捡楴湯唽䑐呁♅牣慥潴㵲慦瑣敳♴奄彎剁升吽啒♅佄彃䅎䕍䘽呁䘺䱑䅟䑕呉义彇䱃䕉呎呟䵅䱐呁⹅䅆♔楤灳慬役瑳楲杮䄽摵瑩嘦剁䬺奅䜽䝐佊奈坔♂䅖㩒啑剅㵙歒晚啒唵汕卂ㅘ䉚䙔䔹啑䵬南睧䍎砸华礸䑍硅䍌獷䍌湷䕒䵬祊癫啒䉎じ䘱啑昵啒䩊䍖祧䑍睅䑌ぁ穌ㅅ穌睉呍灅圦义佄㵗䥆卒彔佐啐♐䕈䝉呈㐽〵圦䑉䡔㐽〵匦䅔呒䵟塁䵉婉䑅䘽䱁䕓嘦剁䌺䱁久䅄㵒单嘦剁区䵙佂㵌䍐♐䅖㩒义䕄㵘0閼䴬_x001E_䑇䕞彃䕍彄剐䍉彅䝔Ŕ㄰ㄯ⼱〲ㄱ!＀＀ ＀＀	＀＀_x0008_＀＀_x0001_＀＀_x0001_＀＀_x0001_＀＀＀＀＀＀＀＀䁔찀閶䴬M䕂噁䙞彆久剔剐噟䱁䑟䥁奌ㄨ⼰㜲㈯㄰ⰰⰬⰬ䐢䱉⤢䔯䅃䵟䅅彎䉅呉㈨㄰ⰱ〱㈯⼷〲〱착ƕ＀＀ ＀＀Ž＀＀_x0008_＀＀_x0001_＀＀_x0001_＀＀_x0001_＀＀뼰鯏쥮䀥摦畳㩰⼯楤敲瑣潩獮䘯呁嘠敩敷㽲捡楴湯唽䑐呁♅牣慥潴㵲慦瑣敳♴奄彎剁升吽啒♅佄彃䅎䕍䘽呁䘺䱑䅟䑕呉义彇䱃䕉呎呟䵅䱐呁⹅䅆♔楤灳慬役瑳楲杮䄽摵瑩嘦剁䬺奅䌽半䅂奌兂♌䅖㩒啑剅㵙歒晚啒唵汕卂ㅘ䉚䙔䔹啑䵬南硧䍍礸祎礸䑍睅䍌獷䍌湷䕒䵬祊癫啒䉎じ䘱啑昵啒䩊䍖祧䑍硅䑌睅穌㍉穌睉呍灁圦义佄㵗䥆卒彔佐啐♐䕈䝉呈㐽〵圦䑉䡔㐽〵匦䅔呒䵟塁䵉婉䑅䘽䱁䕓嘦剁䌺䱁久䅄㵒单嘦剁区䵙佂㵌䕂噁嘦剁䤺䑎塅〽찀Ꮺ产_x0017_䑇䕞䅃䵟䅅彎偅⡓〲ㄱ〬착!＀＀ ＀＀	＀＀_x0008_＀＀_x0001_＀＀_x0001_＀＀_x0001_＀＀뗶㔮뽂䀜찀ꚝ丠_x001F_佃幌䍅彁䕍乁䕟卐⬨ⰲ㜰ㄯ⼵〲ㄱ착!＀＀ ＀＀	＀＀_x0008_＀＀_x0001_＀＀_x0001_＀＀_x0001_＀＀촐뤼肦䀒찀㹫丯_x001F_佃幌䍅彁䕍乁䕟卐⬨ⰲ㜰㈯⼶〲ㄱ착!＀＀ ＀＀	＀＀_x0008_＀＀_x0001_＀＀_x0001_＀＀_x0001_＀＀㦸ಕ─䀒찀듨䷰_x001F_䍐幐䍅䵟䅅彎䕐㈨㄰ⰰ㐰ㄯ⼵〲ㄱ착!＀＀ ＀＀	＀＀_x0008_＀＀_x0001_＀＀_x0001_＀＀_x0001_＀＀샖煖䀴찀閼䴬_x001E_䑇䕞䅃䵟䅅彎偅⡓ㄫ〬⼱ㄱ㈯㄰⤱!＀＀ ＀＀	＀＀_x0008_＀＀_x0001_＀＀_x0001_＀＀_x0001_＀＀탾鏌੫䀛찀閺䴬L䍐幐䙆䕟呎偒归䅖彌䅄䱉⡙〱㈯⼷〲〱ⰬⰬ∬䥄≌⼩䍅彁䕍乁䕟䥂⡔〲㈱ㄬ⼰㜲㈯㄰⤰Ɣ＀＀ ＀＀ż＀＀_x0008_＀＀_x0001_＀＀_x0001_＀＀_x0001_＀＀찧ퟗ歏䀢摦畳㩰⼯楤敲瑣潩獮䘯呁嘠敩敷㽲捡楴湯唽䑐呁♅牣慥潴㵲慦瑣敳♴奄彎剁升吽啒♅佄彃䅎䕍䘽呁䘺䱑䅟䑕呉义彇䱃䕉呎呟䵅䱐呁⹅䅆♔楤灳慬役瑳楲杮䄽摵瑩嘦剁䬺奅伽䅒奚䥎奖♚䅖㩒啑剅㵙歒晚啒唵汕卂ㅘ䉚䙔䔹啑䵬南硧䍍礸祎礸䑍睅䍌獷䍌湷䕒䵬祊癫啒䉎じ䘱啑昵啒䩊䍖祧䑍祅䑌睅穌㍉穌睉呍灁圦义佄㵗䥆卒彔佐啐♐䕈䝉呈㐽〵圦䑉䡔㐽〵匦䅔呒䵟塁䵉婉䑅䘽䱁䕓嘦剁䌺䱁久䅄㵒单嘦剁区䵙佂㵌䍐♐䅖㩒义䕄㵘0뿎䭠(䑇䍞彁佐呓䕒彔呏䅈䩄也䅂ㄨ⼲〲㌰ⰬⰬ单⥄ ＀＀ ＀＀_x0008_＀＀_x0008_＀＀_x0001_＀＀_x0001_＀＀_x0001_＀＀豀碵꼝쐕ꚥ丠S䝍呇䰭乏䙞彆久剔剐噟䱁䑟䥁奌〨⼷㔱㈯㄰ⰱⰬⰬ䐢䱉⤢䔯䅃䵟䅅彎䉅呉䅄㈨㄰ⰰ㜰ㄯ⼵〲ㄱ착Ơ＀＀ ＀＀ƈ＀＀_x0008_＀＀_x0001_＀＀_x0001_＀＀_x0001_＀＀䔽鴫ᩞ䀣摦畳㩰⼯楤敲瑣潩獮䘯呁嘠敩敷㽲捡楴湯唽䑐呁♅牣慥潴㵲慦瑣敳♴奄彎剁升吽啒♅佄彃䅎䕍䘽呁䘺䱑䅟䑕呉义彇䱃䕉呎呟䵅䱐呁⹅䅆♔楤灳慬役瑳楲杮䄽摵瑩嘦剁䬺奅娽䉃偉䡇䩗♓䅖㩒啑剅㵙歒晚啒唵汕卂ㅘ䉚䙔䔹啑䵬南睧祎砸华礸䑍硅䍌獷䍌湷䕒䵬祊癫啒䉎じ䘱啑昵啒䩊䕖䉒䑋睉呍獁䑍癣呍癕橍硁卍㵫圦义佄㵗䥆卒彔佐啐♐䕈䝉呈㐽〵圦䑉䡔㐽〵匦䅔呒䵟塁䵉婉䑅䘽䱁䕓嘦剁䌺䱁久䅄㵒䥆䕖䅄♙䅖㩒奓䉍䱏〽㜵㠵☰䅖㩒义䕄㵘0뿎䭠O䑇䍞彁佐呓䕒彔䱐乁䅟呓䕟䑎ㄨ⼲〲㘰ⰬⰬ单⥄址当䱈䡔䅃䕒䙟彖十䕓⡔㈱㈯〰ⰶⰬ唬䑓착 ＀＀ ＀＀_x0008_＀＀_x0008_＀＀_x0001_＀＀_x0001_＀＀_x0001_＀＀＀＀＀＀쀀䁸듥䷰N䕂噁䙞彆久剔剐噟䱁䑟䥁奌〨⼴㔱㈯㄰ⰱⰬⰬ䐢䱉⤢䔯䅃䵟䅅彎䅓䕌⡓〲ㄱ〬⼴㔱㈯㄰⤱ƙ＀＀ ＀＀Ɓ＀＀_x0008_＀＀_x0001_＀＀_x0001_＀＀_x0001_＀＀ꌈ藉ᐠ䀀摦畳㩰⼯楤敲瑣潩獮䘯呁嘠敩敷㽲捡楴湯唽䑐呁♅牣慥潴㵲慦瑣敳♴奄彎剁升吽啒♅佄彃䅎䕍䘽呁䘺䱑䅟䑕呉义彇䱃䕉呎呟䵅䱐呁⹅䅆♔楤灳慬役瑳楲杮䄽摵瑩嘦剁䬺奅夽䝐䅂䝌兂♊䅖㩒啑剅㵙歒晚啒唵汕卂ㅘ䉚䙔䔹啑䵬南睧䍎砸华礸䑍硅䍌獷䍌湷䕒䵬祊癫啒䉎じ䘱啑昵さ䵆噒潍橍硁卍睷䍎砸华礸䑍硅克㴽圦义佄㵗䥆卒彔佐啐♐䕈䝉呈㐽〵圦䑉䡔㐽〵匦䅔呒䵟塁䵉婉䑅䘽䱁䕓嘦剁䌺䱁久䅄㵒单嘦剁区䵙佂㵌䕂噁嘦剁䤺䑎塅〽찀뿍䭠;䑇䍞彁䕐华䑟卉彃䅒䕔ㄨ⼲〲㜰䀩南偟久䥓乏䑟卉彃䅒䕔ㄨ⼲〲㜰착 ＀＀ ＀＀_x0008_＀＀_x0008_＀＀_x0001_＀＀_x0001_＀＀_x0001_＀＀ꏗ㵰휊䀙ꚡ丠N位⹇幁䙆䕟呎偒归䅖彌䅄䱉⡙㜰ㄯ⼵〲ㄱⰬⰬ∬䥄≌⼩䍅彁䕍乁䕟䥂⡔〲〱〬⼷㔱㈯㄰⤱ƛ＀＀ ＀＀ƃ＀＀_x0008_＀＀_x0001_＀＀_x0001_＀＀_x0001_＀＀⎸틶⌴䀫摦畳㩰⼯楤敲瑣潩獮䘯呁嘠敩敷㽲捡楴湯唽䑐呁♅牣慥潴㵲慦瑣敳♴奄彎剁升吽啒♅佄彃䅎䕍䘽呁䘺䱑䅟䑕呉义彇䱃䕉呎呟䵅䱐呁⹅䅆♔楤灳慬役瑳楲杮䄽摵瑩嘦剁䬺奅刽則乃偑噗♇䅖㩒啑剅㵙歒晚啒唵汕卂ㅘ䉚䙔䔹啑䵬南睧祎砸华礸䑍硅䍌獷䍌湷䕒䵬祊癫啒䉎じ䘱啑昵啒䩊䍖祧䑍睅䑌㍁穌ㅅ穌睉呍灅圦义佄㵗䥆卒彔佐啐♐䕈䝉呈㐽〵圦䑉䡔㐽〵匦䅔呒䵟塁䵉婉䑅䘽䱁䕓嘦剁䌺䱁久䅄㵒䥆䕖䅄♙䅖㩒奓䉍䱏䴽䝏䄮嘦剁䤺䑎塅〽찀閻䴬S䝍呇䰭乏䙞彆久剔剐噟䱁䑟䥁奌ㄨ⼰㜲㈯㄰ⰰⰬⰬ䐢䱉⤢䔯䅃䵟䅅彎䉅呉䅄㈨㄰ⰰ〱㈯⼷〲〱착ƛ＀＀ ＀＀ƃ＀＀_x0008_＀＀_x0001_＀＀_x0001_＀＀_x0001_＀＀篫_xDEDF_掹䀡摦畳㩰⼯楤敲瑣潩獮䘯呁嘠敩敷㽲捡楴湯唽䑐呁♅牣慥潴㵲慦瑣敳♴奄彎剁升吽啒♅佄彃䅎䕍䘽呁䘺䱑䅟䑕呉义彇䱃䕉呎呟䵅䱐呁⹅䅆♔楤灳慬役瑳楲杮䄽摵瑩嘦剁䬺奅儽奒䥒兆啚♐䅖㩒啑剅㵙歒晚啒唵汕卂ㅘ䉚䙔䔹啑䵬南硧䍍礸祎礸䑍睅䍌獷䍌湷䕒䵬祊癫啒䉎じ䘱啑昵啒䩊䕖䉒䑋睉呍獁呍癁橍癣橍硁䍍㵫圦义佄㵗䥆卒彔佐啐♐䕈䝉呈㐽〵圦䑉䡔㐽〵匦䅔呒䵟塁䵉婉䑅䘽䱁䕓嘦剁䌺䱁久䅄㵒单嘦剁区䵙佂㵌㔰㔷〸嘦剁䤺䑎塅〽찀뿎䭠H䑇䍞彁䕐华卟噒䍟协⡔㈱㈯〰ⰲⰬ唬䑓䀩南偟久䥓乏卟剅彖佃呓ㄨ⼲〲㈰ⰬⰬ单⥄ ＀＀ ＀＀_x0008_＀＀_x0008_＀＀_x0001_＀＀_x0001_＀＀_x0001_＀＀＀＀＀＀ꀀ䁣듧䷰!位⹇幁䍅彁䕍乁䕟卐⬨ⰲ㐰ㄯ⼵〲ㄱ착!＀＀ ＀＀	＀＀_x0008_＀＀_x0001_＀＀_x0001_＀＀_x0001_＀＀ᑺ䞮䀉찀뿎䭠B䑇䍞彁䕐华偟佒彊䉏⡌㈱㈯〰ⰴⰬ唬䑓䀩南偟久䥓乏偟佂ㄨ⼲〲㐰ⰬⰬ单⥄ ＀＀ ＀＀_x0008_＀＀_x0008_＀＀_x0001_＀＀_x0001_＀＀_x0001_＀＀＀＀＀＀䂺푖䳈 䑇䕞䅃䵟䅅彎䅓䕌⡓ㄫㄬ⼰㜲㈯㄰⤰!＀＀ ＀＀	＀＀_x0008_＀＀_x0001_＀＀_x0001_＀＀_x0001_＀＀ᑻ䞮㧡䃠찀㹩丯 䕂噁䕞彃䕍乁偟⡅〲㈱〬⼷㘲㈯㄰⤱!＀＀ ＀＀	＀＀_x0008_＀＀_x0001_＀＀_x0001_＀＀_x0001_＀＀࡟䀮찀뿎䭠%䑇䍞彁䕐华䅟呓䥟呎乁⡇㈱㈯〰ⰳⰬ唬䑓착 ＀＀ ＀＀_x0008_＀＀_x0008_＀＀_x0001_＀＀_x0001_＀＀_x0001_＀＀豀碵꼝쐕뿎䭠F䑇䍞彁䕐华也呅䍟协⡔㈱㈯〰ⰴⰬ唬䑓䀩南偟久䥓乏也偐䕟偘ㄨ⼲〲㐰ⰬⰬ单⥄ ＀＀ ＀＀_x0008_＀＀_x0008_＀＀_x0001_＀＀_x0001_＀＀_x0001_＀＀＀＀＀＀䀀䁞熄䯌Q䝍呇䰭乏䙞彆久剔剐噟䱁䑟䥁奌〨⼴㤱㈯㄰ⰰⰬⰬ䐢䱉⤢䔯䅃䵟䅅彎䉅呉㈨㄰ⰱ㐰ㄯ⼹〲〱착Ɯ＀＀ ＀＀Ƅ＀＀_x0008_＀＀_x0001_＀＀_x0001_＀＀_x0001_＀＀嵚礻䀡摦畳㩰⼯楤敲瑣潩獮䘯呁嘠敩敷㽲捡楴湯唽䑐呁♅牣慥潴㵲慦瑣敳♴奄彎剁升吽啒♅佄彃䅎䕍䘽呁䘺䱑䅟䑕呉义彇䱃䕉呎呟䵅䱐呁⹅䅆♔楤灳慬役瑳楲杮䄽摵瑩嘦剁䬺奅圽奂佐䥒佘♒䅖㩒啑剅㵙歒晚啒唵汕卂ㅘ䉚䙔䔹啑䵬南睧䍎砸协礸䑍睅䍌獷䍌湷䕒䵬祊癫啒䉎じ䘱啑昵啒䩊䍖祧䑍硅䑌ぁ穌㕅穌睉呍灁圦义佄㵗䥆卒彔佐啐♐䕈䝉呈㐽〵圦䑉䡔㐽〵匦䅔呒䵟塁䵉婉䑅䘽䱁䕓嘦剁䌺䱁久䅄㵒䥆䕖䅄♙䅖㩒奓䉍䱏〽㜵㠵☰䅖㩒义䕄㵘0閹䴬_x001F_䍐幐䍅䵟䅅彎䕐㈨㄰ⰲ〱㈯⼷〲〱착!＀＀ ＀＀	＀＀_x0008_＀＀_x0001_＀＀_x0001_＀＀_x0001_＀＀趢䀫찀뿎䭠$䑇䍞彁䕐华䍟䵏彐䅒䕔ㄨ⼲〲㜰ⰬⰬ单⥄ ＀＀ ＀＀_x0008_＀＀_x0008_＀＀_x0001_＀＀_x0001_＀＀_x0001_＀＀＀＀＀＀＀＀䀛㹴丯_x001E_䑇䕞彃䕍彄剐䍉彅䝔Ŕ㜰㈯⼶〲ㄱ!＀＀ ＀＀	＀＀_x0008_＀＀_x0001_＀＀_x0001_＀＀_x0001_＀＀＀＀＀＀耀䁕찀듮䷰_x001E_䑇䕞䅃䵟䅅彎偅⡓㈫〬⼶㤰㈯㄰⤱!＀＀ ＀＀	＀＀_x0008_＀＀_x0001_＀＀_x0001_＀＀_x0001_＀＀筟䥦쪀䀞찀煿䯌 䑇䕞䅃䵟䅅彎䅓䕌⡓ㄫ〬⼴㤱㈯㄰⤰!＀＀ ＀＀	＀＀_x0008_＀＀_x0001_＀＀_x0001_＀＀_x0001_＀＀ᑺ邮䃠찀ꚟ丠L佃幌䙆䕟呎偒归䅖彌䅄䱉⡙㜰ㄯ⼵〲ㄱⰬⰬ∬䥄≌⼩䍅彁䕍乁䕟䥂⡔〲ㄱ〬⼷㔱㈯㄰⤱ƙ＀＀ ＀＀Ɓ＀＀_x0008_＀＀_x0001_＀＀_x0001_＀＀_x0001_＀＀᯲䈕䀤摦畳㩰⼯楤敲瑣潩獮䘯呁嘠敩敷㽲捡楴湯唽䑐呁♅牣慥潴㵲慦瑣敳♴奄彎剁升吽啒♅佄彃䅎䕍䘽呁䘺䱑䅟䑕呉义彇䱃䕉呎呟䵅䱐呁⹅䅆♔楤灳慬役瑳楲杮䄽摵瑩嘦剁䬺奅䈽䉗䑙䉑剙♇䅖㩒啑剅㵙歒晚啒唵汕卂ㅘ䉚䙔䔹啑䵬南睧祎砸华礸䑍硅䍌獷䍌湷䕒䵬祊癫啒䉎じ䘱啑昵啒䩊䍖祧䑍硅䑌㍁穌ㅅ穌睉呍灅圦义佄㵗䥆卒彔佐啐♐䕈䝉呈㐽〵圦䑉䡔㐽〵匦䅔呒䵟塁䵉婉䑅䘽䱁䕓嘦剁䌺䱁久䅄㵒䥆䕖䅄♙䅖㩒奓䉍䱏䌽䱏嘦剁䤺䑎塅〽찀ꎕ䶨O位⹇幁䙆䕟呎偒归䅖彌䅄䱉⡙㄰ㄯ⼱〲ㄱⰬⰬ∬䥄≌⼩䍅彁䕍乁卟䱁卅㈨㄰ⰰ㄰ㄯ⼱〲ㄱ착Ɵ＀＀ ＀＀Ƈ＀＀_x0008_＀＀_x0001_＀＀_x0001_＀＀_x0001_＀＀猤哼阸㿳摦畳㩰⼯楤敲瑣潩獮䘯呁嘠敩敷㽲捡楴湯唽䑐呁♅牣慥潴㵲慦瑣敳♴奄彎剁升吽啒♅佄彃䅎䕍䘽呁䘺䱑䅟䑕呉义彇䱃䕉呎呟䵅䱐呁⹅䅆♔楤灳慬役瑳楲杮䄽摵瑩嘦剁䬺奅唽䥚奎奘䥊♐䅖㩒啑剅㵙歒晚啒唵汕卂ㅘ䉚䙔䔹啑䵬南睧卍砸卍礸䑍硅䍌獷䍌湷䕒䵬祊癫啒䉎じ䘱啑昵さ䵆噒潍橍硁䍍睷卍砸卍礸䑍硅克㴽圦义佄㵗䥆卒彔佐啐♐䕈䝉呈㐽〵圦䑉䡔㐽〵匦䅔呒䵟塁䵉婉䑅䘽䱁䕓嘦剁䌺䱁久䅄㵒䥆䕖䅄♙䅖㩒奓䉍䱏䴽䝏䄮嘦剁䤺䑎塅〽찀ꚡ丠P位⹇幁䙆䕟呎偒归䅖彌䅄䱉⡙㜰ㄯ⼵〲ㄱⰬⰬ∬䥄≌⼩䍅彁䕍乁䕟䥂䑔⡁〲ㄱ〬⼷㔱㈯㄰⤱Ɵ＀＀ ＀＀Ƈ＀＀_x0008_＀＀_x0001_＀＀_x0001_＀＀_x0001_＀＀藐끽蚵䀠摦畳㩰⼯楤敲瑣潩獮䘯呁嘠敩敷㽲捡楴湯唽䑐呁♅牣慥潴㵲慦瑣敳♴奄彎剁升吽啒♅佄彃䅎䕍䘽呁䘺䱑䅟䑕呉义彇䱃䕉呎呟䵅䱐呁⹅䅆♔楤灳慬役瑳楲杮䄽摵瑩嘦剁䬺奅刽噉䑏噕䉁♙䅖㩒啑剅㵙歒晚啒唵汕卂ㅘ䉚䙔䔹啑䵬南睧祎砸华礸䑍硅䍌獷䍌湷䕒䵬祊癫啒䉎じ䘱啑昵啒䩊䕖䉒䑋睉呍獅䑍癣呍癕橍硁卍㵫圦义佄㵗䥆卒彔佐啐♐䕈䝉呈㐽〵圦䑉䡔㐽〵匦䅔呒䵟塁䵉婉䑅䘽䱁䕓嘦剁䌺䱁久䅄㵒䥆䕖䅄♙䅖㩒奓䉍䱏䴽䝏䄮嘦剁䤺䑎塅〽찀ꎒ䶨_x001F_佃幌䍅䵟䅅彎䕐㈨㄰ⰲ㄰ㄯ⼱〲ㄱ착!＀＀ ＀＀	＀＀_x0008_＀＀_x0001_＀＀_x0001_＀＀_x0001_＀＀쑠턾䀪찀ᦧ产!位⹇幁䍅彁䕍乁䕟卐⬨ⰲ〱㈯⼵〲ㄱ착!＀＀ ＀＀	＀＀_x0008_＀＀_x0001_＀＀_x0001_＀＀_x0001_＀＀厬篥Ɇ䀊찀閹䴬P位⹇幁䙆䕟呎偒归䅖彌䅄䱉⡙〱㈯⼷〲〱ⰬⰬ∬䥄≌⼩䍅彁䕍乁䕟䥂䑔⡁〲ㄱㄬ⼰㜲㈯㄰⤰ƚ＀＀ ＀＀Ƃ＀＀_x0008_＀＀_x0001_＀＀_x0001_＀＀_x0001_＀＀䂻郣᪜䀞摦畳㩰⼯楤敲瑣潩獮䘯呁嘠敩敷㽲捡楴湯唽䑐呁♅牣慥潴㵲慦瑣敳♴奄彎剁升吽啒♅佄彃䅎䕍䘽呁䘺䱑䅟䑕呉义彇䱃䕉呎呟䵅䱐呁⹅䅆♔楤灳慬役瑳楲杮䄽摵瑩嘦剁䬺奅䔽䅐但坎䥎♆䅖㩒啑剅㵙歒晚啒唵汕卂ㅘ䉚䙔䔹啑䵬南硧䍍礸祎礸䑍睅䍌獷䍌湷䕒䵬祊癫啒䉎じ䘱啑昵啒䩊䕖䉒䑋睉呍獅呍癁橍癣橍硁䍍㵫圦义佄㵗䥆卒彔佐啐♐䕈䝉呈㐽〵圦䑉䡔㐽〵匦䅔呒䵟塁䵉婉䑅䘽䱁䕓嘦剁䌺䱁久䅄㵒单嘦剁区䵙佂㵌位⹇♁䅖㩒义䕄㵘0뿍䭠_x001F_䑇坞当塅䡃剟呁彅䅂彌䡓ㄨ⼲〲㔰착 ＀＀ ＀＀_x0008_＀＀_x0008_＀＀_x0001_＀＀_x0001_＀＀_x0001_＀＀豀碵꼝쐕ᦠ产_x0017_䑇䕞䅃䙟卉䅃彌䕙剁⬨ⰳ착!＀＀ ＀＀	＀＀_x0008_＀＀_x0001_＀＀_x0001_＀＀_x0008_＀＀㈱㈯㄰3찀_xDEE1_䳒_x0016_䑇䙞彇剐䍉Ņㄱ〯⼴〲〱!＀＀ ＀＀	＀＀_x0008_＀＀_x0001_＀＀_x0001_＀＀_x0001_＀＀晦晦㙦䁑찀들䷰ 䕂噁䕞彃䕍乁偟⡅〲〱〬⼴㔱㈯㄰⤱!＀＀ ＀＀	＀＀_x0008_＀＀_x0001_＀＀_x0001_＀＀_x0001_＀＀ᨷ寀턠䀹찀뿎䭠*䑇䍞彁佐呓䕒彔䅐呒䍟乏剔䉉ㄨ⼲〲㜰ⰬⰬ单⥄ ＀＀ ＀＀_x0008_＀＀_x0008_＀＀_x0001_＀＀_x0001_＀＀_x0001_＀＀＀＀＀＀＀＀＀＀㹮丯N位⹇幁䙆䕟呎偒归䅖彌䅄䱉⡙㜰㈯⼶〲ㄱⰬⰬ∬䥄≌⼩䍅彁䕍乁䕟䥂⡔〲〱〬⼷㘲㈯㄰⤱ƛ＀＀ ＀＀ƃ＀＀_x0008_＀＀_x0001_＀＀_x0001_＀＀_x0001_＀＀㌕ᇓ䀫摦畳㩰⼯楤敲瑣潩獮䘯呁嘠敩敷㽲捡楴湯唽䑐呁♅牣慥潴㵲慦瑣敳♴奄彎剁升吽啒♅佄彃䅎䕍䘽呁䘺䱑䅟䑕呉义彇䱃䕉呎呟䵅䱐呁⹅䅆♔楤灳慬役瑳楲杮䄽摵瑩嘦剁䬺奅䤽䭎䕐䕂䕔♈䅖㩒啑剅㵙歒晚啒唵汕卂ㅘ䉚䙔䔹啑䵬南睧祎礸楎礸䑍硅䍌獷䍌湷䕒䵬祊癫啒䉎じ䘱啑昵啒䩊䍖祧䑍睅䑌㍁穌㉉穌睉呍灅圦义佄㵗䥆卒彔佐啐♐䕈䝉呈㐽〵圦䑉䡔㐽〵匦䅔呒䵟塁䵉婉䑅䘽䱁䕓嘦剁䌺䱁久䅄㵒䥆䕖䅄♙䅖㩒奓䉍䱏䴽䝏䄮嘦剁䤺䑎塅〽찀㹫丯_x001F_佃幌䍅䵟䅅彎䕐㈨㄰ⰱ㜰㈯⼶〲ㄱ착!＀＀ ＀＀	＀＀_x0008_＀＀_x0001_＀＀_x0001_＀＀_x0001_＀＀堐됹່䀬찀閻䴬R䝍呇䰭乏䙞彆久剔剐噟䱁䑟䥁奌ㄨ⼰㜲㈯㄰ⰰⰬⰬ䐢䱉⤢䔯䅃䵟䅅彎䅓䕌⡓〲㈱ㄬ⼰㜲㈯㄰⤰ƛ＀＀ ＀＀ƃ＀＀_x0008_＀＀_x0001_＀＀_x0001_＀＀_x0001_＀＀܎⡄﷠䀂摦畳㩰⼯楤敲瑣潩獮䘯呁嘠敩敷㽲捡楴湯唽䑐呁♅牣慥潴㵲慦瑣敳♴奄彎剁升吽啒♅佄彃䅎䕍䘽呁䘺䱑䅟䑕呉义彇䱃䕉呎呟䵅䱐呁⹅䅆♔楤灳慬役瑳楲杮䄽摵瑩嘦剁䬺奅圽䅂䭂䭔䭎♊䅖㩒啑剅㵙歒晚啒唵汕卂ㅘ䉚䙔䔹啑䵬南硧䍍礸祎礸䑍睅䍌獷䍌湷䕒䵬祊癫啒䉎じ䘱啑昵さ䵆噒潍橍硁楍硷䍍礸祎礸䑍睅克㴽圦义佄㵗䥆卒彔佐啐♐䕈䝉呈㐽〵圦䑉䡔㐽〵匦䅔呒䵟塁䵉婉䑅䘽䱁䕓嘦剁䌺䱁久䅄㵒单嘦剁区䵙佂㵌㔰㔷〸嘦剁䤺䑎塅〽찀ᦪ产Q䝍呇䰭乏䙞彆久剔剐噟䱁䑟䥁奌ㄨ⼰㔲㈯㄰ⰱⰬⰬ䐢䱉⤢䔯䅃䵟䅅彎䉅呉㈨㄰ⰱ〱㈯⼵〲ㄱ착Ơ＀＀ ＀＀ƈ＀＀_x0008_＀＀_x0001_＀＀_x0001_＀＀_x0001_＀＀迟穃䀤摦畳㩰⼯楤敲瑣潩獮䘯呁嘠敩敷㽲捡楴湯唽䑐呁♅牣慥潴㵲慦瑣敳♴奄彎剁升吽啒♅佄彃䅎䕍䘽呁䘺䱑䅟䑕呉义彇䱃䕉呎呟䵅䱐呁⹅䅆♔楤灳慬役瑳楲杮䄽摵瑩嘦剁䬺奅吽䩗偓偙䱕♗䅖㩒啑剅㵙歒晚啒唵汕卂ㅘ䉚䙔䔹啑䵬南硧䍍礸华礸䑍硅䍌獷䍌湷䕒䵬祊杫祌䙂け晆啔䉖汔䘹歑啬䑋睉呍獅呍癁橍癕橍硁卍㵫圦义佄㵗䥆卒彔佐啐♐䕈䝉呈㐽〵圦䑉䡔㐽〵匦䅔呒䵟塁䵉婉䑅䘽䱁䕓嘦剁䌺䱁久䅄㵒䥆䕖䅄♙䅖㩒奓䉍䱏〽㜵㠵☰䅖㩒义䕄㵘0ꎕ䶨_x001F_䍐幐䍅彁䕍乁䕟卐⬨ⰲ㄰ㄯ⼱〲ㄱ착!＀＀ ＀＀	＀＀_x0008_＀＀_x0001_＀＀_x0001_＀＀_x0001_＀＀컲ಡᅕ䀡찀뿎䭠'䑇坞当䕐华佉彎十䕓協䱟⡔㈱㈯〰ⰲⰬ唬䑓착 ＀＀ ＀＀_x0008_＀＀_x0008_＀＀_x0001_＀＀_x0001_＀＀_x0001_＀＀豀碵꼝쐕듨䷰N位⹇幁䙆䕟呎偒归䅖彌䅄䱉⡙㐰ㄯ⼵〲ㄱⰬⰬ∬䥄≌⼩䍅彁䕍乁䕟䥂⡔〲〱〬⼴㔱㈯㄰⤱Ɩ＀＀ ＀＀ž＀＀_x0008_＀＀_x0001_＀＀_x0001_＀＀_x0001_＀＀펚瞹緒䀫摦畳㩰⼯楤敲瑣潩獮䘯呁嘠敩敷㽲捡楴湯唽䑐呁♅牣慥潴㵲慦瑣敳♴奄彎剁升吽啒♅佄彃䅎䕍䘽呁䘺䱑䅟䑕呉义彇䱃䕉呎呟䵅䱐呁⹅䅆♔楤灳慬役瑳楲杮䄽摵瑩嘦剁䬺奅匽兌坂䍆䅚♈䅖㩒啑剅㵙歒晚啒唵汕卂ㅘ䉚䙔䔹啑䵬南睧䍎砸华礸䑍硅䍌獷䍌湷䕒䵬祊癫啒䉎じ䘱啑昵啒䩊䍖祧䑍睅䑌ぁ穌ㅅ穌睉呍灅圦义佄㵗䥆卒彔佐啐♐䕈䝉呈㐽〵圦䑉䡔㐽〵匦䅔呒䵟塁䵉婉䑅䘽䱁䕓嘦剁䌺䱁久䅄㵒单嘦剁区䵙佂㵌位⹇♁䅖㩒义䕄㵘0ꚨ丠 䑇䕞䅃䵟䅅彎䅓䕌⡓ㄫ〬⼷㔱㈯㄰⤱!＀＀ ＀＀	＀＀_x0008_＀＀_x0001_＀＀_x0001_＀＀_x0001_＀＀ᑺ濮䃠찀듧䷰!位⹇幁䍅䵟䅅彎䕐㈨㄰ⰱ㐰ㄯ⼵〲ㄱ착!＀＀ ＀＀	＀＀_x0008_＀＀_x0001_＀＀_x0001_＀＀_x0001_＀＀馢휧렔䀮찀뿎䭠&amp;䑇䍞彁佐呓䕒彔䕂彎䅐䑉ㄨ⼲〲㠰ⰬⰬ单⥄ ＀＀ ＀＀_x0008_＀＀_x0008_＀＀_x0001_＀＀_x0001_＀＀_x0001_＀＀＀＀＀＀＀＀䁇ꚡ丠_x001F_䍐幐䍅䵟䅅彎䕐㈨㄰ⰲ㜰ㄯ⼵〲ㄱ착!＀＀ ＀＀	＀＀_x0008_＀＀_x0001_＀＀_x0001_＀＀_x0001_＀＀i腯ⴄ䀰찀㹮丯_x001F_䍐幐䍅䵟䅅彎䕐㈨㄰ⰲ㜰㈯⼶〲ㄱ착!＀＀ ＀＀	＀＀_x0008_＀＀_x0001_＀＀_x0001_＀＀_x0001_＀＀金枠ʳ䀰찀뿍䭠*䑇坞当佃乕剔彙䅎䕍〨䀩䅃䍟彏义佃偒䍟剔⡙⤰&amp;＀＀ ＀＀_x000E_＀＀_x000E_＀＀_x0001_＀＀_x0001_＀＀_x0008_＀＀湕瑩摥匠慴整s熁䯌_x001F_佃幌䍅彁䕍乁䕟卐⬨ⰲ㐰ㄯ⼹〲〱착!＀＀ ＀＀	＀＀_x0008_＀＀_x0001_＀＀_x0001_＀＀_x0001_＀＀꼺䮱코䀏찀閵䴬 䕂噁䕞彃䕍乁偟⡅〲㈱ㄬ⼰㜲㈯㄰⤰!＀＀ ＀＀	＀＀_x0008_＀＀_x0001_＀＀_x0001_＀＀_x0001_＀＀眠ꘑ뜨䀭찀ꚢ丠M䍐幐䙆䕟呎偒归䅖彌䅄䱉⡙㜰ㄯ⼵〲ㄱⰬⰬ∬䥄≌⼩䍅彁䕍乁卟䱁卅㈨㄰ⰱ㜰ㄯ⼵〲ㄱ착Ɲ＀＀ ＀＀ƅ＀＀_x0008_＀＀_x0001_＀＀_x0001_＀＀_x0001_＀＀퉣෌⧱䀉摦畳㩰⼯楤敲瑣潩獮䘯呁嘠敩敷㽲捡楴湯唽䑐呁♅牣慥潴㵲慦瑣敳♴奄彎剁升吽啒♅佄彃䅎䕍䘽呁䘺䱑䅟䑕呉义彇䱃䕉呎呟䵅䱐呁⹅䅆♔楤灳慬役瑳楲杮䄽摵瑩嘦剁䬺奅䘽塃䙙䡃塗♁䅖㩒啑剅㵙歒晚啒唵汕卂ㅘ䉚䙔䔹啑䵬南睧祎砸华礸䑍硅䍌獷䍌湷䕒䵬祊癫啒䉎じ䘱啑昵さ䵆噒潍橍硁卍睷祎砸华礸䑍硅克㴽圦义佄㵗䥆卒彔佐啐♐䕈䝉呈㐽〵圦䑉䡔㐽〵匦䅔呒䵟塁䵉婉䑅䘽䱁䕓嘦剁䌺䱁久䅄㵒䥆䕖䅄♙䅖㩒奓䉍䱏倽偃嘦剁䤺䑎塅〽찀뿎䭠)䑇坞当䱈䡔䅃䕒䕟偘䱟彔佒⡁㈱㈯〰ⰶⰬ唬䑓착 ＀＀ ＀＀_x0008_＀＀_x0008_＀＀_x0001_＀＀_x0001_＀＀_x0001_＀＀＀＀＀＀＀＀䀠㹬丯L佃幌䙆䕟呎偒归䅖彌䅄䱉⡙㜰㈯⼶〲ㄱⰬⰬ∬䥄≌⼩䍅彁䕍乁䕟䥂⡔〲ㄱ〬⼷㘲㈯㄰⤱ƙ＀＀ ＀＀Ɓ＀＀_x0008_＀＀_x0001_＀＀_x0001_＀＀_x0001_＀＀䃳▋䀣摦畳㩰⼯楤敲瑣潩獮䘯呁嘠敩敷㽲捡楴湯唽䑐呁♅牣慥潴㵲慦瑣敳♴奄彎剁升吽啒♅佄彃䅎䕍䘽呁䘺䱑䅟䑕呉义彇䱃䕉呎呟䵅䱐呁⹅䅆♔楤灳慬役瑳楲杮䄽摵瑩嘦剁䬺奅䔽䝂卖䥘䥔♖䅖㩒啑剅㵙歒晚啒唵汕卂ㅘ䉚䙔䔹啑䵬南睧祎礸楎礸䑍硅䍌獷䍌湷䕒䵬祊癫啒䉎じ䘱啑昵啒䩊䍖祧䑍硅䑌㍁穌㉉穌睉呍灅圦义佄㵗䥆卒彔佐啐♐䕈䝉呈㐽〵圦䑉䡔㐽〵匦䅔呒䵟塁䵉婉䑅䘽䱁䕓嘦剁䌺䱁久䅄㵒䥆䕖䅄♙䅖㩒奓䉍䱏䌽䱏嘦剁䤺䑎塅〽찀뿎䭠'䑇䍞彁䕐华偟剁彔佃呎䥒⡂㈱㈯〰ⰸⰬ唬䑓착 ＀＀ ＀＀_x0008_＀＀_x0008_＀＀_x0001_＀＀_x0001_＀＀_x0001_＀＀＀＀＀＀＀＀＀＀듧䷰L佃幌䙆䕟呎偒归䅖彌䅄䱉⡙㐰ㄯ⼵〲ㄱⰬⰬ∬䥄≌⼩䍅彁䕍乁䕟䥂⡔〲ㄱ〬⼴㔱㈯㄰⤱Ɣ＀＀ ＀＀ż＀＀_x0008_＀＀_x0001_＀＀_x0001_＀＀_x0001_＀＀삱⏋퍫䀥摦畳㩰⼯楤敲瑣潩獮䘯呁嘠敩敷㽲捡楴湯唽䑐呁♅牣慥潴㵲慦瑣敳♴奄彎剁升吽啒♅佄彃䅎䕍䘽呁䘺䱑䅟䑕呉义彇䱃䕉呎呟䵅䱐呁⹅䅆♔楤灳慬役瑳楲杮䄽摵瑩嘦剁䬺奅儽䍒奎䅚䕘♆䅖㩒啑剅㵙歒晚啒唵汕卂ㅘ䉚䙔䔹啑䵬南睧䍎砸华礸䑍硅䍌獷䍌湷䕒䵬祊癫啒䉎じ䘱啑昵啒䩊䍖祧䑍硅䑌ぁ穌ㅅ穌睉呍灅圦义佄㵗䥆卒彔佐啐♐䕈䝉呈㐽〵圦䑉䡔㐽〵匦䅔呒䵟塁䵉婉䑅䘽䱁䕓嘦剁䌺䱁久䅄㵒单嘦剁区䵙佂㵌佃♌䅖㩒义䕄㵘0뿎䭠.䑇坞当䱈䡔䅃䕒䅟位呒卟剅彖佃呓ㄨ⼲〲㘰ⰬⰬ单⥄ ＀＀ ＀＀_x0008_＀＀_x0008_＀＀_x0001_＀＀_x0001_＀＀_x0001_＀＀＀＀＀＀＀＀㿰뿎䭠L䑇䍞彁佐呓䕒彔剓彖佃呓ㄨ⼲〲㘰ⰬⰬ单⥄址当䱈䡔䅃䕒卟剅彖佃呓ㄨ⼲〲㘰ⰬⰬ单⥄ ＀＀ ＀＀_x0008_＀＀_x0008_＀＀_x0001_＀＀_x0001_＀＀_x0001_＀＀＀＀＀＀＀＀䀲뿎䭠#䑇䍞彁䕐华䱟彔䥌䉁⡓㈱㈯〰ⰴⰬ唬䑓착 ＀＀ ＀＀_x0008_＀＀_x0008_＀＀_x0001_＀＀_x0001_＀＀_x0001_＀＀豀碵꼝쐕熀䯌 䕂噁䕞彃䕍乁偟⡅〲㈱〬⼴㤱㈯㄰⤰!＀＀ ＀＀	＀＀_x0008_＀＀_x0001_＀＀_x0001_＀＀_x0001_＀＀㷄㺖ᥴ䀩찀뿎䭠D䑇䍞彁佐呓䕒彔䕂彎䉏ㄨ⼲〲㔰ⰬⰬ单⥄址当䱈䡔䅃䕒偟佂ㄨ⼲〲㔰ⰬⰬ单⥄ ＀＀ ＀＀_x0008_＀＀_x0008_＀＀_x0001_＀＀_x0001_＀＀_x0001_＀＀＀＀＀＀됀䂒ꎛ䶨Q䝍呇䰭乏䙞彆久剔剐噟䱁䑟䥁奌〨⼱ㄱ㈯㄰ⰱⰬⰬ䐢䱉⤢䔯䅃䵟䅅彎䉅呉㈨㄰ⰱ㄰ㄯ⼱〲ㄱ착Ɯ＀＀ ＀＀Ƅ＀＀_x0008_＀＀_x0001_＀＀_x0001_＀＀_x0001_＀＀輩붕鶮䀤摦畳㩰⼯楤敲瑣潩獮䘯呁嘠敩敷㽲捡楴湯唽䑐呁♅牣慥潴㵲慦瑣敳♴奄彎剁升吽啒♅佄彃䅎䕍䘽呁䘺䱑䅟䑕呉义彇䱃䕉呎呟䵅䱐呁⹅䅆♔楤灳慬役瑳楲杮䄽摵瑩嘦剁䬺奅䔽坔半䕘䥄♐䅖㩒啑剅㵙歒晚啒唵汕卂ㅘ䉚䙔䔹啑䵬南睧卍砸卍礸䑍硅䍌獷䍌湷䕒䵬祊癫啒䉎じ䘱啑昵啒䩊䍖祧䑍硅䑌硁穌硅穌睉呍灅圦义佄㵗䥆卒彔佐啐♐䕈䝉呈㐽〵圦䑉䡔㐽〵匦䅔呒䵟塁䵉婉䑅䘽䱁䕓嘦剁䌺䱁久䅄㵒䥆䕖䅄♙䅖㩒奓䉍䱏〽㜵㠵☰䅖㩒义䕄㵘0ꎓ䶨M佃幌䙆䕟呎偒归䅖彌䅄䱉⡙㄰ㄯ⼱〲ㄱⰬⰬ∬䥄≌⼩䍅彁䕍乁卟䱁卅㈨㄰ⰰ㄰ㄯ⼱〲ㄱ착Ɲ＀＀ ＀＀ƅ＀＀_x0008_＀＀_x0001_＀＀_x0001_＀＀_x0001_＀＀㘺ฏ럋䀀摦畳㩰⼯楤敲瑣潩獮䘯呁嘠敩敷㽲捡楴湯唽䑐呁♅牣慥潴㵲慦瑣敳♴奄彎剁升吽啒♅佄彃䅎䕍䘽呁䘺䱑䅟䑕呉义彇䱃䕉呎呟䵅䱐呁⹅䅆♔楤灳慬役瑳楲杮䄽摵瑩嘦剁䬺奅䔽䥎䭆坒坂♐䅖㩒啑剅㵙歒晚啒唵汕卂ㅘ䉚䙔䔹啑䵬南睧卍砸卍礸䑍硅䍌獷䍌湷䕒䵬祊癫啒䉎じ䘱啑昵さ䵆噒潍橍硁䍍睷卍砸卍礸䑍硅克㴽圦义佄㵗䥆卒彔佐啐♐䕈䝉呈㐽〵圦䑉䡔㐽〵匦䅔呒䵟塁䵉婉䑅䘽䱁䕓嘦剁䌺䱁久䅄㵒䥆䕖䅄♙䅖㩒奓䉍䱏䌽䱏嘦剁䤺䑎塅〽찀㹬丯N佃幌䙆䕟呎偒归䅖彌䅄䱉⡙㜰㈯⼶〲ㄱⰬⰬ∬䥄≌⼩䍅彁䕍乁䕟䥂䑔⡁〲㈱〬⼷㘲㈯㄰⤱Ɲ＀＀ ＀＀ƅ＀＀_x0008_＀＀_x0001_＀＀_x0001_＀＀_x0001_＀＀褑蠿㇅䀟摦畳㩰⼯楤敲瑣潩獮䘯呁嘠敩敷㽲捡楴湯唽䑐呁♅牣慥潴㵲慦瑣敳♴奄彎剁升吽啒♅佄彃䅎䕍䘽呁䘺䱑䅟䑕呉义彇䱃䕉呎呟䵅䱐呁⹅䅆♔楤灳慬役瑳楲杮䄽摵瑩嘦剁䬺奅圽䕊卆䝌佈♊䅖㩒啑剅㵙歒晚啒唵汕卂ㅘ䉚䙔䔹啑䵬南睧祎礸楎礸䑍硅䍌獷䍌湷䕒䵬祊癫啒䉎じ䘱啑昵啒䩊䕖䉒䑋睉呍獉䑍癣橍癙橍硁卍㵫圦义佄㵗䥆卒彔佐啐♐䕈䝉呈㐽〵圦䑉䡔㐽〵匦䅔呒䵟塁䵉婉䑅䘽䱁䕓嘦剁䌺䱁久䅄㵒䥆䕖䅄♙䅖㩒奓䉍䱏䌽䱏嘦剁䤺䑎塅〽찀ꎝ䶨_x001E_䑇䕞彃䕍彄剐䍉彅䝔Ŕ㐰ㄯ⼵〲ㄱ!＀＀ ＀＀	＀＀_x0008_＀＀_x0001_＀＀_x0001_＀＀_x0001_＀＀＀＀＀＀䀀䁕찀뿎䭠+䑇䍞彁佐呓䕒彔䵅彐佃呎䥒彂⡃㈱㈯〰ⰴⰬ唬䑓착 ＀＀ ＀＀_x0008_＀＀_x0008_＀＀_x0001_＀＀_x0001_＀＀_x0001_＀＀＀＀＀＀＀＀䁄ᦦ产N佃幌䙆䕟呎偒归䅖彌䅄䱉⡙〱㈯⼵〲ㄱⰬⰬ∬䥄≌⼩䍅彁䕍乁䕟䥂䑔⡁〲ㄱㄬ⼰㔲㈯㄰⤱ơ＀＀ ＀＀Ɖ＀＀_x0008_＀＀_x0001_＀＀_x0001_＀＀_x0001_＀＀ꈟ㺕䀠摦畳㩰⼯楤敲瑣潩獮䘯呁嘠敩敷㽲捡楴湯唽䑐呁♅牣慥潴㵲慦瑣敳♴奄彎剁升吽啒♅佄彃䅎䕍䘽呁䘺䱑䅟䑕呉义彇䱃䕉呎呟䵅䱐呁⹅䅆♔楤灳慬役瑳楲杮䄽摵瑩嘦剁䬺奅䐽剋䡉䑃噁♋䅖㩒啑剅㵙歒晚啒唵汕卂ㅘ䉚䙔䔹啑䵬南硧䍍礸华礸䑍硅䍌獷䍌湷䕒䵬祊杫祌䙂け晆啔䉖汔䘹歑啬䕒潅橍硁卍硷䍍礸华礸䑍硅克㴽圦义佄㵗䥆卒彔佐啐♐䕈䝉呈㐽〵圦䑉䡔㐽〵匦䅔呒䵟塁䵉婉䑅䘽䱁䕓嘦剁䌺䱁久䅄㵒䥆䕖䅄♙䅖㩒奓䉍䱏䌽䱏嘦剁䤺䑎塅〽찀듩䷰$䝍呇䰭乏䕞彃䕍乁偟⡅〲㈱〬⼴㔱㈯㄰⤱!＀＀ ＀＀	＀＀_x0008_＀＀_x0001_＀＀_x0001_＀＀_x0001_＀＀떿┓椡䀤찀뿎䭠&amp;䑇䍞彁䕐华䙟乕彄呓呁单ㄨ⼲〲㈰ⰬⰬ单⥄ ＀＀ ＀＀_x0008_＀＀_x0008_＀＀_x0001_＀＀_x0001_＀＀_x0001_＀＀＀＀＀＀瀀䁾㹫丯N䕂噁䙞彆久剔剐噟䱁䑟䥁奌〨⼷㘲㈯㄰ⰱⰬⰬ䐢䱉⤢䔯䅃䵟䅅彎䅓䕌⡓〲㈱〬⼷㘲㈯㄰⤱ƞ＀＀ ＀＀Ɔ＀＀_x0008_＀＀_x0001_＀＀_x0001_＀＀_x0001_＀＀杞直ﴐ㿶摦畳㩰⼯楤敲瑣潩獮䘯呁嘠敩敷㽲捡楴湯唽䑐呁♅牣慥潴㵲慦瑣敳♴奄彎剁升吽啒♅佄彃䅎䕍䘽呁䘺䱑䅟䑕呉义彇䱃䕉呎呟䵅䱐呁⹅䅆♔楤灳慬役瑳楲杮䄽摵瑩嘦剁䬺奅伽䵄䅐佂奖♐䅖㩒啑剅㵙歒晚啒唵汕卂ㅘ䉚䙔䔹啑䵬南睧祎礸楎礸䑍硅䍌獷䍌湷䕒䵬祊癫啒䉎じ䘱啑昵さ䵆噒潍橍硁楍睷祎礸楎礸䑍硅克㴽圦义佄㵗䥆卒彔佐啐♐䕈䝉呈㐽〵圦䑉䡔㐽〵匦䅔呒䵟塁䵉婉䑅䘽䱁䕓嘦剁䌺䱁久䅄㵒䥆䕖䅄♙䅖㩒奓䉍䱏䈽䅅♖䅖㩒义䕄㵘0ꎐ䶨 䕂噁䕞䅃䵟䅅彎偅⡓㈫〬⼱ㄱ㈯㄰⤱!＀＀ ＀＀	＀＀_x0008_＀＀_x0001_＀＀_x0001_＀＀_x0001_＀＀쾅쇖뻁䀃찀閷䴬_x001F_佃幌䍅䵟䅅彎䕐㈨㄰ⰱ〱㈯⼷〲〱착!＀＀ ＀＀	＀＀_x0008_＀＀_x0001_＀＀_x0001_＀＀_x0001_＀＀쌮멿쪁䀮찀뿎䭠$䑇䍞彁䕐华䱟彔十䕓協ㄨ⼲〲㠰ⰬⰬ单⥄ ＀＀ ＀＀_x0008_＀＀_x0008_＀＀_x0001_＀＀_x0001_＀＀_x0001_＀＀＀＀＀＀쀀䁐ᦪ产R䝍呇䰭乏䙞彆久剔剐噟䱁䑟䥁奌ㄨ⼰㔲㈯㄰ⰱⰬⰬ䐢䱉⤢䔯䅃䵟䅅彎䅓䕌⡓〲〱ㄬ⼰㔲㈯㄰⤱Ơ＀＀ ＀＀ƈ＀＀_x0008_＀＀_x0001_＀＀_x0001_＀＀_x0001_＀＀逸驳茇䀉摦畳㩰⼯楤敲瑣潩獮䘯呁嘠敩敷㽲捡楴湯唽䑐呁♅牣慥潴㵲慦瑣敳♴奄彎剁升吽啒♅佄彃䅎䕍䘽呁䘺䱑䅟䑕呉义彇䱃䕉呎呟䵅䱐呁⹅䅆♔楤灳慬役瑳楲杮䄽摵瑩嘦剁䬺奅丽䩃呓婁䑗♏䅖㩒啑剅㵙歒晚啒唵汕卂ㅘ䉚䙔䔹啑䵬南硧䍍礸华礸䑍硅䍌獷䍌湷䕒䵬祊杫祌䙂け晆啔䉖汔吹啑䙸祕祧䑍睅䑌睅穌ㅉ穌睉呍灅圦义佄㵗䥆卒彔佐啐♐䕈䝉呈㐽〵圦䑉䡔㐽〵匦䅔呒䵟塁䵉婉䑅䘽䱁䕓嘦剁䌺䱁久䅄㵒䥆䕖䅄♙䅖㩒奓䉍䱏〽㜵㠵☰䅖㩒义䕄㵘0ꎕ䶨_x001F_䍐幐䍅䵟䅅彎䕐㈨㄰ⰱ㄰ㄯ⼱〲ㄱ착!＀＀ ＀＀	＀＀_x0008_＀＀_x0001_＀＀_x0001_＀＀_x0001_＀＀厣鹗䀰찀뿎䭠P䑇䍞彁䕐华䅟䍃䵕䍟䵏剐义⡃㈱㈯〰ⰲⰬ唬䑓䀩南䍟䵏剐䥟䍎偟久当䥌䉁ㄨ⼲〲㈰ⰬⰬ单⥄ ＀＀ ＀＀_x0008_＀＀_x0008_＀＀_x0001_＀＀_x0001_＀＀_x0001_＀＀豀碵꼝쐕뿎䭠,䑇䍞彁佐呓䕒彔剕呟归䉏䅟位呒ㄨ⼲〲㔰ⰬⰬ单⥄ ＀＀ ＀＀_x0008_＀＀_x0008_＀＀_x0001_＀＀_x0001_＀＀_x0001_＀＀＀＀＀＀＀＀㿰ᦟ产_x0019_䑇灞灟楲散江睯㕟圲㐨㄰㠷착!＀＀ ＀＀	＀＀_x0008_＀＀_x0001_＀＀_x0001_＀＀_x0001_＀＀炤਽ꏗ䁁찀ꚛ丠 䕂噁䕞彃䕍乁偟⡅〲㈱〬⼷㔱㈯㄰⤱!＀＀ ＀＀	＀＀_x0008_＀＀_x0001_＀＀_x0001_＀＀_x0001_＀＀好꧚ⲹ䀯찀뿎䭠$䑇䍞彁䕐华䍟剕䱟䅉卂ㄨ⼲〲㐰ⰬⰬ单⥄ ＀＀ ＀＀_x0008_＀＀_x0008_＀＀_x0001_＀＀_x0001_＀＀_x0001_＀＀豀碵꼝쐕뿎䭠S䑇䍞彁佐呓䕒彔剐佉归剓⡖㈱㈯〰ⰸⰬ唬䑓䀩南䡟呌䍈剁彅乕䕒彃䕓噒䍟协⡔㈱㈯〰ⰸⰬ唬䑓착 ＀＀ ＀＀_x0008_＀＀_x0008_＀＀_x0001_＀＀_x0001_＀＀_x0001_＀＀＀＀＀＀＀＀쀐뿎䭠A䑇䍞彁䕐华剟䅏ㄨ⼲〲㈰ⰬⰬ单⥄址当䕐华佉彎塅彐佒⡁㈱㈯〰ⰲⰬ唬䑓착 ＀＀ ＀＀_x0008_＀＀_x0008_＀＀_x0001_＀＀_x0001_＀＀_x0001_＀＀＀＀＀＀䀀삀熁䯌_x001F_佃幌䍅䵟䅅彎䕐㈨㄰ⰱ㐰ㄯ⼹〲〱착!＀＀ ＀＀	＀＀_x0008_＀＀_x0001_＀＀_x0001_＀＀_x0001_＀＀溃椯ᚌ䀰찀ꚟ丠M佃幌䙆䕟呎偒归䅖彌䅄䱉⡙㜰ㄯ⼵〲ㄱⰬⰬ∬䥄≌⼩䍅彁䕍乁卟䱁卅㈨㄰ⰲ㜰ㄯ⼵〲ㄱ착Ɲ＀＀ ＀＀ƅ＀＀_x0008_＀＀_x0001_＀＀_x0001_＀＀_x0001_＀＀靮ఙ_xDE53_㿼摦畳㩰⼯楤敲瑣潩獮䘯呁嘠敩敷㽲捡楴湯唽䑐呁♅牣慥潴㵲慦瑣敳♴奄彎剁升吽啒♅佄彃䅎䕍䘽呁䘺䱑䅟䑕呉义彇䱃䕉呎呟䵅䱐呁⹅䅆♔楤灳慬役瑳楲杮䄽摵瑩嘦剁䬺奅吽䱑䱃䩇䩕♕䅖㩒啑剅㵙歒晚啒唵汕卂ㅘ䉚䙔䔹啑䵬南睧祎砸华礸䑍硅䍌獷䍌湷䕒䵬祊癫啒䉎じ䘱啑昵さ䵆噒潍橍硁楍睷祎砸华礸䑍硅克㴽圦义佄㵗䥆卒彔佐啐♐䕈䝉呈㐽〵圦䑉䡔㐽〵匦䅔呒䵟塁䵉婉䑅䘽䱁䕓嘦剁䌺䱁久䅄㵒䥆䕖䅄♙䅖㩒奓䉍䱏䌽䱏嘦剁䤺䑎塅〽찀ꚦ丠Q䝍呇䰭乏䙞彆久剔剐噟䱁䑟䥁奌〨⼷㔱㈯㄰ⰱⰬⰬ䐢䱉⤢䔯䅃䵟䅅彎䉅呉㈨㄰ⰱ㜰ㄯ⼵〲ㄱ착Ɯ＀＀ ＀＀Ƅ＀＀_x0008_＀＀_x0001_＀＀_x0001_＀＀_x0001_＀＀妮쌁䀣摦畳㩰⼯楤敲瑣潩獮䘯呁嘠敩敷㽲捡楴湯唽䑐呁♅牣慥潴㵲慦瑣敳♴奄彎剁升吽啒♅佄彃䅎䕍䘽呁䘺䱑䅟䑕呉义彇䱃䕉呎呟䵅䱐呁⹅䅆♔楤灳慬役瑳楲杮䄽摵瑩嘦剁䬺奅娽噗䉙䱓䑃♅䅖㩒啑剅㵙歒晚啒唵汕卂ㅘ䉚䙔䔹啑䵬南睧祎砸华礸䑍硅䍌獷䍌湷䕒䵬祊癫啒䉎じ䘱啑昵啒䩊䍖祧䑍硅䑌㍁穌ㅅ穌睉呍灅圦义佄㵗䥆卒彔佐啐♐䕈䝉呈㐽〵圦䑉䡔㐽〵匦䅔呒䵟塁䵉婉䑅䘽䱁䕓嘦剁䌺䱁久䅄㵒䥆䕖䅄♙䅖㩒奓䉍䱏〽㜵㠵☰䅖㩒义䕄㵘0熂䯌O位⹇幁䙆䕟呎偒归䅖彌䅄䱉⡙㐰ㄯ⼹〲〱ⰬⰬ∬䥄≌⼩䍅彁䕍乁卟䱁卅㈨㄰ⰱ㐰ㄯ⼹〲〱착Ɵ＀＀ ＀＀Ƈ＀＀_x0008_＀＀_x0001_＀＀_x0001_＀＀_x0001_＀＀凴憗侓㿱摦畳㩰⼯楤敲瑣潩獮䘯呁嘠敩敷㽲捡楴湯唽䑐呁♅牣慥潴㵲慦瑣敳♴奄彎剁升吽啒♅佄彃䅎䕍䘽呁䘺䱑䅟䑕呉义彇䱃䕉呎呟䵅䱐呁⹅䅆♔楤灳慬役瑳楲杮䄽摵瑩嘦剁䬺奅䄽奊䝂卐䝚♄䅖㩒啑剅㵙歒晚啒唵汕卂ㅘ䉚䙔䔹啑䵬南睧䍎砸协礸䑍睅䍌獷䍌湷䕒䵬祊癫啒䉎じ䘱啑昵さ䵆噒潍橍硁卍睷䍎砸协礸䑍睅克㴽圦义佄㵗䥆卒彔佐啐♐䕈䝉呈㐽〵圦䑉䡔㐽〵匦䅔呒䵟塁䵉婉䑅䘽䱁䕓嘦剁䌺䱁久䅄㵒䥆䕖䅄♙䅖㩒奓䉍䱏䴽䝏䄮嘦剁䤺䑎塅〽찀뿎䭠K䑇䍞彁佐呓䕒彔义彔佃呓ㄨ⼲〲㜰ⰬⰬ单⥄址当䱈䡔䅃䕒䥟呎䍟协⡔㈱㈯〰ⰷⰬ唬䑓착 ＀＀ ＀＀_x0008_＀＀_x0008_＀＀_x0001_＀＀_x0001_＀＀_x0001_＀＀＀＀＀＀＀＀䁐뿎䭠F䑇䍞彁䕐华也呅䍟协⡔㈱㈯〰ⰷⰬ唬䑓䀩南偟久䥓乏也偐䕟偘ㄨ⼲〲㜰ⰬⰬ单⥄ ＀＀ ＀＀_x0008_＀＀_x0008_＀＀_x0001_＀＀_x0001_＀＀_x0001_＀＀＀＀＀＀＀＀䁃ᦠ产_x000D_䕂噁䙞彇剐䍉책!＀＀ ＀＀	＀＀_x0008_＀＀_x0001_＀＀_x0001_＀＀_x0001_＀＀尨⊏䁂찀ᦩ产M䍐幐䙆䕟呎偒归䅖彌䅄䱉⡙〱㈯⼵〲ㄱⰬⰬ∬䥄≌⼩䍅彁䕍乁卟䱁卅㈨㄰ⰲ〱㈯⼵〲ㄱ착Ɲ＀＀ ＀＀ƅ＀＀_x0008_＀＀_x0001_＀＀_x0001_＀＀_x0001_＀＀Ⱦ訞隰䀆摦畳㩰⼯楤敲瑣潩獮䘯呁嘠敩敷㽲捡楴湯唽䑐呁♅牣慥潴㵲慦瑣敳♴奄彎剁升吽啒♅佄彃䅎䕍䘽呁䘺䱑䅟䑕呉义彇䱃䕉呎呟䵅䱐呁⹅䅆♔楤灳慬役瑳楲杮䄽摵瑩嘦剁䬺奅吽偉乗前乙♋䅖㩒啑剅㵙歒晚啒唵汕卂ㅘ䉚䙔䔹啑䵬南硧䍍礸华礸䑍硅䍌獷䍌湷䕒䵬祊杫祌䙂け晆啔䉖汔吹啑䙸祕祧䑍祅䑌睅穌ㅉ穌睉呍灅圦义佄㵗䥆卒彔佐啐♐䕈䝉呈㐽〵圦䑉䡔㐽〵匦䅔呒䵟塁䵉婉䑅䘽䱁䕓嘦剁䌺䱁久䅄㵒䥆䕖䅄♙䅖㩒奓䉍䱏倽偃嘦剁䤺䑎塅〽찀ᦨ产_x001F_䍐幐䍅䵟䅅彎䕐㈨㄰ⰰ〱㈯⼵〲ㄱ착!＀＀ ＀＀	＀＀_x0008_＀＀_x0001_＀＀_x0001_＀＀_x0001_＀＀䢀綿瀝䀸찀뿎䭠_x001F_䑇坞当塅䡃剟呁⡅㈱㈯〰ⰲⰬ唬䑓착 ＀＀ ＀＀_x0008_＀＀_x0008_＀＀_x0001_＀＀_x0001_＀＀_x0001_＀＀＀＀＀＀＀＀㿰뿎䭠B䑇䍞彁䕐华偟佒彊䉏⡌㈱㈯〰ⰳⰬ唬䑓䀩南偟久䥓乏偟佂ㄨ⼲〲㌰ⰬⰬ单⥄ ＀＀ ＀＀_x0008_＀＀_x0008_＀＀_x0001_＀＀_x0001_＀＀_x0001_＀＀＀＀＀＀鸀䂹뿎䭠I䑇䍞彁䕐华剟䅏剟呁⡅㈱㈯〰ⰶⰬ唬䑓䀩南偟久䥓乏䕟偘䱟彔佒⡁㈱㈯〰ⰶⰬ唬䑓착 ＀＀ ＀＀_x0008_＀＀_x0008_＀＀_x0001_＀＀_x0001_＀＀_x0001_＀＀轜尨䀠ꚟ丠!位⹇幁䍅彁䕍乁䕟卐⬨ⰲ㜰ㄯ⼵〲ㄱ착!＀＀ ＀＀	＀＀_x0008_＀＀_x0001_＀＀_x0001_＀＀_x0001_＀＀Ḍ綦齳䀉찀ᦩ产$䝍呇䰭乏䕞彃䕍乁偟⡅〲㈱ㄬ⼰㔲㈯㄰⤱!＀＀ ＀＀	＀＀_x0008_＀＀_x0001_＀＀_x0001_＀＀_x0001_＀＀ꂔ킿嘣䀥찀㹭丯!位⹇幁䍅彁䕍乁䕟卐⬨ⰲ㜰㈯⼶〲ㄱ착!＀＀ ＀＀	＀＀_x0008_＀＀_x0001_＀＀_x0001_＀＀_x0001_＀＀Ḍ綦齳䀉찀듮䷰ 䑇䕞䅃䵟䅅彎䅓䕌⡓ㄫ〬⼶㤰㈯㄰⤱!＀＀ ＀＀	＀＀_x0008_＀＀_x0001_＀＀_x0001_＀＀_x0001_＀＀尨洏䃠찀뿎䭠(䑇䍞彁䕐华䕟偍䍟乏剔䉉䍟ㄨ⼲〲㘰ⰬⰬ单⥄ ＀＀ ＀＀_x0008_＀＀_x0008_＀＀_x0001_＀＀_x0001_＀＀_x0001_＀＀＀＀＀＀＀＀䀬ꎑ䶨O䕂噁䙞彆久剔剐噟䱁䑟䥁奌〨⼱ㄱ㈯㄰ⰱⰬⰬ䐢䱉⤢䔯䅃䵟䅅彎䉅呉䅄㈨㄰ⰰ㄰ㄯ⼱〲ㄱ착ƞ＀＀ ＀＀Ɔ＀＀_x0008_＀＀_x0001_＀＀_x0001_＀＀_x0001_＀＀虌홤著䀪摦畳㩰⼯楤敲瑣潩獮䘯呁嘠敩敷㽲捡楴湯唽䑐呁♅牣慥潴㵲慦瑣敳♴奄彎剁升吽啒♅佄彃䅎䕍䘽呁䘺䱑䅟䑕呉义彇䱃䕉呎呟䵅䱐呁⹅䅆♔楤灳慬役瑳楲杮䄽摵瑩嘦剁䬺奅䄽䕎䭆但党♂䅖㩒啑剅㵙歒晚啒唵汕卂ㅘ䉚䙔䔹啑䵬南睧卍砸卍礸䑍硅䍌獷䍌湷䕒䵬祊癫啒䉎じ䘱啑昵啒䩊䕖䉒䑋睉呍獁䑍癅呍癅橍硁卍㵫圦义佄㵗䥆卒彔佐啐♐䕈䝉呈㐽〵圦䑉䡔㐽〵匦䅔呒䵟塁䵉婉䑅䘽䱁䕓嘦剁䌺䱁久䅄㵒䥆䕖䅄♙䅖㩒奓䉍䱏䈽䅅♖䅖㩒义䕄㵘0뿎䭠&amp;䑇䍞彁䕐华䙟乕彄呓呁单ㄨ⼲〲㠰ⰬⰬ单⥄ ＀＀ ＀＀_x0008_＀＀_x0008_＀＀_x0001_＀＀_x0001_＀＀_x0001_＀＀＀＀＀＀퐀삦熂䯌_x001F_䍐幐䍅䵟䅅彎䕐㈨㄰ⰲ㐰ㄯ⼹〲〱착!＀＀ ＀＀	＀＀_x0008_＀＀_x0001_＀＀_x0001_＀＀_x0001_＀＀ﯣ勢뺕䀫찀熁䯌O䕂噁䙞彆久剔剐噟䱁䑟䥁奌〨⼴㤱㈯㄰ⰰⰬⰬ䐢䱉⤢䔯䅃䵟䅅彎䉅呉䅄㈨㄰ⰱ㐰ㄯ⼹〲〱착ƞ＀＀ ＀＀Ɔ＀＀_x0008_＀＀_x0001_＀＀_x0001_＀＀_x0001_＀＀枯䲲䀡摦畳㩰⼯楤敲瑣潩獮䘯呁嘠敩敷㽲捡楴湯唽䑐呁♅牣慥潴㵲慦瑣敳♴奄彎剁升吽啒♅佄彃䅎䕍䘽呁䘺䱑䅟䑕呉义彇䱃䕉呎呟䵅䱐呁⹅䅆♔楤灳慬役瑳楲杮䄽摵瑩嘦剁䬺奅儽奚啔䭆䕊♊䅖㩒啑剅㵙歒晚啒唵汕卂ㅘ䉚䙔䔹啑䵬南睧䍎砸协礸䑍睅䍌獷䍌湷䕒䵬祊癫啒䉎じ䘱啑昵啒䩊䕖䉒䑋睉呍獅䑍癑呍癫橍硁䍍㵫圦义佄㵗䥆卒彔佐啐♐䕈䝉呈㐽〵圦䑉䡔㐽〵匦䅔呒䵟塁䵉婉䑅䘽䱁䕓嘦剁䌺䱁久䅄㵒䥆䕖䅄♙䅖㩒奓䉍䱏䈽䅅♖䅖㩒义䕄㵘0ꎖ䶨N䍐幐䙆䕟呎偒归䅖彌䅄䱉⡙㄰ㄯ⼱〲ㄱⰬⰬ∬䥄≌⼩䍅彁䕍乁䕟䥂䑔⡁〲〱〬⼱ㄱ㈯㄰⤱Ɲ＀＀ ＀＀ƅ＀＀_x0008_＀＀_x0001_＀＀_x0001_＀＀_x0001_＀＀㲷견䀧摦畳㩰⼯楤敲瑣潩獮䘯呁嘠敩敷㽲捡楴湯唽䑐呁♅牣慥潴㵲慦瑣敳♴奄彎剁升吽啒♅佄彃䅎䕍䘽呁䘺䱑䅟䑕呉义彇䱃䕉呎呟䵅䱐呁⹅䅆♔楤灳慬役瑳楲杮䄽摵瑩嘦剁䬺奅唽䥌䥌䥈兌♐䅖㩒啑剅㵙歒晚啒唵汕卂ㅘ䉚䙔䔹啑䵬南睧卍砸卍礸䑍硅䍌獷䍌湷䕒䵬祊癫啒䉎じ䘱啑昵啒䩊䕖䉒䑋睉呍獁䑍癅呍癅橍硁卍㵫圦义佄㵗䥆卒彔佐啐♐䕈䝉呈㐽〵圦䑉䡔㐽〵匦䅔呒䵟塁䵉婉䑅䘽䱁䕓嘦剁䌺䱁久䅄㵒䥆䕖䅄♙䅖㩒奓䉍䱏倽偃嘦剁䤺䑎塅〽찀듬䷰R䝍呇䰭乏䙞彆久剔剐噟䱁䑟䥁奌〨⼴㔱㈯㄰ⰱⰬⰬ䐢䱉⤢䔯䅃䵟䅅彎䅓䕌⡓〲〱〬⼴㔱㈯㄰⤱ƛ＀＀ ＀＀ƃ＀＀_x0008_＀＀_x0001_＀＀_x0001_＀＀_x0001_＀＀锆ᐨ륖䀅摦畳㩰⼯楤敲瑣潩獮䘯呁嘠敩敷㽲捡楴湯唽䑐呁♅牣慥潴㵲慦瑣敳♴奄彎剁升吽啒♅佄彃䅎䕍䘽呁䘺䱑䅟䑕呉义彇䱃䕉呎呟䵅䱐呁⹅䅆♔楤灳慬役瑳楲杮䄽摵瑩嘦剁䬺奅圽䕎䵘䵄卄♆䅖㩒啑剅㵙歒晚啒唵汕卂ㅘ䉚䙔䔹啑䵬南睧䍎砸华礸䑍硅䍌獷䍌湷䕒䵬祊癫啒䉎じ䘱啑昵さ䵆噒潍橍硁䍍睷䍎砸华礸䑍硅克㴽圦义佄㵗䥆卒彔佐啐♐䕈䝉呈㐽〵圦䑉䡔㐽〵匦䅔呒䵟塁䵉婉䑅䘽䱁䕓嘦剁䌺䱁久䅄㵒单嘦剁区䵙佂㵌㔰㔷〸嘦剁䤺䑎塅〽찀뿎䭠"䑇䍞彁佐呓䕒彔䥌䉁ㄨ⼲〲㈰ⰬⰬ单⥄ ＀＀ ＀＀_x0008_＀＀_x0008_＀＀_x0001_＀＀_x0001_＀＀_x0001_＀＀＀＀＀＀⠀삁뿎䭠I䑇䍞彁䕐华䑟卉彃䅒䕔ㄨ⼲〲㈰ⰬⰬ单⥄址当䕐华佉彎䥄䍓剟呁⡅㈱㈯〰ⰲⰬ唬䑓착 ＀＀ ＀＀_x0008_＀＀_x0008_＀＀_x0001_＀＀_x0001_＀＀_x0001_＀＀＀＀＀＀＀＀䀜뿍䭠_x001F_䑇坞当塅䡃剟呁彅䅂彌䡓ㄨ⼲〲㘰착 ＀＀ ＀＀_x0008_＀＀_x0008_＀＀_x0001_＀＀_x0001_＀＀_x0001_＀＀豀碵꼝쐕熃䯌N䍐幐䙆䕟呎偒归䅖彌䅄䱉⡙㐰ㄯ⼹〲〱ⰬⰬ∬䥄≌⼩䍅彁䕍乁䕟䥂䑔⡁〲ㄱ〬⼴㤱㈯㄰⤰Ɲ＀＀ ＀＀ƅ＀＀_x0008_＀＀_x0001_＀＀_x0001_＀＀_x0001_＀＀髯愬膗䀡摦畳㩰⼯楤敲瑣潩獮䘯呁嘠敩敷㽲捡楴湯唽䑐呁♅牣慥潴㵲慦瑣敳♴奄彎剁升吽啒♅佄彃䅎䕍䘽呁䘺䱑䅟䑕呉义彇䱃䕉呎呟䵅䱐呁⹅䅆♔楤灳慬役瑳楲杮䄽摵瑩嘦剁䬺奅䬽䭘䅔兒単♂䅖㩒啑剅㵙歒晚啒唵汕卂ㅘ䉚䙔䔹啑䵬南睧䍎砸协礸䑍睅䍌獷䍌湷䕒䵬祊癫啒䉎じ䘱啑昵啒䩊䕖䉒䑋睉呍獅䑍癑呍癫橍硁䍍㵫圦义佄㵗䥆卒彔佐啐♐䕈䝉呈㐽〵圦䑉䡔㐽〵匦䅔呒䵟塁䵉婉䑅䘽䱁䕓嘦剁䌺䱁久䅄㵒䥆䕖䅄♙䅖㩒奓䉍䱏倽偃嘦剁䤺䑎塅〽찀뿎䭠B䑇䍞彁䕐华偟佒彊䉏⡌㈱㈯〰ⰲⰬ唬䑓䀩南偟久䥓乏偟佂ㄨ⼲〲㈰ⰬⰬ单⥄ ＀＀ ＀＀_x0008_＀＀_x0008_＀＀_x0001_＀＀_x0001_＀＀_x0001_＀＀＀＀＀＀_xDF00_䂵ꚝ丠_x001F_佃幌䍅䵟䅅彎䕐㈨㄰ⰱ㜰ㄯ⼵〲ㄱ착!＀＀ ＀＀	＀＀_x0008_＀＀_x0001_＀＀_x0001_＀＀_x0001_＀＀඄꽏붔䀬찀뿍䭠:䑇坞当䕐华佉彎十䕓協佟䡔ㄨ⼲〲㔰䀩䅃偟久当䍐彔呏⡈㈱㈯〰⤵ ＀＀ ＀＀_x0008_＀＀_x0008_＀＀_x0001_＀＀_x0001_＀＀_x0001_＀＀＀＀＀＀＀＀＀＀㹪丯O䕂噁䙞彆久剔剐噟䱁䑟䥁奌〨⼷㘲㈯㄰ⰱⰬⰬ䐢䱉⤢䔯䅃䵟䅅彎䉅呉䅄㈨㄰ⰰ㜰㈯⼶〲ㄱ착ƞ＀＀ ＀＀Ɔ＀＀_x0008_＀＀_x0001_＀＀_x0001_＀＀_x0001_＀＀罏_xDBF2_䀥摦畳㩰⼯楤敲瑣潩獮䘯呁嘠敩敷㽲捡楴湯唽䑐呁♅牣慥潴㵲慦瑣敳♴奄彎剁升吽啒♅佄彃䅎䕍䘽呁䘺䱑䅟䑕呉义彇䱃䕉呎呟䵅䱐呁⹅䅆♔楤灳慬役瑳楲杮䄽摵瑩嘦剁䬺奅圽䝐啐啖坌♒䅖㩒啑剅㵙歒晚啒唵汕卂ㅘ䉚䙔䔹啑䵬南睧祎礸楎礸䑍硅䍌獷䍌湷䕒䵬祊癫啒䉎じ䘱啑昵啒䩊䕖䉒䑋睉呍獁䑍癣橍癙橍硁卍㵫圦义佄㵗䥆卒彔佐啐♐䕈䝉呈㐽〵圦䑉䡔㐽〵匦䅔呒䵟塁䵉婉䑅䘽䱁䕓嘦剁䌺䱁久䅄㵒䥆䕖䅄♙䅖㩒奓䉍䱏䈽䅅♖䅖㩒义䕄㵘0ꎐ䶨 䕂噁䕞彃䕍乁偟⡅〲ㄱ〬⼱ㄱ㈯㄰⤱!＀＀ ＀＀	＀＀_x0008_＀＀_x0001_＀＀_x0001_＀＀_x0001_＀＀࣮֧隷䀳찀閹䴬N位⹇幁䙆䕟呎偒归䅖彌䅄䱉⡙〱㈯⼷〲〱ⰬⰬ∬䥄≌⼩䍅彁䕍乁䕟䥂⡔〲㈱ㄬ⼰㜲㈯㄰⤰Ɩ＀＀ ＀＀ž＀＀_x0008_＀＀_x0001_＀＀_x0001_＀＀_x0001_＀＀냴嶣涀䀢摦畳㩰⼯楤敲瑣潩獮䘯呁嘠敩敷㽲捡楴湯唽䑐呁♅牣慥潴㵲慦瑣敳♴奄彎剁升吽啒♅佄彃䅎䕍䘽呁䘺䱑䅟䑕呉义彇䱃䕉呎呟䵅䱐呁⹅䅆♔楤灳慬役瑳楲杮䄽摵瑩嘦剁䬺奅匽児坌奚䕔♈䅖㩒啑剅㵙歒晚啒唵汕卂ㅘ䉚䙔䔹啑䵬南硧䍍礸祎礸䑍睅䍌獷䍌湷䕒䵬祊癫啒䉎じ䘱啑昵啒䩊䍖祧䑍祅䑌睅穌㍉穌睉呍灁圦义佄㵗䥆卒彔佐啐♐䕈䝉呈㐽〵圦䑉䡔㐽〵匦䅔呒䵟塁䵉婉䑅䘽䱁䕓嘦剁䌺䱁久䅄㵒单嘦剁区䵙佂㵌位⹇♁䅖㩒义䕄㵘0㹮丯N䍐幐䙆䕟呎偒归䅖彌䅄䱉⡙㜰㈯⼶〲ㄱⰬⰬ∬䥄≌⼩䍅彁䕍乁䕟䥂䑔⡁〲〱〬⼷㘲㈯㄰⤱Ɲ＀＀ ＀＀ƅ＀＀_x0008_＀＀_x0001_＀＀_x0001_＀＀_x0001_＀＀썗营緁䀪摦畳㩰⼯楤敲瑣潩獮䘯呁嘠敩敷㽲捡楴湯唽䑐呁♅牣慥潴㵲慦瑣敳♴奄彎剁升吽啒♅佄彃䅎䕍䘽呁䘺䱑䅟䑕呉义彇䱃䕉呎呟䵅䱐呁⹅䅆♔楤灳慬役瑳楲杮䄽摵瑩嘦剁䬺奅匽協佄䭖兄♎䅖㩒啑剅㵙歒晚啒唵汕卂ㅘ䉚䙔䔹啑䵬南睧祎礸楎礸䑍硅䍌獷䍌湷䕒䵬祊癫啒䉎じ䘱啑昵啒䩊䕖䉒䑋睉呍獁䑍癣橍癙橍硁卍㵫圦义佄㵗䥆卒彔佐啐♐䕈䝉呈㐽〵圦䑉䡔㐽〵匦䅔呒䵟塁䵉婉䑅䘽䱁䕓嘦剁䌺䱁久䅄㵒䥆䕖䅄♙䅖㩒奓䉍䱏倽偃嘦剁䤺䑎塅〽찀閶䴬N䕂噁䙞彆久剔剐噟䱁䑟䥁奌ㄨ⼰㜲㈯㄰ⰰⰬⰬ䐢䱉⤢䔯䅃䵟䅅彎䅓䕌⡓〲ㄱㄬ⼰㜲㈯㄰⤰ƙ＀＀ ＀＀Ɓ＀＀_x0008_＀＀_x0001_＀＀_x0001_＀＀_x0001_＀＀惯ℹ㿽摦畳㩰⼯楤敲瑣潩獮䘯呁嘠敩敷㽲捡楴湯唽䑐呁♅牣慥潴㵲慦瑣敳♴奄彎剁升吽啒♅佄彃䅎䕍䘽呁䘺䱑䅟䑕呉义彇䱃䕉呎呟䵅䱐呁⹅䅆♔楤灳慬役瑳楲杮䄽摵瑩嘦剁䬺奅夽䅖䭄卒䅊♐䅖㩒啑剅㵙歒晚啒唵汕卂ㅘ䉚䙔䔹啑䵬南硧䍍礸祎礸䑍睅䍌獷䍌湷䕒䵬祊癫啒䉎じ䘱啑昵さ䵆噒潍橍硁卍硷䍍礸祎礸䑍睅克㴽圦义佄㵗䥆卒彔佐啐♐䕈䝉呈㐽〵圦䑉䡔㐽〵匦䅔呒䵟塁䵉婉䑅䘽䱁䕓嘦剁䌺䱁久䅄㵒单嘦剁区䵙佂㵌䕂噁嘦剁䤺䑎塅〽찀뿎䭠_x001F_䑇坞当塅䡃剟呁⡅㈱㈯〰ⰸⰬ唬䑓착 ＀＀ ＀＀_x0008_＀＀_x0008_＀＀_x0001_＀＀_x0001_＀＀_x0001_＀＀＀＀＀＀＀＀㿰㹲丯Q䝍呇䰭乏䙞彆久剔剐噟䱁䑟䥁奌〨⼷㘲㈯㄰ⰱⰬⰬ䐢䱉⤢䔯䅃䵟䅅彎䉅呉㈨㄰ⰱ㜰㈯⼶〲ㄱ착Ɯ＀＀ ＀＀Ƅ＀＀_x0008_＀＀_x0001_＀＀_x0001_＀＀_x0001_＀＀ⴝ顂ࢍ䀤摦畳㩰⼯楤敲瑣潩獮䘯呁嘠敩敷㽲捡楴湯唽䑐呁♅牣慥潴㵲慦瑣敳♴奄彎剁升吽啒♅佄彃䅎䕍䘽呁䘺䱑䅟䑕呉义彇䱃䕉呎呟䵅䱐呁⹅䅆♔楤灳慬役瑳楲杮䄽摵瑩嘦剁䬺奅匽卖啈䵎兔♈䅖㩒啑剅㵙歒晚啒唵汕卂ㅘ䉚䙔䔹啑䵬南睧祎礸楎礸䑍硅䍌獷䍌湷䕒䵬祊癫啒䉎じ䘱啑昵啒䩊䍖祧䑍硅䑌㍁穌㉉穌睉呍灅圦义佄㵗䥆卒彔佐啐♐䕈䝉呈㐽〵圦䑉䡔㐽〵匦䅔呒䵟塁䵉婉䑅䘽䱁䕓嘦剁䌺䱁久䅄㵒䥆䕖䅄♙䅖㩒奓䉍䱏〽㜵㠵☰䅖㩒义䕄㵘0듩䷰M䍐幐䙆䕟呎偒归䅖彌䅄䱉⡙㐰ㄯ⼵〲ㄱⰬⰬ∬䥄≌⼩䍅彁䕍乁卟䱁卅㈨㄰ⰲ㐰ㄯ⼵〲ㄱ착Ƙ＀＀ ＀＀ƀ＀＀_x0008_＀＀_x0001_＀＀_x0001_＀＀_x0001_＀＀Ӆౣᄝ䀄摦畳㩰⼯楤敲瑣潩獮䘯呁嘠敩敷㽲捡楴湯唽䑐呁♅牣慥潴㵲慦瑣敳♴奄彎剁升吽啒♅佄彃䅎䕍䘽呁䘺䱑䅟䑕呉义彇䱃䕉呎呟䵅䱐呁⹅䅆♔楤灳慬役瑳楲杮䄽摵瑩嘦剁䬺奅圽䭐兊䭂䝆♒䅖㩒啑剅㵙歒晚啒唵汕卂ㅘ䉚䙔䔹啑䵬南睧䍎砸华礸䑍硅䍌獷䍌湷䕒䵬祊癫啒䉎じ䘱啑昵さ䵆噒潍橍硁楍睷䍎砸华礸䑍硅克㴽圦义佄㵗䥆卒彔佐啐♐䕈䝉呈㐽〵圦䑉䡔㐽〵匦䅔呒䵟塁䵉婉䑅䘽䱁䕓嘦剁䌺䱁久䅄㵒单嘦剁区䵙佂㵌䍐♐䅖㩒义䕄㵘0뿎䭠E䑇䍞彁䕐华剟䅏䅟呃ㄨ⼲〲㐰ⰬⰬ单⥄址当䕐华佉彎䍁彔佒⡁㈱㈯〰ⰴⰬ唬䑓착 ＀＀ ＀＀_x0008_＀＀_x0008_＀＀_x0001_＀＀_x0001_＀＀_x0001_＀＀＀＀＀＀쀀䂄뿎䭠&amp;䑇坞当䕐彎佐呓剟呅䉟久ㄨ⼲〲㔰ⰬⰬ单⥄ ＀＀ ＀＀_x0008_＀＀_x0008_＀＀_x0001_＀＀_x0001_＀＀_x0001_＀＀＀＀＀＀　䁳듪䷰S䝍呇䰭乏䙞彆久剔剐噟䱁䑟䥁奌〨⼴㔱㈯㄰ⰱⰬⰬ䐢䱉⤢䔯䅃䵟䅅彎䉅呉䅄㈨㄰ⰱ㐰ㄯ⼵〲ㄱ착ƛ＀＀ ＀＀ƃ＀＀_x0008_＀＀_x0001_＀＀_x0001_＀＀_x0001_＀＀鞷Ს䀞摦畳㩰⼯楤敲瑣潩獮䘯呁嘠敩敷㽲捡楴湯唽䑐呁♅牣慥潴㵲慦瑣敳♴奄彎剁升吽啒♅佄彃䅎䕍䘽呁䘺䱑䅟䑕呉义彇䱃䕉呎呟䵅䱐呁⹅䅆♔楤灳慬役瑳楲杮䄽摵瑩嘦剁䬺奅唽卂䍐䅄坒♔䅖㩒啑剅㵙歒晚啒唵汕卂ㅘ䉚䙔䔹啑䵬南睧䍎砸华礸䑍硅䍌獷䍌湷䕒䵬祊癫啒䉎じ䘱啑昵啒䩊䕖䉒䑋睉呍獅䑍癑呍癕橍硁卍㵫圦义佄㵗䥆卒彔佐啐♐䕈䝉呈㐽〵圦䑉䡔㐽〵匦䅔呒䵟塁䵉婉䑅䘽䱁䕓嘦剁䌺䱁久䅄㵒单嘦剁区䵙佂㵌㔰㔷〸嘦剁䤺䑎塅〽찀ꎝ䶨_x001F_䑇䕞䅃䵟䅅彎䉅呉⬨ⰳ㐰ㄯ⼵〲ㄱ착!＀＀ ＀＀	＀＀_x0008_＀＀_x0001_＀＀_x0001_＀＀_x0001_＀＀ొ⬂濇䂱찀ꎔ䶨!位⹇幁䍅䵟䅅彎䕐㈨㄰ⰲ㄰ㄯ⼱〲ㄱ착!＀＀ ＀＀	＀＀_x0008_＀＀_x0001_＀＀_x0001_＀＀_x0001_＀＀徑쐿쬆䀫찀閹䴬_x001F_䍐幐䍅䵟䅅彎䕐㈨㄰ⰰ〱㈯⼷〲〱착!＀＀ ＀＀	＀＀_x0008_＀＀_x0001_＀＀_x0001_＀＀_x0001_＀＀䖈䀳찀뿍䭠;䑇坞当䕐华佉彎十䕓協䉟乏卄ㄨ⼲〲㜰䀩䅃偟久当䍐彔䥆ㄨ⼲〲㜰착 ＀＀ ＀＀_x0008_＀＀_x0008_＀＀_x0001_＀＀_x0001_＀＀_x0001_＀＀＀＀＀＀＀＀䀈Ꮺ产_x001A_䑇䙞彇䕍乁䕟卐䙟㉑〨Ⱜ㤬⤰!＀＀ ＀＀	＀＀_x0008_＀＀_x0001_＀＀_x0001_＀＀_x0001_＀＀᛽ဧ䀀찀ꎓ䶨N佃幌䙆䕟呎偒归䅖彌䅄䱉⡙㄰ㄯ⼱〲ㄱⰬⰬ∬䥄≌⼩䍅彁䕍乁䕟䥂䑔⡁〲㈱〬⼱ㄱ㈯㄰⤱Ɲ＀＀ ＀＀ƅ＀＀_x0008_＀＀_x0001_＀＀_x0001_＀＀_x0001_＀＀꤂簨栗䀠摦畳㩰⼯楤敲瑣潩獮䘯呁嘠敩敷㽲捡楴湯唽䑐呁♅牣慥潴㵲慦瑣敳♴奄彎剁升吽啒♅佄彃䅎䕍䘽呁䘺䱑䅟䑕呉义彇䱃䕉呎呟䵅䱐呁⹅䅆♔楤灳慬役瑳楲杮䄽摵瑩嘦剁䬺奅䤽奖佈䵚啚♄䅖㩒啑剅㵙歒晚啒唵汕卂ㅘ䉚䙔䔹啑䵬南睧卍砸卍礸䑍硅䍌獷䍌湷䕒䵬祊癫啒䉎じ䘱啑昵啒䩊䕖䉒䑋睉呍獉䑍癅呍癅橍硁卍㵫圦义佄㵗䥆卒彔佐啐♐䕈䝉呈㐽〵圦䑉䡔㐽〵匦䅔呒䵟塁䵉婉䑅䘽䱁䕓嘦剁䌺䱁久䅄㵒䥆䕖䅄♙䅖㩒奓䉍䱏䌽䱏嘦剁䤺䑎塅〽찀ꬭ䶨_x0017_低幃䝆偟䥒䕃 ⼱〱㈯㄰찱!＀＀ ＀＀	＀＀_x0008_＀＀_x0001_＀＀_x0001_＀＀_x0001_＀＀꤀鱍寜䁎찀뿎䭠(䑇坞当䱈䡔䅃䕒䑟卉彃䅒䕔ㄨ⼲〲㌰ⰬⰬ单⥄ ＀＀ ＀＀_x0008_＀＀_x0008_＀＀_x0001_＀＀_x0001_＀＀_x0001_＀＀＀＀＀＀＀＀䀙뿎䭠E䑇䍞彁䕐华剟䅏䅟呃ㄨ⼲〲㜰ⰬⰬ单⥄址当䕐华佉彎䍁彔佒⡁㈱㈯〰ⰷⰬ唬䑓착 ＀＀ ＀＀_x0008_＀＀_x0008_＀＀_x0001_＀＀_x0001_＀＀_x0001_＀＀＀＀＀＀　䁿ᦡ产 䕂噁䕞彃䕍乁偟⡅〲〱ㄬ⼰㔲㈯㄰⤱!＀＀ ＀＀	＀＀_x0008_＀＀_x0001_＀＀_x0001_＀＀_x0001_＀＀䆊諐䀹찀뿎䭠"䑇䍞彁佐呓䕒彔䥌䉁ㄨ⼲〲㠰ⰬⰬ单⥄ ＀＀ ＀＀_x0008_＀＀_x0008_＀＀_x0001_＀＀_x0001_＀＀_x0001_＀＀＀＀＀＀＀＀삄뿎䭠H䑇䍞彁䕐华卟噒䍟协⡔㈱㈯〰ⰸⰬ唬䑓䀩南偟久䥓乏卟剅彖佃呓ㄨ⼲〲㠰ⰬⰬ单⥄ ＀＀ ＀＀_x0008_＀＀_x0008_＀＀_x0001_＀＀_x0001_＀＀_x0001_＀＀＀＀＀＀＀＀䁩閸䴬!位⹇幁䍅彁䕍乁䕟卐⬨ⰲ〱㈯⼷〲〱착!＀＀ ＀＀	＀＀_x0008_＀＀_x0001_＀＀_x0001_＀＀_x0001_＀＀ਾꏗ㵰䀉찀뿎䭠'䑇坞当䕐华佉彎十䕓協䱟⡔㈱㈯〰ⰸⰬ唬䑓착 ＀＀ ＀＀_x0008_＀＀_x0008_＀＀_x0001_＀＀_x0001_＀＀_x0001_＀＀豀碵꼝쐕ꎒ䶨_x001F_佃幌䍅䵟䅅彎䕐㈨㄰ⰰ㄰ㄯ⼱〲ㄱ착!＀＀ ＀＀	＀＀_x0008_＀＀_x0001_＀＀_x0001_＀＀_x0001_＀＀马鱷ᮢ䀱찀ᦧ产!位⹇幁䍅䵟䅅彎䕐㈨㄰ⰱ〱㈯⼵〲ㄱ착!＀＀ ＀＀	＀＀_x0008_＀＀_x0001_＀＀_x0001_＀＀_x0001_＀＀腍컌䀩찀뿍䭠:䑇坞当䕐华佉彎十䕓協偟佒⡐㈱㈯〰⤷䍀彁䕐华偟呃剟⡅㈱㈯〰⤷ ＀＀ ＀＀_x0008_＀＀_x0008_＀＀_x0001_＀＀_x0001_＀＀_x0001_＀＀＀＀＀＀＀＀＀＀熁䯌!位⹇幁䍅彁䕍乁䕟卐⬨ⰲ㐰ㄯ⼹〲〱착!＀＀ ＀＀	＀＀_x0008_＀＀_x0001_＀＀_x0001_＀＀_x0001_＀＀嶉_xDBDB_䀅찀熁䯌M䕂噁䙞彆久剔剐噟䱁䑟䥁奌〨⼴㤱㈯㄰ⰰⰬⰬ䐢䱉⤢䔯䅃䵟䅅彎䉅呉㈨㄰ⰲ㐰ㄯ⼹〲〱착ƚ＀＀ ＀＀Ƃ＀＀_x0008_＀＀_x0001_＀＀_x0001_＀＀_x0001_＀＀줟倥릔䀡摦畳㩰⼯楤敲瑣潩獮䘯呁嘠敩敷㽲捡楴湯唽䑐呁♅牣慥潴㵲慦瑣敳♴奄彎剁升吽啒♅佄彃䅎䕍䘽呁䘺䱑䅟䑕呉义彇䱃䕉呎呟䵅䱐呁⹅䅆♔楤灳慬役瑳楲杮䄽摵瑩嘦剁䬺奅夽啂䝎啖奒♌䅖㩒啑剅㵙歒晚啒唵汕卂ㅘ䉚䙔䔹啑䵬南睧䍎砸协礸䑍睅䍌獷䍌湷䕒䵬祊癫啒䉎じ䘱啑昵啒䩊䍖祧䑍祅䑌ぁ穌㕅穌睉呍灁圦义佄㵗䥆卒彔佐啐♐䕈䝉呈㐽〵圦䑉䡔㐽〵匦䅔呒䵟塁䵉婉䑅䘽䱁䕓嘦剁䌺䱁久䅄㵒䥆䕖䅄♙䅖㩒奓䉍䱏䈽䅅♖䅖㩒义䕄㵘0ꚝ丠O䕂噁䙞彆久剔剐噟䱁䑟䥁奌〨⼷㔱㈯㄰ⰱⰬⰬ䐢䱉⤢䔯䅃䵟䅅彎䉅呉䅄㈨㄰ⰱ㜰ㄯ⼵〲ㄱ착ƞ＀＀ ＀＀Ɔ＀＀_x0008_＀＀_x0001_＀＀_x0001_＀＀_x0001_＀＀㨨꜔䀥摦畳㩰⼯楤敲瑣潩獮䘯呁嘠敩敷㽲捡楴湯唽䑐呁♅牣慥潴㵲慦瑣敳♴奄彎剁升吽啒♅佄彃䅎䕍䘽呁䘺䱑䅟䑕呉义彇䱃䕉呎呟䵅䱐呁⹅䅆♔楤灳慬役瑳楲杮䄽摵瑩嘦剁䬺奅倽䑗噁噁䱗♃䅖㩒啑剅㵙歒晚啒唵汕卂ㅘ䉚䙔䔹啑䵬南睧祎砸华礸䑍硅䍌獷䍌湷䕒䵬祊癫啒䉎じ䘱啑昵啒䩊䕖䉒䑋睉呍獅䑍癣呍癕橍硁卍㵫圦义佄㵗䥆卒彔佐啐♐䕈䝉呈㐽〵圦䑉䡔㐽〵匦䅔呒䵟塁䵉婉䑅䘽䱁䕓嘦剁䌺䱁久䅄㵒䥆䕖䅄♙䅖㩒奓䉍䱏䈽䅅♖䅖㩒义䕄㵘0ꚢ丠N䍐幐䙆䕟呎偒归䅖彌䅄䱉⡙㜰ㄯ⼵〲ㄱⰬⰬ∬䥄≌⼩䍅彁䕍乁䕟䥂䑔⡁〲ㄱ〬⼷㔱㈯㄰⤱Ɲ＀＀ ＀＀ƅ＀＀_x0008_＀＀_x0001_＀＀_x0001_＀＀_x0001_＀＀섰쫈ⳟ䀦摦畳㩰⼯楤敲瑣潩獮䘯呁嘠敩敷㽲捡楴湯唽䑐呁♅牣慥潴㵲慦瑣敳♴奄彎剁升吽啒♅佄彃䅎䕍䘽呁䘺䱑䅟䑕呉义彇䱃䕉呎呟䵅䱐呁⹅䅆♔楤灳慬役瑳楲杮䄽摵瑩嘦剁䬺奅䈽䙏偁乕䙓♗䅖㩒啑剅㵙歒晚啒唵汕卂ㅘ䉚䙔䔹啑䵬南睧祎砸华礸䑍硅䍌獷䍌湷䕒䵬祊癫啒䉎じ䘱啑昵啒䩊䕖䉒䑋睉呍獅䑍癣呍癕橍硁卍㵫圦义佄㵗䥆卒彔佐啐♐䕈䝉呈㐽〵圦䑉䡔㐽〵匦䅔呒䵟塁䵉婉䑅䘽䱁䕓嘦剁䌺䱁久䅄㵒䥆䕖䅄♙䅖㩒奓䉍䱏倽偃嘦剁䤺䑎塅〽찀뿍䭠;䑇坞当䕐华佉彎十䕓協䉟乏卄ㄨ⼲〲㈰䀩䅃偟久当䍐彔䥆ㄨ⼲〲㈰착 ＀＀ ＀＀_x0008_＀＀_x0008_＀＀_x0001_＀＀_x0001_＀＀_x0001_＀＀豀碵꼝쐕ꚡ丠O位⹇幁䙆䕟呎偒归䅖彌䅄䱉⡙㜰ㄯ⼵〲ㄱⰬⰬ∬䥄≌⼩䍅彁䕍乁卟䱁卅㈨㄰ⰰ㜰ㄯ⼵〲ㄱ착Ɵ＀＀ ＀＀Ƈ＀＀_x0008_＀＀_x0001_＀＀_x0001_＀＀_x0001_＀＀薺Ê臼㿳摦畳㩰⼯楤敲瑣潩獮䘯呁嘠敩敷㽲捡楴湯唽䑐呁♅牣慥潴㵲慦瑣敳♴奄彎剁升吽啒♅佄彃䅎䕍䘽呁䘺䱑䅟䑕呉义彇䱃䕉呎呟䵅䱐呁⹅䅆♔楤灳慬役瑳楲杮䄽摵瑩嘦剁䬺奅丽婙塏䡇䱕♃䅖㩒啑剅㵙歒晚啒唵汕卂ㅘ䉚䙔䔹啑䵬南睧祎砸华礸䑍硅䍌獷䍌湷䕒䵬祊癫啒䉎じ䘱啑昵さ䵆噒潍橍硁䍍睷祎砸华礸䑍硅克㴽圦义佄㵗䥆卒彔佐啐♐䕈䝉呈㐽〵圦䑉䡔㐽〵匦䅔呒䵟塁䵉婉䑅䘽䱁䕓嘦剁䌺䱁久䅄㵒䥆䕖䅄♙䅖㩒奓䉍䱏䴽䝏䄮嘦剁䤺䑎塅〽찀뿎䭠'䑇坞当䱈䡔䅃䕒啟䙎䉟久ㄨ⼲〲㌰ⰬⰬ单⥄착＀＀＀＀뿍䭠:䑇坞当䕐华佉彎十䕓協䕟啑⡉㈱㈯〰⤸䍀彁䕐华偟呃䕟⡑㈱㈯〰⤸ ＀＀ ＀＀_x0008_＀＀_x0008_＀＀_x0001_＀＀_x0001_＀＀_x0001_＀＀＀＀＀＀쀀䁗ꚡ丠_x001F_䍐幐䍅䵟䅅彎䕐㈨㄰ⰰ㜰ㄯ⼵〲ㄱ착!＀＀ ＀＀	＀＀_x0008_＀＀_x0001_＀＀_x0001_＀＀_x0001_＀＀왿΅ड䀷찀㹮丯_x001F_䍐幐䍅䵟䅅彎䕐㈨㄰ⰰ㜰㈯⼶〲ㄱ착!＀＀ ＀＀	＀＀_x0008_＀＀_x0001_＀＀_x0001_＀＀_x0001_＀＀퀔𡃰䀶찀閺䴬N䍐幐䙆䕟呎偒归䅖彌䅄䱉⡙〱㈯⼷〲〱ⰬⰬ∬䥄≌⼩䍅彁䕍乁䕟䥂䑔⡁〲ㄱㄬ⼰㜲㈯㄰⤰Ƙ＀＀ ＀＀ƀ＀＀_x0008_＀＀_x0001_＀＀_x0001_＀＀_x0001_＀＀왾瓚恂䀣摦畳㩰⼯楤敲瑣潩獮䘯呁嘠敩敷㽲捡楴湯唽䑐呁♅牣慥潴㵲慦瑣敳♴奄彎剁升吽啒♅佄彃䅎䕍䘽呁䘺䱑䅟䑕呉义彇䱃䕉呎呟䵅䱐呁⹅䅆♔楤灳慬役瑳楲杮䄽摵瑩嘦剁䬺奅夽䵔䝊啒児♂䅖㩒啑剅㵙歒晚啒唵汕卂ㅘ䉚䙔䔹啑䵬南硧䍍礸祎礸䑍睅䍌獷䍌湷䕒䵬祊癫啒䉎じ䘱啑昵啒䩊䕖䉒䑋睉呍獅呍癁橍癣橍硁䍍㵫圦义佄㵗䥆卒彔佐啐♐䕈䝉呈㐽〵圦䑉䡔㐽〵匦䅔呒䵟塁䵉婉䑅䘽䱁䕓嘦剁䌺䱁久䅄㵒单嘦剁区䵙佂㵌䍐♐䅖㩒义䕄㵘0뿎䭠P䑇䍞彁䕐华䅟䍃䵕䍟䵏剐义⡃㈱㈯〰ⰷⰬ唬䑓䀩南䍟䵏剐䥟䍎偟久当䥌䉁ㄨ⼲〲㜰ⰬⰬ单⥄ ＀＀ ＀＀_x0008_＀＀_x0008_＀＀_x0001_＀＀_x0001_＀＀_x0001_＀＀豀碵꼝쐕ꚤ丠$䝍呇䰭乏䕞彃䕍乁偟⡅〲㈱〬⼷㔱㈯㄰⤱!＀＀ ＀＀	＀＀_x0008_＀＀_x0001_＀＀_x0001_＀＀_x0001_＀＀戂⸒秤䀥찀㹰丯$䝍呇䰭乏䕞彃䕍乁偟⡅〲㈱〬⼷㘲㈯㄰⤱!＀＀ ＀＀	＀＀_x0008_＀＀_x0001_＀＀_x0001_＀＀_x0001_＀＀虲転ķ䀦찀閵䴬 䕂噁䕞彃䕍乁偟⡅〲〱ㄬ⼰㜲㈯㄰⤰!＀＀ ＀＀	＀＀_x0008_＀＀_x0001_＀＀_x0001_＀＀_x0001_＀＀嘚䛱⧦䀸찀뿍䭠_x0019_䑇坞当塅䡃剟呁彅䅂彌䡓〨착 ＀＀ ＀＀_x0008_＀＀_x0008_＀＀_x0001_＀＀_x0001_＀＀_x0001_＀＀豀碵꼝쐕뿎䭠A䑇䍞彁䕐华剟䅏ㄨ⼲〲㔰ⰬⰬ单⥄址当䕐华佉彎塅彐佒⡁㈱㈯〰ⰵⰬ唬䑓착 ＀＀ ＀＀_x0008_＀＀_x0008_＀＀_x0001_＀＀_x0001_＀＀_x0001_＀＀＀＀＀＀_xD800_삀᥋产7䑇䙞彅卅䥔䅍䕔✨䉅呉Ⱗ䴧䅅❎✬啑剁䕔䱒❙✬ㄫⰧ低ⱗⰬ✧착!＀＀ ＀＀	＀＀_x0008_＀＀_x0001_＀＀_x0001_＀＀_x0001_＀＀ജⷠ몐䂎찀熃䯌M䍐幐䙆䕟呎偒归䅖彌䅄䱉⡙㐰ㄯ⼹〲〱ⰬⰬ∬䥄≌⼩䍅彁䕍乁卟䱁卅㈨㄰ⰰ㐰ㄯ⼹〲〱착Ɲ＀＀ ＀＀ƅ＀＀_x0008_＀＀_x0001_＀＀_x0001_＀＀_x0001_＀＀哅찘퍇䀆摦畳㩰⼯楤敲瑣潩獮䘯呁嘠敩敷㽲捡楴湯唽䑐呁♅牣慥潴㵲慦瑣敳♴奄彎剁升吽啒♅佄彃䅎䕍䘽呁䘺䱑䅟䑕呉义彇䱃䕉呎呟䵅䱐呁⹅䅆♔楤灳慬役瑳楲杮䄽摵瑩嘦剁䬺奅儽䍐䥘兄䵎♔䅖㩒啑剅㵙歒晚啒唵汕卂ㅘ䉚䙔䔹啑䵬南睧䍎砸协礸䑍睅䍌獷䍌湷䕒䵬祊癫啒䉎じ䘱啑昵さ䵆噒潍橍硁䍍睷䍎砸协礸䑍睅克㴽圦义佄㵗䥆卒彔佐啐♐䕈䝉呈㐽〵圦䑉䡔㐽〵匦䅔呒䵟塁䵉婉䑅䘽䱁䕓嘦剁䌺䱁久䅄㵒䥆䕖䅄♙䅖㩒奓䉍䱏倽偃嘦剁䤺䑎塅〽찀ꎜ䶨R䝍呇䰭乏䙞彆久剔剐噟䱁䑟䥁奌〨⼱ㄱ㈯㄰ⰱⰬⰬ䐢䱉⤢䔯䅃䵟䅅彎䅓䕌⡓〲㈱〬⼱ㄱ㈯㄰⤱Ơ＀＀ ＀＀ƈ＀＀_x0008_＀＀_x0001_＀＀_x0001_＀＀_x0001_＀＀亜쏂鳊䀄摦畳㩰⼯楤敲瑣潩獮䘯呁嘠敩敷㽲捡楴湯唽䑐呁♅牣慥潴㵲慦瑣敳♴奄彎剁升吽啒♅佄彃䅎䕍䘽呁䘺䱑䅟䑕呉义彇䱃䕉呎呟䵅䱐呁⹅䅆♔楤灳慬役瑳楲杮䄽摵瑩嘦剁䬺奅䜽䭊坘䍊䕚♐䅖㩒啑剅㵙歒晚啒唵汕卂ㅘ䉚䙔䔹啑䵬南睧卍砸卍礸䑍硅䍌獷䍌湷䕒䵬祊癫啒䉎じ䘱啑昵さ䵆噒潍橍硁楍睷卍砸卍礸䑍硅克㴽圦义佄㵗䥆卒彔佐啐♐䕈䝉呈㐽〵圦䑉䡔㐽〵匦䅔呒䵟塁䵉婉䑅䘽䱁䕓嘦剁䌺䱁久䅄㵒䥆䕖䅄♙䅖㩒奓䉍䱏〽㜵㠵☰䅖㩒义䕄㵘0閸䴬!位⹇幁䍅䵟䅅彎䕐㈨㄰ⰱ〱㈯⼷〲〱착!＀＀ ＀＀	＀＀_x0008_＀＀_x0001_＀＀_x0001_＀＀_x0001_＀＀脴ᘢ琱䀫찀뿎䭠O䑇䍞彁佐呓䕒彔䱐乁䅟呓䕟䑎ㄨ⼲〲㔰ⰬⰬ单⥄址当䱈䡔䅃䕒䙟彖十䕓⡔㈱㈯〰ⰵⰬ唬䑓착 ＀＀ ＀＀_x0008_＀＀_x0008_＀＀_x0001_＀＀_x0001_＀＀_x0001_＀＀＀＀＀＀瀀䁷뿎䭠A䑇䍞彁䕐华剟䅏ㄨ⼲〲㠰ⰬⰬ单⥄址当䕐华佉彎塅彐佒⡁㈱㈯〰ⰸⰬ唬䑓착 ＀＀ ＀＀_x0008_＀＀_x0008_＀＀_x0001_＀＀_x0001_＀＀_x0001_＀＀＀＀＀＀蠀삂ᦥ产M䕂噁䙞彆久剔剐噟䱁䑟䥁奌ㄨ⼰㔲㈯㄰ⰱⰬⰬ䐢䱉⤢䔯䅃䵟䅅彎䉅呉㈨㄰ⰲ〱㈯⼵〲ㄱ착ƞ＀＀ ＀＀Ɔ＀＀_x0008_＀＀_x0001_＀＀_x0001_＀＀_x0001_＀＀蒚꟢䀢摦畳㩰⼯楤敲瑣潩獮䘯呁嘠敩敷㽲捡楴湯唽䑐呁♅牣慥潴㵲慦瑣敳♴奄彎剁升吽啒♅佄彃䅎䕍䘽呁䘺䱑䅟䑕呉义彇䱃䕉呎呟䵅䱐呁⹅䅆♔楤灳慬役瑳楲杮䄽摵瑩嘦剁䬺奅倽婕偅䡑䉁♅䅖㩒啑剅㵙歒晚啒唵汕卂ㅘ䉚䙔䔹啑䵬南硧䍍礸华礸䑍硅䍌獷䍌湷䕒䵬祊杫祌䙂け晆啔䉖汔䘹歑啬䑋睉呍獉呍癁橍癕橍硁卍㵫圦义佄㵗䥆卒彔佐啐♐䕈䝉呈㐽〵圦䑉䡔㐽〵匦䅔呒䵟塁䵉婉䑅䘽䱁䕓嘦剁䌺䱁久䅄㵒䥆䕖䅄♙䅖㩒奓䉍䱏䈽䅅♖䅖㩒义䕄㵘0뿍䭠:䑇坞当䕐华佉彎十䕓協偟佒⡐㈱㈯〰⤲䍀彁䕐华偟呃剟⡅㈱㈯〰⤲ ＀＀ ＀＀_x0008_＀＀_x0008_＀＀_x0001_＀＀_x0001_＀＀_x0001_＀＀豀碵꼝쐕㹳丯R䝍呇䰭乏䙞彆久剔剐噟䱁䑟䥁奌〨⼷㘲㈯㄰ⰱⰬⰬ䐢䱉⤢䔯䅃䵟䅅彎䅓䕌⡓〲ㄱ〬⼷㘲㈯㄰⤱Ơ＀＀ ＀＀ƈ＀＀_x0008_＀＀_x0001_＀＀_x0001_＀＀_x0001_＀＀㨽뉚팳䀃摦畳㩰⼯楤敲瑣潩獮䘯呁嘠敩敷㽲捡楴湯唽䑐呁♅牣慥潴㵲慦瑣敳♴奄彎剁升吽啒♅佄彃䅎䕍䘽呁䘺䱑䅟䑕呉义彇䱃䕉呎呟䵅䱐呁⹅䅆♔楤灳慬役瑳楲杮䄽摵瑩嘦剁䬺奅䌽佌䵂䥔䵄♆䅖㩒啑剅㵙歒晚啒唵汕卂ㅘ䉚䙔䔹啑䵬南睧祎礸楎礸䑍硅䍌獷䍌湷䕒䵬祊癫啒䉎じ䘱啑昵さ䵆噒潍橍硁卍睷祎礸楎礸䑍硅克㴽圦义佄㵗䥆卒彔佐啐♐䕈䝉呈㐽〵圦䑉䡔㐽〵匦䅔呒䵟塁䵉婉䑅䘽䱁䕓嘦剁䌺䱁久䅄㵒䥆䕖䅄♙䅖㩒奓䉍䱏〽㜵㠵☰䅖㩒义䕄㵘0뿎䭠I䑇䍞彁䕐华偟䅌彎十⡔㈱㈯〰ⰱⰬ唬䑓䀩南偟久䥓乏噟䱁䅟卓呅⡓㈱㈯〰ⰱⰬ唬䑓착 ＀＀ ＀＀_x0008_＀＀_x0008_＀＀_x0001_＀＀_x0001_＀＀_x0001_＀＀＀＀＀＀_xDB00_䂷뿍䭠_x001F_䑇坞当塅䡃剟呁彅䅂彌䡓ㄨ⼲〲㜰착 ＀＀ ＀＀_x0008_＀＀_x0008_＀＀_x0001_＀＀_x0001_＀＀_x0001_＀＀豀碵꼝쐕閺䴬L䍐幐䙆䕟呎偒归䅖彌䅄䱉⡙〱㈯⼷〲〱ⰬⰬ∬䥄≌⼩䍅彁䕍乁䕟䥂⡔〲〱ㄬ⼰㜲㈯㄰⤰Ɣ＀＀ ＀＀ż＀＀_x0008_＀＀_x0001_＀＀_x0001_＀＀_x0001_＀＀捹羑䀩摦畳㩰⼯楤敲瑣潩獮䘯呁嘠敩敷㽲捡楴湯唽䑐呁♅牣慥潴㵲慦瑣敳♴奄彎剁升吽啒♅佄彃䅎䕍䘽呁䘺䱑䅟䑕呉义彇䱃䕉呎呟䵅䱐呁⹅䅆♔楤灳慬役瑳楲杮䄽摵瑩嘦剁䬺奅唽卐䝎䥆兔♚䅖㩒啑剅㵙歒晚啒唵汕卂ㅘ䉚䙔䔹啑䵬南硧䍍礸祎礸䑍睅䍌獷䍌湷䕒䵬祊癫啒䉎じ䘱啑昵啒䩊䍖祧䑍睅䑌睅穌㍉穌睉呍灁圦义佄㵗䥆卒彔佐啐♐䕈䝉呈㐽〵圦䑉䡔㐽〵匦䅔呒䵟塁䵉婉䑅䘽䱁䕓嘦剁䌺䱁久䅄㵒单嘦剁区䵙佂㵌䍐♐䅖㩒义䕄㵘0뿎䭠&amp;䑇䍞彁佐呓䕒彔䕂彎䅐䑉ㄨ⼲〲㌰ⰬⰬ单⥄ ＀＀ ＀＀_x0008_＀＀_x0008_＀＀_x0001_＀＀_x0001_＀＀_x0001_＀＀＀＀＀＀耀䁉듩䷰$䝍呇䰭乏䕞彃䕍乁偟⡅〲〱〬⼴㔱㈯㄰⤱!＀＀ ＀＀	＀＀_x0008_＀＀_x0001_＀＀_x0001_＀＀_x0001_＀＀콊ዴᅣ䀪찀㹪丯N䕂噁䙞彆久剔剐噟䱁䑟䥁奌〨⼷㘲㈯㄰ⰱⰬⰬ䐢䱉⤢䔯䅃䵟䅅彎䅓䕌⡓〲〱〬⼷㘲㈯㄰⤱ƞ＀＀ ＀＀Ɔ＀＀_x0008_＀＀_x0001_＀＀_x0001_＀＀_x0001_＀＀觪䝮䀀摦畳㩰⼯楤敲瑣潩獮䘯呁嘠敩敷㽲捡楴湯唽䑐呁♅牣慥潴㵲慦瑣敳♴奄彎剁升吽啒♅佄彃䅎䕍䘽呁䘺䱑䅟䑕呉义彇䱃䕉呎呟䵅䱐呁⹅䅆♔楤灳慬役瑳楲杮䄽摵瑩嘦剁䬺奅䬽䅚䝆䝖䵆♒䅖㩒啑剅㵙歒晚啒唵汕卂ㅘ䉚䙔䔹啑䵬南睧祎礸楎礸䑍硅䍌獷䍌湷䕒䵬祊癫啒䉎じ䘱啑昵さ䵆噒潍橍硁䍍睷祎礸楎礸䑍硅克㴽圦义佄㵗䥆卒彔佐啐♐䕈䝉呈㐽〵圦䑉䡔㐽〵匦䅔呒䵟塁䵉婉䑅䘽䱁䕓嘦剁䌺䱁久䅄㵒䥆䕖䅄♙䅖㩒奓䉍䱏䈽䅅♖䅖㩒义䕄㵘0뿍䭠:䑇坞当䕐华佉彎十䕓協䕟啑⡉㈱㈯〰⤳䍀彁䕐华偟呃䕟⡑㈱㈯〰⤳ ＀＀ ＀＀_x0008_＀＀_x0008_＀＀_x0001_＀＀_x0001_＀＀_x0001_＀＀＀＀＀＀＀＀䁘뿎䭠'䑇䍞彁䕐华偟剁彔佃呎䥒⡂㈱㈯〰ⰳⰬ唬䑓착 ＀＀ ＀＀_x0008_＀＀_x0008_＀＀_x0001_＀＀_x0001_＀＀_x0001_＀＀＀＀＀＀＀＀＀＀뿎䭠#䑇䍞彁䕐华䉟久偟䥁⡄㈱㈯〰ⰲⰬ唬䑓착 ＀＀ ＀＀_x0008_＀＀_x0008_＀＀_x0001_＀＀_x0001_＀＀_x0001_＀＀＀＀＀＀䀀䁲뿎䭠B䑇䍞彁䕐华偟佒彊䉏⡌㈱㈯〰ⰱⰬ唬䑓䀩南偟久䥓乏偟佂ㄨ⼲〲㄰ⰬⰬ单⥄ ＀＀ ＀＀_x0008_＀＀_x0008_＀＀_x0001_＀＀_x0001_＀＀_x0001_＀＀＀＀＀＀⨀䂴ꚛ丠 䕂噁䕞彃䕍乁偟⡅〲〱〬⼷㔱㈯㄰⤱!＀＀ ＀＀	＀＀_x0008_＀＀_x0001_＀＀_x0001_＀＀_x0001_＀＀㡲꯳逹䀼찀㹩丯 䕂噁䕞彃䕍乁偟⡅〲〱〬⼷㘲㈯㄰⤱!＀＀ ＀＀	＀＀_x0008_＀＀_x0001_＀＀_x0001_＀＀_x0001_＀＀棜漀䒁䀽찀ᦠ产_x0012_䑇䙞彇䭍彔䅖啌⡅⤰!＀＀ ＀＀	＀＀_x0008_＀＀_x0001_＀＀_x0001_＀＀_x0001_＀＀＀＀＀＀⾨䃗찀ᦨ产O位⹇幁䙆䕟呎偒归䅖彌䅄䱉⡙〱㈯⼵〲ㄱⰬⰬ∬䥄≌⼩䍅彁䕍乁卟䱁卅㈨㄰ⰱ〱㈯⼵〲ㄱ착Ɵ＀＀ ＀＀Ƈ＀＀_x0008_＀＀_x0001_＀＀_x0001_＀＀_x0001_＀＀ʘ竐䋀㿰摦畳㩰⼯楤敲瑣潩獮䘯呁嘠敩敷㽲捡楴湯唽䑐呁♅牣慥潴㵲慦瑣敳♴奄彎剁升吽啒♅佄彃䅎䕍䘽呁䘺䱑䅟䑕呉义彇䱃䕉呎呟䵅䱐呁⹅䅆♔楤灳慬役瑳楲杮䄽摵瑩嘦剁䬺奅吽乑塉䩓䑅♋䅖㩒啑剅㵙歒晚啒唵汕卂ㅘ䉚䙔䔹啑䵬南硧䍍礸华礸䑍硅䍌獷䍌湷䕒䵬祊杫祌䙂け晆啔䉖汔吹啑䙸祕祧䑍硅䑌睅穌ㅉ穌睉呍灅圦义佄㵗䥆卒彔佐啐♐䕈䝉呈㐽〵圦䑉䡔㐽〵匦䅔呒䵟塁䵉婉䑅䘽䱁䕓嘦剁䌺䱁久䅄㵒䥆䕖䅄♙䅖㩒奓䉍䱏䴽䝏䄮嘦剁䤺䑎塅〽찀듫䷰Q䝍呇䰭乏䙞彆久剔剐噟䱁䑟䥁奌〨⼴㔱㈯㄰ⰱⰬⰬ䐢䱉⤢䔯䅃䵟䅅彎䉅呉㈨㄰ⰱ㐰ㄯ⼵〲ㄱ착Ɨ＀＀ ＀＀ſ＀＀_x0008_＀＀_x0001_＀＀_x0001_＀＀_x0001_＀＀쑄䇦簲䀢摦畳㩰⼯楤敲瑣潩獮䘯呁嘠敩敷㽲捡楴湯唽䑐呁♅牣慥潴㵲慦瑣敳♴奄彎剁升吽啒♅佄彃䅎䕍䘽呁䘺䱑䅟䑕呉义彇䱃䕉呎呟䵅䱐呁⹅䅆♔楤灳慬役瑳楲杮䄽摵瑩嘦剁䬺奅圽䅊党䕊䵂♘䅖㩒啑剅㵙歒晚啒唵汕卂ㅘ䉚䙔䔹啑䵬南睧䍎砸华礸䑍硅䍌獷䍌湷䕒䵬祊癫啒䉎じ䘱啑昵啒䩊䍖祧䑍硅䑌ぁ穌ㅅ穌睉呍灅圦义佄㵗䥆卒彔佐啐♐䕈䝉呈㐽〵圦䑉䡔㐽〵匦䅔呒䵟塁䵉婉䑅䘽䱁䕓嘦剁䌺䱁久䅄㵒单嘦剁区䵙佂㵌㔰㔷〸嘦剁䤺䑎塅〽찀閺䴬$䝍呇䰭乏䕞彃䕍乁偟⡅〲㈱ㄬ⼰㜲㈯㄰⤰!＀＀ ＀＀	＀＀_x0008_＀＀_x0001_＀＀_x0001_＀＀_x0001_＀＀뙴킀㡺䀤찀缔䯌_x0017_䑇䕞䅃䵟䅅彎偅⡓〲㜰〬착!＀＀ ＀＀	＀＀_x0008_＀＀_x0001_＀＀_x0001_＀＀_x0001_＀＀晧晦晦䀔찀ꎑ䶨M䕂噁䙞彆久剔剐噟䱁䑟䥁奌〨⼱ㄱ㈯㄰ⰱⰬⰬ䐢䱉⤢䔯䅃䵟䅅彎䉅呉㈨㄰ⰲ㄰ㄯ⼱〲ㄱ착ƚ＀＀ ＀＀Ƃ＀＀_x0008_＀＀_x0001_＀＀_x0001_＀＀_x0001_＀＀𣏕맍뭂䀤摦畳㩰⼯楤敲瑣潩獮䘯呁嘠敩敷㽲捡楴湯唽䑐呁♅牣慥潴㵲慦瑣敳♴奄彎剁升吽啒♅佄彃䅎䕍䘽呁䘺䱑䅟䑕呉义彇䱃䕉呎呟䵅䱐呁⹅䅆♔楤灳慬役瑳楲杮䄽摵瑩嘦剁䬺奅夽䝄卆䝎啊♚䅖㩒啑剅㵙歒晚啒唵汕卂ㅘ䉚䙔䔹啑䵬南睧卍砸卍礸䑍硅䍌獷䍌湷䕒䵬祊癫啒䉎じ䘱啑昵啒䩊䍖祧䑍祅䑌硁穌硅穌睉呍灅圦义佄㵗䥆卒彔佐啐♐䕈䝉呈㐽〵圦䑉䡔㐽〵匦䅔呒䵟塁䵉婉䑅䘽䱁䕓嘦剁䌺䱁久䅄㵒䥆䕖䅄♙䅖㩒奓䉍䱏䈽䅅♖䅖㩒义䕄㵘0뿎䭠&amp;䑇坞当䕐华佉彎䕎彔䥌䉁ㄨ⼲〲㔰ⰬⰬ单⥄ ＀＀ ＀＀_x0008_＀＀_x0008_＀＀_x0001_＀＀_x0001_＀＀_x0001_＀＀豀碵꼝쐕ᦩ产M䍐幐䙆䕟呎偒归䅖彌䅄䱉⡙〱㈯⼵〲ㄱⰬⰬ∬䥄≌⼩䍅彁䕍乁卟䱁卅㈨㄰ⰰ〱㈯⼵〲ㄱ착Ɲ＀＀ ＀＀ƅ＀＀_x0008_＀＀_x0001_＀＀_x0001_＀＀_x0001_＀＀㦑뇚鎴䀎摦畳㩰⼯楤敲瑣潩獮䘯呁嘠敩敷㽲捡楴湯唽䑐呁♅牣慥潴㵲慦瑣敳♴奄彎剁升吽啒♅佄彃䅎䕍䘽呁䘺䱑䅟䑕呉义彇䱃䕉呎呟䵅䱐呁⹅䅆♔楤灳慬役瑳楲杮䄽摵瑩嘦剁䬺奅倽䱃䱃噇呁♃䅖㩒啑剅㵙歒晚啒唵汕卂ㅘ䉚䙔䔹啑䵬南硧䍍礸华礸䑍硅䍌獷䍌湷䕒䵬祊杫祌䙂け晆啔䉖汔吹啑䙸祕祧䑍睅䑌睅穌ㅉ穌睉呍灅圦义佄㵗䥆卒彔佐啐♐䕈䝉呈㐽〵圦䑉䡔㐽〵匦䅔呒䵟塁䵉婉䑅䘽䱁䕓嘦剁䌺䱁久䅄㵒䥆䕖䅄♙䅖㩒奓䉍䱏倽偃嘦剁䤺䑎塅〽찀뿎䭠'䑇䍞彁䕐华偟䑐䉟久䍟协⡔㈱㈯〰ⰴⰬ唬䑓착 ＀＀ ＀＀_x0008_＀＀_x0008_＀＀_x0001_＀＀_x0001_＀＀_x0001_＀＀豀碵꼝쐕熁䯌M佃幌䙆䕟呎偒归䅖彌䅄䱉⡙㐰ㄯ⼹〲〱ⰬⰬ∬䥄≌⼩䍅彁䕍乁卟䱁卅㈨㄰ⰱ㐰ㄯ⼹〲〱착Ɲ＀＀ ＀＀ƅ＀＀_x0008_＀＀_x0001_＀＀_x0001_＀＀_x0001_＀＀㩈ᅅ䀁摦畳㩰⼯楤敲瑣潩獮䘯呁嘠敩敷㽲捡楴湯唽䑐呁♅牣慥潴㵲慦瑣敳♴奄彎剁升吽啒♅佄彃䅎䕍䘽呁䘺䱑䅟䑕呉义彇䱃䕉呎呟䵅䱐呁⹅䅆♔楤灳慬役瑳楲杮䄽摵瑩嘦剁䬺奅唽䝖䅐佒啒♒䅖㩒啑剅㵙歒晚啒唵汕卂ㅘ䉚䙔䔹啑䵬南睧䍎砸协礸䑍睅䍌獷䍌湷䕒䵬祊癫啒䉎じ䘱啑昵さ䵆噒潍橍硁卍睷䍎砸协礸䑍睅克㴽圦义佄㵗䥆卒彔佐啐♐䕈䝉呈㐽〵圦䑉䡔㐽〵匦䅔呒䵟塁䵉婉䑅䘽䱁䕓嘦剁䌺䱁久䅄㵒䥆䕖䅄♙䅖㩒奓䉍䱏䌽䱏嘦剁䤺䑎塅〽찀ꚟ丠!位⹇幁䍅䵟䅅彎䕐㈨㄰ⰱ㜰ㄯ⼵〲ㄱ착!＀＀ ＀＀	＀＀_x0008_＀＀_x0001_＀＀_x0001_＀＀_x0001_＀＀_xDFD2_㭁䀮찀㹭丯!位⹇幁䍅䵟䅅彎䕐㈨㄰ⰱ㜰㈯⼶〲ㄱ착!＀＀ ＀＀	＀＀_x0008_＀＀_x0001_＀＀_x0001_＀＀_x0001_＀＀ꤡ銅⇉䀮찀ꎝ䶨 䑇䕞䅃䵟䅅彎䉅呉⡄㈫〬⼴㔱㈯㄰⤱!＀＀ ＀＀	＀＀_x0008_＀＀_x0001_＀＀_x0001_＀＀_x0001_＀＀鞍ቮ魃䂲찀熂䯌_x001F_䍐幐䍅䵟䅅彎䕐㈨㄰ⰰ㐰ㄯ⼹〲〱착!＀＀ ＀＀	＀＀_x0008_＀＀_x0001_＀＀_x0001_＀＀_x0001_＀＀᎕⫭⒤䀰찀뿎䭠$䑇䍞彁䕐华䱟彔十䕓協ㄨ⼲〲㌰ⰬⰬ单⥄ ＀＀ ＀＀_x0008_＀＀_x0008_＀＀_x0001_＀＀_x0001_＀＀_x0001_＀＀豀碵꼝쐕熃䯌$䝍呇䰭乏䕞彃䕍乁偟⡅〲㈱〬⼴㤱㈯㄰⤰!＀＀ ＀＀	＀＀_x0008_＀＀_x0001_＀＀_x0001_＀＀_x0001_＀＀㽗줶䀤찀뿎䭠#䑇䍞彁䕐华䉟久偟䥁⡄㈱㈯〰ⰸⰬ唬䑓착 ＀＀ ＀＀_x0008_＀＀_x0008_＀＀_x0001_＀＀_x0001_＀＀_x0001_＀＀＀＀＀＀　䁸ᦫ产_x001F_䑇䕞䅃䵟䅅彎䉅呉⬨ⰳ〱㈯⼵〲ㄱ착!＀＀ ＀＀	＀＀_x0008_＀＀_x0001_＀＀_x0001_＀＀_x0001_＀＀ꗣ쒛_xD840_䂰찀閻䴬R䝍呇䰭乏䙞彆久剔剐噟䱁䑟䥁奌ㄨ⼰㜲㈯㄰ⰰⰬⰬ䐢䱉⤢䔯䅃䵟䅅彎䅓䕌⡓〲〱ㄬ⼰㜲㈯㄰⤰ƛ＀＀ ＀＀ƃ＀＀_x0008_＀＀_x0001_＀＀_x0001_＀＀_x0001_＀＀Ϫ䭳䀄摦畳㩰⼯楤敲瑣潩獮䘯呁嘠敩敷㽲捡楴湯唽䑐呁♅牣慥潴㵲慦瑣敳♴奄彎剁升吽啒♅佄彃䅎䕍䘽呁䘺䱑䅟䑕呉义彇䱃䕉呎呟䵅䱐呁⹅䅆♔楤灳慬役瑳楲杮䄽摵瑩嘦剁䬺奅䄽兘䕄䝘䍄♂䅖㩒啑剅㵙歒晚啒唵汕卂ㅘ䉚䙔䔹啑䵬南硧䍍礸祎礸䑍睅䍌獷䍌湷䕒䵬祊癫啒䉎じ䘱啑昵さ䵆噒潍橍硁䍍硷䍍礸祎礸䑍睅克㴽圦义佄㵗䥆卒彔佐啐♐䕈䝉呈㐽〵圦䑉䡔㐽〵匦䅔呒䵟塁䵉婉䑅䘽䱁䕓嘦剁䌺䱁久䅄㵒单嘦剁区䵙佂㵌㔰㔷〸嘦剁䤺䑎塅〽찀듨䷰P位⹇幁䙆䕟呎偒归䅖彌䅄䱉⡙㐰ㄯ⼵〲ㄱⰬⰬ∬䥄≌⼩䍅彁䕍乁䕟䥂䑔⡁〲㈱〬⼴㔱㈯㄰⤱ƚ＀＀ ＀＀Ƃ＀＀_x0008_＀＀_x0001_＀＀_x0001_＀＀_x0001_＀＀੡曉藳䀞摦畳㩰⼯楤敲瑣潩獮䘯呁嘠敩敷㽲捡楴湯唽䑐呁♅牣慥潴㵲慦瑣敳♴奄彎剁升吽啒♅佄彃䅎䕍䘽呁䘺䱑䅟䑕呉义彇䱃䕉呎呟䵅䱐呁⹅䅆♔楤灳慬役瑳楲杮䄽摵瑩嘦剁䬺奅儽䵚䥘䥂啚♚䅖㩒啑剅㵙歒晚啒唵汕卂ㅘ䉚䙔䔹啑䵬南睧䍎砸华礸䑍硅䍌獷䍌湷䕒䵬祊癫啒䉎じ䘱啑昵啒䩊䕖䉒䑋睉呍獉䑍癑呍癕橍硁卍㵫圦义佄㵗䥆卒彔佐啐♐䕈䝉呈㐽〵圦䑉䡔㐽〵匦䅔呒䵟塁䵉婉䑅䘽䱁䕓嘦剁䌺䱁久䅄㵒单嘦剁区䵙佂㵌位⹇♁䅖㩒义䕄㵘0뿎䭠#䑇䍞彁䕐华䱟彔䥌䉁⡓㈱㈯〰ⰵⰬ唬䑓착 ＀＀ ＀＀_x0008_＀＀_x0008_＀＀_x0001_＀＀_x0001_＀＀_x0001_＀＀豀碵꼝쐕뿎䭠$䑇䍞彁䕐华䍟䵏彐䅒䕔ㄨ⼲〲㈰ⰬⰬ单⥄ ＀＀ ＀＀_x0008_＀＀_x0008_＀＀_x0001_＀＀_x0001_＀＀_x0001_＀＀＀＀＀＀＀＀䀞缔䯌_x0017_䑇䕞䅃䵟䅅彎偅⡓〲㐰〬착!＀＀ ＀＀	＀＀_x0008_＀＀_x0001_＀＀_x0001_＀＀_x0001_＀＀竡긔䀇찀ꚝ丠M䕂噁䙞彆久剔剐噟䱁䑟䥁奌〨⼷㔱㈯㄰ⰱⰬⰬ䐢䱉⤢䔯䅃䵟䅅彎䉅呉㈨㄰ⰲ㜰ㄯ⼵〲ㄱ착ƚ＀＀ ＀＀Ƃ＀＀_x0008_＀＀_x0001_＀＀_x0001_＀＀_x0001_＀＀쫈몎ञ䀥摦畳㩰⼯楤敲瑣潩獮䘯呁嘠敩敷㽲捡楴湯唽䑐呁♅牣慥潴㵲慦瑣敳♴奄彎剁升吽啒♅佄彃䅎䕍䘽呁䘺䱑䅟䑕呉义彇䱃䕉呎呟䵅䱐呁⹅䅆♔楤灳慬役瑳楲杮䄽摵瑩嘦剁䬺奅䠽乏塑婁剓♍䅖㩒啑剅㵙歒晚啒唵汕卂ㅘ䉚䙔䔹啑䵬南睧祎砸华礸䑍硅䍌獷䍌湷䕒䵬祊癫啒䉎じ䘱啑昵啒䩊䍖祧䑍祅䑌㍁穌ㅅ穌睉呍灅圦义佄㵗䥆卒彔佐啐♐䕈䝉呈㐽〵圦䑉䡔㐽〵匦䅔呒䵟塁䵉婉䑅䘽䱁䕓嘦剁䌺䱁久䅄㵒䥆䕖䅄♙䅖㩒奓䉍䱏䈽䅅♖䅖㩒义䕄㵘0듨䷰O位⹇幁䙆䕟呎偒归䅖彌䅄䱉⡙㐰ㄯ⼵〲ㄱⰬⰬ∬䥄≌⼩䍅彁䕍乁卟䱁卅㈨㄰ⰱ㐰ㄯ⼵〲ㄱ착ƚ＀＀ ＀＀Ƃ＀＀_x0008_＀＀_x0001_＀＀_x0001_＀＀_x0001_＀＀埲罄蓰㿲摦畳㩰⼯楤敲瑣潩獮䘯呁嘠敩敷㽲捡楴湯唽䑐呁♅牣慥潴㵲慦瑣敳♴奄彎剁升吽啒♅佄彃䅎䕍䘽呁䘺䱑䅟䑕呉义彇䱃䕉呎呟䵅䱐呁⹅䅆♔楤灳慬役瑳楲杮䄽摵瑩嘦剁䬺奅䜽䭄午啈䥖♊䅖㩒啑剅㵙歒晚啒唵汕卂ㅘ䉚䙔䔹啑䵬南睧䍎砸华礸䑍硅䍌獷䍌湷䕒䵬祊癫啒䉎じ䘱啑昵さ䵆噒潍橍硁卍睷䍎砸华礸䑍硅克㴽圦义佄㵗䥆卒彔佐啐♐䕈䝉呈㐽〵圦䑉䡔㐽〵匦䅔呒䵟塁䵉婉䑅䘽䱁䕓嘦剁䌺䱁久䅄㵒单嘦剁区䵙佂㵌位⹇♁䅖㩒义䕄㵘0ꎘ䶨$䝍呇䰭乏䕞䅃䵟䅅彎偅⡓㈫〬⼱ㄱ㈯㄰⤱!＀＀ ＀＀	＀＀_x0008_＀＀_x0001_＀＀_x0001_＀＀_x0001_＀＀᪵끭쯋㿔찀閹䴬N位⹇幁䙆䕟呎偒归䅖彌䅄䱉⡙〱㈯⼷〲〱ⰬⰬ∬䥄≌⼩䍅彁䕍乁䕟䥂⡔〲〱ㄬ⼰㜲㈯㄰⤰Ɩ＀＀ ＀＀ž＀＀_x0008_＀＀_x0001_＀＀_x0001_＀＀_x0001_＀＀䕜蕮鉾䀨摦畳㩰⼯楤敲瑣潩獮䘯呁嘠敩敷㽲捡楴湯唽䑐呁♅牣慥潴㵲慦瑣敳♴奄彎剁升吽啒♅佄彃䅎䕍䘽呁䘺䱑䅟䑕呉义彇䱃䕉呎呟䵅䱐呁⹅䅆♔楤灳慬役瑳楲杮䄽摵瑩嘦剁䬺奅䔽䭌䝄䝈䝆♔䅖㩒啑剅㵙歒晚啒唵汕卂ㅘ䉚䙔䔹啑䵬南硧䍍礸祎礸䑍睅䍌獷䍌湷䕒䵬祊癫啒䉎じ䘱啑昵啒䩊䍖祧䑍睅䑌睅穌㍉穌睉呍灁圦义佄㵗䥆卒彔佐啐♐䕈䝉呈㐽〵圦䑉䡔㐽〵匦䅔呒䵟塁䵉婉䑅䘽䱁䕓嘦剁䌺䱁久䅄㵒单嘦剁区䵙佂㵌位⹇♁䅖㩒义䕄㵘0閶䴬O䕂噁䙞彆久剔剐噟䱁䑟䥁奌ㄨ⼰㜲㈯㄰ⰰⰬⰬ䐢䱉⤢䔯䅃䵟䅅彎䉅呉䅄㈨㄰ⰱ〱㈯⼷〲〱착ƙ＀＀ ＀＀Ɓ＀＀_x0008_＀＀_x0001_＀＀_x0001_＀＀_x0001_＀＀䂂㚂耒䀣摦畳㩰⼯楤敲瑣潩獮䘯呁嘠敩敷㽲捡楴湯唽䑐呁♅牣慥潴㵲慦瑣敳♴奄彎剁升吽啒♅佄彃䅎䕍䘽呁䘺䱑䅟䑕呉义彇䱃䕉呎呟䵅䱐呁⹅䅆♔楤灳慬役瑳楲杮䄽摵瑩嘦剁䬺奅儽䕆䭄奄䕈♄䅖㩒啑剅㵙歒晚啒唵汕卂ㅘ䉚䙔䔹啑䵬南硧䍍礸祎礸䑍睅䍌獷䍌湷䕒䵬祊癫啒䉎じ䘱啑昵啒䩊䕖䉒䑋睉呍獅呍癁橍癣橍硁䍍㵫圦义佄㵗䥆卒彔佐啐♐䕈䝉呈㐽〵圦䑉䡔㐽〵匦䅔呒䵟塁䵉婉䑅䘽䱁䕓嘦剁䌺䱁久䅄㵒单嘦剁区䵙佂㵌䕂噁嘦剁䤺䑎塅〽찀ᦫ产 䑇䕞䅃䵟䅅彎䉅呉⡄㈫ㄬ⼰㔲㈯㄰⤱!＀＀ ＀＀	＀＀_x0008_＀＀_x0001_＀＀_x0001_＀＀_x0001_＀＀䷓ၢ鸘䂲찀㹱丯S䝍呇䰭乏䙞彆久剔剐噟䱁䑟䥁奌〨⼷㘲㈯㄰ⰱⰬⰬ䐢䱉⤢䔯䅃䵟䅅彎䉅呉䅄㈨㄰ⰲ㜰㈯⼶〲ㄱ착Ơ＀＀ ＀＀ƈ＀＀_x0008_＀＀_x0001_＀＀_x0001_＀＀_x0001_＀＀鑍ꕈ숾䀜摦畳㩰⼯楤敲瑣潩獮䘯呁嘠敩敷㽲捡楴湯唽䑐呁♅牣慥潴㵲慦瑣敳♴奄彎剁升吽啒♅佄彃䅎䕍䘽呁䘺䱑䅟䑕呉义彇䱃䕉呎呟䵅䱐呁⹅䅆♔楤灳慬役瑳楲杮䄽摵瑩嘦剁䬺奅儽䍖䝄啒䥒♔䅖㩒啑剅㵙歒晚啒唵汕卂ㅘ䉚䙔䔹啑䵬南睧祎礸楎礸䑍硅䍌獷䍌湷䕒䵬祊癫啒䉎じ䘱啑昵啒䩊䕖䉒䑋睉呍獉䑍癣橍癙橍硁卍㵫圦义佄㵗䥆卒彔佐啐♐䕈䝉呈㐽〵圦䑉䡔㐽〵匦䅔呒䵟塁䵉婉䑅䘽䱁䕓嘦剁䌺䱁久䅄㵒䥆䕖䅄♙䅖㩒奓䉍䱏〽㜵㠵☰䅖㩒义䕄㵘0뿎䭠(䑇䍞彁佐呓䕒彔呏䅈䩄也䅂ㄨ⼲〲㐰ⰬⰬ单⥄ ＀＀ ＀＀_x0008_＀＀_x0008_＀＀_x0001_＀＀_x0001_＀＀_x0001_＀＀＀＀＀＀쀀䁫뿎䭠+䑇䍞彁佐呓䕒彔䵅彐佃呎䥒彂⡃㈱㈯〰ⰵⰬ唬䑓착 ＀＀ ＀＀_x0008_＀＀_x0008_＀＀_x0001_＀＀_x0001_＀＀_x0001_＀＀＀＀＀＀＀＀䀸ᦪ产S䝍呇䰭乏䙞彆久剔剐噟䱁䑟䥁奌ㄨ⼰㔲㈯㄰ⰱⰬⰬ䐢䱉⤢䔯䅃䵟䅅彎䉅呉䅄㈨㄰ⰱ〱㈯⼵〲ㄱ착Ƥ＀＀ ＀＀ƌ＀＀_x0008_＀＀_x0001_＀＀_x0001_＀＀_x0001_＀＀ꮫ썰Ꙁ䀡摦畳㩰⼯楤敲瑣潩獮䘯呁嘠敩敷㽲捡楴湯唽䑐呁♅牣慥潴㵲慦瑣敳♴奄彎剁升吽啒♅佄彃䅎䕍䘽呁䘺䱑䅟䑕呉义彇䱃䕉呎呟䵅䱐呁⹅䅆♔楤灳慬役瑳楲杮䄽摵瑩嘦剁䬺奅䐽䱉塅䑍䉉♏䅖㩒啑剅㵙歒晚啒唵汕卂ㅘ䉚䙔䔹啑䵬南硧䍍礸华礸䑍硅䍌獷䍌湷䕒䵬祊杫祌䙂け晆啔䉖汔䘹歑啬䕒潅橍硁卍硷䍍礸华礸䑍硅克㴽圦义佄㵗䥆卒彔佐啐♐䕈䝉呈㐽〵圦䑉䡔㐽〵匦䅔呒䵟塁䵉婉䑅䘽䱁䕓嘦剁䌺䱁久䅄㵒䥆䕖䅄♙䅖㩒奓䉍䱏〽㜵㠵☰䅖㩒义䕄㵘0閺䴬M䍐幐䙆䕟呎偒归䅖彌䅄䱉⡙〱㈯⼷〲〱ⰬⰬ∬䥄≌⼩䍅彁䕍乁卟䱁卅㈨㄰ⰲ〱㈯⼷〲〱착Ƙ＀＀ ＀＀ƀ＀＀_x0008_＀＀_x0001_＀＀_x0001_＀＀_x0001_＀＀攍謁䀃摦畳㩰⼯楤敲瑣潩獮䘯呁嘠敩敷㽲捡楴湯唽䑐呁♅牣慥潴㵲慦瑣敳♴奄彎剁升吽啒♅佄彃䅎䕍䘽呁䘺䱑䅟䑕呉义彇䱃䕉呎呟䵅䱐呁⹅䅆♔楤灳慬役瑳楲杮䄽摵瑩嘦剁䬺奅䌽兄䥈啐䵒♆䅖㩒啑剅㵙歒晚啒唵汕卂ㅘ䉚䙔䔹啑䵬南硧䍍礸祎礸䑍睅䍌獷䍌湷䕒䵬祊癫啒䉎じ䘱啑昵さ䵆噒潍橍硁楍硷䍍礸祎礸䑍睅克㴽圦义佄㵗䥆卒彔佐啐♐䕈䝉呈㐽〵圦䑉䡔㐽〵匦䅔呒䵟塁䵉婉䑅䘽䱁䕓嘦剁䌺䱁久䅄㵒单嘦剁区䵙佂㵌䍐♐䅖㩒义䕄㵘0ꎓ䶨N佃幌䙆䕟呎偒归䅖彌䅄䱉⡙㄰ㄯ⼱〲ㄱⰬⰬ∬䥄≌⼩䍅彁䕍乁䕟䥂䑔⡁〲〱〬⼱ㄱ㈯㄰⤱Ɲ＀＀ ＀＀ƅ＀＀_x0008_＀＀_x0001_＀＀_x0001_＀＀_x0001_＀＀ୄ⡋ޞ䀤摦畳㩰⼯楤敲瑣潩獮䘯呁嘠敩敷㽲捡楴湯唽䑐呁♅牣慥潴㵲慦瑣敳♴奄彎剁升吽啒♅佄彃䅎䕍䘽呁䘺䱑䅟䑕呉义彇䱃䕉呎呟䵅䱐呁⹅䅆♔楤灳慬役瑳楲杮䄽摵瑩嘦剁䬺奅夽先協佖华♒䅖㩒啑剅㵙歒晚啒唵汕卂ㅘ䉚䙔䔹啑䵬南睧卍砸卍礸䑍硅䍌獷䍌湷䕒䵬祊癫啒䉎じ䘱啑昵啒䩊䕖䉒䑋睉呍獁䑍癅呍癅橍硁卍㵫圦义佄㵗䥆卒彔佐啐♐䕈䝉呈㐽〵圦䑉䡔㐽〵匦䅔呒䵟塁䵉婉䑅䘽䱁䕓嘦剁䌺䱁久䅄㵒䥆䕖䅄♙䅖㩒奓䉍䱏䌽䱏嘦剁䤺䑎塅〽찀閼䴬_x0016_䑇䙞彇剐䍉Ņ㄰ㄯ⼱〲ㄱ!＀＀ ＀＀	＀＀_x0008_＀＀_x0001_＀＀_x0001_＀＀_x0001_＀＀휊炣_xDA3D_䁑찀ᦦ产M佃幌䙆䕟呎偒归䅖彌䅄䱉⡙〱㈯⼵〲ㄱⰬⰬ∬䥄≌⼩䍅彁䕍乁卟䱁卅㈨㄰ⰱ〱㈯⼵〲ㄱ착Ɲ＀＀ ＀＀ƅ＀＀_x0008_＀＀_x0001_＀＀_x0001_＀＀_x0001_＀＀靼䮙䏆㿽摦畳㩰⼯楤敲瑣潩獮䘯呁嘠敩敷㽲捡楴湯唽䑐呁♅牣慥潴㵲慦瑣敳♴奄彎剁升吽啒♅佄彃䅎䕍䘽呁䘺䱑䅟䑕呉义彇䱃䕉呎呟䵅䱐呁⹅䅆♔楤灳慬役瑳楲杮䄽摵瑩嘦剁䬺奅䈽噋䉑䉗前♁䅖㩒啑剅㵙歒晚啒唵汕卂ㅘ䉚䙔䔹啑䵬南硧䍍礸华礸䑍硅䍌獷䍌湷䕒䵬祊杫祌䙂け晆啔䉖汔吹啑䙸祕祧䑍硅䑌睅穌ㅉ穌睉呍灅圦义佄㵗䥆卒彔佐啐♐䕈䝉呈㐽〵圦䑉䡔㐽〵匦䅔呒䵟塁䵉婉䑅䘽䱁䕓嘦剁䌺䱁久䅄㵒䥆䕖䅄♙䅖㩒奓䉍䱏䌽䱏嘦剁䤺䑎塅〽찀熁䯌N佃幌䙆䕟呎偒归䅖彌䅄䱉⡙㐰ㄯ⼹〲〱ⰬⰬ∬䥄≌⼩䍅彁䕍乁䕟䥂䑔⡁〲ㄱ〬⼴㤱㈯㄰⤰Ɲ＀＀ ＀＀ƅ＀＀_x0008_＀＀_x0001_＀＀_x0001_＀＀_x0001_＀＀೺詈填䀣摦畳㩰⼯楤敲瑣潩獮䘯呁嘠敩敷㽲捡楴湯唽䑐呁♅牣慥潴㵲慦瑣敳♴奄彎剁升吽啒♅佄彃䅎䕍䘽呁䘺䱑䅟䑕呉义彇䱃䕉呎呟䵅䱐呁⹅䅆♔楤灳慬役瑳楲杮䄽摵瑩嘦剁䬺奅伽华䍎䍎啖♄䅖㩒啑剅㵙歒晚啒唵汕卂ㅘ䉚䙔䔹啑䵬南睧䍎砸协礸䑍睅䍌獷䍌湷䕒䵬祊癫啒䉎じ䘱啑昵啒䩊䕖䉒䑋睉呍獅䑍癑呍癫橍硁䍍㵫圦义佄㵗䥆卒彔佐啐♐䕈䝉呈㐽〵圦䑉䡔㐽〵匦䅔呒䵟塁䵉婉䑅䘽䱁䕓嘦剁䌺䱁久䅄㵒䥆䕖䅄♙䅖㩒奓䉍䱏䌽䱏嘦剁䤺䑎塅〽찀뿎䭠'䑇坞当䱈䡔䅃䕒啟䙎䉟久ㄨ⼲〲㘰ⰬⰬ单⥄착＀＀＀＀뿎䭠*䑇䍞彁佐呓䕒彔䅐呒䍟乏剔䉉ㄨ⼲〲㈰ⰬⰬ单⥄ ＀＀ ＀＀_x0008_＀＀_x0008_＀＀_x0001_＀＀_x0001_＀＀_x0001_＀＀＀＀＀＀＀＀＀＀뿎䭠I䑇䍞彁䕐华偟䅌彎十⡔㈱㈯〰ⰴⰬ唬䑓䀩南偟久䥓乏噟䱁䅟卓呅⡓㈱㈯〰ⰴⰬ唬䑓착 ＀＀ ＀＀_x0008_＀＀_x0008_＀＀_x0001_＀＀_x0001_＀＀_x0001_＀＀＀＀＀＀砀䂺閸䴬L佃幌䙆䕟呎偒归䅖彌䅄䱉⡙〱㈯⼷〲〱ⰬⰬ∬䥄≌⼩䍅彁䕍乁䕟䥂⡔〲ㄱㄬ⼰㜲㈯㄰⤰Ɣ＀＀ ＀＀ż＀＀_x0008_＀＀_x0001_＀＀_x0001_＀＀_x0001_＀＀ㇹ讀첼䀤摦畳㩰⼯楤敲瑣潩獮䘯呁嘠敩敷㽲捡楴湯唽䑐呁♅牣慥潴㵲慦瑣敳♴奄彎剁升吽啒♅佄彃䅎䕍䘽呁䘺䱑䅟䑕呉义彇䱃䕉呎呟䵅䱐呁⹅䅆♔楤灳慬役瑳楲杮䄽摵瑩嘦剁䬺奅䬽商䅊䕎奂♖䅖㩒啑剅㵙歒晚啒唵汕卂ㅘ䉚䙔䔹啑䵬南硧䍍礸祎礸䑍睅䍌獷䍌湷䕒䵬祊癫啒䉎じ䘱啑昵啒䩊䍖祧䑍硅䑌睅穌㍉穌睉呍灁圦义佄㵗䥆卒彔佐啐♐䕈䝉呈㐽〵圦䑉䡔㐽〵匦䅔呒䵟塁䵉婉䑅䘽䱁䕓嘦剁䌺䱁久䅄㵒单嘦剁区䵙佂㵌佃♌䅖㩒义䕄㵘0뿎䭠%䑇䍞彁䕐华䅟呓䥟呎乁⡇㈱㈯〰ⰴⰬ唬䑓착 ＀＀ ＀＀_x0008_＀＀_x0008_＀＀_x0001_＀＀_x0001_＀＀_x0001_＀＀豀碵꼝쐕熀䯌 䕂噁䕞彃䕍乁偟⡅〲〱〬⼴㤱㈯㄰⤰!＀＀ ＀＀	＀＀_x0008_＀＀_x0001_＀＀_x0001_＀＀_x0001_＀＀⠐犛羅䀳찀뿎䭠I䑇䍞彁佐呓䕒彔佒彁䍁⡔㈱㈯〰ⰸⰬ唬䑓䀩南䡟呌䍈剁彅䍁彔佒⡁㈱㈯〰ⰸⰬ唬䑓착 ＀＀ ＀＀_x0008_＀＀_x0008_＀＀_x0001_＀＀_x0001_＀＀_x0001_＀＀＀＀＀＀䀀쁣뿎䭠$䑇䍞彁䕐华䍟䵏彐䅒䕔ㄨ⼲〲㠰ⰬⰬ单⥄ ＀＀ ＀＀_x0008_＀＀_x0008_＀＀_x0001_＀＀_x0001_＀＀_x0001_＀＀＀＀＀＀＀＀䀖ꎒ䶨N䕂噁䙞彆久剔剐噟䱁䑟䥁奌〨⼱ㄱ㈯㄰ⰱⰬⰬ䐢䱉⤢䔯䅃䵟䅅彎䅓䕌⡓〲ㄱ〬⼱ㄱ㈯㄰⤱ƞ＀＀ ＀＀Ɔ＀＀_x0008_＀＀_x0001_＀＀_x0001_＀＀_x0001_＀＀럑蓱퇊䀀摦畳㩰⼯楤敲瑣潩獮䘯呁嘠敩敷㽲捡楴湯唽䑐呁♅牣慥潴㵲慦瑣敳♴奄彎剁升吽啒♅佄彃䅎䕍䘽呁䘺䱑䅟䑕呉义彇䱃䕉呎呟䵅䱐呁⹅䅆♔楤灳慬役瑳楲杮䄽摵瑩嘦剁䬺奅圽䅆啌奔䝂♐䅖㩒啑剅㵙歒晚啒唵汕卂ㅘ䉚䙔䔹啑䵬南睧卍砸卍礸䑍硅䍌獷䍌湷䕒䵬祊癫啒䉎じ䘱啑昵さ䵆噒潍橍硁卍睷卍砸卍礸䑍硅克㴽圦义佄㵗䥆卒彔佐啐♐䕈䝉呈㐽〵圦䑉䡔㐽〵匦䅔呒䵟塁䵉婉䑅䘽䱁䕓嘦剁䌺䱁久䅄㵒䥆䕖䅄♙䅖㩒奓䉍䱏䈽䅅♖䅖㩒义䕄㵘0푖䳈_x001F_䑇䕞䅃䵟䅅彎䉅呉⬨ⰳ〱㈯⼷〲〱착!＀＀ ＀＀	＀＀_x0008_＀＀_x0001_＀＀_x0001_＀＀_x0001_＀＀䖢麽䂰찀뿎䭠D䑇䍞彁佐呓䕒彔䕂彎䉏ㄨ⼲〲㘰ⰬⰬ单⥄址当䱈䡔䅃䕒偟佂ㄨ⼲〲㘰ⰬⰬ单⥄ ＀＀ ＀＀_x0008_＀＀_x0008_＀＀_x0001_＀＀_x0001_＀＀_x0001_＀＀＀＀＀＀렀䂑㹫丯N佃幌䙆䕟呎偒归䅖彌䅄䱉⡙㜰㈯⼶〲ㄱⰬⰬ∬䥄≌⼩䍅彁䕍乁䕟䥂䑔⡁〲〱〬⼷㘲㈯㄰⤱Ɲ＀＀ ＀＀ƅ＀＀_x0008_＀＀_x0001_＀＀_x0001_＀＀_x0001_＀＀虸⯂䀢摦畳㩰⼯楤敲瑣潩獮䘯呁嘠敩敷㽲捡楴湯唽䑐呁♅牣慥潴㵲慦瑣敳♴奄彎剁升吽啒♅佄彃䅎䕍䘽呁䘺䱑䅟䑕呉义彇䱃䕉呎呟䵅䱐呁⹅䅆♔楤灳慬役瑳楲杮䄽摵瑩嘦剁䬺奅伽佐啈䍄党♊䅖㩒啑剅㵙歒晚啒唵汕卂ㅘ䉚䙔䔹啑䵬南睧祎礸楎礸䑍硅䍌獷䍌湷䕒䵬祊癫啒䉎じ䘱啑昵啒䩊䕖䉒䑋睉呍獁䑍癣橍癙橍硁卍㵫圦义佄㵗䥆卒彔佐啐♐䕈䝉呈㐽〵圦䑉䡔㐽〵匦䅔呒䵟塁䵉婉䑅䘽䱁䕓嘦剁䌺䱁久䅄㵒䥆䕖䅄♙䅖㩒奓䉍䱏䌽䱏嘦剁䤺䑎塅〽찀뿍䭠_x001F_䑇坞当塅䡃剟呁彅䅂彌䡓ㄨ⼲〲㠰착 ＀＀ ＀＀_x0008_＀＀_x0008_＀＀_x0001_＀＀_x0001_＀＀_x0001_＀＀豀碵꼝쐕㹪丯M䕂噁䙞彆久剔剐噟䱁䑟䥁奌〨⼷㘲㈯㄰ⰱⰬⰬ䐢䱉⤢䔯䅃䵟䅅彎䉅呉㈨㄰ⰲ㜰㈯⼶〲ㄱ착ƚ＀＀ ＀＀Ƃ＀＀_x0008_＀＀_x0001_＀＀_x0001_＀＀_x0001_＀＀嘻醐䀟摦畳㩰⼯楤敲瑣潩獮䘯呁嘠敩敷㽲捡楴湯唽䑐呁♅牣慥潴㵲慦瑣敳♴奄彎剁升吽啒♅佄彃䅎䕍䘽呁䘺䱑䅟䑕呉义彇䱃䕉呎呟䵅䱐呁⹅䅆♔楤灳慬役瑳楲杮䄽摵瑩嘦剁䬺奅䤽兄䍂䝚䕄♐䅖㩒啑剅㵙歒晚啒唵汕卂ㅘ䉚䙔䔹啑䵬南睧祎礸楎礸䑍硅䍌獷䍌湷䕒䵬祊癫啒䉎じ䘱啑昵啒䩊䍖祧䑍祅䑌㍁穌㉉穌睉呍灅圦义佄㵗䥆卒彔佐啐♐䕈䝉呈㐽〵圦䑉䡔㐽〵匦䅔呒䵟塁䵉婉䑅䘽䱁䕓嘦剁䌺䱁久䅄㵒䥆䕖䅄♙䅖㩒奓䉍䱏䈽䅅♖䅖㩒义䕄㵘0뿎䭠(䑇䍞彁䕐华䕟偍䍟乏剔䉉䍟ㄨ⼲〲㜰ⰬⰬ单⥄ ＀＀ ＀＀_x0008_＀＀_x0008_＀＀_x0001_＀＀_x0001_＀＀_x0001_＀＀＀＀＀＀耀䁞熁䯌!位⹇幁䍅䵟䅅彎䕐㈨㄰ⰱ㐰ㄯ⼹〲〱착!＀＀ ＀＀	＀＀_x0008_＀＀_x0001_＀＀_x0001_＀＀_x0001_＀＀ා_xD94D_鿩䀫찀ꎝ䶨_x001E_䑇䕞䅃䵟䅅彎偅⡓㌫〬⼴㔱㈯㄰⤱!＀＀ ＀＀	＀＀_x0008_＀＀_x0001_＀＀_x0001_＀＀_x0001_＀＀哼ᨕ떈䀠찀ꎘ䶨$䝍呇䰭乏䕞彃䕍乁偟⡅〲ㄱ〬⼱ㄱ㈯㄰⤱!＀＀ ＀＀	＀＀_x0008_＀＀_x0001_＀＀_x0001_＀＀_x0001_＀＀玲韱ഖ䀪찀뿎䭠K䑇䍞彁佐呓䕒彔义彔佃呓ㄨ⼲〲㘰ⰬⰬ单⥄址当䱈䡔䅃䕒䥟呎䍟协⡔㈱㈯〰ⰶⰬ唬䑓착 ＀＀ ＀＀_x0008_＀＀_x0008_＀＀_x0001_＀＀_x0001_＀＀_x0001_＀＀＀＀＀＀쀀䁐뿎䭠"䑇䍞彁佐呓䕒彔䥌䉁ㄨ⼲〲㌰ⰬⰬ单⥄ ＀＀ ＀＀_x0008_＀＀_x0008_＀＀_x0001_＀＀_x0001_＀＀_x0001_＀＀＀＀＀＀᠀삂뿎䭠(䑇䍞彁䕐华䕟偍䍟乏剔䉉䕟ㄨ⼲〲㤰ⰬⰬ单⥄ ＀＀ ＀＀_x0008_＀＀_x0008_＀＀_x0001_＀＀_x0001_＀＀_x0001_＀＀豀碵꼝쐕뿍䭠_x000E_䑇坞当啃剒久奃$＀＀ ＀＀_x000C_＀＀_x000C_＀＀_x0001_＀＀_x0001_＀＀_x0008_＀＀⹕⹓䐠汯慬r뿎䭠*䑇䍞彁佐呓䕒彔䅐呒䍟乏剔䉉ㄨ⼲〲㠰ⰬⰬ单⥄ ＀＀ ＀＀_x0008_＀＀_x0008_＀＀_x0001_＀＀_x0001_＀＀_x0001_＀＀＀＀＀＀＀＀＀＀ꚟ丠M佃幌䙆䕟呎偒归䅖彌䅄䱉⡙㜰ㄯ⼵〲ㄱⰬⰬ∬䥄≌⼩䍅彁䕍乁卟䱁卅㈨㄰ⰰ㜰ㄯ⼵〲ㄱ착Ɲ＀＀ ＀＀ƅ＀＀_x0008_＀＀_x0001_＀＀_x0001_＀＀_x0001_＀＀芇瀸䖌䀀摦畳㩰⼯楤敲瑣潩獮䘯呁嘠敩敷㽲捡楴湯唽䑐呁♅牣慥潴㵲慦瑣敳♴奄彎剁升吽啒♅佄彃䅎䕍䘽呁䘺䱑䅟䑕呉义彇䱃䕉呎呟䵅䱐呁⹅䅆♔楤灳慬役瑳楲杮䄽摵瑩嘦剁䬺奅吽噃噗塃偓♇䅖㩒啑剅㵙歒晚啒唵汕卂ㅘ䉚䙔䔹啑䵬南睧祎砸华礸䑍硅䍌獷䍌湷䕒䵬祊癫啒䉎じ䘱啑昵さ䵆噒潍橍硁䍍睷祎砸华礸䑍硅克㴽圦义佄㵗䥆卒彔佐啐♐䕈䝉呈㐽〵圦䑉䡔㐽〵匦䅔呒䵟塁䵉婉䑅䘽䱁䕓嘦剁䌺䱁久䅄㵒䥆䕖䅄♙䅖㩒奓䉍䱏䌽䱏嘦剁䤺䑎塅〽찀뿎䭠'䑇坞当䕐华佉彎十䕓協䱟⡔㈱㈯〰ⰳⰬ唬䑓착 ＀＀ ＀＀_x0008_＀＀_x0008_＀＀_x0001_＀＀_x0001_＀＀_x0001_＀＀豀碵꼝쐕ᦩ产$䝍呇䰭乏䕞彃䕍乁偟⡅〲〱ㄬ⼰㔲㈯㄰⤱!＀＀ ＀＀	＀＀_x0008_＀＀_x0001_＀＀_x0001_＀＀_x0001_＀＀བ螘ꅌ䀫찀ꚨ丠_x001F_䑇䕞䅃䵟䅅彎䉅呉⬨ⰳ㜰ㄯ⼵〲ㄱ착!＀＀ ＀＀	＀＀_x0008_＀＀_x0001_＀＀_x0001_＀＀_x0001_＀＀ᑻ䞮忁䂱찀㹴丯_x001F_䑇䕞䅃䵟䅅彎䉅呉⬨ⰳ㜰㈯⼶〲ㄱ착!＀＀ ＀＀	＀＀_x0008_＀＀_x0001_＀＀_x0001_＀＀_x0001_＀＀ᑻ䞮弁䂱찀뿎䭠)䑇坞当䱈䡔䅃䕒䕟偘䱟彔佒⡁㈱㈯〰ⰷⰬ唬䑓착 ＀＀ ＀＀_x0008_＀＀_x0008_＀＀_x0001_＀＀_x0001_＀＀_x0001_＀＀Ẹ㡑䀠㶍丯_x001A_䑇䙞彇䕍乁䕟卐䙟㍑〨Ⱜ㤬⤰!＀＀ ＀＀	＀＀_x0008_＀＀_x0001_＀＀_x0001_＀＀_x0001_＀＀٪㿿찀ꎚ䶨S䝍呇䰭乏䙞彆久剔剐噟䱁䑟䥁奌〨⼱ㄱ㈯㄰ⰱⰬⰬ䐢䱉⤢䔯䅃䵟䅅彎䉅呉䅄㈨㄰ⰲ㄰ㄯ⼱〲ㄱ착Ơ＀＀ ＀＀ƈ＀＀_x0008_＀＀_x0001_＀＀_x0001_＀＀_x0001_＀＀ꚓ鿷➂䀠摦畳㩰⼯楤敲瑣潩獮䘯呁嘠敩敷㽲捡楴湯唽䑐呁♅牣慥潴㵲慦瑣敳♴奄彎剁升吽啒♅佄彃䅎䕍䘽呁䘺䱑䅟䑕呉义彇䱃䕉呎呟䵅䱐呁⹅䅆♔楤灳慬役瑳楲杮䄽摵瑩嘦剁䬺奅匽先兂䥚䵖♘䅖㩒啑剅㵙歒晚啒唵汕卂ㅘ䉚䙔䔹啑䵬南睧卍砸卍礸䑍硅䍌獷䍌湷䕒䵬祊癫啒䉎じ䘱啑昵啒䩊䕖䉒䑋睉呍獉䑍癅呍癅橍硁卍㵫圦义佄㵗䥆卒彔佐啐♐䕈䝉呈㐽〵圦䑉䡔㐽〵匦䅔呒䵟塁䵉婉䑅䘽䱁䕓嘦剁䌺䱁久䅄㵒䥆䕖䅄♙䅖㩒奓䉍䱏〽㜵㠵☰䅖㩒义䕄㵘0閼䴬 䑇䕞䅃䵟䅅彎䉅呉⡄㌫〬⼱ㄱ㈯㄰⤱!＀＀ ＀＀	＀＀_x0008_＀＀_x0001_＀＀_x0001_＀＀_x0001_＀＀㽽帵頚䂲찀뿎䭠(䑇坞当䱈䡔䅃䕒䑟卉彃䅒䕔ㄨ⼲〲㐰ⰬⰬ单⥄ ＀＀ ＀＀_x0008_＀＀_x0008_＀＀_x0001_＀＀_x0001_＀＀_x0001_＀＀＀＀＀＀＀＀䀘ꚟ丠N佃幌䙆䕟呎偒归䅖彌䅄䱉⡙㜰ㄯ⼵〲ㄱⰬⰬ∬䥄≌⼩䍅彁䕍乁䕟䥂䑔⡁〲ㄱ〬⼷㔱㈯㄰⤱Ɲ＀＀ ＀＀ƅ＀＀_x0008_＀＀_x0001_＀＀_x0001_＀＀_x0001_＀＀잸鍇횰䀡摦畳㩰⼯楤敲瑣潩獮䘯呁嘠敩敷㽲捡楴湯唽䑐呁♅牣慥潴㵲慦瑣敳♴奄彎剁升吽啒♅佄彃䅎䕍䘽呁䘺䱑䅟䑕呉义彇䱃䕉呎呟䵅䱐呁⹅䅆♔楤灳慬役瑳楲杮䄽摵瑩嘦剁䬺奅䠽婏婍䑕呙♇䅖㩒啑剅㵙歒晚啒唵汕卂ㅘ䉚䙔䔹啑䵬南睧祎砸华礸䑍硅䍌獷䍌湷䕒䵬祊癫啒䉎じ䘱啑昵啒䩊䕖䉒䑋睉呍獅䑍癣呍癕橍硁卍㵫圦义佄㵗䥆卒彔佐啐♐䕈䝉呈㐽〵圦䑉䡔㐽〵匦䅔呒䵟塁䵉婉䑅䘽䱁䕓嘦剁䌺䱁久䅄㵒䥆䕖䅄♙䅖㩒奓䉍䱏䌽䱏嘦剁䤺䑎塅〽찀ᦟ产_x001A_䑇灞灟楲散桟杩彨㈵⡗〴㜱⤸!＀＀ ＀＀	＀＀_x0008_＀＀_x0001_＀＀_x0001_＀＀_x0001_＀＀⣶轜뗂䁑찀閸䴬N佃幌䙆䕟呎偒归䅖彌䅄䱉⡙〱㈯⼷〲〱ⰬⰬ∬䥄≌⼩䍅彁䕍乁䕟䥂䑔⡁〲ㄱㄬ⼰㜲㈯㄰⤰Ƙ＀＀ ＀＀ƀ＀＀_x0008_＀＀_x0001_＀＀_x0001_＀＀_x0001_＀＀Ⅳ⣂䀢摦畳㩰⼯楤敲瑣潩獮䘯呁嘠敩敷㽲捡楴湯唽䑐呁♅牣慥潴㵲慦瑣敳♴奄彎剁升吽啒♅佄彃䅎䕍䘽呁䘺䱑䅟䑕呉义彇䱃䕉呎呟䵅䱐呁⹅䅆♔楤灳慬役瑳楲杮䄽摵瑩嘦剁䬺奅䬽兂佖䍔䅄♆䅖㩒啑剅㵙歒晚啒唵汕卂ㅘ䉚䙔䔹啑䵬南硧䍍礸祎礸䑍睅䍌獷䍌湷䕒䵬祊癫啒䉎じ䘱啑昵啒䩊䕖䉒䑋睉呍獅呍癁橍癣橍硁䍍㵫圦义佄㵗䥆卒彔佐啐♐䕈䝉呈㐽〵圦䑉䡔㐽〵匦䅔呒䵟塁䵉婉䑅䘽䱁䕓嘦剁䌺䱁久䅄㵒单嘦剁区䵙佂㵌佃♌䅖㩒义䕄㵘0뿎䭠.䑇坞当䱈䡔䅃䕒䅟位呒卟剅彖佃呓ㄨ⼲〲㜰ⰬⰬ单⥄ ＀＀ ＀＀_x0008_＀＀_x0008_＀＀_x0001_＀＀_x0001_＀＀_x0001_＀＀＀＀＀＀＀＀㿰뿎䭠I䑇䍞彁䕐华剟䅏剟呁⡅㈱㈯〰ⰲⰬ唬䑓䀩南偟久䥓乏䕟偘䱟彔佒⡁㈱㈯〰ⰲⰬ唬䑓착 ＀＀ ＀＀_x0008_＀＀_x0008_＀＀_x0001_＀＀_x0001_＀＀_x0001_＀＀䞮竡긔䀠㹴丯 䑇䕞䅃䵟䅅彎䉅呉⡄㈫〬⼷㘲㈯㄰⤱!＀＀ ＀＀	＀＀_x0008_＀＀_x0001_＀＀_x0001_＀＀_x0001_＀＀鶲꟯ꁆ䂲찀㹮丯O位⹇幁䙆䕟呎偒归䅖彌䅄䱉⡙㜰㈯⼶〲ㄱⰬⰬ∬䥄≌⼩䍅彁䕍乁卟䱁卅㈨㄰ⰲ㜰㈯⼶〲ㄱ착Ɵ＀＀ ＀＀Ƈ＀＀_x0008_＀＀_x0001_＀＀_x0001_＀＀_x0001_＀＀讎䀴㿰摦畳㩰⼯楤敲瑣潩獮䘯呁嘠敩敷㽲捡楴湯唽䑐呁♅牣慥潴㵲慦瑣敳♴奄彎剁升吽啒♅佄彃䅎䕍䘽呁䘺䱑䅟䑕呉义彇䱃䕉呎呟䵅䱐呁⹅䅆♔楤灳慬役瑳楲杮䄽摵瑩嘦剁䬺奅䬽兘奆啔䕌♊䅖㩒啑剅㵙歒晚啒唵汕卂ㅘ䉚䙔䔹啑䵬南睧祎礸楎礸䑍硅䍌獷䍌湷䕒䵬祊癫啒䉎じ䘱啑昵さ䵆噒潍橍硁楍睷祎礸楎礸䑍硅克㴽圦义佄㵗䥆卒彔佐啐♐䕈䝉呈㐽〵圦䑉䡔㐽〵匦䅔呒䵟塁䵉婉䑅䘽䱁䕓嘦剁䌺䱁久䅄㵒䥆䕖䅄♙䅖㩒奓䉍䱏䴽䝏䄮嘦剁䤺䑎塅〽찀뿎䭠I䑇䍞彁䕐华䑟卉彃䅒䕔ㄨ⼲〲㠰ⰬⰬ单⥄址当䕐华佉彎䥄䍓剟呁⡅㈱㈯〰ⰸⰬ唬䑓착 ＀＀ ＀＀_x0008_＀＀_x0008_＀＀_x0001_＀＀_x0001_＀＀_x0001_＀＀凬Ẹ䀙뿎䭠H䑇䍞彁䕐华卟噒䍟协⡔㈱㈯〰ⰷⰬ唬䑓䀩南偟久䥓乏卟剅彖佃呓ㄨ⼲〲㜰ⰬⰬ单⥄ ＀＀ ＀＀_x0008_＀＀_x0008_＀＀_x0001_＀＀_x0001_＀＀_x0001_＀＀＀＀＀＀＀＀䁪㹰丯M䍐幐䙆䕟呎偒归䅖彌䅄䱉⡙㜰㈯⼶〲ㄱⰬⰬ∬䥄≌⼩䍅彁䕍乁卟䱁卅㈨㄰ⰱ㜰㈯⼶〲ㄱ착Ɲ＀＀ ＀＀ƅ＀＀_x0008_＀＀_x0001_＀＀_x0001_＀＀_x0001_＀＀囝ᇑ䀈摦畳㩰⼯楤敲瑣潩獮䘯呁嘠敩敷㽲捡楴湯唽䑐呁♅牣慥潴㵲慦瑣敳♴奄彎剁升吽啒♅佄彃䅎䕍䘽呁䘺䱑䅟䑕呉义彇䱃䕉呎呟䵅䱐呁⹅䅆♔楤灳慬役瑳楲杮䄽摵瑩嘦剁䬺奅夽卆兊卆啘♚䅖㩒啑剅㵙歒晚啒唵汕卂ㅘ䉚䙔䔹啑䵬南睧祎礸楎礸䑍硅䍌獷䍌湷䕒䵬祊癫啒䉎じ䘱啑昵さ䵆噒潍橍硁卍睷祎礸楎礸䑍硅克㴽圦义佄㵗䥆卒彔佐啐♐䕈䝉呈㐽〵圦䑉䡔㐽〵匦䅔呒䵟塁䵉婉䑅䘽䱁䕓嘦剁䌺䱁久䅄㵒䥆䕖䅄♙䅖㩒奓䉍䱏倽偃嘦剁䤺䑎塅〽찀듩䷰M䍐幐䙆䕟呎偒归䅖彌䅄䱉⡙㐰ㄯ⼵〲ㄱⰬⰬ∬䥄≌⼩䍅彁䕍乁卟䱁卅㈨㄰ⰰ㐰ㄯ⼵〲ㄱ착Ƙ＀＀ ＀＀ƀ＀＀_x0008_＀＀_x0001_＀＀_x0001_＀＀_x0001_＀＀頿꠆䀉摦畳㩰⼯楤敲瑣潩獮䘯呁嘠敩敷㽲捡楴湯唽䑐呁♅牣慥潴㵲慦瑣敳♴奄彎剁升吽啒♅佄彃䅎䕍䘽呁䘺䱑䅟䑕呉义彇䱃䕉呎呟䵅䱐呁⹅䅆♔楤灳慬役瑳楲杮䄽摵瑩嘦剁䬺奅唽卄䭂奔兔♖䅖㩒啑剅㵙歒晚啒唵汕卂ㅘ䉚䙔䔹啑䵬南睧䍎砸华礸䑍硅䍌獷䍌湷䕒䵬祊癫啒䉎じ䘱啑昵さ䵆噒潍橍硁䍍睷䍎砸华礸䑍硅克㴽圦义佄㵗䥆卒彔佐啐♐䕈䝉呈㐽〵圦䑉䡔㐽〵匦䅔呒䵟塁䵉婉䑅䘽䱁䕓嘦剁䌺䱁久䅄㵒单嘦剁区䵙佂㵌䍐♐䅖㩒义䕄㵘0뿌䭠_x0016_䑇坞当奆⡃⤰䍀彁奆⡃⤰ ＀＀ ＀＀_x0008_＀＀_x0008_＀＀_x0001_＀＀_x0001_＀＀_x0008_＀＀㈱㈯〰8ᦩ产_x0011_䝍呇䰭乏䙞彇剐䍉책!＀＀ ＀＀	＀＀_x0008_＀＀_x0001_＀＀_x0001_＀＀_x0001_＀＀⬂ᚇ컙䀍찀뿎䭠&amp;䑇䍞彁䕐华䙟乕彄呓呁单ㄨ⼲〲㌰ⰬⰬ单⥄ ＀＀ ＀＀_x0008_＀＀_x0008_＀＀_x0001_＀＀_x0001_＀＀_x0001_＀＀＀＀＀＀쀀䁽ꎝ䶨_x001F_䑇䕞䅃䵟䅅彎䉅呉⬨ⰱ㐰ㄯ⼵〲ㄱ착!＀＀ ＀＀	＀＀_x0008_＀＀_x0001_＀＀_x0001_＀＀_x0001_＀＀롑穞䂯찀ꎔ䶨!位⹇幁䍅䵟䅅彎䕐㈨㄰ⰰ㄰ㄯ⼱〲ㄱ착!＀＀ ＀＀	＀＀_x0008_＀＀_x0001_＀＀_x0001_＀＀_x0001_＀＀咠瓻㘼䀲찀뿎䭠S䑇䍞彁佐呓䕒彔剐佉归剓⡖㈱㈯〰ⰳⰬ唬䑓䀩南䡟呌䍈剁彅乕䕒彃䕓噒䍟协⡔㈱㈯〰ⰳⰬ唬䑓착 ＀＀ ＀＀_x0008_＀＀_x0008_＀＀_x0001_＀＀_x0001_＀＀_x0001_＀＀＀＀＀＀＀＀쁁閻䴬Q䝍呇䰭乏䙞彆久剔剐噟䱁䑟䥁奌ㄨ⼰㜲㈯㄰ⰰⰬⰬ䐢䱉⤢䔯䅃䵟䅅彎䉅呉㈨㄰ⰱ〱㈯⼷〲〱착Ɨ＀＀ ＀＀ſ＀＀_x0008_＀＀_x0001_＀＀_x0001_＀＀_x0001_＀＀廥㗣竾䀣摦畳㩰⼯楤敲瑣潩獮䘯呁嘠敩敷㽲捡楴湯唽䑐呁♅牣慥潴㵲慦瑣敳♴奄彎剁升吽啒♅佄彃䅎䕍䘽呁䘺䱑䅟䑕呉义彇䱃䕉呎呟䵅䱐呁⹅䅆♔楤灳慬役瑳楲杮䄽摵瑩嘦剁䬺奅圽啄䅖奎単♎䅖㩒啑剅㵙歒晚啒唵汕卂ㅘ䉚䙔䔹啑䵬南硧䍍礸祎礸䑍睅䍌獷䍌湷䕒䵬祊癫啒䉎じ䘱啑昵啒䩊䍖祧䑍硅䑌睅穌㍉穌睉呍灁圦义佄㵗䥆卒彔佐啐♐䕈䝉呈㐽〵圦䑉䡔㐽〵匦䅔呒䵟塁䵉婉䑅䘽䱁䕓嘦剁䌺䱁久䅄㵒单嘦剁区䵙佂㵌㔰㔷〸嘦剁䤺䑎塅〽찀閺䴬$䝍呇䰭乏䕞彃䕍乁偟⡅〲〱ㄬ⼰㜲㈯㄰⤰!＀＀ ＀＀	＀＀_x0008_＀＀_x0001_＀＀_x0001_＀＀_x0001_＀＀뤤蟼鯴䀨찀ꬭ䶨_x001B_䵌幔䍅彁䕍乁䕟卐䍟䱁⡁〲〱착!＀＀ ＀＀	＀＀_x0008_＀＀_x0001_＀＀_x0001_＀＀_x0001_＀＀Ẹ롑䀜찀뿎䭠,䑇䍞彁佐呓䕒彔剕呟归䉏䅟位呒ㄨ⼲〲㘰ⰬⰬ单⥄ ＀＀ ＀＀_x0008_＀＀_x0008_＀＀_x0001_＀＀_x0001_＀＀_x0001_＀＀＀＀＀＀＀＀㿰뿎䭠E䑇䍞彁佐呓䕒彔佒⡁㈱㈯〰ⰸⰬ唬䑓䀩南䡟呌䍈剁彅塅彐佒⡁㈱㈯〰ⰸⰬ唬䑓착 ＀＀ ＀＀_x0008_＀＀_x0008_＀＀_x0001_＀＀_x0001_＀＀_x0001_＀＀＀＀＀＀＀＀쀽뿎䭠M䑇䍞彁䕐华啟剎䍅䝏ㄨ⼲〲㠰ⰬⰬ单⥄址当䕐华佉彎乕䕒彃䕓噒䍟协⡔㈱㈯〰ⰸⰬ唬䑓착 ＀＀ ＀＀_x0008_＀＀_x0008_＀＀_x0001_＀＀_x0001_＀＀_x0001_＀＀＀＀＀＀怀쁻뿎䭠;䑇䍞彁䕐华剟䅏剟呁⡅㈱㈯〰⤸址当䕐华佉彎塅彐呌剟䅏ㄨ⼲〲㠰착 ＀＀ ＀＀_x0008_＀＀_x0008_＀＀_x0001_＀＀_x0001_＀＀_x0001_＀＀䞮竡⸔䀠ꬭ䶨_x0017_呁幋䝆偟䥒䕃 ⼱〱㈯㄰찱!＀＀ ＀＀	＀＀_x0008_＀＀_x0001_＀＀_x0001_＀＀_x0001_＀＀馚香䦙䁓찀뿎䭠$䑇䍞彁䕐华䍟剕䱟䅉卂ㄨ⼲〲㔰ⰬⰬ单⥄ ＀＀ ＀＀_x0008_＀＀_x0008_＀＀_x0001_＀＀_x0001_＀＀_x0001_＀＀豀碵꼝쐕뿎䭠_x001F_䑇坞当塅䡃剟呁⡅㈱㈯〰ⰳⰬ唬䑓착 ＀＀ ＀＀_x0008_＀＀_x0008_＀＀_x0001_＀＀_x0001_＀＀_x0001_＀＀＀＀＀＀＀＀㿰뿎䭠I䑇䍞彁佐呓䕒彔佒彁䍁⡔㈱㈯〰ⰷⰬ唬䑓䀩南䡟呌䍈剁彅䍁彔佒⡁㈱㈯〰ⰷⰬ唬䑓착 ＀＀ ＀＀_x0008_＀＀_x0008_＀＀_x0001_＀＀_x0001_＀＀_x0001_＀＀＀＀＀＀＀＀䁐뿎䭠P䑇䍞彁䕐华䅟䍃䵕䍟䵏剐义⡃㈱㈯〰ⰵⰬ唬䑓䀩南䍟䵏剐䥟䍎偟久当䥌䉁ㄨ⼲〲㔰ⰬⰬ单⥄ ＀＀ ＀＀_x0008_＀＀_x0008_＀＀_x0001_＀＀_x0001_＀＀_x0001_＀＀豀碵꼝쐕ᦫ产_x001F_䑇䕞䅃䵟䅅彎䉅呉⬨ⰱ〱㈯⼵〲ㄱ착!＀＀ ＀＀	＀＀_x0008_＀＀_x0001_＀＀_x0001_＀＀_x0001_＀＀脆䎕∋䂯찀ᦧ产P位⹇幁䙆䕟呎偒归䅖彌䅄䱉⡙〱㈯⼵〲ㄱⰬⰬ∬䥄≌⼩䍅彁䕍乁䕟䥂䑔⡁〲㈱ㄬ⼰㔲㈯㄰⤱ƣ＀＀ ＀＀Ƌ＀＀_x0008_＀＀_x0001_＀＀_x0001_＀＀_x0001_＀＀졧⎸ꖵ䀚摦畳㩰⼯楤敲瑣潩獮䘯呁嘠敩敷㽲捡楴湯唽䑐呁♅牣慥潴㵲慦瑣敳♴奄彎剁升吽啒♅佄彃䅎䕍䘽呁䘺䱑䅟䑕呉义彇䱃䕉呎呟䵅䱐呁⹅䅆♔楤灳慬役瑳楲杮䄽摵瑩嘦剁䬺奅堽䉗噑噋䉍♏䅖㩒啑剅㵙歒晚啒唵汕卂ㅘ䉚䙔䔹啑䵬南硧䍍礸华礸䑍硅䍌獷䍌湷䕒䵬祊杫祌䙂け晆啔䉖汔䘹歑啬䕒潅橍硁楍硷䍍礸华礸䑍硅克㴽圦义佄㵗䥆卒彔佐啐♐䕈䝉呈㐽〵圦䑉䡔㐽〵匦䅔呒䵟塁䵉婉䑅䘽䱁䕓嘦剁䌺䱁久䅄㵒䥆䕖䅄♙䅖㩒奓䉍䱏䴽䝏䄮嘦剁䤺䑎塅〽찀㹴丯_x0016_䑇䙞彇剐䍉Ņ㜰㈯⼶〲ㄱ!＀＀ ＀＀	＀＀_x0008_＀＀_x0001_＀＀_x0001_＀＀_x0001_＀＀긔鑺䁑찀熁䯌M䕂噁䙞彆久剔剐噟䱁䑟䥁奌〨⼴㤱㈯㄰ⰰⰬⰬ䐢䱉⤢䔯䅃䵟䅅彎䉅呉㈨㄰ⰰ㐰ㄯ⼹〲〱착ƚ＀＀ ＀＀Ƃ＀＀_x0008_＀＀_x0001_＀＀_x0001_＀＀_x0001_＀＀紴Ꮫ垮䀨摦畳㩰⼯楤敲瑣潩獮䘯呁嘠敩敷㽲捡楴湯唽䑐呁♅牣慥潴㵲慦瑣敳♴奄彎剁升吽啒♅佄彃䅎䕍䘽呁䘺䱑䅟䑕呉义彇䱃䕉呎呟䵅䱐呁⹅䅆♔楤灳慬役瑳楲杮䄽摵瑩嘦剁䬺奅匽䵆兆䕘坐♂䅖㩒啑剅㵙歒晚啒唵汕卂ㅘ䉚䙔䔹啑䵬南睧䍎砸协礸䑍睅䍌獷䍌湷䕒䵬祊癫啒䉎じ䘱啑昵啒䩊䍖祧䑍睅䑌ぁ穌㕅穌睉呍灁圦义佄㵗䥆卒彔佐啐♐䕈䝉呈㐽〵圦䑉䡔㐽〵匦䅔呒䵟塁䵉婉䑅䘽䱁䕓嘦剁䌺䱁久䅄㵒䥆䕖䅄♙䅖㩒奓䉍䱏䈽䅅♖䅖㩒义䕄㵘0듥䷰M䕂噁䙞彆久剔剐噟䱁䑟䥁奌〨⼴㔱㈯㄰ⰱⰬⰬ䐢䱉⤢䔯䅃䵟䅅彎䉅呉㈨㄰ⰲ㐰ㄯ⼵〲ㄱ착ƕ＀＀ ＀＀Ž＀＀_x0008_＀＀_x0001_＀＀_x0001_＀＀_x0001_＀＀쫱ꋰ䀣摦畳㩰⼯楤敲瑣潩獮䘯呁嘠敩敷㽲捡楴湯唽䑐呁♅牣慥潴㵲慦瑣敳♴奄彎剁升吽啒♅佄彃䅎䕍䘽呁䘺䱑䅟䑕呉义彇䱃䕉呎呟䵅䱐呁⹅䅆♔楤灳慬役瑳楲杮䄽摵瑩嘦剁䬺奅夽䝚䭎䅌䕄♒䅖㩒啑剅㵙歒晚啒唵汕卂ㅘ䉚䙔䔹啑䵬南睧䍎砸华礸䑍硅䍌獷䍌湷䕒䵬祊癫啒䉎じ䘱啑昵啒䩊䍖祧䑍祅䑌ぁ穌ㅅ穌睉呍灅圦义佄㵗䥆卒彔佐啐♐䕈䝉呈㐽〵圦䑉䡔㐽〵匦䅔呒䵟塁䵉婉䑅䘽䱁䕓嘦剁䌺䱁久䅄㵒单嘦剁区䵙佂㵌䕂噁嘦剁䤺䑎塅〽찀ꎝ䶨 䑇䕞䅃䵟䅅彎䅓䕌⡓㈫〬⼴㔱㈯㄰⤱!＀＀ ＀＀	＀＀_x0008_＀＀_x0001_＀＀_x0001_＀＀_x0001_＀＀㵱휊㹣䃡찀뿍䭠:䑇坞当䕐华佉彎十䕓協佟䡔ㄨ⼲〲㌰䀩䅃偟久当䍐彔呏⡈㈱㈯〰⤳ ＀＀ ＀＀_x0008_＀＀_x0008_＀＀_x0001_＀＀_x0001_＀＀_x0001_＀＀＀＀＀＀＀＀＀＀熃䯌L䍐幐䙆䕟呎偒归䅖彌䅄䱉⡙㐰ㄯ⼹〲〱ⰬⰬ∬䥄≌⼩䍅彁䕍乁䕟䥂⡔〲ㄱ〬⼴㤱㈯㄰⤰ƙ＀＀ ＀＀Ɓ＀＀_x0008_＀＀_x0001_＀＀_x0001_＀＀_x0001_＀＀쳃_xD856_履䀢摦畳㩰⼯楤敲瑣潩獮䘯呁嘠敩敷㽲捡楴湯唽䑐呁♅牣慥潴㵲慦瑣敳♴奄彎剁升吽啒♅佄彃䅎䕍䘽呁䘺䱑䅟䑕呉义彇䱃䕉呎呟䵅䱐呁⹅䅆♔楤灳慬役瑳楲杮䄽摵瑩嘦剁䬺奅䬽卆坎単啘♆䅖㩒啑剅㵙歒晚啒唵汕卂ㅘ䉚䙔䔹啑䵬南睧䍎砸协礸䑍睅䍌獷䍌湷䕒䵬祊癫啒䉎じ䘱啑昵啒䩊䍖祧䑍硅䑌ぁ穌㕅穌睉呍灁圦义佄㵗䥆卒彔佐啐♐䕈䝉呈㐽〵圦䑉䡔㐽〵匦䅔呒䵟塁䵉婉䑅䘽䱁䕓嘦剁䌺䱁久䅄㵒䥆䕖䅄♙䅖㩒奓䉍䱏倽偃嘦剁䤺䑎塅〽찀푖䳈 䑇䕞䅃䵟䅅彎䉅呉⡄㈫ㄬ⼰㜲㈯㄰⤰!＀＀ ＀＀	＀＀_x0008_＀＀_x0001_＀＀_x0001_＀＀_x0001_＀＀㽼츕䂱찀뿎䭠L</t>
        </r>
      </text>
    </comment>
    <comment ref="B1" authorId="0">
      <text>
        <r>
          <rPr>
            <b/>
            <sz val="8"/>
            <color indexed="81"/>
            <rFont val="Tahoma"/>
            <family val="2"/>
          </rPr>
          <t>117269</t>
        </r>
      </text>
    </comment>
    <comment ref="A2" authorId="0">
      <text>
        <r>
          <rPr>
            <b/>
            <sz val="8"/>
            <color indexed="81"/>
            <rFont val="Tahoma"/>
            <family val="2"/>
          </rPr>
          <t>䑇䍞彁佐呓䕒彔剓彖佃呓ㄨ⼲〲㈰ⰬⰬ单⥄址当䱈䡔䅃䕒卟剅彖佃呓ㄨ⼲〲㈰ⰬⰬ单⥄ ＀＀ ＀＀_x0008_＀＀_x0008_＀＀_x0001_＀＀_x0001_＀＀_x0001_＀＀＀＀＀＀＀＀䀪煿䯌_x001F_䑇䕞䅃䵟䅅彎䉅呉⬨ⰳ㐰ㄯ⼹〲〱착!＀＀ ＀＀	＀＀_x0008_＀＀_x0001_＀＀_x0001_＀＀_x0001_＀＀Й๖٭䂱찀㹭丯M佃幌䙆䕟呎偒归䅖彌䅄䱉⡙㜰㈯⼶〲ㄱⰬⰬ∬䥄≌⼩䍅彁䕍乁卟䱁卅㈨㄰ⰲ㜰㈯⼶〲ㄱ착Ɲ＀＀ ＀＀ƅ＀＀_x0008_＀＀_x0001_＀＀_x0001_＀＀_x0001_＀＀囃砕㿼摦畳㩰⼯楤敲瑣潩獮䘯呁嘠敩敷㽲捡楴湯唽䑐呁♅牣慥潴㵲慦瑣敳♴奄彎剁升吽啒♅佄彃䅎䕍䘽呁䘺䱑䅟䑕呉义彇䱃䕉呎呟䵅䱐呁⹅䅆♔楤灳慬役瑳楲杮䄽摵瑩嘦剁䬺奅䤽䝂奔䅆䕚♊䅖㩒啑剅㵙歒晚啒唵汕卂ㅘ䉚䙔䔹啑䵬南睧祎礸楎礸䑍硅䍌獷䍌湷䕒䵬祊癫啒䉎じ䘱啑昵さ䵆噒潍橍硁楍睷祎礸楎礸䑍硅克㴽圦义佄㵗䥆卒彔佐啐♐䕈䝉呈㐽〵圦䑉䡔㐽〵匦䅔呒䵟塁䵉婉䑅䘽䱁䕓嘦剁䌺䱁久䅄㵒䥆䕖䅄♙䅖㩒奓䉍䱏䌽䱏嘦剁䤺䑎塅〽찀듧䷰M佃幌䙆䕟呎偒归䅖彌䅄䱉⡙㐰ㄯ⼵〲ㄱⰬⰬ∬䥄≌⼩䍅彁䕍乁卟䱁卅㈨㄰ⰱ㐰ㄯ⼵〲ㄱ착Ƙ＀＀ ＀＀ƀ＀＀_x0008_＀＀_x0001_＀＀_x0001_＀＀_x0001_＀＀ਈ鑢䀀摦畳㩰⼯楤敲瑣潩獮䘯呁嘠敩敷㽲捡楴湯唽䑐呁♅牣慥潴㵲慦瑣敳♴奄彎剁升吽啒♅佄彃䅎䕍䘽呁䘺䱑䅟䑕呉义彇䱃䕉呎呟䵅䱐呁⹅䅆♔楤灳慬役瑳楲杮䄽摵瑩嘦剁䬺奅圽奖䝒但䥂♎䅖㩒啑剅㵙歒晚啒唵汕卂ㅘ䉚䙔䔹啑䵬南睧䍎砸华礸䑍硅䍌獷䍌湷䕒䵬祊癫啒䉎じ䘱啑昵さ䵆噒潍橍硁卍睷䍎砸华礸䑍硅克㴽圦义佄㵗䥆卒彔佐啐♐䕈䝉呈㐽〵圦䑉䡔㐽〵匦䅔呒䵟塁䵉婉䑅䘽䱁䕓嘦剁䌺䱁久䅄㵒单嘦剁区䵙佂㵌佃♌䅖㩒义䕄㵘0閹䴬O位⹇幁䙆䕟呎偒归䅖彌䅄䱉⡙〱㈯⼷〲〱ⰬⰬ∬䥄≌⼩䍅彁䕍乁卟䱁卅㈨㄰ⰱ〱㈯⼷〲〱착ƚ＀＀ ＀＀Ƃ＀＀_x0008_＀＀_x0001_＀＀_x0001_＀＀_x0001_＀＀䒜貂뾯㿰摦畳㩰⼯楤敲瑣潩獮䘯呁嘠敩敷㽲捡楴湯唽䑐呁♅牣慥潴㵲慦瑣敳♴奄彎剁升吽啒♅佄彃䅎䕍䘽呁䘺䱑䅟䑕呉义彇䱃䕉呎呟䵅䱐呁⹅䅆♔楤灳慬役瑳楲杮䄽摵瑩嘦剁䬺奅䜽䵈奆兄䕂♔䅖㩒啑剅㵙歒晚啒唵汕卂ㅘ䉚䙔䔹啑䵬南硧䍍礸祎礸䑍睅䍌獷䍌湷䕒䵬祊癫啒䉎じ䘱啑昵さ䵆噒潍橍硁卍硷䍍礸祎礸䑍睅克㴽圦义佄㵗䥆卒彔佐啐♐䕈䝉呈㐽〵圦䑉䡔㐽〵匦䅔呒䵟塁䵉婉䑅䘽䱁䕓嘦剁䌺䱁久䅄㵒单嘦剁区䵙佂㵌位⹇♁䅖㩒义䕄㵘0ꚤ丠$䝍呇䰭乏䕞彃䕍乁偟⡅〲〱〬⼷㔱㈯㄰⤱!＀＀ ＀＀	＀＀_x0008_＀＀_x0001_＀＀_x0001_＀＀_x0001_＀＀惇꧅᫖䀬찀㹰丯$䝍呇䰭乏䕞彃䕍乁偟⡅〲〱〬⼷㘲㈯㄰⤱!＀＀ ＀＀	＀＀_x0008_＀＀_x0001_＀＀_x0001_＀＀_x0001_＀＀㙜䀬찀ꎜ䶨_x001F_䑇灞灟楲散桟杩彨㈵⡗㐰ㄯ⼵〲ㄱ착!＀＀ ＀＀	＀＀_x0008_＀＀_x0001_＀＀_x0001_＀＀_x0001_＀＀＀＀＀＀쀀䁓찀뿎䭠O䑇䍞彁佐呓䕒彔䱐乁䅟呓䕟䑎ㄨ⼲〲㐰ⰬⰬ单⥄址当䱈䡔䅃䕒䙟彖十䕓⡔㈱㈯〰ⰴⰬ唬䑓착 ＀＀ ＀＀_x0008_＀＀_x0008_＀＀_x0001_＀＀_x0001_＀＀_x0001_＀＀＀＀＀＀䁶듥䷰O䕂噁䙞彆久剔剐噟䱁䑟䥁奌〨⼴㔱㈯㄰ⰱⰬⰬ䐢䱉⤢䔯䅃䵟䅅彎䉅呉䅄㈨㄰ⰲ㐰ㄯ⼵〲ㄱ착ƙ＀＀ ＀＀Ɓ＀＀_x0008_＀＀_x0001_＀＀_x0001_＀＀_x0001_＀＀凉礨镴䀡摦畳㩰⼯楤敲瑣潩獮䘯呁嘠敩敷㽲捡楴湯唽䑐呁♅牣慥潴㵲慦瑣敳♴奄彎剁升吽啒♅佄彃䅎䕍䘽呁䘺䱑䅟䑕呉义彇䱃䕉呎呟䵅䱐呁⹅䅆♔楤灳慬役瑳楲杮䄽摵瑩嘦剁䬺奅唽䭌䥘䥔䅌♐䅖㩒啑剅㵙歒晚啒唵汕卂ㅘ䉚䙔䔹啑䵬南睧䍎砸华礸䑍硅䍌獷䍌湷䕒䵬祊癫啒䉎じ䘱啑昵啒䩊䕖䉒䑋睉呍獉䑍癑呍癕橍硁卍㵫圦义佄㵗䥆卒彔佐啐♐䕈䝉呈㐽〵圦䑉䡔㐽〵匦䅔呒䵟塁䵉婉䑅䘽䱁䕓嘦剁䌺䱁久䅄㵒单嘦剁区䵙佂㵌䕂噁嘦剁䤺䑎塅〽찀뿎䭠F䑇䍞彁䕐华也呅䍟协⡔㈱㈯〰ⰳⰬ唬䑓䀩南偟久䥓乏也偐䕟偘ㄨ⼲〲㌰ⰬⰬ单⥄ ＀＀ ＀＀_x0008_＀＀_x0008_＀＀_x0001_＀＀_x0001_＀＀_x0001_＀＀＀＀＀＀쀀䁑듩䷰N䍐幐䙆䕟呎偒归䅖彌䅄䱉⡙㐰ㄯ⼵〲ㄱⰬⰬ∬䥄≌⼩䍅彁䕍乁䕟䥂䑔⡁〲㈱〬⼴㔱㈯㄰⤱Ƙ＀＀ ＀＀ƀ＀＀_x0008_＀＀_x0001_＀＀_x0001_＀＀_x0001_＀＀ឝ᠉⿒䀡摦畳㩰⼯楤敲瑣潩獮䘯呁嘠敩敷㽲捡楴湯唽䑐呁♅牣慥潴㵲慦瑣敳♴奄彎剁升吽啒♅佄彃䅎䕍䘽呁䘺䱑䅟䑕呉义彇䱃䕉呎呟䵅䱐呁⹅䅆♔楤灳慬役瑳楲杮䄽摵瑩嘦剁䬺奅䌽䕆华䝖䵊♖䅖㩒啑剅㵙歒晚啒唵汕卂ㅘ䉚䙔䔹啑䵬南睧䍎砸华礸䑍硅䍌獷䍌湷䕒䵬祊癫啒䉎じ䘱啑昵啒䩊䕖䉒䑋睉呍獉䑍癑呍癕橍硁卍㵫圦义佄㵗䥆卒彔佐啐♐䕈䝉呈㐽〵圦䑉䡔㐽〵匦䅔呒䵟塁䵉婉䑅䘽䱁䕓嘦剁䌺䱁久䅄㵒单嘦剁区䵙佂㵌䍐♐䅖㩒义䕄㵘0뿍䭠:䑇坞当䕐华佉彎十䕓協佟䡔ㄨ⼲〲㠰䀩䅃偟久当䍐彔呏⡈㈱㈯〰⤸ ＀＀ ＀＀_x0008_＀＀_x0008_＀＀_x0001_＀＀_x0001_＀＀_x0001_＀＀＀＀＀＀＀＀＀＀ᦫ产_x001E_䑇䕞䅃䵟䅅彎偅⡓㌫ㄬ⼰㔲㈯㄰⤱!＀＀ ＀＀	＀＀_x0008_＀＀_x0001_＀＀_x0001_＀＀_x0001_＀＀_xDC2F_スᯒ䀠찀ꎛ䶨R䝍呇䰭乏䙞彆久剔剐噟䱁䑟䥁奌〨⼱ㄱ㈯㄰ⰱⰬⰬ䐢䱉⤢䔯䅃䵟䅅彎䅓䕌⡓〲〱〬⼱ㄱ㈯㄰⤱Ơ＀＀ ＀＀ƈ＀＀_x0008_＀＀_x0001_＀＀_x0001_＀＀_x0001_＀＀䔇䠆㋧䀇摦畳㩰⼯楤敲瑣潩獮䘯呁嘠敩敷㽲捡楴湯唽䑐呁♅牣慥潴㵲慦瑣敳♴奄彎剁升吽啒♅佄彃䅎䕍䘽呁䘺䱑䅟䑕呉义彇䱃䕉呎呟䵅䱐呁⹅䅆♔楤灳慬役瑳楲杮䄽摵瑩嘦剁䬺奅匽奎佊䕖䥄♘䅖㩒啑剅㵙歒晚啒唵汕卂ㅘ䉚䙔䔹啑䵬南睧卍砸卍礸䑍硅䍌獷䍌湷䕒䵬祊癫啒䉎じ䘱啑昵さ䵆噒潍橍硁䍍睷卍砸卍礸䑍硅克㴽圦义佄㵗䥆卒彔佐啐♐䕈䝉呈㐽〵圦䑉䡔㐽〵匦䅔呒䵟塁䵉婉䑅䘽䱁䕓嘦剁䌺䱁久䅄㵒䥆䕖䅄♙䅖㩒奓䉍䱏〽㜵㠵☰䅖㩒义䕄㵘0뿎䭠#䑇䍞彁䕐华䉟久偟䥁⡄㈱㈯〰ⰳⰬ唬䑓착 ＀＀ ＀＀_x0008_＀＀_x0008_＀＀_x0001_＀＀_x0001_＀＀_x0001_＀＀＀＀＀＀䁱뿎䭠&amp;䑇坞当䕐彎佐呓剟呅䉟久ㄨ⼲〲㘰ⰬⰬ单⥄ ＀＀ ＀＀_x0008_＀＀_x0008_＀＀_x0001_＀＀_x0001_＀＀_x0001_＀＀＀＀＀＀ 䁸ᦥ产M䕂噁䙞彆久剔剐噟䱁䑟䥁奌ㄨ⼰㔲㈯㄰ⰱⰬⰬ䐢䱉⤢䔯䅃䵟䅅彎䉅呉㈨㄰ⰰ〱㈯⼵〲ㄱ착ƞ＀＀ ＀＀Ɔ＀＀_x0008_＀＀_x0001_＀＀_x0001_＀＀_x0001_＀＀Я➥_xDA0A_䀭摦畳㩰⼯楤敲瑣潩獮䘯呁嘠敩敷㽲捡楴湯唽䑐呁♅牣慥潴㵲慦瑣敳♴奄彎剁升吽啒♅佄彃䅎䕍䘽呁䘺䱑䅟䑕呉义彇䱃䕉呎呟䵅䱐呁⹅䅆♔楤灳慬役瑳楲杮䄽摵瑩嘦剁䬺奅嘽噙䩓呓䡏♕䅖㩒啑剅㵙歒晚啒唵汕卂ㅘ䉚䙔䔹啑䵬南硧䍍礸华礸䑍硅䍌獷䍌湷䕒䵬祊杫祌䙂け晆啔䉖汔䘹歑啬䑋睉呍獁呍癁橍癕橍硁卍㵫圦义佄㵗䥆卒彔佐啐♐䕈䝉呈㐽〵圦䑉䡔㐽〵匦䅔呒䵟塁䵉婉䑅䘽䱁䕓嘦剁䌺䱁久䅄㵒䥆䕖䅄♙䅖㩒奓䉍䱏䈽䅅♖䅖㩒义䕄㵘0ᦩ产L䍐幐䙆䕟呎偒归䅖彌䅄䱉⡙〱㈯⼵〲ㄱⰬⰬ∬䥄≌⼩䍅彁䕍乁䕟䥂⡔〲ㄱㄬ⼰㔲㈯㄰⤱Ɲ＀＀ ＀＀ƅ＀＀_x0008_＀＀_x0001_＀＀_x0001_＀＀_x0001_＀＀_xDA26_ᢜ乐䀩摦畳㩰⼯楤敲瑣潩獮䘯呁嘠敩敷㽲捡楴湯唽䑐呁♅牣慥潴㵲慦瑣敳♴奄彎剁升吽啒♅佄彃䅎䕍䘽呁䘺䱑䅟䑕呉义彇䱃䕉呎呟䵅䱐呁⹅䅆♔楤灳慬役瑳楲杮䄽摵瑩嘦剁䬺奅䠽塗呓䑉䑙♓䅖㩒啑剅㵙歒晚啒唵汕卂ㅘ䉚䙔䔹啑䵬南硧䍍礸华礸䑍硅䍌獷䍌湷䕒䵬祊杫祌䙂け晆啔䉖汔䘹歑啬䑋睉呍獅呍癁橍癕橍硁卍㵫圦义佄㵗䥆卒彔佐啐♐䕈䝉呈㐽〵圦䑉䡔㐽〵匦䅔呒䵟塁䵉婉䑅䘽䱁䕓嘦剁䌺䱁久䅄㵒䥆䕖䅄♙䅖㩒奓䉍䱏倽偃嘦剁䤺䑎塅〽찀뿎䭠&amp;䑇坞当䕐华佉彎䕎彔䥌䉁ㄨ⼲〲㘰ⰬⰬ单⥄ ＀＀ ＀＀_x0008_＀＀_x0008_＀＀_x0001_＀＀_x0001_＀＀_x0001_＀＀豀碵꼝쐕뿎䭠'䑇䍞彁䕐华偟䑐䉟久䍟协⡔㈱㈯〰ⰵⰬ唬䑓착 ＀＀ ＀＀_x0008_＀＀_x0008_＀＀_x0001_＀＀_x0001_＀＀_x0001_＀＀豀碵꼝쐕뿍䭠;䑇坞当䕐华佉彎十䕓協䉟乏卄ㄨ⼲〲㠰䀩䅃偟久当䍐彔䥆ㄨ⼲〲㠰착 ＀＀ ＀＀_x0008_＀＀_x0008_＀＀_x0001_＀＀_x0001_＀＀_x0001_＀＀＀＀＀＀＀＀䀔ᦪ产_x001F_䑇灞灟楲散桟杩彨㈵⡗〱㈯⼵〲ㄱ착!＀＀ ＀＀	＀＀_x0008_＀＀_x0001_＀＀_x0001_＀＀_x0001_＀＀竡긔酇䁓찀뿎䭠D䑇䍞彁佐呓䕒彔䕂彎䉏ㄨ⼲〲㜰ⰬⰬ单⥄址当䱈䡔䅃䕒偟佂ㄨ⼲〲㜰ⰬⰬ单⥄ ＀＀ ＀＀_x0008_＀＀_x0008_＀＀_x0001_＀＀_x0001_＀＀_x0001_＀＀＀＀＀＀_xDC00_䂐ꚨ丠 䑇䕞䅃䵟䅅彎䉅呉⡄㈫〬⼷㔱㈯㄰⤱!＀＀ ＀＀	＀＀_x0008_＀＀_x0001_＀＀_x0001_＀＀_x0001_＀＀⣶轜ꩂ䂲찀ꎖ䶨M䍐幐䙆䕟呎偒归䅖彌䅄䱉⡙㄰ㄯ⼱〲ㄱⰬⰬ∬䥄≌⼩䍅彁䕍乁卟䱁卅㈨㄰ⰲ㄰ㄯ⼱〲ㄱ착Ɲ＀＀ ＀＀ƅ＀＀_x0008_＀＀_x0001_＀＀_x0001_＀＀_x0001_＀＀巬犭柿䀄摦畳㩰⼯楤敲瑣潩獮䘯呁嘠敩敷㽲捡楴湯唽䑐呁♅牣慥潴㵲慦瑣敳♴奄彎剁升吽啒♅佄彃䅎䕍䘽呁䘺䱑䅟䑕呉义彇䱃䕉呎呟䵅䱐呁⹅䅆♔楤灳慬役瑳楲杮䄽摵瑩嘦剁䬺奅䴽啘䍆奘䍆♈䅖㩒啑剅㵙歒晚啒唵汕卂ㅘ䉚䙔䔹啑䵬南睧卍砸卍礸䑍硅䍌獷䍌湷䕒䵬祊癫啒䉎じ䘱啑昵さ䵆噒潍橍硁楍睷卍砸卍礸䑍硅克㴽圦义佄㵗䥆卒彔佐啐♐䕈䝉呈㐽〵圦䑉䡔㐽〵匦䅔呒䵟塁䵉婉䑅䘽䱁䕓嘦剁䌺䱁久䅄㵒䥆䕖䅄♙䅖㩒奓䉍䱏倽偃嘦剁䤺䑎塅〽찀Ꮺ产_x0017_䑇䕞䅃䵟䅅彎偅⡓〲㈱〬착!＀＀ ＀＀	＀＀_x0008_＀＀_x0001_＀＀_x0001_＀＀_x0001_＀＀隅_xFFFF_ｵ願䀞찀ᦨ产_x000C_䍐幐䝆偟䥒䕃!＀＀ ＀＀	＀＀_x0008_＀＀_x0001_＀＀_x0001_＀＀_x0001_＀＀롒蔞槫䁥찀ꚧ丠R䝍呇䰭乏䙞彆久剔剐噟䱁䑟䥁奌〨⼷㔱㈯㄰ⰱⰬⰬ䐢䱉⤢䔯䅃䵟䅅彎䅓䕌⡓〲㈱〬⼷㔱㈯㄰⤱Ơ＀＀ ＀＀ƈ＀＀_x0008_＀＀_x0001_＀＀_x0001_＀＀_x0001_＀＀꧜㝟䀁摦畳㩰⼯楤敲瑣潩獮䘯呁嘠敩敷㽲捡楴湯唽䑐呁♅牣慥潴㵲慦瑣敳♴奄彎剁升吽啒♅佄彃䅎䕍䘽呁䘺䱑䅟䑕呉义彇䱃䕉呎呟䵅䱐呁⹅䅆♔楤灳慬役瑳楲杮䄽摵瑩嘦剁䬺奅䐽䑅剉剋婙♇䅖㩒啑剅㵙歒晚啒唵汕卂ㅘ䉚䙔䔹啑䵬南睧祎砸华礸䑍硅䍌獷䍌湷䕒䵬祊癫啒䉎じ䘱啑昵さ䵆噒潍橍硁楍睷祎砸华礸䑍硅克㴽圦义佄㵗䥆卒彔佐啐♐䕈䝉呈㐽〵圦䑉䡔㐽〵匦䅔呒䵟塁䵉婉䑅䘽䱁䕓嘦剁䌺䱁久䅄㵒䥆䕖䅄♙䅖㩒奓䉍䱏〽㜵㠵☰䅖㩒义䕄㵘0熂䯌N位⹇幁䙆䕟呎偒归䅖彌䅄䱉⡙㐰ㄯ⼹〲〱ⰬⰬ∬䥄≌⼩䍅彁䕍乁䕟䥂⡔〲ㄱ〬⼴㤱㈯㄰⤰ƛ＀＀ ＀＀ƃ＀＀_x0008_＀＀_x0001_＀＀_x0001_＀＀_x0001_＀＀蛞곎擦䀧摦畳㩰⼯楤敲瑣潩獮䘯呁嘠敩敷㽲捡楴湯唽䑐呁♅牣慥潴㵲慦瑣敳♴奄彎剁升吽啒♅佄彃䅎䕍䘽呁䘺䱑䅟䑕呉义彇䱃䕉呎呟䵅䱐呁⹅䅆♔楤灳慬役瑳楲杮䄽摵瑩嘦剁䬺奅伽䕔䍄商奆♊䅖㩒啑剅㵙歒晚啒唵汕卂ㅘ䉚䙔䔹啑䵬南睧䍎砸协礸䑍睅䍌獷䍌湷䕒䵬祊癫啒䉎じ䘱啑昵啒䩊䍖祧䑍硅䑌ぁ穌㕅穌睉呍灁圦义佄㵗䥆卒彔佐啐♐䕈䝉呈㐽〵圦䑉䡔㐽〵匦䅔呒䵟塁䵉婉䑅䘽䱁䕓嘦剁䌺䱁久䅄㵒䥆䕖䅄♙䅖㩒奓䉍䱏䴽䝏䄮嘦剁䤺䑎塅〽찀뿎䭠I䑇䍞彁䕐华偟䅌彎十⡔㈱㈯〰ⰷⰬ唬䑓䀩南偟久䥓乏噟䱁䅟卓呅⡓㈱㈯〰ⰷⰬ唬䑓착 ＀＀ ＀＀_x0008_＀＀_x0008_＀＀_x0001_＀＀_x0001_＀＀_x0001_＀＀＀＀＀＀ᰀ䂽뿎䭠$䑇䍞彁䕐华䍟䵏彐䅒䕔ㄨ⼲〲㌰ⰬⰬ单⥄ ＀＀ ＀＀_x0008_＀＀_x0008_＀＀_x0001_＀＀_x0001_＀＀_x0001_＀＀＀＀＀＀＀＀䀞ꎜ䶨_x0016_䑇䙞彇剐䍉Ņ㐰ㄯ⼵〲ㄱ!＀＀ ＀＀	＀＀_x0008_＀＀_x0001_＀＀_x0001_＀＀_x0001_＀＀롒蔞䁑찀ꎑ䶨M䕂噁䙞彆久剔剐噟䱁䑟䥁奌〨⼱ㄱ㈯㄰ⰱⰬⰬ䐢䱉⤢䔯䅃䵟䅅彎䉅呉㈨㄰ⰰ㄰ㄯ⼱〲ㄱ착ƚ＀＀ ＀＀Ƃ＀＀_x0008_＀＀_x0001_＀＀_x0001_＀＀_x0001_＀＀芠㎩䀯摦畳㩰⼯楤敲瑣潩獮䘯呁嘠敩敷㽲捡楴湯唽䑐呁♅牣慥潴㵲慦瑣敳♴奄彎剁升吽啒♅佄彃䅎䕍䘽呁䘺䱑䅟䑕呉义彇䱃䕉呎呟䵅䱐呁⹅䅆♔楤灳慬役瑳楲杮䄽摵瑩嘦剁䬺奅匽䍖䵆䵔䕎♈䅖㩒啑剅㵙歒晚啒唵汕卂ㅘ䉚䙔䔹啑䵬南睧卍砸卍礸䑍硅䍌獷䍌湷䕒䵬祊癫啒䉎じ䘱啑昵啒䩊䍖祧䑍睅䑌硁穌硅穌睉呍灅圦义佄㵗䥆卒彔佐啐♐䕈䝉呈㐽〵圦䑉䡔㐽〵匦䅔呒䵟塁䵉婉䑅䘽䱁䕓嘦剁䌺䱁久䅄㵒䥆䕖䅄♙䅖㩒奓䉍䱏䈽䅅♖䅖㩒义䕄㵘0푖䳈_x001E_䑇䕞䅃䵟䅅彎偅⡓㌫ㄬ⼰㜲㈯㄰⤰!＀＀ ＀＀	＀＀_x0008_＀＀_x0001_＀＀_x0001_＀＀_x0001_＀＀_xDBDF_柴䈿䀞찀ꬭ䶨_x001B_䵌幔䍅彁䕍乁䕟卐䍟䱁⡁〲ㄱ착!＀＀ ＀＀	＀＀_x0008_＀＀_x0001_＀＀_x0001_＀＀_x0001_＀＀ꬮᦰˠ䀜찀뿍䭠:䑇坞当䕐华佉彎十䕓協偟佒⡐㈱㈯〰⤸䍀彁䕐华偟呃剟⡅㈱㈯〰⤸ ＀＀ ＀＀_x0008_＀＀_x0008_＀＀_x0001_＀＀_x0001_＀＀_x0001_＀＀＀＀＀＀＀＀＀＀ꎖ䶨L䍐幐䙆䕟呎偒归䅖彌䅄䱉⡙㄰ㄯ⼱〲ㄱⰬⰬ∬䥄≌⼩䍅彁䕍乁䕟䥂⡔〲ㄱ〬⼱ㄱ㈯㄰⤱ƙ＀＀ ＀＀Ɓ＀＀_x0008_＀＀_x0001_＀＀_x0001_＀＀_x0001_＀＀礊権될䀥摦畳㩰⼯楤敲瑣潩獮䘯呁嘠敩敷㽲捡楴湯唽䑐呁♅牣慥潴㵲慦瑣敳♴奄彎剁升吽啒♅佄彃䅎䕍䘽呁䘺䱑䅟䑕呉义彇䱃䕉呎呟䵅䱐呁⹅䅆♔楤灳慬役瑳楲杮䄽摵瑩嘦剁䬺奅夽奄䕔兎佂♔䅖㩒啑剅㵙歒晚啒唵汕卂ㅘ䉚䙔䔹啑䵬南睧卍砸卍礸䑍硅䍌獷䍌湷䕒䵬祊癫啒䉎じ䘱啑昵啒䩊䍖祧䑍硅䑌硁穌硅穌睉呍灅圦义佄㵗䥆卒彔佐啐♐䕈䝉呈㐽〵圦䑉䡔㐽〵匦䅔呒䵟塁䵉婉䑅䘽䱁䕓嘦剁䌺䱁久䅄㵒䥆䕖䅄♙䅖㩒奓䉍䱏倽偃嘦剁䤺䑎塅〽찀閼䴬_x001F_䑇䕞䅃䵟䅅彎䉅呉⬨ⰲ㄰ㄯ⼱〲ㄱ착!＀＀ ＀＀	＀＀_x0008_＀＀_x0001_＀＀_x0001_＀＀_x0001_＀＀컙号鉣䂯찀뿎䭠;䑇䍞彁䕐华䑟卉彃䅒䕔ㄨ⼲〲㠰䀩南偟久䥓乏䑟卉彃䅒䕔ㄨ⼲〲㠰착 ＀＀ ＀＀_x0008_＀＀_x0008_＀＀_x0001_＀＀_x0001_＀＀_x0001_＀＀凬Ẹ䀙熁䯌N䕂噁䙞彆久剔剐噟䱁䑟䥁奌〨⼴㤱㈯㄰ⰰⰬⰬ䐢䱉⤢䔯䅃䵟䅅彎䅓䕌⡓〲㈱〬⼴㤱㈯㄰⤰ƞ＀＀ ＀＀Ɔ＀＀_x0008_＀＀_x0001_＀＀_x0001_＀＀_x0001_＀＀䂾ࠖ솩㿹摦畳㩰⼯楤敲瑣潩獮䘯呁嘠敩敷㽲捡楴湯唽䑐呁♅牣慥潴㵲慦瑣敳♴奄彎剁升吽啒♅佄彃䅎䕍䘽呁䘺䱑䅟䑕呉义彇䱃䕉呎呟䵅䱐呁⹅䅆♔楤灳慬役瑳楲杮䄽摵瑩嘦剁䬺奅䜽奐啊䕆佈♚䅖㩒啑剅㵙歒晚啒唵汕卂ㅘ䉚䙔䔹啑䵬南睧䍎砸协礸䑍睅䍌獷䍌湷䕒䵬祊癫啒䉎じ䘱啑昵さ䵆噒潍橍硁楍睷䍎砸协礸䑍睅克㴽圦义佄㵗䥆卒彔佐啐♐䕈䝉呈㐽〵圦䑉䡔㐽〵匦䅔呒䵟塁䵉婉䑅䘽䱁䕓嘦剁䌺䱁久䅄㵒䥆䕖䅄♙䅖㩒奓䉍䱏䈽䅅♖䅖㩒义䕄㵘0뿎䭠(䑇䍞彁佐呓䕒彔呏䅈䩄也䅂ㄨ⼲〲㔰ⰬⰬ单⥄ ＀＀ ＀＀_x0008_＀＀_x0008_＀＀_x0001_＀＀_x0001_＀＀_x0001_＀＀＀＀＀＀䁭뿎䭠E䑇䍞彁佐呓䕒彔佒⡁㈱㈯〰ⰷⰬ唬䑓䀩南䡟呌䍈剁彅塅彐佒⡁㈱㈯〰ⰷⰬ唬䑓착 ＀＀ ＀＀_x0008_＀＀_x0008_＀＀_x0001_＀＀_x0001_＀＀_x0001_＀＀＀＀＀＀＀＀쀺뿍䭠;䑇坞当䕐华佉彎十䕓協䉟乏卄ㄨ⼲〲㌰䀩䅃偟久当䍐彔䥆ㄨ⼲〲㌰착 ＀＀ ＀＀_x0008_＀＀_x0008_＀＀_x0001_＀＀_x0001_＀＀_x0001_＀＀＀＀＀＀＀＀䀐ᦟ产_x0011_偞䑟呁䍅䑟奁丨坏착$＀＀ ＀＀_x000C_＀＀_x000B_＀＀_x0001_＀＀_x0001_＀＀_x0008_＀＀〱㈯⼵〲ㄱ＀＀熃䯌$䝍呇䰭乏䕞彃䕍乁偟⡅〲〱〬⼴㤱㈯㄰⤰!＀＀ ＀＀	＀＀_x0008_＀＀_x0001_＀＀_x0001_＀＀_x0001_＀＀鮦⃄튰䀧찀㹴丯_x001F_䑇䕞䅃䵟䅅彎䉅呉⬨ⰱ㜰㈯⼶〲ㄱ착!＀＀ ＀＀	＀＀_x0008_＀＀_x0001_＀＀_x0001_＀＀_x0001_＀＀盉龾刚䂯찀熁䯌L佃幌䙆䕟呎偒归䅖彌䅄䱉⡙㐰ㄯ⼹〲〱ⰬⰬ∬䥄≌⼩䍅彁䕍乁䕟䥂⡔〲㈱〬⼴㤱㈯㄰⤰ƙ＀＀ ＀＀Ɓ＀＀_x0008_＀＀_x0001_＀＀_x0001_＀＀_x0001_＀＀忶ྞ롬䀣摦畳㩰⼯楤敲瑣潩獮䘯呁嘠敩敷㽲捡楴湯唽䑐呁♅牣慥潴㵲慦瑣敳♴奄彎剁升吽啒♅佄彃䅎䕍䘽呁䘺䱑䅟䑕呉义彇䱃䕉呎呟䵅䱐呁⹅䅆♔楤灳慬役瑳楲杮䄽摵瑩嘦剁䬺奅圽华啐䥚低♎䅖㩒啑剅㵙歒晚啒唵汕卂ㅘ䉚䙔䔹啑䵬南睧䍎砸协礸䑍睅䍌獷䍌湷䕒䵬祊癫啒䉎じ䘱啑昵啒䩊䍖祧䑍祅䑌ぁ穌㕅穌睉呍灁圦义佄㵗䥆卒彔佐啐♐䕈䝉呈㐽〵圦䑉䡔㐽〵匦䅔呒䵟塁䵉婉䑅䘽䱁䕓嘦剁䌺䱁久䅄㵒䥆䕖䅄♙䅖㩒奓䉍䱏䌽䱏嘦剁䤺䑎塅〽찀듥䷰_x001F_佃幌䍅䵟䅅彎䕐㈨㄰ⰲ㐰ㄯ⼵〲ㄱ착!＀＀ ＀＀	＀＀_x0008_＀＀_x0001_＀＀_x0001_＀＀_x0001_＀＀ᒃ蔼酜䀫찀ꎙ䶨S䝍呇䰭乏䙞彆久剔剐噟䱁䑟䥁奌〨⼱ㄱ㈯㄰ⰱⰬⰬ䐢䱉⤢䔯䅃䵟䅅彎䉅呉䅄㈨㄰ⰰ㄰ㄯ⼱〲ㄱ착Ơ＀＀ ＀＀ƈ＀＀_x0008_＀＀_x0001_＀＀_x0001_＀＀_x0001_＀＀㟿繸ᱎ䀣摦畳㩰⼯楤敲瑣潩獮䘯呁嘠敩敷㽲捡楴湯唽䑐呁♅牣慥潴㵲慦瑣敳♴奄彎剁升吽啒♅佄彃䅎䕍䘽呁䘺䱑䅟䑕呉义彇䱃䕉呎呟䵅䱐呁⹅䅆♔楤灳慬役瑳楲杮䄽摵瑩嘦剁䬺奅䬽䅚佊佔䵊♈䅖㩒啑剅㵙歒晚啒唵汕卂ㅘ䉚䙔䔹啑䵬南睧卍砸卍礸䑍硅䍌獷䍌湷䕒䵬祊癫啒䉎じ䘱啑昵啒䩊䕖䉒䑋睉呍獁䑍癅呍癅橍硁卍㵫圦义佄㵗䥆卒彔佐啐♐䕈䝉呈㐽〵圦䑉䡔㐽〵匦䅔呒䵟塁䵉婉䑅䘽䱁䕓嘦剁䌺䱁久䅄㵒䥆䕖䅄♙䅖㩒奓䉍䱏〽㜵㠵☰䅖㩒义䕄㵘0閼䴬 䑇䕞䅃䵟䅅彎䉅呉⡄ㄫ〬⼱ㄱ㈯㄰⤱!＀＀ ＀＀	＀＀_x0008_＀＀_x0001_＀＀_x0001_＀＀_x0001_＀＀橿璼偓䂱찀ᦟ产_x0014_䑇灞灟楲散江睯㕟圲⤨!＀＀ ＀＀	＀＀_x0008_＀＀_x0001_＀＀_x0001_＀＀_x0001_＀＀馚香蓮䁊찀뿎䭠L䑇䍞彁佐呓䕒彔剓彖佃呓ㄨ⼲〲㔰ⰬⰬ单⥄址当䱈䡔䅃䕒卟剅彖佃呓ㄨ⼲〲㔰ⰬⰬ单⥄ ＀＀ ＀＀_x0008_＀＀_x0008_＀＀_x0001_＀＀_x0001_＀＀_x0001_＀＀＀＀＀＀＀＀䀰熄䯌S䝍呇䰭乏䙞彆久剔剐噟䱁䑟䥁奌〨⼴㤱㈯㄰ⰰⰬⰬ䐢䱉⤢䔯䅃䵟䅅彎䉅呉䅄㈨㄰ⰱ㐰ㄯ⼹〲〱착Ơ＀＀ ＀＀ƈ＀＀_x0008_＀＀_x0001_＀＀_x0001_＀＀_x0001_＀＀䵌錇撛䀝摦畳㩰⼯楤敲瑣潩獮䘯呁嘠敩敷㽲捡楴湯唽䑐呁♅牣慥潴㵲慦瑣敳♴奄彎剁升吽啒♅佄彃䅎䕍䘽呁䘺䱑䅟䑕呉义彇䱃䕉呎呟䵅䱐呁⹅䅆♔楤灳慬役瑳楲杮䄽摵瑩嘦剁䬺奅伽啒兎䝖䵊♄䅖㩒啑剅㵙歒晚啒唵汕卂ㅘ䉚䙔䔹啑䵬南睧䍎砸协礸䑍睅䍌獷䍌湷䕒䵬祊癫啒䉎じ䘱啑昵啒䩊䕖䉒䑋睉呍獅䑍癑呍癫橍硁䍍㵫圦义佄㵗䥆卒彔佐啐♐䕈䝉呈㐽〵圦䑉䡔㐽〵匦䅔呒䵟塁䵉婉䑅䘽䱁䕓嘦剁䌺䱁久䅄㵒䥆䕖䅄♙䅖㩒奓䉍䱏〽㜵㠵☰䅖㩒义䕄㵘0뿎䭠*䑇䍞彁佐呓䕒彔䅐呒䍟乏剔䉉ㄨ⼲〲㌰ⰬⰬ单⥄ ＀＀ ＀＀_x0008_＀＀_x0008_＀＀_x0001_＀＀_x0001_＀＀_x0001_＀＀＀＀＀＀＀＀＀＀ᦨ产N位⹇幁䙆䕟呎偒归䅖彌䅄䱉⡙〱㈯⼵〲ㄱⰬⰬ∬䥄≌⼩䍅彁䕍乁䕟䥂⡔〲ㄱㄬ⼰㔲㈯㄰⤱Ɵ＀＀ ＀＀Ƈ＀＀_x0008_＀＀_x0001_＀＀_x0001_＀＀_x0001_＀＀闽냑䀤摦畳㩰⼯楤敲瑣潩獮䘯呁嘠敩敷㽲捡楴湯唽䑐呁♅牣慥潴㵲慦瑣敳♴奄彎剁升吽啒♅佄彃䅎䕍䘽呁䘺䱑䅟䑕呉义彇䱃䕉呎呟䵅䱐呁⹅䅆♔楤灳慬役瑳楲杮䄽摵瑩嘦剁䬺奅䐽䱍䉉䡁䙏♃䅖㩒啑剅㵙歒晚啒唵汕卂ㅘ䉚䙔䔹啑䵬南硧䍍礸华礸䑍硅䍌獷䍌湷䕒䵬祊杫祌䙂け晆啔䉖汔䘹歑啬䑋睉呍獅呍癁橍癕橍硁卍㵫圦义佄㵗䥆卒彔佐啐♐䕈䝉呈㐽〵圦䑉䡔㐽〵匦䅔呒䵟塁䵉婉䑅䘽䱁䕓嘦剁䌺䱁久䅄㵒䥆䕖䅄♙䅖㩒奓䉍䱏䴽䝏䄮嘦剁䤺䑎塅〽찀듨䷰P位⹇幁䙆䕟呎偒归䅖彌䅄䱉⡙㐰ㄯ⼵〲ㄱⰬⰬ∬䥄≌⼩䍅彁䕍乁䕟䥂䑔⡁〲〱〬⼴㔱㈯㄰⤱ƚ＀＀ ＀＀Ƃ＀＀_x0008_＀＀_x0001_＀＀_x0001_＀＀_x0001_＀＀苣ꅦ䀢摦畳㩰⼯楤敲瑣潩獮䘯呁嘠敩敷㽲捡楴湯唽䑐呁♅牣慥潴㵲慦瑣敳♴奄彎剁升吽啒♅佄彃䅎䕍䘽呁䘺䱑䅟䑕呉义彇䱃䕉呎呟䵅䱐呁⹅䅆♔楤灳慬役瑳楲杮䄽摵瑩嘦剁䬺奅匽䍎䥈䵊奖♌䅖㩒啑剅㵙歒晚啒唵汕卂ㅘ䉚䙔䔹啑䵬南睧䍎砸华礸䑍硅䍌獷䍌湷䕒䵬祊癫啒䉎じ䘱啑昵啒䩊䕖䉒䑋睉呍獁䑍癑呍癕橍硁卍㵫圦义佄㵗䥆卒彔佐啐♐䕈䝉呈㐽〵圦䑉䡔㐽〵匦䅔呒䵟塁䵉婉䑅䘽䱁䕓嘦剁䌺䱁久䅄㵒单嘦剁区䵙佂㵌位⹇♁䅖㩒义䕄㵘0뿎䭠%䑇䍞彁䕐华䅟呓䥟呎乁⡇㈱㈯〰ⰵⰬ唬䑓착 ＀＀ ＀＀_x0008_＀＀_x0008_＀＀_x0001_＀＀_x0001_＀＀_x0001_＀＀豀碵꼝쐕ꚝ丠M䕂噁䙞彆久剔剐噟䱁䑟䥁奌〨⼷㔱㈯㄰ⰱⰬⰬ䐢䱉⤢䔯䅃䵟䅅彎䉅呉㈨㄰ⰰ㜰ㄯ⼵〲ㄱ착ƚ＀＀ ＀＀Ƃ＀＀_x0008_＀＀_x0001_＀＀_x0001_＀＀_x0001_＀＀趨뚞薢䀰摦畳㩰⼯楤敲瑣潩獮䘯呁嘠敩敷㽲捡楴湯唽䑐呁♅牣慥潴㵲慦瑣敳♴奄彎剁升吽啒♅佄彃䅎䕍䘽呁䘺䱑䅟䑕呉义彇䱃䕉呎呟䵅䱐呁⹅䅆♔楤灳慬役瑳楲杮䄽摵瑩嘦剁䬺奅䈽䙕剑呗乍♅䅖㩒啑剅㵙歒晚啒唵汕卂ㅘ䉚䙔䔹啑䵬南睧祎砸华礸䑍硅䍌獷䍌湷䕒䵬祊癫啒䉎じ䘱啑昵啒䩊䍖祧䑍睅䑌㍁穌ㅅ穌睉呍灅圦义佄㵗䥆卒彔佐啐♐䕈䝉呈㐽〵圦䑉䡔㐽〵匦䅔呒䵟塁䵉婉䑅䘽䱁䕓嘦剁䌺䱁久䅄㵒䥆䕖䅄♙䅖㩒奓䉍䱏䈽䅅♖䅖㩒义䕄㵘0㹮丯O位⹇幁䙆䕟呎偒归䅖彌䅄䱉⡙㜰㈯⼶〲ㄱⰬⰬ∬䥄≌⼩䍅彁䕍乁卟䱁卅㈨㄰ⰰ㜰㈯⼶〲ㄱ착Ɵ＀＀ ＀＀Ƈ＀＀_x0008_＀＀_x0001_＀＀_x0001_＀＀_x0001_＀＀䨪畽㿳摦畳㩰⼯楤敲瑣潩獮䘯呁嘠敩敷㽲捡楴湯唽䑐呁♅牣慥潴㵲慦瑣敳♴奄彎剁升吽啒♅佄彃䅎䕍䘽呁䘺䱑䅟䑕呉义彇䱃䕉呎呟䵅䱐呁⹅䅆♔楤灳慬役瑳楲杮䄽摵瑩嘦剁䬺奅匽兘䅐䭒䍘♂䅖㩒啑剅㵙歒晚啒唵汕卂ㅘ䉚䙔䔹啑䵬南睧祎礸楎礸䑍硅䍌獷䍌湷䕒䵬祊癫啒䉎じ䘱啑昵さ䵆噒潍橍硁䍍睷祎礸楎礸䑍硅克㴽圦义佄㵗䥆卒彔佐啐♐䕈䝉呈㐽〵圦䑉䡔㐽〵匦䅔呒䵟塁䵉婉䑅䘽䱁䕓嘦剁䌺䱁久䅄㵒䥆䕖䅄♙䅖㩒奓䉍䱏䴽䝏䄮嘦剁䤺䑎塅〽찀ꚢ丠L䍐幐䙆䕟呎偒归䅖彌䅄䱉⡙㜰ㄯ⼵〲ㄱⰬⰬ∬䥄≌⼩䍅彁䕍乁䕟䥂⡔〲ㄱ〬⼷㔱㈯㄰⤱ƙ＀＀ ＀＀Ɓ＀＀_x0008_＀＀_x0001_＀＀_x0001_＀＀_x0001_＀＀碲㦖刂䀨摦畳㩰⼯楤敲瑣潩獮䘯呁嘠敩敷㽲捡楴湯唽䑐呁♅牣慥潴㵲慦瑣敳♴奄彎剁升吽啒♅佄彃䅎䕍䘽呁䘺䱑䅟䑕呉义彇䱃䕉呎呟䵅䱐呁⹅䅆♔楤灳慬役瑳楲杮䄽摵瑩嘦剁䬺奅刽䡁䑉呁䙕♙䅖㩒啑剅㵙歒晚啒唵汕卂ㅘ䉚䙔䔹啑䵬南睧祎砸华礸䑍硅䍌獷䍌湷䕒䵬祊癫啒䉎じ䘱啑昵啒䩊䍖祧䑍硅䑌㍁穌ㅅ穌睉呍灅圦义佄㵗䥆卒彔佐啐♐䕈䝉呈㐽〵圦䑉䡔㐽〵匦䅔呒䵟塁䵉婉䑅䘽䱁䕓嘦剁䌺䱁久䅄㵒䥆䕖䅄♙䅖㩒奓䉍䱏倽偃嘦剁䤺䑎塅〽찀듮䷰_x001F_䑇䕞䅃䵟䅅彎䉅呉⬨ⰳ㘰〯⼹〲ㄱ착!＀＀ ＀＀	＀＀_x0008_＀＀_x0001_＀＀_x0001_＀＀_x0001_＀＀_xD917_㹓䂱찀閼䴬 䑇䕞䅃䵟䅅彎䅓䕌⡓㌫〬⼱ㄱ㈯㄰⤱!＀＀ ＀＀	＀＀_x0008_＀＀_x0001_＀＀_x0001_＀＀_x0001_＀＀䞮竡惼䃡찀뿎䭠G䑇䍞彁䕐华䥟呎䍟协⡔㈱㈯〰ⰸⰬ唬䑓䀩南偟久䥓乏䥟呎䍟协⡔㈱㈯〰ⰸⰬ唬䑓착 ＀＀ ＀＀_x0008_＀＀_x0008_＀＀_x0001_＀＀_x0001_＀＀_x0001_＀＀＀＀＀＀퀀䁻㹰丯S䝍呇䰭乏䙞彆久剔剐噟䱁䑟䥁奌〨⼷㘲㈯㄰ⰱⰬⰬ䐢䱉⤢䔯䅃䵟䅅彎䉅呉䅄㈨㄰ⰰ㜰㈯⼶〲ㄱ착Ơ＀＀ ＀＀ƈ＀＀_x0008_＀＀_x0001_＀＀_x0001_＀＀_x0001_＀＀҃ᡫ鄣䀣摦畳㩰⼯楤敲瑣潩獮䘯呁嘠敩敷㽲捡楴湯唽䑐呁♅牣慥潴㵲慦瑣敳♴奄彎剁升吽啒♅佄彃䅎䕍䘽呁䘺䱑䅟䑕呉义彇䱃䕉呎呟䵅䱐呁⹅䅆♔楤灳慬役瑳楲杮䄽摵瑩嘦剁䬺奅䌽䍎䍐䥒䝌♆䅖㩒啑剅㵙歒晚啒唵汕卂ㅘ䉚䙔䔹啑䵬南睧祎礸楎礸䑍硅䍌獷䍌湷䕒䵬祊癫啒䉎じ䘱啑昵啒䩊䕖䉒䑋睉呍獁䑍癣橍癙橍硁卍㵫圦义佄㵗䥆卒彔佐啐♐䕈䝉呈㐽〵圦䑉䡔㐽〵匦䅔呒䵟塁䵉婉䑅䘽䱁䕓嘦剁䌺䱁久䅄㵒䥆䕖䅄♙䅖㩒奓䉍䱏〽㜵㠵☰䅖㩒义䕄㵘0뿎䭠&amp;䑇䍞彁佐呓䕒彔䕂彎䅐䑉ㄨ⼲〲㐰ⰬⰬ单⥄ ＀＀ ＀＀_x0008_＀＀_x0008_＀＀_x0001_＀＀_x0001_＀＀_x0001_＀＀＀＀＀＀耀䁋뿍䭠:䑇坞当䕐华佉彎十䕓協偟佒⡐㈱㈯〰⤳䍀彁䕐华偟呃剟⡅㈱㈯〰⤳ ＀＀ ＀＀_x0008_＀＀_x0008_＀＀_x0001_＀＀_x0001_＀＀_x0001_＀＀＀＀＀＀＀＀＀＀ꚨ丠_x001E_䑇䕞䅃䵟䅅彎偅⡓㌫〬⼷㔱㈯㄰⤱!＀＀ ＀＀	＀＀_x0008_＀＀_x0001_＀＀_x0001_＀＀_x0001_＀＀땁见꿨䀠찀㹴丯_x001E_䑇䕞䅃䵟䅅彎偅⡓㌫〬⼷㘲㈯㄰⤱!＀＀ ＀＀	＀＀_x0008_＀＀_x0001_＀＀_x0001_＀＀_x0001_＀＀揈⨆꿣䀠찀閺䴬M䍐幐䙆䕟呎偒归䅖彌䅄䱉⡙〱㈯⼷〲〱ⰬⰬ∬䥄≌⼩䍅彁䕍乁卟䱁卅㈨㄰ⰰ〱㈯⼷〲〱착Ƙ＀＀ ＀＀ƀ＀＀_x0008_＀＀_x0001_＀＀_x0001_＀＀_x0001_＀＀ᓡ鬦濠䀉摦畳㩰⼯楤敲瑣潩獮䘯呁嘠敩敷㽲捡楴湯唽䑐呁♅牣慥潴㵲慦瑣敳♴奄彎剁升吽啒♅佄彃䅎䕍䘽呁䘺䱑䅟䑕呉义彇䱃䕉呎呟䵅䱐呁⹅䅆♔楤灳慬役瑳楲杮䄽摵瑩嘦剁䬺奅䔽䝈䍘坆坊♖䅖㩒啑剅㵙歒晚啒唵汕卂ㅘ䉚䙔䔹啑䵬南硧䍍礸祎礸䑍睅䍌獷䍌湷䕒䵬祊癫啒䉎じ䘱啑昵さ䵆噒潍橍硁䍍硷䍍礸祎礸䑍睅克㴽圦义佄㵗䥆卒彔佐啐♐䕈䝉呈㐽〵圦䑉䡔㐽〵匦䅔呒䵟塁䵉婉䑅䘽䱁䕓嘦剁䌺䱁久䅄㵒单嘦剁区䵙佂㵌䍐♐䅖㩒义䕄㵘0煿䯌 䑇䕞䅃䵟䅅彎䉅呉⡄㈫〬⼴㤱㈯㄰⤰!＀＀ ＀＀	＀＀_x0008_＀＀_x0001_＀＀_x0001_＀＀_x0001_＀＀龿⼚켽䂱찀듮䷰ 䑇䕞䅃䵟䅅彎䉅呉⡄㈫〬⼶㤰㈯㄰⤱!＀＀ ＀＀	＀＀_x0008_＀＀_x0001_＀＀_x0001_＀＀_x0001_＀＀㝌䆉沠䂲찀뿎䭠)䑇坞当䱈䡔䅃䕒䕟偘䱟彔佒⡁㈱㈯〰ⰲⰬ唬䑓착 ＀＀ ＀＀_x0008_＀＀_x0008_＀＀_x0001_＀＀_x0001_＀＀_x0001_＀＀＀＀＀＀＀＀䀠ᦦ产L佃幌䙆䕟呎偒归䅖彌䅄䱉⡙〱㈯⼵〲ㄱⰬⰬ∬䥄≌⼩䍅彁䕍乁䕟䥂⡔〲㈱ㄬ⼰㔲㈯㄰⤱Ɲ＀＀ ＀＀ƅ＀＀_x0008_＀＀_x0001_＀＀_x0001_＀＀_x0001_＀＀髬봉䀡摦畳㩰⼯楤敲瑣潩獮䘯呁嘠敩敷㽲捡楴湯唽䑐呁♅牣慥潴㵲慦瑣敳♴奄彎剁升吽啒♅佄彃䅎䕍䘽呁䘺䱑䅟䑕呉义彇䱃䕉呎呟䵅䱐呁⹅䅆♔楤灳慬役瑳楲杮䄽摵瑩嘦剁䬺奅嘽䱋䑇噑偋♁䅖㩒啑剅㵙歒晚啒唵汕卂ㅘ䉚䙔䔹啑䵬南硧䍍礸华礸䑍硅䍌獷䍌湷䕒䵬祊杫祌䙂け晆啔䉖汔䘹歑啬䑋睉呍獉呍癁橍癕橍硁卍㵫圦义佄㵗䥆卒彔佐啐♐䕈䝉呈㐽〵圦䑉䡔㐽〵匦䅔呒䵟塁䵉婉䑅䘽䱁䕓嘦剁䌺䱁久䅄㵒䥆䕖䅄♙䅖㩒奓䉍䱏䌽䱏嘦剁䤺䑎塅〽찀ᦥ产N䕂噁䙞彆久剔剐噟䱁䑟䥁奌ㄨ⼰㔲㈯㄰ⰱⰬⰬ䐢䱉⤢䔯䅃䵟䅅彎䅓䕌⡓〲㈱ㄬ⼰㔲㈯㄰⤱ƞ＀＀ ＀＀Ɔ＀＀_x0008_＀＀_x0001_＀＀_x0001_＀＀_x0001_＀＀偑໬㿻摦畳㩰⼯楤敲瑣潩獮䘯呁嘠敩敷㽲捡楴湯唽䑐呁♅牣慥潴㵲慦瑣敳♴奄彎剁升吽啒♅佄彃䅎䕍䘽呁䘺䱑䅟䑕呉义彇䱃䕉呎呟䵅䱐呁⹅䅆♔楤灳慬役瑳楲杮䄽摵瑩嘦剁䬺奅娽剓剑婅偕♏䅖㩒啑剅㵙歒晚啒唵汕卂ㅘ䉚䙔䔹啑䵬南硧䍍礸华礸䑍硅䍌獷䍌湷䕒䵬祊杫祌䙂け晆啔䉖汔吹啑䙸祕祧䑍祅䑌睅穌ㅉ穌睉呍灅圦义佄㵗䥆卒彔佐啐♐䕈䝉呈㐽〵圦䑉䡔㐽〵匦䅔呒䵟塁䵉婉䑅䘽䱁䕓嘦剁䌺䱁久䅄㵒䥆䕖䅄♙䅖㩒奓䉍䱏䈽䅅♖䅖㩒义䕄㵘0뿎䭠'䑇䍞彁䕐华偟剁彔佃呎䥒⡂㈱㈯〰ⰴⰬ唬䑓착 ＀＀ ＀＀_x0008_＀＀_x0008_＀＀_x0001_＀＀_x0001_＀＀_x0001_＀＀＀＀＀＀＀＀＀＀뿎䭠F䑇䍞彁䕐华也呅䍟协⡔㈱㈯〰ⰶⰬ唬䑓䀩南偟久䥓乏也偐䕟偘ㄨ⼲〲㘰ⰬⰬ单⥄ ＀＀ ＀＀_x0008_＀＀_x0008_＀＀_x0001_＀＀_x0001_＀＀_x0001_＀＀＀＀＀＀쀀䁤뿍䭠:䑇坞当䕐华佉彎十䕓協䕟啑⡉㈱㈯〰⤴䍀彁䕐华偟呃䕟⡑㈱㈯〰⤴ ＀＀ ＀＀_x0008_＀＀_x0008_＀＀_x0001_＀＀_x0001_＀＀_x0001_＀＀＀＀＀＀䀀䁘ᦫ产 䑇䕞䅃䵟䅅彎䅓䕌⡓㈫ㄬ⼰㔲㈯㄰⤱!＀＀ ＀＀	＀＀_x0008_＀＀_x0001_＀＀_x0001_＀＀_x0001_＀＀䞮竡ఌ䃡찀뿎䭠.䑇坞当䱈䡔䅃䕒䅟位呒卟剅彖佃呓ㄨ⼲〲㈰ⰬⰬ单⥄ ＀＀ ＀＀_x0008_＀＀_x0008_＀＀_x0001_＀＀_x0001_＀＀_x0001_＀＀＀＀＀＀＀＀䀈ꎕ䶨N位⹇幁䙆䕟呎偒归䅖彌䅄䱉⡙㄰ㄯ⼱〲ㄱⰬⰬ∬䥄≌⼩䍅彁䕍乁䕟䥂⡔〲ㄱ〬⼱ㄱ㈯㄰⤱ƛ＀＀ ＀＀ƃ＀＀_x0008_＀＀_x0001_＀＀_x0001_＀＀_x0001_＀＀㯐铒ሼ䀨摦畳㩰⼯楤敲瑣潩獮䘯呁嘠敩敷㽲捡楴湯唽䑐呁♅牣慥潴㵲慦瑣敳♴奄彎剁升吽啒♅佄彃䅎䕍䘽呁䘺䱑䅟䑕呉义彇䱃䕉呎呟䵅䱐呁⹅䅆♔楤灳慬役瑳楲杮䄽摵瑩嘦剁䬺奅儽䥔䝒䍒兎♐䅖㩒啑剅㵙歒晚啒唵汕卂ㅘ䉚䙔䔹啑䵬南睧卍砸卍礸䑍硅䍌獷䍌湷䕒䵬祊癫啒䉎じ䘱啑昵啒䩊䍖祧䑍硅䑌硁穌硅穌睉呍灅圦义佄㵗䥆卒彔佐啐♐䕈䝉呈㐽〵圦䑉䡔㐽〵匦䅔呒䵟塁䵉婉䑅䘽䱁䕓嘦剁䌺䱁久䅄㵒䥆䕖䅄♙䅖㩒奓䉍䱏䴽䝏䄮嘦剁䤺䑎塅〽찀뿎䭠I䑇䍞彁䕐华剟䅏剟呁⡅㈱㈯〰ⰵⰬ唬䑓䀩南偟久䥓乏䕟偘䱟彔佒⡁㈱㈯〰ⰵⰬ唬䑓착 ＀＀ ＀＀_x0008_＀＀_x0008_＀＀_x0001_＀＀_x0001_＀＀_x0001_＀＀쳍쳌䳌䀠푖䳈_x001F_䑇䕞䅃䵟䅅彎䉅呉⬨ⰱ〱㈯⼷〲〱착!＀＀ ＀＀	＀＀_x0008_＀＀_x0001_＀＀_x0001_＀＀_x0001_＀＀_xDF3C_赏ꭗ䂮찀뿎䭠K䑇䍞彁佐呓䕒彔义彔佃呓ㄨ⼲〲㔰ⰬⰬ单⥄址当䱈䡔䅃䕒䥟呎䍟协⡔㈱㈯〰ⰵⰬ唬䑓착 ＀＀ ＀＀_x0008_＀＀_x0008_＀＀_x0001_＀＀_x0001_＀＀_x0001_＀＀＀＀＀＀＀＀䁑㹭丯P位⹇幁䙆䕟呎偒归䅖彌䅄䱉⡙㜰㈯⼶〲ㄱⰬⰬ∬䥄≌⼩䍅彁䕍乁䕟䥂䑔⡁〲ㄱ〬⼷㘲㈯㄰⤱Ɵ＀＀ ＀＀Ƈ＀＀_x0008_＀＀_x0001_＀＀_x0001_＀＀_x0001_＀＀됝殴簠䀠摦畳㩰⼯楤敲瑣潩獮䘯呁嘠敩敷㽲捡楴湯唽䑐呁♅牣慥潴㵲慦瑣敳♴奄彎剁升吽啒♅佄彃䅎䕍䘽呁䘺䱑䅟䑕呉义彇䱃䕉呎呟䵅䱐呁⹅䅆♔楤灳慬役瑳楲杮䄽摵瑩嘦剁䬺奅圽坐䝔䍌兌♚䅖㩒啑剅㵙歒晚啒唵汕卂ㅘ䉚䙔䔹啑䵬南睧祎礸楎礸䑍硅䍌獷䍌湷䕒䵬祊癫啒䉎じ䘱啑昵啒䩊䕖䉒䑋睉呍獅䑍癣橍癙橍硁卍㵫圦义佄㵗䥆卒彔佐啐♐䕈䝉呈㐽〵圦䑉䡔㐽〵匦䅔呒䵟塁䵉婉䑅䘽䱁䕓嘦剁䌺䱁久䅄㵒䥆䕖䅄♙䅖㩒奓䉍䱏䴽䝏䄮嘦剁䤺䑎塅〽찀㹪丯M䕂噁䙞彆久剔剐噟䱁䑟䥁奌〨⼷㘲㈯㄰ⰱⰬⰬ䐢䱉⤢䔯䅃䵟䅅彎䉅呉㈨㄰ⰰ㜰㈯⼶〲ㄱ착ƚ＀＀ ＀＀Ƃ＀＀_x0008_＀＀_x0001_＀＀_x0001_＀＀_x0001_＀＀쯗偫樐䀩摦畳㩰⼯楤敲瑣潩獮䘯呁嘠敩敷㽲捡楴湯唽䑐呁♅牣慥潴㵲慦瑣敳♴奄彎剁升吽啒♅佄彃䅎䕍䘽呁䘺䱑䅟䑕呉义彇䱃䕉呎呟䵅䱐呁⹅䅆♔楤灳慬役瑳楲杮䄽摵瑩嘦剁䬺奅䴽佂䝄䅎䝌♈䅖㩒啑剅㵙歒晚啒唵汕卂ㅘ䉚䙔䔹啑䵬南睧祎礸楎礸䑍硅䍌獷䍌湷䕒䵬祊癫啒䉎じ䘱啑昵啒䩊䍖祧䑍睅䑌㍁穌㉉穌睉呍灅圦义佄㵗䥆卒彔佐啐♐䕈䝉呈㐽〵圦䑉䡔㐽〵匦䅔呒䵟塁䵉婉䑅䘽䱁䕓嘦剁䌺䱁久䅄㵒䥆䕖䅄♙䅖㩒奓䉍䱏䈽䅅♖䅖㩒义䕄㵘0뿎䭠M䑇䍞彁䕐华啟剎䍅䝏ㄨ⼲〲㜰ⰬⰬ单⥄址当䕐华佉彎乕䕒彃䕓噒䍟协⡔㈱㈯〰ⰷⰬ唬䑓착 ＀＀ ＀＀_x0008_＀＀_x0008_＀＀_x0001_＀＀_x0001_＀＀_x0001_＀＀＀＀＀＀က삀ᦧ产P位⹇幁䙆䕟呎偒归䅖彌䅄䱉⡙〱㈯⼵〲ㄱⰬⰬ∬䥄≌⼩䍅彁䕍乁䕟䥂䑔⡁〲〱ㄬ⼰㔲㈯㄰⤱ƣ＀＀ ＀＀Ƌ＀＀_x0008_＀＀_x0001_＀＀_x0001_＀＀_x0001_＀＀惃蒐ꮰ䀠摦畳㩰⼯楤敲瑣潩獮䘯呁嘠敩敷㽲捡楴湯唽䑐呁♅牣慥潴㵲慦瑣敳♴奄彎剁升吽啒♅佄彃䅎䕍䘽呁䘺䱑䅟䑕呉义彇䱃䕉呎呟䵅䱐呁⹅䅆♔楤灳慬役瑳楲杮䄽摵瑩嘦剁䬺奅吽䉋䑇䡉呁♕䅖㩒啑剅㵙歒晚啒唵汕卂ㅘ䉚䙔䔹啑䵬南硧䍍礸华礸䑍硅䍌獷䍌湷䕒䵬祊杫祌䙂け晆啔䉖汔䘹歑啬䕒潅橍硁䍍硷䍍礸华礸䑍硅克㴽圦义佄㵗䥆卒彔佐啐♐䕈䝉呈㐽〵圦䑉䡔㐽〵匦䅔呒䵟塁䵉婉䑅䘽䱁䕓嘦剁䌺䱁久䅄㵒䥆䕖䅄♙䅖㩒奓䉍䱏䴽䝏䄮嘦剁䤺䑎塅〽찀㹯丯L䍐幐䙆䕟呎偒归䅖彌䅄䱉⡙㜰㈯⼶〲ㄱⰬⰬ∬䥄≌⼩䍅彁䕍乁䕟䥂⡔〲ㄱ〬⼷㘲㈯㄰⤱ƙ＀＀ ＀＀Ɓ＀＀_x0008_＀＀_x0001_＀＀_x0001_＀＀_x0001_＀＀馽⊻Ⅿ䀨摦畳㩰⼯楤敲瑣潩獮䘯呁嘠敩敷㽲捡楴湯唽䑐呁♅牣慥潴㵲慦瑣敳♴奄彎剁升吽啒♅佄彃䅎䕍䘽呁䘺䱑䅟䑕呉义彇䱃䕉呎呟䵅䱐呁⹅䅆♔楤灳慬役瑳楲杮䄽摵瑩嘦剁䬺奅伽䝖䭊䭎䭒♚䅖㩒啑剅㵙歒晚啒唵汕卂ㅘ䉚䙔䔹啑䵬南睧祎礸楎礸䑍硅䍌獷䍌湷䕒䵬祊癫啒䉎じ䘱啑昵啒䩊䍖祧䑍硅䑌㍁穌㉉穌睉呍灅圦义佄㵗䥆卒彔佐啐♐䕈䝉呈㐽〵圦䑉䡔㐽〵匦䅔呒䵟塁䵉婉䑅䘽䱁䕓嘦剁䌺䱁久䅄㵒䥆䕖䅄♙䅖㩒奓䉍䱏倽偃嘦剁䤺䑎塅〽찀ꎝ䶨_x001E_䑇䕞䅃䵟䅅彎偅⡓ㄫ〬⼴㔱㈯㄰⤱!＀＀ ＀＀	＀＀_x0008_＀＀_x0001_＀＀_x0001_＀＀_x0001_＀＀馈ṽ貣䀜찀뿎䭠$䑇䍞彁䕐华䱟彔十䕓協ㄨ⼲〲㐰ⰬⰬ单⥄ ＀＀ ＀＀_x0008_＀＀_x0008_＀＀_x0001_＀＀_x0001_＀＀_x0001_＀＀豀碵꼝쐕들䷰ 䕂噁䕞䅃䵟䅅彎偅⡓㈫〬⼴㔱㈯㄰⤱!＀＀ ＀＀	＀＀_x0008_＀＀_x0001_＀＀_x0001_＀＀_x0001_＀＀බ₣屸䀄찀뿎䭠)䑇坞当䱈䡔䅃䕒䕟偘䱟彔佒⡁㈱㈯〰ⰸⰬ唬䑓착 ＀＀ ＀＀_x0008_＀＀_x0008_＀＀_x0001_＀＀_x0001_＀＀_x0001_＀＀䞮竡⸔䀠煿䯌_x001F_䑇䕞䅃䵟䅅彎䉅呉⬨ⰱ㐰ㄯ⼹〲〱착!＀＀ ＀＀	＀＀_x0008_＀＀_x0001_＀＀_x0001_＀＀_x0001_＀＀ᢔ嘄ৎ䂮찀ꚥ丠S䝍呇䰭乏䙞彆久剔剐噟䱁䑟䥁奌〨⼷㔱㈯㄰ⰱⰬⰬ䐢䱉⤢䔯䅃䵟䅅彎䉅呉䅄㈨㄰ⰱ㜰ㄯ⼵〲ㄱ착Ơ＀＀ ＀＀ƈ＀＀_x0008_＀＀_x0001_＀＀_x0001_＀＀_x0001_＀＀玠㯜⡣䀠摦畳㩰⼯楤敲瑣潩獮䘯呁嘠敩敷㽲捡楴湯唽䑐呁♅牣慥潴㵲慦瑣敳♴奄彎剁升吽啒♅佄彃䅎䕍䘽呁䘺䱑䅟䑕呉义彇䱃䕉呎呟䵅䱐呁⹅䅆♔楤灳慬役瑳楲杮䄽摵瑩嘦剁䬺奅䈽婑噉塍塍♗䅖㩒啑剅㵙歒晚啒唵汕卂ㅘ䉚䙔䔹啑䵬南睧祎砸华礸䑍硅䍌獷䍌湷䕒䵬祊癫啒䉎じ䘱啑昵啒䩊䕖䉒䑋睉呍獅䑍癣呍癕橍硁卍㵫圦义佄㵗䥆卒彔佐啐♐䕈䝉呈㐽〵圦䑉䡔㐽〵匦䅔呒䵟塁䵉婉䑅䘽䱁䕓嘦剁䌺䱁久䅄㵒䥆䕖䅄♙䅖㩒奓䉍䱏〽㜵㠵☰䅖㩒义䕄㵘0ꎓ䶨L佃幌䙆䕟呎偒归䅖彌䅄䱉⡙㄰ㄯ⼱〲ㄱⰬⰬ∬䥄≌⼩䍅彁䕍乁䕟䥂⡔〲㈱〬⼱ㄱ㈯㄰⤱ƙ＀＀ ＀＀Ɓ＀＀_x0008_＀＀_x0001_＀＀_x0001_＀＀_x0001_＀＀᫿_xFFFF_￴걾䀢摦畳㩰⼯楤敲瑣潩獮䘯呁嘠敩敷㽲捡楴湯唽䑐呁♅牣慥潴㵲慦瑣敳♴奄彎剁升吽啒♅佄彃䅎䕍䘽呁䘺䱑䅟䑕呉义彇䱃䕉呎呟䵅䱐呁⹅䅆♔楤灳慬役瑳楲杮䄽摵瑩嘦剁䬺奅䌽䍄坂奂兄♂䅖㩒啑剅㵙歒晚啒唵汕卂ㅘ䉚䙔䔹啑䵬南睧卍砸卍礸䑍硅䍌獷䍌湷䕒䵬祊癫啒䉎じ䘱啑昵啒䩊䍖祧䑍祅䑌硁穌硅穌睉呍灅圦义佄㵗䥆卒彔佐啐♐䕈䝉呈㐽〵圦䑉䡔㐽〵匦䅔呒䵟塁䵉婉䑅䘽䱁䕓嘦剁䌺䱁久䅄㵒䥆䕖䅄♙䅖㩒奓䉍䱏䌽䱏嘦剁䤺䑎塅〽찀뿎䭠S䑇䍞彁佐呓䕒彔剐佉归剓⡖㈱㈯〰ⰵⰬ唬䑓䀩南䡟呌䍈剁彅乕䕒彃䕓噒䍟协⡔㈱㈯〰ⰵⰬ唬䑓착 ＀＀ ＀＀_x0008_＀＀_x0008_＀＀_x0001_＀＀_x0001_＀＀_x0001_＀＀＀＀＀＀＀＀쀐ᦧ产_x000E_位⹇幁䝆偟䥒䕃!＀＀ ＀＀	＀＀_x0008_＀＀_x0001_＀＀_x0001_＀＀_x0001_＀＀凬Ẹ讅䁂찀ᦣ产O䕂噁䙞彆久剔剐噟䱁䑟䥁奌ㄨ⼰㔲㈯㄰ⰱⰬⰬ䐢䱉⤢䔯䅃䵟䅅彎䉅呉䅄㈨㄰ⰲ〱㈯⼵〲ㄱ착Ƣ＀＀ ＀＀Ɗ＀＀_x0008_＀＀_x0001_＀＀_x0001_＀＀_x0001_＀＀籆辴芲䀠摦畳㩰⼯楤敲瑣潩獮䘯呁嘠敩敷㽲捡楴湯唽䑐呁♅牣慥潴㵲慦瑣敳♴奄彎剁升吽啒♅佄彃䅎䕍䘽呁䘺䱑䅟䑕呉义彇䱃䕉呎呟䵅䱐呁⹅䅆♔楤灳慬役瑳楲杮䄽摵瑩嘦剁䬺奅刽䩑塓䡓䙇♍䅖㩒啑剅㵙歒晚啒唵汕卂ㅘ䉚䙔䔹啑䵬南硧䍍礸华礸䑍硅䍌獷䍌湷䕒䵬祊杫祌䙂け晆啔䉖汔䘹歑啬䕒潅橍硁楍硷䍍礸华礸䑍硅克㴽圦义佄㵗䥆卒彔佐啐♐䕈䝉呈㐽〵圦䑉䡔㐽〵匦䅔呒䵟塁䵉婉䑅䘽䱁䕓嘦剁䌺䱁久䅄㵒䥆䕖䅄♙䅖㩒奓䉍䱏䈽䅅♖䅖㩒义䕄㵘0閸䴬M佃幌䙆䕟呎偒归䅖彌䅄䱉⡙〱㈯⼷〲〱ⰬⰬ∬䥄≌⼩䍅彁䕍乁卟䱁卅㈨㄰ⰱ〱㈯⼷〲〱착Ƙ＀＀ ＀＀ƀ＀＀_x0008_＀＀_x0001_＀＀_x0001_＀＀_x0001_＀＀⍎웕긥㿿摦畳㩰⼯楤敲瑣潩獮䘯呁嘠敩敷㽲捡楴湯唽䑐呁♅牣慥潴㵲慦瑣敳♴奄彎剁升吽啒♅佄彃䅎䕍䘽呁䘺䱑䅟䑕呉义彇䱃䕉呎呟䵅䱐呁⹅䅆♔楤灳慬役瑳楲杮䄽摵瑩嘦剁䬺奅伽䭒䕔䕂啈♆䅖㩒啑剅㵙歒晚啒唵汕卂ㅘ䉚䙔䔹啑䵬南硧䍍礸祎礸䑍睅䍌獷䍌湷䕒䵬祊癫啒䉎じ䘱啑昵さ䵆噒潍橍硁卍硷䍍礸祎礸䑍睅克㴽圦义佄㵗䥆卒彔佐啐♐䕈䝉呈㐽〵圦䑉䡔㐽〵匦䅔呒䵟塁䵉婉䑅䘽䱁䕓嘦剁䌺䱁久䅄㵒单嘦剁区䵙佂㵌佃♌䅖㩒义䕄㵘0뿎䭠.䑇坞当䱈䡔䅃䕒䅟位呒卟剅彖佃呓ㄨ⼲〲㠰ⰬⰬ单⥄ ＀＀ ＀＀_x0008_＀＀_x0008_＀＀_x0001_＀＀_x0001_＀＀_x0001_＀＀豀碵꼝쐕뿎䭠#䑇䍞彁䕐华䱟彔䥌䉁⡓㈱㈯〰ⰶⰬ唬䑓착 ＀＀ ＀＀_x0008_＀＀_x0008_＀＀_x0001_＀＀_x0001_＀＀_x0001_＀＀＀＀＀＀쀀䁐뿎䭠E䑇䍞彁䕐华剟䅏䅟呃ㄨ⼲〲㌰ⰬⰬ单⥄址当䕐华佉彎䍁彔佒⡁㈱㈯〰ⰳⰬ唬䑓착 ＀＀ ＀＀_x0008_＀＀_x0008_＀＀_x0001_＀＀_x0001_＀＀_x0001_＀＀＀＀＀＀＀＀䂒ꚝ丠N䕂噁䙞彆久剔剐噟䱁䑟䥁奌〨⼷㔱㈯㄰ⰱⰬⰬ䐢䱉⤢䔯䅃䵟䅅彎䅓䕌⡓〲ㄱ〬⼷㔱㈯㄰⤱ƞ＀＀ ＀＀Ɔ＀＀_x0008_＀＀_x0001_＀＀_x0001_＀＀_x0001_＀＀勒䋀䀀摦畳㩰⼯楤敲瑣潩獮䘯呁嘠敩敷㽲捡楴湯唽䑐呁♅牣慥潴㵲慦瑣敳♴奄彎剁升吽啒♅佄彃䅎䕍䘽呁䘺䱑䅟䑕呉义彇䱃䕉呎呟䵅䱐呁⹅䅆♔楤灳慬役瑳楲杮䄽摵瑩嘦剁䬺奅娽䙋呅䉗婙♕䅖㩒啑剅㵙歒晚啒唵汕卂ㅘ䉚䙔䔹啑䵬南睧祎砸华礸䑍硅䍌獷䍌湷䕒䵬祊癫啒䉎じ䘱啑昵さ䵆噒潍橍硁卍睷祎砸华礸䑍硅克㴽圦义佄㵗䥆卒彔佐啐♐䕈䝉呈㐽〵圦䑉䡔㐽〵匦䅔呒䵟塁䵉婉䑅䘽䱁䕓嘦剁䌺䱁久䅄㵒䥆䕖䅄♙䅖㩒奓䉍䱏䈽䅅♖䅖㩒义䕄㵘0ᦨ产N䍐幐䙆䕟呎偒归䅖彌䅄䱉⡙〱㈯⼵〲ㄱⰬⰬ∬䥄≌⼩䍅彁䕍乁䕟䥂䑔⡁〲㈱ㄬ⼰㔲㈯㄰⤱ơ＀＀ ＀＀Ɖ＀＀_x0008_＀＀_x0001_＀＀_x0001_＀＀_x0001_＀＀Ⓑ砊˒䀤摦畳㩰⼯楤敲瑣潩獮䘯呁嘠敩敷㽲捡楴湯唽䑐呁♅牣慥潴㵲慦瑣敳♴奄彎剁升吽啒♅佄彃䅎䕍䘽呁䘺䱑䅟䑕呉义彇䱃䕉呎呟䵅䱐呁⹅䅆♔楤灳慬役瑳楲杮䄽摵瑩嘦剁䬺奅䰽偑剕䑇噋♅䅖㩒啑剅㵙歒晚啒唵汕卂ㅘ䉚䙔䔹啑䵬南硧䍍礸华礸䑍硅䍌獷䍌湷䕒䵬祊杫祌䙂け晆啔䉖汔䘹歑啬䕒潅橍硁楍硷䍍礸华礸䑍硅克㴽圦义佄㵗䥆卒彔佐啐♐䕈䝉呈㐽〵圦䑉䡔㐽〵匦䅔呒䵟塁䵉婉䑅䘽䱁䕓嘦剁䌺䱁久䅄㵒䥆䕖䅄♙䅖㩒奓䉍䱏倽偃嘦剁䤺䑎塅〽찀푖䳈 䑇䕞䅃䵟䅅彎䅓䕌⡓㈫ㄬ⼰㜲㈯㄰⤰!＀＀ ＀＀	＀＀_x0008_＀＀_x0001_＀＀_x0001_＀＀_x0001_＀＀⣶轜䃠찀ꬭ䶨_x001B_䵌幔䍅彁䕍乁䕟卐䍟䱁⡁〲㈱착!＀＀ ＀＀	＀＀_x0008_＀＀_x0001_＀＀_x0001_＀＀_x0001_＀＀詜䊫䀡찀ᦠ产_x0012_䑇䙞彇久彔䅖啌⡅⤰!＀＀ ＀＀	＀＀_x0008_＀＀_x0001_＀＀_x0001_＀＀_x0001_＀＀＀＀＀＀䃗찀ᦫ产_x001E_䑇䕞䅃䵟䅅彎偅⡓ㄫㄬ⼰㔲㈯㄰⤱!＀＀ ＀＀	＀＀_x0008_＀＀_x0001_＀＀_x0001_＀＀_x0001_＀＀뗶㔮뽂䀜찀뿎䭠+䑇䍞彁佐呓䕒彔䵅彐佃呎䥒彂⡃㈱㈯〰ⰶⰬ唬䑓착 ＀＀ ＀＀_x0008_＀＀_x0008_＀＀_x0001_＀＀_x0001_＀＀_x0001_＀＀＀＀＀＀＀＀䀶뿎䭠(䑇䍞彁䕐华䕟偍䍟乏剔䉉䍟ㄨ⼲〲㈰ⰬⰬ单⥄ ＀＀ ＀＀_x0008_＀＀_x0008_＀＀_x0001_＀＀_x0001_＀＀_x0001_＀＀＀＀＀＀＀＀䀮뿎䭠&amp;䑇䍞彁䕐华䙟乕彄呓呁单ㄨ⼲〲㐰ⰬⰬ单⥄ ＀＀ ＀＀_x0008_＀＀_x0008_＀＀_x0001_＀＀_x0001_＀＀_x0001_＀＀＀＀＀＀뀀䁷ꚨ丠_x001F_䑇䕞䅃䵟䅅彎䉅呉⬨ⰱ㜰ㄯ⼵〲ㄱ착!＀＀ ＀＀	＀＀_x0008_＀＀_x0001_＀＀_x0001_＀＀_x0001_＀＀脆䎕剋䂯찀ꬭ䶨_x001B_䱌幌䍅彁䕍乁䕟卐䍟䱁⡁〲〱착!＀＀ ＀＀	＀＀_x0008_＀＀_x0001_＀＀_x0001_＀＀_x0001_＀＀＀＀＀＀耀䀠찀煿䯌_x001E_䑇䕞䅃䵟䅅彎偅⡓㌫〬⼴㤱㈯㄰⤰!＀＀ ＀＀	＀＀_x0008_＀＀_x0001_＀＀_x0001_＀＀_x0001_＀＀뿜튲ᒤ䀟찀푖䳈_x001F_䑇灞灟楲散桟杩彨㈵⡗〱㈯⼷〲〱착!＀＀ ＀＀	＀＀_x0008_＀＀_x0001_＀＀_x0001_＀＀_x0001_＀＀＀＀＀＀쀀䁓찀ꚟ丠L佃幌䙆䕟呎偒归䅖彌䅄䱉⡙㜰ㄯ⼵〲ㄱⰬⰬ∬䥄≌⼩䍅彁䕍乁䕟䥂⡔〲㈱〬⼷㔱㈯㄰⤱ƙ＀＀ ＀＀Ɓ＀＀_x0008_＀＀_x0001_＀＀_x0001_＀＀_x0001_＀＀_xD9D3_벌쵩䀡摦畳㩰⼯楤敲瑣潩獮䘯呁嘠敩敷㽲捡楴湯唽䑐呁♅牣慥潴㵲慦瑣敳♴奄彎剁升吽啒♅佄彃䅎䕍䘽呁䘺䱑䅟䑕呉义彇䱃䕉呎呟䵅䱐呁⹅䅆♔楤灳慬役瑳楲杮䄽摵瑩嘦剁䬺奅䘽剋䉗偗䩙♑䅖㩒啑剅㵙歒晚啒唵汕卂ㅘ䉚䙔䔹啑䵬南睧祎砸华礸䑍硅䍌獷䍌湷䕒䵬祊癫啒䉎じ䘱啑昵啒䩊䍖祧䑍祅䑌㍁穌ㅅ穌睉呍灅圦义佄㵗䥆卒彔佐啐♐䕈䝉呈㐽〵圦䑉䡔㐽〵匦䅔呒䵟塁䵉婉䑅䘽䱁䕓嘦剁䌺䱁久䅄㵒䥆䕖䅄♙䅖㩒奓䉍䱏䌽䱏嘦剁䤺䑎塅〽찀ꎕ䶨O位⹇幁䙆䕟呎偒归䅖彌䅄䱉⡙㄰ㄯ⼱〲ㄱⰬⰬ∬䥄≌⼩䍅彁䕍乁卟䱁卅㈨㄰ⰱ㄰ㄯ⼱〲ㄱ착Ɵ＀＀ ＀＀Ƈ＀＀_x0008_＀＀_x0001_＀＀_x0001_＀＀_x0001_＀＀解ⶌ溧㿲摦畳㩰⼯楤敲瑣潩獮䘯呁嘠敩敷㽲捡楴湯唽䑐呁♅牣慥潴㵲慦瑣敳♴奄彎剁升吽啒♅佄彃䅎䕍䘽呁䘺䱑䅟䑕呉义彇䱃䕉呎呟䵅䱐呁⹅䅆♔楤灳慬役瑳楲杮䄽摵瑩嘦剁䬺奅唽䭊奎佚䝘♈䅖㩒啑剅㵙歒晚啒唵汕卂ㅘ䉚䙔䔹啑䵬南睧卍砸卍礸䑍硅䍌獷䍌湷䕒䵬祊癫啒䉎じ䘱啑昵さ䵆噒潍橍硁卍睷卍砸卍礸䑍硅克㴽圦义佄㵗䥆卒彔佐啐♐䕈䝉呈㐽〵圦䑉䡔㐽〵匦䅔呒䵟塁䵉婉䑅䘽䱁䕓嘦剁䌺䱁久䅄㵒䥆䕖䅄♙䅖㩒奓䉍䱏䴽䝏䄮嘦剁䤺䑎塅〽찀뿎䭠I䑇䍞彁䕐华䑟卉彃䅒䕔ㄨ⼲〲㜰ⰬⰬ单⥄址当䕐华佉彎䥄䍓剟呁⡅㈱㈯〰ⰷⰬ唬䑓착 ＀＀ ＀＀_x0008_＀＀_x0008_＀＀_x0001_＀＀_x0001_＀＀_x0001_＀＀ꏗ㵰휊䀙뿎䭠H䑇䍞彁䕐华卟噒䍟协⡔㈱㈯〰ⰶⰬ唬䑓䀩南偟久䥓乏卟剅彖佃呓ㄨ⼲〲㘰ⰬⰬ单⥄ ＀＀ ＀＀_x0008_＀＀_x0008_＀＀_x0001_＀＀_x0001_＀＀_x0001_＀＀＀＀＀＀ꀀ䁰뿎䭠E䑇䍞彁佐呓䕒彔佒⡁㈱㈯〰ⰶⰬ唬䑓䀩南䡟呌䍈剁彅塅彐佒⡁㈱㈯〰ⰶⰬ唬䑓착 ＀＀ ＀＀_x0008_＀＀_x0008_＀＀_x0001_＀＀_x0001_＀＀_x0001_＀＀＀＀＀＀＀＀쀺뿎䭠!䑇䍞彁䕐华偟䑐䉟久䍟协⡔ⰰⰬ唬䑓착 ＀＀ ＀＀_x0008_＀＀_x0008_＀＀_x0001_＀＀_x0001_＀＀_x0001_＀＀豀碵꼝쐕뿎䭠$䑇䍞彁䕐华䍟剕䱟䅉卂ㄨ⼲〲㘰ⰬⰬ单⥄ ＀＀ ＀＀_x0008_＀＀_x0008_＀＀_x0001_＀＀_x0001_＀＀_x0001_＀＀＀＀＀＀䁹ᦟ产_x0019_䑇灞灟楲散江睯㕟圲㌨㠹㌱착!＀＀ ＀＀	＀＀_x0008_＀＀_x0001_＀＀_x0001_＀＀_x0001_＀＀ᑺ䁇찀듨䷰_x001F_䍐幐䍅彁䕍乁䕟卐⬨ⰲ㐰ㄯ⼵〲ㄱ착!＀＀ ＀＀	＀＀_x0008_＀＀_x0001_＀＀_x0001_＀＀_x0001_＀＀_xDF8F_䀣찀뿎䭠I䑇䍞彁佐呓䕒彔佒彁䍁⡔㈱㈯〰ⰶⰬ唬䑓䀩南䡟呌䍈剁彅䍁彔佒⡁㈱㈯〰ⰶⰬ唬䑓착 ＀＀ ＀＀_x0008_＀＀_x0008_＀＀_x0001_＀＀_x0001_＀＀_x0001_＀＀＀＀＀＀耀䁅㹮丯N位⹇幁䙆䕟呎偒归䅖彌䅄䱉⡙㜰㈯⼶〲ㄱⰬⰬ∬䥄≌⼩䍅彁䕍乁䕟䥂⡔〲ㄱ〬⼷㘲㈯㄰⤱ƛ＀＀ ＀＀ƃ＀＀_x0008_＀＀_x0001_＀＀_x0001_＀＀_x0001_＀＀䈈ퟘ鞎䀧摦畳㩰⼯楤敲瑣潩獮䘯呁嘠敩敷㽲捡楴湯唽䑐呁♅牣慥潴㵲慦瑣敳♴奄彎剁升吽啒♅佄彃䅎䕍䘽呁䘺䱑䅟䑕呉义彇䱃䕉呎呟䵅䱐呁⹅䅆♔楤灳慬役瑳楲杮䄽摵瑩嘦剁䬺奅䄽奔䭈佐佌♆䅖㩒啑剅㵙歒晚啒唵汕卂ㅘ䉚䙔䔹啑䵬南睧祎礸楎礸䑍硅䍌獷䍌湷䕒䵬祊癫啒䉎じ䘱啑昵啒䩊䍖祧䑍硅䑌㍁穌㉉穌睉呍灅圦义佄㵗䥆卒彔佐啐♐䕈䝉呈㐽〵圦䑉䡔㐽〵匦䅔呒䵟塁䵉婉䑅䘽䱁䕓嘦剁䌺䱁久䅄㵒䥆䕖䅄♙䅖㩒奓䉍䱏䴽䝏䄮嘦剁䤺䑎塅〽찀듧䷰N佃幌䙆䕟呎偒归䅖彌䅄䱉⡙㐰ㄯ⼵〲ㄱⰬⰬ∬䥄≌⼩䍅彁䕍乁䕟䥂䑔⡁〲㈱〬⼴㔱㈯㄰⤱Ƙ＀＀ ＀＀ƀ＀＀_x0008_＀＀_x0001_＀＀_x0001_＀＀_x0001_＀＀஛터㰃䀡摦畳㩰⼯楤敲瑣潩獮䘯呁嘠敩敷㽲捡楴湯唽䑐呁♅牣慥潴㵲慦瑣敳♴奄彎剁升吽啒♅佄彃䅎䕍䘽呁䘺䱑䅟䑕呉义彇䱃䕉呎呟䵅䱐呁⹅䅆♔楤灳慬役瑳楲杮䄽摵瑩嘦剁䬺奅䄽䥖佒啔奐♒䅖㩒啑剅㵙歒晚啒唵汕卂ㅘ䉚䙔䔹啑䵬南睧䍎砸华礸䑍硅䍌獷䍌湷䕒䵬祊癫啒䉎じ䘱啑昵啒䩊䕖䉒䑋睉呍獉䑍癑呍癕橍硁卍㵫圦义佄㵗䥆卒彔佐啐♐䕈䝉呈㐽〵圦䑉䡔㐽〵匦䅔呒䵟塁䵉婉䑅䘽䱁䕓嘦剁䌺䱁久䅄㵒单嘦剁区䵙佂㵌佃♌䅖㩒义䕄㵘0뿎䭠_x001F_䑇坞当塅䡃剟呁⡅㈱㈯〰ⰴⰬ唬䑓착 ＀＀ ＀＀_x0008_＀＀_x0008_＀＀_x0001_＀＀_x0001_＀＀_x0001_＀＀＀＀＀＀＀＀㿰ᦪ产Q䝍呇䰭乏䙞彆久剔剐噟䱁䑟䥁奌ㄨ⼰㔲㈯㄰ⰱⰬⰬ䐢䱉⤢䔯䅃䵟䅅彎䉅呉㈨㄰ⰲ〱㈯⼵〲ㄱ착Ơ＀＀ ＀＀ƈ＀＀_x0008_＀＀_x0001_＀＀_x0001_＀＀_x0001_＀＀ལ⸓奏䀢摦畳㩰⼯楤敲瑣潩獮䘯呁嘠敩敷㽲捡楴湯唽䑐呁♅牣慥潴㵲慦瑣敳♴奄彎剁升吽啒♅佄彃䅎䕍䘽呁䘺䱑䅟䑕呉义彇䱃䕉呎呟䵅䱐呁⹅䅆♔楤灳慬役瑳楲杮䄽摵瑩嘦剁䬺奅刽䱉䱉䡓婅♉䅖㩒啑剅㵙歒晚啒唵汕卂ㅘ䉚䙔䔹啑䵬南硧䍍礸华礸䑍硅䍌獷䍌湷䕒䵬祊杫祌䙂け晆啔䉖汔䘹歑啬䑋睉呍獉呍癁橍癕橍硁卍㵫圦义佄㵗䥆卒彔佐啐♐䕈䝉呈㐽〵圦䑉䡔㐽〵匦䅔呒䵟塁䵉婉䑅䘽䱁䕓嘦剁䌺䱁久䅄㵒䥆䕖䅄♙䅖㩒奓䉍䱏〽㜵㠵☰䅖㩒义䕄㵘0뿎䭠'䑇坞当䱈䡔䅃䕒啟䙎䉟久ㄨ⼲〲㈰ⰬⰬ单⥄착＀＀＀＀뿎䭠(䑇䍞彁䕐华䕟偍䍟乏剔䉉䍟ㄨ⼲〲㠰ⰬⰬ单⥄ ＀＀ ＀＀_x0008_＀＀_x0008_＀＀_x0001_＀＀_x0001_＀＀_x0001_＀＀＀＀＀＀＀＀䀱熄䯌R䝍呇䰭乏䙞彆久剔剐噟䱁䑟䥁奌〨⼴㤱㈯㄰ⰰⰬⰬ䐢䱉⤢䔯䅃䵟䅅彎䅓䕌⡓〲ㄱ〬⼴㤱㈯㄰⤰Ơ＀＀ ＀＀ƈ＀＀_x0008_＀＀_x0001_＀＀_x0001_＀＀_x0001_＀＀橨폊崴䀂摦畳㩰⼯楤敲瑣潩獮䘯呁嘠敩敷㽲捡楴湯唽䑐呁♅牣慥潴㵲慦瑣敳♴奄彎剁升吽啒♅佄彃䅎䕍䘽呁䘺䱑䅟䑕呉义彇䱃䕉呎呟䵅䱐呁⹅䅆♔楤灳慬役瑳楲杮䄽摵瑩嘦剁䬺奅䄽佊坈䥂䍔♂䅖㩒啑剅㵙歒晚啒唵汕卂ㅘ䉚䙔䔹啑䵬南睧䍎砸协礸䑍睅䍌獷䍌湷䕒䵬祊癫啒䉎じ䘱啑昵さ䵆噒潍橍硁卍睷䍎砸协礸䑍睅克㴽圦义佄㵗䥆卒彔佐啐♐䕈䝉呈㐽〵圦䑉䡔㐽〵匦䅔呒䵟塁䵉婉䑅䘽䱁䕓嘦剁䌺䱁久䅄㵒䥆䕖䅄♙䅖㩒奓䉍䱏〽㜵㠵☰䅖㩒义䕄㵘0ꚨ丠 䑇䕞䅃䵟䅅彎䅓䕌⡓㈫〬⼷㔱㈯㄰⤱!＀＀ ＀＀	＀＀_x0008_＀＀_x0001_＀＀_x0001_＀＀_x0001_＀＀Ẹ㏹䃡찀ᦥ产_x001F_佃幌䍅䵟䅅彎䕐㈨㄰ⰲ〱㈯⼵〲ㄱ착!＀＀ ＀＀	＀＀_x0008_＀＀_x0001_＀＀_x0001_＀＀_x0001_＀＀ᇗ沇㔠䀨찀㹴丯 䑇䕞䅃䵟䅅彎䅓䕌⡓㈫〬⼷㘲㈯㄰⤱!＀＀ ＀＀	＀＀_x0008_＀＀_x0001_＀＀_x0001_＀＀_x0001_＀＀晧晦㎞䃡찀뿎䭠!䑇坞当䕐华佉彎十䕓協䱟⡔ⰰⰬ唬䑓착 ＀＀ ＀＀_x0008_＀＀_x0008_＀＀_x0001_＀＀_x0001_＀＀_x0001_＀＀豀碵꼝쐕뿎䭠M䑇䍞彁䕐华啟剎䍅䝏ㄨ⼲〲㘰ⰬⰬ单⥄址当䕐华佉彎乕䕒彃䕓噒䍟协⡔㈱㈯〰ⰶⰬ唬䑓착 ＀＀ ＀＀_x0008_＀＀_x0008_＀＀_x0001_＀＀_x0001_＀＀_x0001_＀＀＀＀＀＀頀삁뿎䭠G䑇䍞彁䕐华䥟呎䍟协⡔㈱㈯〰ⰷⰬ唬䑓䀩南偟久䥓乏䥟呎䍟协⡔㈱㈯〰ⰷⰬ唬䑓착 ＀＀ ＀＀_x0008_＀＀_x0008_＀＀_x0001_＀＀_x0001_＀＀_x0001_＀＀＀＀＀＀က䁺ꎕ䶨P位⹇幁䙆䕟呎偒归䅖彌䅄䱉⡙㄰ㄯ⼱〲ㄱⰬⰬ∬䥄≌⼩䍅彁䕍乁䕟䥂䑔⡁〲ㄱ〬⼱ㄱ㈯㄰⤱Ɵ＀＀ ＀＀Ƈ＀＀_x0008_＀＀_x0001_＀＀_x0001_＀＀_x0001_＀＀僓챕륅䀠摦畳㩰⼯楤敲瑣潩獮䘯呁嘠敩敷㽲捡楴湯唽䑐呁♅牣慥潴㵲慦瑣敳♴奄彎剁升吽啒♅佄彃䅎䕍䘽呁䘺䱑䅟䑕呉义彇䱃䕉呎呟䵅䱐呁⹅䅆♔楤灳慬役瑳楲杮䄽摵瑩嘦剁䬺奅䌽䅒低佒兘♄䅖㩒啑剅㵙歒晚啒唵汕卂ㅘ䉚䙔䔹啑䵬南睧卍砸卍礸䑍硅䍌獷䍌湷䕒䵬祊癫啒䉎じ䘱啑昵啒䩊䕖䉒䑋睉呍獅䑍癅呍癅橍硁卍㵫圦义佄㵗䥆卒彔佐啐♐䕈䝉呈㐽〵圦䑉䡔㐽〵匦䅔呒䵟塁䵉婉䑅䘽䱁䕓嘦剁䌺䱁久䅄㵒䥆䕖䅄♙䅖㩒奓䉍䱏䴽䝏䄮嘦剁䤺䑎塅〽찀뿎䭠"䑇䍞彁佐呓䕒彔䥌䉁ㄨ⼲〲㐰ⰬⰬ单⥄ ＀＀ ＀＀_x0008_＀＀_x0008_＀＀_x0001_＀＀_x0001_＀＀_x0001_＀＀＀＀＀＀䠀삂뿎䭠I䑇䍞彁䕐华剟䅏剟呁⡅㈱㈯〰ⰸⰬ唬䑓䀩南偟久䥓乏䕟偘䱟彔佒⡁㈱㈯〰ⰸⰬ唬䑓착 ＀＀ ＀＀_x0008_＀＀_x0008_＀＀_x0001_＀＀_x0001_＀＀_x0001_＀＀䞮竡⸔䀠熂䯌P位⹇幁䙆䕟呎偒归䅖彌䅄䱉⡙㐰ㄯ⼹〲〱ⰬⰬ∬䥄≌⼩䍅彁䕍乁䕟䥂䑔⡁〲㈱〬⼴㤱㈯㄰⤰Ɵ＀＀ ＀＀Ƈ＀＀_x0008_＀＀_x0001_＀＀_x0001_＀＀_x0001_＀＀ꛫ헟_xDBE8_䀛摦畳㩰⼯楤敲瑣潩獮䘯呁嘠敩敷㽲捡楴湯唽䑐呁♅牣慥潴㵲慦瑣敳♴奄彎剁升吽啒♅佄彃䅎䕍䘽呁䘺䱑䅟䑕呉义彇䱃䕉呎呟䵅䱐呁⹅䅆♔楤灳慬役瑳楲杮䄽摵瑩嘦剁䬺奅儽奎兌䥔啈♆䅖㩒啑剅㵙歒晚啒唵汕卂ㅘ䉚䙔䔹啑䵬南睧䍎砸协礸䑍睅䍌獷䍌湷䕒䵬祊癫啒䉎じ䘱啑昵啒䩊䕖䉒䑋睉呍獉䑍癑呍癫橍硁䍍㵫圦义佄㵗䥆卒彔佐啐♐䕈䝉呈㐽〵圦䑉䡔㐽〵匦䅔呒䵟塁䵉婉䑅䘽䱁䕓嘦剁䌺䱁久䅄㵒䥆䕖䅄♙䅖㩒奓䉍䱏䴽䝏䄮嘦剁䤺䑎塅〽찀뿎䭠_x001D_䑇䍞彁䕐华䍟䵏彐䅒䕔ㄨ⼲〲㠰착 ＀＀ ＀＀_x0008_＀＀_x0008_＀＀_x0001_＀＀_x0001_＀＀_x0001_＀＀＀＀＀＀＀＀䀖뿎䭠A䑇䍞彁䕐华剟䅏ㄨ⼲〲㐰ⰬⰬ单⥄址当䕐华佉彎塅彐佒⡁㈱㈯〰ⰴⰬ唬䑓착 ＀＀ ＀＀_x0008_＀＀_x0008_＀＀_x0001_＀＀_x0001_＀＀_x0001_＀＀＀＀＀＀退삀熁䯌N䕂噁䙞彆久剔剐噟䱁䑟䥁奌〨⼴㤱㈯㄰ⰰⰬⰬ䐢䱉⤢䔯䅃䵟䅅彎䅓䕌⡓〲〱〬⼴㤱㈯㄰⤰ƞ＀＀ ＀＀Ɔ＀＀_x0008_＀＀_x0001_＀＀_x0001_＀＀_x0001_＀＀儅Ⳉ碊㿿摦畳㩰⼯楤敲瑣潩獮䘯呁嘠敩敷㽲捡楴湯唽䑐呁♅牣慥潴㵲慦瑣敳♴奄彎剁升吽啒♅佄彃䅎䕍䘽呁䘺䱑䅟䑕呉义彇䱃䕉呎呟䵅䱐呁⹅䅆♔楤灳慬役瑳楲杮䄽摵瑩嘦剁䬺奅䤽䝊奚䕎䝌♔䅖㩒啑剅㵙歒晚啒唵汕卂ㅘ䉚䙔䔹啑䵬南睧䍎砸协礸䑍睅䍌獷䍌湷䕒䵬祊癫啒䉎じ䘱啑昵さ䵆噒潍橍硁䍍睷䍎砸协礸䑍睅克㴽圦义佄㵗䥆卒彔佐啐♐䕈䝉呈㐽〵圦䑉䡔㐽〵匦䅔呒䵟塁䵉婉䑅䘽䱁䕓嘦剁䌺䱁久䅄㵒䥆䕖䅄♙䅖㩒奓䉍䱏䈽䅅♖䅖㩒义䕄㵘0ꚢ丠M䍐幐䙆䕟呎偒归䅖彌䅄䱉⡙㜰ㄯ⼵〲ㄱⰬⰬ∬䥄≌⼩䍅彁䕍乁卟䱁卅㈨㄰ⰲ㜰ㄯ⼵〲ㄱ착Ɲ＀＀ ＀＀ƅ＀＀_x0008_＀＀_x0001_＀＀_x0001_＀＀_x0001_＀＀ெ뵔䪕䀆摦畳㩰⼯楤敲瑣潩獮䘯呁嘠敩敷㽲捡楴湯唽䑐呁♅牣慥潴㵲慦瑣敳♴奄彎剁升吽啒♅佄彃䅎䕍䘽呁䘺䱑䅟䑕呉义彇䱃䕉呎呟䵅䱐呁⹅䅆♔楤灳慬役瑳楲杮䄽摵瑩嘦剁䬺奅䨽呏䩏䡍偁♃䅖㩒啑剅㵙歒晚啒唵汕卂ㅘ䉚䙔䔹啑䵬南睧祎砸华礸䑍硅䍌獷䍌湷䕒䵬祊癫啒䉎じ䘱啑昵さ䵆噒潍橍硁楍睷祎砸华礸䑍硅克㴽圦义佄㵗䥆卒彔佐啐♐䕈䝉呈㐽〵圦䑉䡔㐽〵匦䅔呒䵟塁䵉婉䑅䘽䱁䕓嘦剁䌺䱁久䅄㵒䥆䕖䅄♙䅖㩒奓䉍䱏倽偃嘦剁䤺䑎塅〽찀ꚨ丠_x001F_䑇灞灟楲散桟杩彨㈵⡗㜰ㄯ⼵〲ㄱ착!＀＀ ＀＀	＀＀_x0008_＀＀_x0001_＀＀_x0001_＀＀_x0001_＀＀竡긔酇䁓찀ᦨ产_x001F_䍐幐䍅彁䕍乁䕟卐⬨ⰲ〱㈯⼵〲ㄱ착!＀＀ ＀＀	＀＀_x0008_＀＀_x0001_＀＀_x0001_＀＀_x0001_＀＀註푳꧑䀤찀㹴丯_x001F_䑇灞灟楲散桟杩彨㈵⡗㜰㈯⼶〲ㄱ착!＀＀ ＀＀	＀＀_x0008_＀＀_x0001_＀＀_x0001_＀＀_x0001_＀＀竡긔酇䁓찀㹬丯L佃幌䙆䕟呎偒归䅖彌䅄䱉⡙㜰㈯⼶〲ㄱⰬⰬ∬䥄≌⼩䍅彁䕍乁䕟䥂⡔〲㈱〬⼷㘲㈯㄰⤱ƙ＀＀ ＀＀Ɓ＀＀_x0008_＀＀_x0001_＀＀_x0001_＀＀_x0001_＀＀뒀岜뢔䀡摦畳㩰⼯楤敲瑣潩獮䘯呁嘠敩敷㽲捡楴湯唽䑐呁♅牣慥潴㵲慦瑣敳♴奄彎剁升吽啒♅佄彃䅎䕍䘽呁䘺䱑䅟䑕呉义彇䱃䕉呎呟䵅䱐呁⹅䅆♔楤灳慬役瑳楲杮䄽摵瑩嘦剁䬺奅儽坐坌奎啖♐䅖㩒啑剅㵙歒晚啒唵汕卂ㅘ䉚䙔䔹啑䵬南睧祎礸楎礸䑍硅䍌獷䍌湷䕒䵬祊癫啒䉎じ䘱啑昵啒䩊䍖祧䑍祅䑌㍁穌㉉穌睉呍灅圦义佄㵗䥆卒彔佐啐♐䕈䝉呈㐽〵圦䑉䡔㐽〵匦䅔呒䵟塁䵉婉䑅䘽䱁䕓嘦剁䌺䱁久䅄㵒䥆䕖䅄♙䅖㩒奓䉍䱏䌽䱏嘦剁䤺䑎塅〽찀뿎䭠'䑇坞当䕐华佉彎十䕓協䱟⡔㈱㈯〰ⰴⰬ唬䑓착 ＀＀ ＀＀_x0008_＀＀_x0008_＀＀_x0001_＀＀_x0001_＀＀_x0001_＀＀豀碵꼝쐕듥䷰M䕂噁䙞彆久剔剐噟䱁䑟䥁奌〨⼴㔱㈯㄰ⰱⰬⰬ䐢䱉⤢䔯䅃䵟䅅彎䉅呉㈨㄰ⰰ㐰ㄯ⼵〲ㄱ착ƕ＀＀ ＀＀Ž＀＀_x0008_＀＀_x0001_＀＀_x0001_＀＀_x0001_＀＀佇꽤鸦䀮摦畳㩰⼯楤敲瑣潩獮䘯呁嘠敩敷㽲捡楴湯唽䑐呁♅牣慥潴㵲慦瑣敳♴奄彎剁升吽啒♅佄彃䅎䕍䘽呁䘺䱑䅟䑕呉义彇䱃䕉呎呟䵅䱐呁⹅䅆♔楤灳慬役瑳楲杮䄽摵瑩嘦剁䬺奅圽䝌䵊䵚䭐♐䅖㩒啑剅㵙歒晚啒唵汕卂ㅘ䉚䙔䔹啑䵬南睧䍎砸华礸䑍硅䍌獷䍌湷䕒䵬祊癫啒䉎じ䘱啑昵啒䩊䍖祧䑍睅䑌ぁ穌ㅅ穌睉呍灅圦义佄㵗䥆卒彔佐啐♐䕈䝉呈㐽〵圦䑉䡔㐽〵匦䅔呒䵟塁䵉婉䑅䘽䱁䕓嘦剁䌺䱁久䅄㵒单嘦剁区䵙佂㵌䕂噁嘦剁䤺䑎塅〽찀ꎛ䶨Q䝍呇䰭乏䙞彆久剔剐噟䱁䑟䥁奌〨⼱ㄱ㈯㄰ⰱⰬⰬ䐢䱉⤢䔯䅃䵟䅅彎䉅呉㈨㄰ⰲ㄰ㄯ⼱〲ㄱ착Ɯ＀＀ ＀＀Ƅ＀＀_x0008_＀＀_x0001_＀＀_x0001_＀＀_x0001_＀＀厡謎䀢摦畳㩰⼯楤敲瑣潩獮䘯呁嘠敩敷㽲捡楴湯唽䑐呁♅牣慥潴㵲慦瑣敳♴奄彎剁升吽啒♅佄彃䅎䕍䘽呁䘺䱑䅟䑕呉义彇䱃䕉呎呟䵅䱐呁⹅䅆♔楤灳慬役瑳楲杮䄽摵瑩嘦剁䬺奅伽䵖坚奖卂♌䅖㩒啑剅㵙歒晚啒唵汕卂ㅘ䉚䙔䔹啑䵬南睧卍砸卍礸䑍硅䍌獷䍌湷䕒䵬祊癫啒䉎じ䘱啑昵啒䩊䍖祧䑍祅䑌硁穌硅穌睉呍灅圦义佄㵗䥆卒彔佐啐♐䕈䝉呈㐽〵圦䑉䡔㐽〵匦䅔呒䵟塁䵉婉䑅䘽䱁䕓嘦剁䌺䱁久䅄㵒䥆䕖䅄♙䅖㩒奓䉍䱏〽㜵㠵☰䅖㩒义䕄㵘0뿎䭠O䑇䍞彁佐呓䕒彔䱐乁䅟呓䕟䑎ㄨ⼲〲㌰ⰬⰬ单⥄址当䱈䡔䅃䕒䙟彖十䕓⡔㈱㈯〰ⰳⰬ唬䑓착 ＀＀ ＀＀_x0008_＀＀_x0008_＀＀_x0001_＀＀_x0001_＀＀_x0001_＀＀＀＀＀＀耀䁵뿎䭠&amp;䑇坞当䕐彎佐呓剟呅䉟久ㄨ⼲〲㜰ⰬⰬ单⥄ ＀＀ ＀＀_x0008_＀＀_x0008_＀＀_x0001_＀＀_x0001_＀＀_x0001_＀＀＀＀＀＀　䁿듩䷰L䍐幐䙆䕟呎偒归䅖彌䅄䱉⡙㐰ㄯ⼵〲ㄱⰬⰬ∬䥄≌⼩䍅彁䕍乁䕟䥂⡔〲ㄱ〬⼴㔱㈯㄰⤱Ɣ＀＀ ＀＀ż＀＀_x0008_＀＀_x0001_＀＀_x0001_＀＀_x0001_＀＀䄬냕䀥摦畳㩰⼯楤敲瑣潩獮䘯呁嘠敩敷㽲捡楴湯唽䑐呁♅牣慥潴㵲慦瑣敳♴奄彎剁升吽啒♅佄彃䅎䕍䘽呁䘺䱑䅟䑕呉义彇䱃䕉呎呟䵅䱐呁⹅䅆♔楤灳慬役瑳楲杮䄽摵瑩嘦剁䬺奅䤽䝊䭒佂䕒♄䅖㩒啑剅㵙歒晚啒唵汕卂ㅘ䉚䙔䔹啑䵬南睧䍎砸华礸䑍硅䍌獷䍌湷䕒䵬祊癫啒䉎じ䘱啑昵啒䩊䍖祧䑍硅䑌ぁ穌ㅅ穌睉呍灅圦义佄㵗䥆卒彔佐啐♐䕈䝉呈㐽〵圦䑉䡔㐽〵匦䅔呒䵟塁䵉婉䑅䘽䱁䕓嘦剁䌺䱁久䅄㵒单嘦剁区䵙佂㵌䍐♐䅖㩒义䕄㵘0閶䴬M䕂噁䙞彆久剔剐噟䱁䑟䥁奌ㄨ⼰㜲㈯㄰ⰰⰬⰬ䐢䱉⤢䔯䅃䵟䅅彎䉅呉㈨㄰ⰲ〱㈯⼷〲〱착ƕ＀＀ ＀＀Ž＀＀_x0008_＀＀_x0001_＀＀_x0001_＀＀_x0001_＀＀㌂偦ꁉ䀢摦畳㩰⼯楤敲瑣潩獮䘯呁嘠敩敷㽲捡楴湯唽䑐呁♅牣慥潴㵲慦瑣敳♴奄彎剁升吽啒♅佄彃䅎䕍䘽呁䘺䱑䅟䑕呉义彇䱃䕉呎呟䵅䱐呁⹅䅆♔楤灳慬役瑳楲杮䄽摵瑩嘦剁䬺奅䄽兎䭔啔兖♂䅖㩒啑剅㵙歒晚啒唵汕卂ㅘ䉚䙔䔹啑䵬南硧䍍礸祎礸䑍睅䍌獷䍌湷䕒䵬祊癫啒䉎じ䘱啑昵啒䩊䍖祧䑍祅䑌睅穌㍉穌睉呍灁圦义佄㵗䥆卒彔佐啐♐䕈䝉呈㐽〵圦䑉䡔㐽〵匦䅔呒䵟塁䵉婉䑅䘽䱁䕓嘦剁䌺䱁久䅄㵒单嘦剁区䵙佂㵌䕂噁嘦剁䤺䑎塅〽찀ເ䵋_x001A_䑇䙞彇䕍乁䕟卐䙟㑑〨Ⱜ㤬⤰!＀＀ ＀＀	＀＀_x0008_＀＀_x0001_＀＀_x0001_＀＀_x0001_＀＀◨쀐㿿찀듮䷰_x001F_䑇䕞䅃䵟䅅彎䉅呉⬨ⰱ㘰〯⼹〲ㄱ착!＀＀ ＀＀	＀＀_x0008_＀＀_x0001_＀＀_x0001_＀＀_x0001_＀＀Й๖䲭䂯찀듨䷰_x001F_䍐幐䍅䵟䅅彎䕐㈨㄰ⰱ㐰ㄯ⼵〲ㄱ착!＀＀ ＀＀	＀＀_x0008_＀＀_x0001_＀＀_x0001_＀＀_x0001_＀＀䂣좟䀰찀閼䴬_x001E_䑇䕞䅃䵟䅅彎偅⡓㈫〬⼱ㄱ㈯㄰⤱!＀＀ ＀＀	＀＀_x0008_＀＀_x0001_＀＀_x0001_＀＀_x0001_＀＀们鹷繸䀜찀뿎䭠(䑇坞当䱈䡔䅃䕒䑟卉彃䅒䕔ㄨ⼲〲㔰ⰬⰬ单⥄ ＀＀ ＀＀_x0008_＀＀_x0008_＀＀_x0001_＀＀_x0001_＀＀_x0001_＀＀⣶轜䀖㹬丯M佃幌䙆䕟呎偒归䅖彌䅄䱉⡙㜰㈯⼶〲ㄱⰬⰬ∬䥄≌⼩䍅彁䕍乁卟䱁卅㈨㄰ⰰ㜰㈯⼶〲ㄱ착Ɲ＀＀ ＀＀ƅ＀＀_x0008_＀＀_x0001_＀＀_x0001_＀＀_x0001_＀＀⥨菝㿿摦畳㩰⼯楤敲瑣潩獮䘯呁嘠敩敷㽲捡楴湯唽䑐呁♅牣慥潴㵲慦瑣敳♴奄彎剁升吽啒♅佄彃䅎䕍䘽呁䘺䱑䅟䑕呉义彇䱃䕉呎呟䵅䱐呁⹅䅆♔楤灳慬役瑳楲杮䄽摵瑩嘦剁䬺奅䔽兒䭒坘䵆♖䅖㩒啑剅㵙歒晚啒唵汕卂ㅘ䉚䙔䔹啑䵬南睧祎礸楎礸䑍硅䍌獷䍌湷䕒䵬祊癫啒䉎じ䘱啑昵さ䵆噒潍橍硁䍍睷祎礸楎礸䑍硅克㴽圦义佄㵗䥆卒彔佐啐♐䕈䝉呈㐽〵圦䑉䡔㐽〵匦䅔呒䵟塁䵉婉䑅䘽䱁䕓嘦剁䌺䱁久䅄㵒䥆䕖䅄♙䅖㩒奓䉍䱏䌽䱏嘦剁䤺䑎塅〽찀듥䷰N䕂噁䙞彆久剔剐噟䱁䑟䥁奌〨⼴㔱㈯㄰ⰱⰬⰬ䐢䱉⤢䔯䅃䵟䅅彎䅓䕌⡓〲㈱〬⼴㔱㈯㄰⤱ƙ＀＀ ＀＀Ɓ＀＀_x0008_＀＀_x0001_＀＀_x0001_＀＀_x0001_＀＀⬮ꗡ묄㿼摦畳㩰⼯楤敲瑣潩獮䘯呁嘠敩敷㽲捡楴湯唽䑐呁♅牣慥潴㵲慦瑣敳♴奄彎剁升吽啒♅佄彃䅎䕍䘽呁䘺䱑䅟䑕呉义彇䱃䕉呎呟䵅䱐呁⹅䅆♔楤灳慬役瑳楲杮䄽摵瑩嘦剁䬺奅䌽䕌䍄卒児♎䅖㩒啑剅㵙歒晚啒唵汕卂ㅘ䉚䙔䔹啑䵬南睧䍎砸华礸䑍硅䍌獷䍌湷䕒䵬祊癫啒䉎じ䘱啑昵さ䵆噒潍橍硁楍睷䍎砸华礸䑍硅克㴽圦义佄㵗䥆卒彔佐啐♐䕈䝉呈㐽〵圦䑉䡔㐽〵匦䅔呒䵟塁䵉婉䑅䘽䱁䕓嘦剁䌺䱁久䅄㵒单嘦剁区䵙佂㵌䕂噁嘦剁䤺䑎塅〽찀閷䴬_x001F_佃幌䍅䵟䅅彎䕐㈨㄰ⰲ〱㈯⼷〲〱착!＀＀ ＀＀	＀＀_x0008_＀＀_x0001_＀＀_x0001_＀＀_x0001_＀＀渝ẇ䀫찀ꚡ丠N位⹇幁䙆䕟呎偒归䅖彌䅄䱉⡙㜰ㄯ⼵〲ㄱⰬⰬ∬䥄≌⼩䍅彁䕍乁䕟䥂⡔〲ㄱ〬⼷㔱㈯㄰⤱ƛ＀＀ ＀＀ƃ＀＀_x0008_＀＀_x0001_＀＀_x0001_＀＀_x0001_＀＀亭⨀ꚴ䀧摦畳㩰⼯楤敲瑣潩獮䘯呁嘠敩敷㽲捡楴湯唽䑐呁♅牣慥潴㵲慦瑣敳♴奄彎剁升吽啒♅佄彃䅎䕍䘽呁䘺䱑䅟䑕呉义彇䱃䕉呎呟䵅䱐呁⹅䅆♔楤灳慬役瑳楲杮䄽摵瑩嘦剁䬺奅丽䉓噍偗塍♃䅖㩒啑剅㵙歒晚啒唵汕卂ㅘ䉚䙔䔹啑䵬南睧祎砸华礸䑍硅䍌獷䍌湷䕒䵬祊癫啒䉎じ䘱啑昵啒䩊䍖祧䑍硅䑌㍁穌ㅅ穌睉呍灅圦义佄㵗䥆卒彔佐啐♐䕈䝉呈㐽〵圦䑉䡔㐽〵匦䅔呒䵟塁䵉婉䑅䘽䱁䕓嘦剁䌺䱁久䅄㵒䥆䕖䅄♙䅖㩒奓䉍䱏䴽䝏䄮嘦剁䤺䑎塅〽찀ᦪ产R䝍呇䰭乏䙞彆久剔剐噟䱁䑟䥁奌ㄨ⼰㔲㈯㄰ⰱⰬⰬ䐢䱉⤢䔯䅃䵟䅅彎䅓䕌⡓〲ㄱㄬ⼰㔲㈯㄰⤱Ơ＀＀ ＀＀ƈ＀＀_x0008_＀＀_x0001_＀＀_x0001_＀＀_x0001_＀＀忄엮뀰䀄摦畳㩰⼯楤敲瑣潩獮䘯呁嘠敩敷㽲捡楴湯唽䑐呁♅牣慥潴㵲慦瑣敳♴奄彎剁升吽啒♅佄彃䅎䕍䘽呁䘺䱑䅟䑕呉义彇䱃䕉呎呟䵅䱐呁⹅䅆♔楤灳慬役瑳楲杮䄽摵瑩嘦剁䬺奅䐽呃呍䱃剏♉䅖㩒啑剅㵙歒晚啒唵汕卂ㅘ䉚䙔䔹啑䵬南硧䍍礸华礸䑍硅䍌獷䍌湷䕒䵬祊杫祌䙂け晆啔䉖汔吹啑䙸祕祧䑍硅䑌睅穌ㅉ穌睉呍灅圦义佄㵗䥆卒彔佐啐♐䕈䝉呈㐽〵圦䑉䡔㐽〵匦䅔呒䵟塁䵉婉䑅䘽䱁䕓嘦剁䌺䱁久䅄㵒䥆䕖䅄♙䅖㩒奓䉍䱏〽㜵㠵☰䅖㩒义䕄㵘0閻䴬S䝍呇䰭乏䙞彆久剔剐噟䱁䑟䥁奌ㄨ⼰㜲㈯㄰ⰰⰬⰬ䐢䱉⤢䔯䅃䵟䅅彎䉅呉䅄㈨㄰ⰱ〱㈯⼷〲〱착ƛ＀＀ ＀＀ƃ＀＀_x0008_＀＀_x0001_＀＀_x0001_＀＀_x0001_＀＀렱襒늘䀟摦畳㩰⼯楤敲瑣潩獮䘯呁嘠敩敷㽲捡楴湯唽䑐呁♅牣慥潴㵲慦瑣敳♴奄彎剁升吽啒♅佄彃䅎䕍䘽呁䘺䱑䅟䑕呉义彇䱃䕉呎呟䵅䱐呁⹅䅆♔楤灳慬役瑳楲杮䄽摵瑩嘦剁䬺奅䌽佐佘䭌佘♌䅖㩒啑剅㵙歒晚啒唵汕卂ㅘ䉚䙔䔹啑䵬南硧䍍礸祎礸䑍睅䍌獷䍌湷䕒䵬祊癫啒䉎じ䘱啑昵啒䩊䕖䉒䑋睉呍獅呍癁橍癣橍硁䍍㵫圦义佄㵗䥆卒彔佐啐♐䕈䝉呈㐽〵圦䑉䡔㐽〵匦䅔呒䵟塁䵉婉䑅䘽䱁䕓嘦剁䌺䱁久䅄㵒单嘦剁区䵙佂㵌㔰㔷〸嘦剁䤺䑎塅〽찀ᦟ产_x0019_䑇灞灟楲散江睯㕟圲㌨㌸㈵착!＀＀ ＀＀	＀＀_x0008_＀＀_x0001_＀＀_x0001_＀＀_x0001_＀＀ਾꏗ㵰䁅찀㹴丯_x001E_䑇䕞䅃䵟䅅彎偅⡓ㄫ〬⼷㘲㈯㄰⤱!＀＀ ＀＀	＀＀_x0008_＀＀_x0001_＀＀_x0001_＀＀_x0001_＀＀¨켘膠䀜찀듥䷰O䕂噁䙞彆久剔剐噟䱁䑟䥁奌〨⼴㔱㈯㄰ⰱⰬⰬ䐢䱉⤢䔯䅃䵟䅅彎䉅呉䅄㈨㄰ⰰ㐰ㄯ⼵〲ㄱ착ƙ＀＀ ＀＀Ɓ＀＀_x0008_＀＀_x0001_＀＀_x0001_＀＀_x0001_＀＀霨颬䟧䀪摦畳㩰⼯楤敲瑣潩獮䘯呁嘠敩敷㽲捡楴湯唽䑐呁♅牣慥潴㵲慦瑣敳♴奄彎剁升吽啒♅佄彃䅎䕍䘽呁䘺䱑䅟䑕呉义彇䱃䕉呎呟䵅䱐呁⹅䅆♔楤灳慬役瑳楲杮䄽摵瑩嘦剁䬺奅䌽䍄䅌䅈啈♄䅖㩒啑剅㵙歒晚啒唵汕卂ㅘ䉚䙔䔹啑䵬南睧䍎砸华礸䑍硅䍌獷䍌湷䕒䵬祊癫啒䉎じ䘱啑昵啒䩊䕖䉒䑋睉呍獁䑍癑呍癕橍硁卍㵫圦义佄㵗䥆卒彔佐啐♐䕈䝉呈㐽〵圦䑉䡔㐽〵匦䅔呒䵟塁䵉婉䑅䘽䱁䕓嘦剁䌺䱁久䅄㵒单嘦剁区䵙佂㵌䕂噁嘦剁䤺䑎塅〽찀푖䳈_x001E_䑇䕞彃䕍彄剐䍉彅䝔Ŕ〱㈯⼷〲〱!＀＀ ＀＀	＀＀_x0008_＀＀_x0001_＀＀_x0001_＀＀_x0001_＀＀＀＀＀＀耀䁒찀듩䷰N䍐幐䙆䕟呎偒归䅖彌䅄䱉⡙㐰ㄯ⼵〲ㄱⰬⰬ∬䥄≌⼩䍅彁䕍乁䕟䥂䑔⡁〲〱〬⼴㔱㈯㄰⤱Ƙ＀＀ ＀＀ƀ＀＀_x0008_＀＀_x0001_＀＀_x0001_＀＀_x0001_＀＀⪵叹ꉖ䀧摦畳㩰⼯楤敲瑣潩獮䘯呁嘠敩敷㽲捡楴湯唽䑐呁♅牣慥潴㵲慦瑣敳♴奄彎剁升吽啒♅佄彃䅎䕍䘽呁䘺䱑䅟䑕呉义彇䱃䕉呎呟䵅䱐呁⹅䅆♔楤灳慬役瑳楲杮䄽摵瑩嘦剁䬺奅䌽兘坘啌佊♖䅖㩒啑剅㵙歒晚啒唵汕卂ㅘ䉚䙔䔹啑䵬南睧䍎砸华礸䑍硅䍌獷䍌湷䕒䵬祊癫啒䉎じ䘱啑昵啒䩊䕖䉒䑋睉呍獁䑍癑呍癕橍硁卍㵫圦义佄㵗䥆卒彔佐啐♐䕈䝉呈㐽〵圦䑉䡔㐽〵匦䅔呒䵟塁䵉婉䑅䘽䱁䕓嘦剁䌺䱁久䅄㵒单嘦剁区䵙佂㵌䍐♐䅖㩒义䕄㵘0뿎䭠E䑇䍞彁䕐华剟䅏䅟呃ㄨ⼲〲㘰ⰬⰬ单⥄址当䕐华佉彎䍁彔佒⡁㈱㈯〰ⰶⰬ唬䑓착 ＀＀ ＀＀_x0008_＀＀_x0008_＀＀_x0001_＀＀_x0001_＀＀_x0001_＀＀＀＀＀＀堀䂄熄䯌Q䝍呇䰭乏䙞彆久剔剐噟䱁䑟䥁奌〨⼴㤱㈯㄰ⰰⰬⰬ䐢䱉⤢䔯䅃䵟䅅彎䉅呉㈨㄰ⰲ㐰ㄯ⼹〲〱착Ɯ＀＀ ＀＀Ƅ＀＀_x0008_＀＀_x0001_＀＀_x0001_＀＀_x0001_＀＀㸲ꊳⓕ䀡摦畳㩰⼯楤敲瑣潩獮䘯呁嘠敩敷㽲捡楴湯唽䑐呁♅牣慥潴㵲慦瑣敳♴奄彎剁升吽啒♅佄彃䅎䕍䘽呁䘺䱑䅟䑕呉义彇䱃䕉呎呟䵅䱐呁⹅䅆♔楤灳慬役瑳楲杮䄽摵瑩嘦剁䬺奅䔽䥊先佘䝎♆䅖㩒啑剅㵙歒晚啒唵汕卂ㅘ䉚䙔䔹啑䵬南睧䍎砸协礸䑍睅䍌獷䍌湷䕒䵬祊癫啒䉎じ䘱啑昵啒䩊䍖祧䑍祅䑌ぁ穌㕅穌睉呍灁圦义佄㵗䥆卒彔佐啐♐䕈䝉呈㐽〵圦䑉䡔㐽〵匦䅔呒䵟塁䵉婉䑅䘽䱁䕓嘦剁䌺䱁久䅄㵒䥆䕖䅄♙䅖㩒奓䉍䱏〽㜵㠵☰䅖㩒义䕄㵘0뿎䭠L䑇䍞彁佐呓䕒彔剓彖佃呓ㄨ⼲〲㠰ⰬⰬ单⥄址当䱈䡔䅃䕒卟剅彖佃呓ㄨ⼲〲㠰ⰬⰬ单⥄ ＀＀ ＀＀_x0008_＀＀_x0008_＀＀_x0001_＀＀_x0001_＀＀_x0001_＀＀＀＀＀＀＀＀䀬ᦡ产 䕂噁䕞䅃䵟䅅彎偅⡓㈫ㄬ⼰㔲㈯㄰⤱!＀＀ ＀＀	＀＀_x0008_＀＀_x0001_＀＀_x0001_＀＀_x0001_＀＀솨ఴㄟ䀅찀듮䷰_x001E_䑇䕞䅃䵟䅅彎偅⡓㌫〬⼶㤰㈯㄰⤱!＀＀ ＀＀	＀＀_x0008_＀＀_x0001_＀＀_x0001_＀＀_x0001_＀＀解츠釃䀠찀ꬭ䶨_x001B_䱌幌䍅彁䕍乁䕟卐䍟䱁⡁〲ㄱ착!＀＀ ＀＀	＀＀_x0008_＀＀_x0001_＀＀_x0001_＀＀_x0001_＀＀쨶췺퓄䀠찀煿䯌 䑇䕞䅃䵟䅅彎䅓䕌⡓㈫〬⼴㤱㈯㄰⤰!＀＀ ＀＀	＀＀_x0008_＀＀_x0001_＀＀_x0001_＀＀_x0001_＀＀炤਽㽗䃡찀듮䷰_x001E_䑇䕞彃䕍彄剐䍉彅䝔Ŕ㘰〯⼹〲ㄱ!＀＀ ＀＀	＀＀_x0008_＀＀_x0001_＀＀_x0001_＀＀_x0001_＀＀＀＀＀＀䀀䁕찀뿎䭠,䑇䍞彁佐呓䕒彔剕呟归䉏䅟位呒ㄨ⼲〲㜰ⰬⰬ单⥄ ＀＀ ＀＀_x0008_＀＀_x0008_＀＀_x0001_＀＀_x0001_＀＀_x0001_＀＀＀＀＀＀＀＀㿰ꚡ丠P位⹇幁䙆䕟呎偒归䅖彌䅄䱉⡙㜰ㄯ⼵〲ㄱⰬⰬ∬䥄≌⼩䍅彁䕍乁䕟䥂䑔⡁〲㈱〬⼷㔱㈯㄰⤱Ɵ＀＀ ＀＀Ƈ＀＀_x0008_＀＀_x0001_＀＀_x0001_＀＀_x0001_＀＀顃풶⟭䀞摦畳㩰⼯楤敲瑣潩獮䘯呁嘠敩敷㽲捡楴湯唽䑐呁♅牣慥潴㵲慦瑣敳♴奄彎剁升吽啒♅佄彃䅎䕍䘽呁䘺䱑䅟䑕呉义彇䱃䕉呎呟䵅䱐呁⹅䅆♔楤灳慬役瑳楲杮䄽摵瑩嘦剁䬺奅丽偃䑏噕呕♙䅖㩒啑剅㵙歒晚啒唵汕卂ㅘ䉚䙔䔹啑䵬南睧祎砸华礸䑍硅䍌獷䍌湷䕒䵬祊癫啒䉎じ䘱啑昵啒䩊䕖䉒䑋睉呍獉䑍癣呍癕橍硁卍㵫圦义佄㵗䥆卒彔佐啐♐䕈䝉呈㐽〵圦䑉䡔㐽〵匦䅔呒䵟塁䵉婉䑅䘽䱁䕓嘦剁䌺䱁久䅄㵒䥆䕖䅄♙䅖㩒奓䉍䱏䴽䝏䄮嘦剁䤺䑎塅〽찀ꎒ䶨_x001F_佃幌䍅彁䕍乁䕟卐⬨ⰲ㄰ㄯ⼱〲ㄱ착!＀＀ ＀＀	＀＀_x0008_＀＀_x0001_＀＀_x0001_＀＀_x0001_＀＀ꕦ⥉䀑찀ꎖ䶨M䍐幐䙆䕟呎偒归䅖彌䅄䱉⡙㄰ㄯ⼱〲ㄱⰬⰬ∬䥄≌⼩䍅彁䕍乁卟䱁卅㈨㄰ⰰ㄰ㄯ⼱〲ㄱ착Ɲ＀＀ ＀＀ƅ＀＀_x0008_＀＀_x0001_＀＀_x0001_＀＀_x0001_＀＀ᔅ⩂䀉摦畳㩰⼯楤敲瑣潩獮䘯呁嘠敩敷㽲捡楴湯唽䑐呁♅牣慥潴㵲慦瑣敳♴奄彎剁升吽啒♅佄彃䅎䕍䘽呁䘺䱑䅟䑕呉义彇䱃䕉呎呟䵅䱐呁⹅䅆♔楤灳慬役瑳楲杮䄽摵瑩嘦剁䬺奅䴽䭄奂佚䵒♐䅖㩒啑剅㵙歒晚啒唵汕卂ㅘ䉚䙔䔹啑䵬南睧卍砸卍礸䑍硅䍌獷䍌湷䕒䵬祊癫啒䉎じ䘱啑昵さ䵆噒潍橍硁䍍睷卍砸卍礸䑍硅克㴽圦义佄㵗䥆卒彔佐啐♐䕈䝉呈㐽〵圦䑉䡔㐽〵匦䅔呒䵟塁䵉婉䑅䘽䱁䕓嘦剁䌺䱁久䅄㵒䥆䕖䅄♙䅖㩒奓䉍䱏倽偃嘦剁䤺䑎塅〽찀閹䴬P位⹇幁䙆䕟呎偒归䅖彌䅄䱉⡙〱㈯⼷〲〱ⰬⰬ∬䥄≌⼩䍅彁䕍乁䕟䥂䑔⡁〲㈱ㄬ⼰㜲㈯㄰⤰ƚ＀＀ ＀＀Ƃ＀＀_x0008_＀＀_x0001_＀＀_x0001_＀＀_x0001_＀＀侦譬ᔇ䀜摦畳㩰⼯楤敲瑣潩獮䘯呁嘠敩敷㽲捡楴湯唽䑐呁♅牣慥潴㵲慦瑣敳♴奄彎剁升吽啒♅佄彃䅎䕍䘽呁䘺䱑䅟䑕呉义彇䱃䕉呎呟䵅䱐呁⹅䅆♔楤灳慬役瑳楲杮䄽摵瑩嘦剁䬺奅伽佔䍒䅖䕐♌䅖㩒啑剅㵙歒晚啒唵汕卂ㅘ䉚䙔䔹啑䵬南硧䍍礸祎礸䑍睅䍌獷䍌湷䕒䵬祊癫啒䉎じ䘱啑昵啒䩊䕖䉒䑋睉呍獉呍癁橍癣橍硁䍍㵫圦义佄㵗䥆卒彔佐啐♐䕈䝉呈㐽〵圦䑉䡔㐽〵匦䅔呒䵟塁䵉婉䑅䘽䱁䕓嘦剁䌺䱁久䅄㵒单嘦剁区䵙佂㵌位⹇♁䅖㩒义䕄㵘0뿎䭠D䑇䍞彁佐呓䕒彔䕂彎䉏ㄨ⼲〲㠰ⰬⰬ单⥄址当䱈䡔䅃䕒偟佂ㄨ⼲〲㠰ⰬⰬ单⥄ ＀＀ ＀＀_x0008_＀＀_x0008_＀＀_x0001_＀＀_x0001_＀＀_x0001_＀＀＀＀＀＀怀䂎煾䯌_x001F_䑇灞灟楲散桟杩彨㈵⡗㐰ㄯ⼹〲〱착!＀＀ ＀＀	＀＀_x0008_＀＀_x0001_＀＀_x0001_＀＀_x0001_＀＀ਾꏗ뵰䁓찀듮䷰_x001F_䑇灞灟楲散桟杩彨㈵⡗㘰〯⼹〲ㄱ착!＀＀ ＀＀	＀＀_x0008_＀＀_x0001_＀＀_x0001_＀＀_x0001_＀＀竡긔酇䁓찀들䷰ 䕂噁䕞彃䕍乁偟⡅〲ㄱ〬⼴㔱㈯㄰⤱!＀＀ ＀＀	＀＀_x0008_＀＀_x0001_＀＀_x0001_＀＀_x0001_＀＀鎊᷻㊊䀲찀뿎䭠E䑇䍞彁佐呓䕒彔佒⡁㈱㈯〰ⰵⰬ唬䑓䀩南䡟呌䍈剁彅塅彐佒⡁㈱㈯〰ⰵⰬ唬䑓착 ＀＀ ＀＀_x0008_＀＀_x0008_＀＀_x0001_＀＀_x0001_＀＀_x0001_＀＀＀＀＀＀＀＀쀺ꚝ丠_x001F_佃幌䍅䵟䅅彎䕐㈨㄰ⰲ㜰ㄯ⼵〲ㄱ착!＀＀ ＀＀	＀＀_x0008_＀＀_x0001_＀＀_x0001_＀＀_x0001_＀＀龲勅弤䀩찀ꚧ丠R䝍呇䰭乏䙞彆久剔剐噟䱁䑟䥁奌〨⼷㔱㈯㄰ⰱⰬⰬ䐢䱉⤢䔯䅃䵟䅅彎䅓䕌⡓〲〱〬⼷㔱㈯㄰⤱Ơ＀＀ ＀＀ƈ＀＀_x0008_＀＀_x0001_＀＀_x0001_＀＀_x0001_＀＀擓ᦄ㊉䀇摦畳㩰⼯楤敲瑣潩獮䘯呁嘠敩敷㽲捡楴湯唽䑐呁♅牣慥潴㵲慦瑣敳♴奄彎剁升吽啒♅佄彃䅎䕍䘽呁䘺䱑䅟䑕呉义彇䱃䕉呎呟䵅䱐呁⹅䅆♔楤灳慬役瑳楲杮䄽摵瑩嘦剁䬺奅堽䉁噕䡓䱕♁䅖㩒啑剅㵙歒晚啒唵汕卂ㅘ䉚䙔䔹啑䵬南睧祎砸华礸䑍硅䍌獷䍌湷䕒䵬祊癫啒䉎じ䘱啑昵さ䵆噒潍橍硁䍍睷祎砸华礸䑍硅克㴽圦义佄㵗䥆卒彔佐啐♐䕈䝉呈㐽〵圦䑉䡔㐽〵匦䅔呒䵟塁䵉婉䑅䘽䱁䕓嘦剁䌺䱁久䅄㵒䥆䕖䅄♙䅖㩒奓䉍䱏〽㜵㠵☰䅖㩒义䕄㵘0㹫丯_x001F_佃幌䍅䵟䅅彎䕐㈨㄰ⰲ㜰㈯⼶〲ㄱ착!＀＀ ＀＀	＀＀_x0008_＀＀_x0001_＀＀_x0001_＀＀_x0001_＀＀쨭遬ṉ䀩찀듨䷰N位⹇幁䙆䕟呎偒归䅖彌䅄䱉⡙㐰ㄯ⼵〲ㄱⰬⰬ∬䥄≌⼩䍅彁䕍乁䕟䥂⡔〲ㄱ〬⼴㔱㈯㄰⤱Ɩ＀＀ ＀＀ž＀＀_x0008_＀＀_x0001_＀＀_x0001_＀＀_x0001_＀＀삞썙䀧摦畳㩰⼯楤敲瑣潩獮䘯呁嘠敩敷㽲捡楴湯唽䑐呁♅牣慥潴㵲慦瑣敳♴奄彎剁升吽啒♅佄彃䅎䕍䘽呁䘺䱑䅟䑕呉义彇䱃䕉呎呟䵅䱐呁⹅䅆♔楤灳慬役瑳楲杮䄽摵瑩嘦剁䬺奅䴽佄䵘䍌䝄♎䅖㩒啑剅㵙歒晚啒唵汕卂ㅘ䉚䙔䔹啑䵬南睧䍎砸华礸䑍硅䍌獷䍌湷䕒䵬祊癫啒䉎じ䘱啑昵啒䩊䍖祧䑍硅䑌ぁ穌ㅅ穌睉呍灅圦义佄㵗䥆卒彔佐啐♐䕈䝉呈㐽〵圦䑉䡔㐽〵匦䅔呒䵟塁䵉婉䑅䘽䱁䕓嘦剁䌺䱁久䅄㵒单嘦剁区䵙佂㵌位⹇♁䅖㩒义䕄㵘0霰䴬_x0017_䵌幔䝆偟䥒䕃 ⼷㠲㈯㄰찰!＀＀ ＀＀	＀＀_x0008_＀＀_x0001_＀＀_x0001_＀＀_x0001_＀＀슏⣵콜䁒찀뿎䭠I䑇䍞彁佐呓䕒彔佒彁䍁⡔㈱㈯〰ⰵⰬ唬䑓䀩南䡟呌䍈剁彅䍁彔佒⡁㈱㈯〰ⰵⰬ唬䑓착 ＀＀ ＀＀_x0008_＀＀_x0008_＀＀_x0001_＀＀_x0001_＀＀_x0001_＀＀＀＀＀＀＀＀䀾듧䷰!位⹇幁䍅䵟䅅彎䕐㈨㄰ⰲ㐰ㄯ⼵〲ㄱ착!＀＀ ＀＀	＀＀_x0008_＀＀_x0001_＀＀_x0001_＀＀_x0001_＀＀씿拕䀫찀푖䳈_x001E_䑇䕞䅃䵟䅅彎偅⡓ㄫㄬ⼰㜲㈯㄰⤰!＀＀ ＀＀	＀＀_x0008_＀＀_x0001_＀＀_x0001_＀＀_x0001_＀＀転路먭䀚찀㹮丯_x001F_䍐幐䍅彁䕍乁䕟卐⬨ⰲ㜰㈯⼶〲ㄱ착!＀＀ ＀＀	＀＀_x0008_＀＀_x0001_＀＀_x0001_＀＀_x0001_＀＀ℇ张Ղ䀤찀뿎䭠P䑇䍞彁䕐华䅟䍃䵕䍟䵏剐义⡃㈱㈯〰ⰳⰬ唬䑓䀩南䍟䵏剐䥟䍎偟久当䥌䉁ㄨ⼲〲㌰ⰬⰬ单⥄ ＀＀ ＀＀_x0008_＀＀_x0008_＀＀_x0001_＀＀_x0001_＀＀_x0001_＀＀豀碵꼝쐕閵䴬 䕂噁䕞䅃䵟䅅彎偅⡓㈫ㄬ⼰㜲㈯㄰⤰!＀＀ ＀＀	＀＀_x0008_＀＀_x0001_＀＀_x0001_＀＀_x0001_＀＀劤棬㿾찀뿎䭠'䑇坞当䱈䡔䅃䕒啟䙎䉟久ㄨ⼲〲㔰ⰬⰬ单⥄착＀＀＀＀뿎䭠&amp;䑇䍞彁佐呓䕒彔䕂彎䅐䑉ㄨ⼲〲㔰ⰬⰬ单⥄ ＀＀ ＀＀_x0008_＀＀_x0008_＀＀_x0001_＀＀_x0001_＀＀_x0001_＀＀＀＀＀＀耀䁆뿎䭠G䑇䍞彁䕐华䥟呎䍟协⡔㈱㈯〰ⰶⰬ唬䑓䀩南偟久䥓乏䥟呎䍟协⡔㈱㈯〰ⰶⰬ唬䑓착 ＀＀ ＀＀_x0008_＀＀_x0008_＀＀_x0001_＀＀_x0001_＀＀_x0001_＀＀＀＀＀＀耀䁺뿍䭠:䑇坞当䕐华佉彎十䕓協佟䡔ㄨ⼲〲㘰䀩䅃偟久当䍐彔呏⡈㈱㈯〰⤶ ＀＀ ＀＀_x0008_＀＀_x0008_＀＀_x0001_＀＀_x0001_＀＀_x0001_＀＀＀＀＀＀＀＀＀＀缔䯌_x0017_䑇䕞䅃䵟䅅彎偅⡓〲㠰〬착!＀＀ ＀＀	＀＀_x0008_＀＀_x0001_＀＀_x0001_＀＀_x0001_＀＀竡긔䀘찀뿎䭠P䑇䍞彁䕐华䅟䍃䵕䍟䵏剐义⡃㈱㈯〰ⰸⰬ唬䑓䀩南䍟䵏剐䥟䍎偟久当䥌䉁ㄨ⼲〲㠰ⰬⰬ单⥄ ＀＀ ＀＀_x0008_＀＀_x0008_＀＀_x0001_＀＀_x0001_＀＀_x0001_＀＀＀＀＀＀栀삟뿎䭠A䑇䍞彁䕐华剟䅏ㄨ⼲〲㜰ⰬⰬ单⥄址当䕐华佉彎塅彐佒⡁㈱㈯〰ⰷⰬ唬䑓착 ＀＀ ＀＀_x0008_＀＀_x0008_＀＀_x0001_＀＀_x0001_＀＀_x0001_＀＀＀＀＀＀堀삁煿䯌_x001E_䑇䕞䅃䵟䅅彎偅⡓ㄫ〬⼴㤱㈯㄰⤰!＀＀ ＀＀	＀＀_x0008_＀＀_x0001_＀＀_x0001_＀＀_x0001_＀＀䦐칆⻂䀚찀熁䯌L佃幌䙆䕟呎偒归䅖彌䅄䱉⡙㐰ㄯ⼹〲〱ⰬⰬ∬䥄≌⼩䍅彁䕍乁䕟䥂⡔〲〱〬⼴㤱㈯㄰⤰ƙ＀＀ ＀＀Ɓ＀＀_x0008_＀＀_x0001_＀＀_x0001_＀＀_x0001_＀＀墠䀨摦畳㩰⼯楤敲瑣潩獮䘯呁嘠敩敷㽲捡楴湯唽䑐呁♅牣慥潴㵲慦瑣敳♴奄彎剁升吽啒♅佄彃䅎䕍䘽呁䘺䱑䅟䑕呉义彇䱃䕉呎呟䵅䱐呁⹅䅆♔楤灳慬役瑳楲杮䄽摵瑩嘦剁䬺奅伽卌䍖佊䝔♔䅖㩒啑剅㵙歒晚啒唵汕卂ㅘ䉚䙔䔹啑䵬南睧䍎砸协礸䑍睅䍌獷䍌湷䕒䵬祊癫啒䉎じ䘱啑昵啒䩊䍖祧䑍睅䑌ぁ穌㕅穌睉呍灁圦义佄㵗䥆卒彔佐啐♐䕈䝉呈㐽〵圦䑉䡔㐽〵匦䅔呒䵟塁䵉婉䑅䘽䱁䕓嘦剁䌺䱁久䅄㵒䥆䕖䅄♙䅖㩒奓䉍䱏䌽䱏嘦剁䤺䑎塅〽찀듧䷰L佃幌䙆䕟呎偒归䅖彌䅄䱉⡙㐰ㄯ⼵〲ㄱⰬⰬ∬䥄≌⼩䍅彁䕍乁䕟䥂⡔〲㈱〬⼴㔱㈯㄰⤱Ɣ＀＀ ＀＀ż＀＀_x0008_＀＀_x0001_＀＀_x0001_＀＀_x0001_＀＀_xDDA8_ؿ䒄䀣摦畳㩰⼯楤敲瑣潩獮䘯呁嘠敩敷㽲捡楴湯唽䑐呁♅牣慥潴㵲慦瑣敳♴奄彎剁升吽啒♅佄彃䅎䕍䘽呁䘺䱑䅟䑕呉义彇䱃䕉呎呟䵅䱐呁⹅䅆♔楤灳慬役瑳楲杮䄽摵瑩嘦剁䬺奅䴽䅚佈䕎䅌♖䅖㩒啑剅㵙歒晚啒唵汕卂ㅘ䉚䙔䔹啑䵬南睧䍎砸华礸䑍硅䍌獷䍌湷䕒䵬祊癫啒䉎じ䘱啑昵啒䩊䍖祧䑍祅䑌ぁ穌ㅅ穌睉呍灅圦义佄㵗䥆卒彔佐啐♐䕈䝉呈㐽〵圦䑉䡔㐽〵匦䅔呒䵟塁䵉婉䑅䘽䱁䕓嘦剁䌺䱁久䅄㵒单嘦剁区䵙佂㵌佃♌䅖㩒义䕄㵘0듥䷰_x001F_佃幌䍅䵟䅅彎䕐㈨㄰ⰰ㐰ㄯ⼵〲ㄱ착!＀＀ ＀＀	＀＀_x0008_＀＀_x0001_＀＀_x0001_＀＀_x0001_＀＀ꍚꈞ䀱찀뿎䭠I䑇䍞彁䕐华偟䅌彎十⡔㈱㈯〰ⰳⰬ唬䑓䀩南偟久䥓乏噟䱁䅟卓呅⡓㈱㈯〰ⰳⰬ唬䑓착 ＀＀ ＀＀_x0008_＀＀_x0008_＀＀_x0001_＀＀_x0001_＀＀_x0001_＀＀＀＀＀＀䂸뿍䭠:䑇坞当䕐华佉彎十䕓協偟佒⡐㈱㈯〰⤴䍀彁䕐华偟呃剟⡅㈱㈯〰⤴ ＀＀ ＀＀_x0008_＀＀_x0008_＀＀_x0001_＀＀_x0001_＀＀_x0001_＀＀＀＀＀＀＀＀＀＀뿎䭠F䑇䍞彁佐呓䕒彔佃呓ㄨ⼲〲㠰ⰬⰬ单⥄址当䱈䡔䅃䕒也偐䕟偘ㄨ⼲〲㠰ⰬⰬ单⥄ ＀＀ ＀＀_x0008_＀＀_x0008_＀＀_x0001_＀＀_x0001_＀＀_x0001_＀＀＀＀＀＀＀＀䁌뿎䭠'䑇䍞彁䕐华偟剁彔佃呎䥒⡂㈱㈯〰ⰵⰬ唬䑓착 ＀＀ ＀＀_x0008_＀＀_x0008_＀＀_x0001_＀＀_x0001_＀＀_x0001_＀＀＀＀＀＀＀＀＀＀뿎䭠#䑇䍞彁䕐华䉟久偟䥁⡄㈱㈯〰ⰴⰬ唬䑓착 ＀＀ ＀＀_x0008_＀＀_x0008_＀＀_x0001_＀＀_x0001_＀＀_x0001_＀＀＀＀＀＀＀＀䁴ꎓ䶨M佃幌䙆䕟呎偒归䅖彌䅄䱉⡙㄰ㄯ⼱〲ㄱⰬⰬ∬䥄≌⼩䍅彁䕍乁卟䱁卅㈨㄰ⰱ㄰ㄯ⼱〲ㄱ착Ɲ＀＀ ＀＀ƅ＀＀_x0008_＀＀_x0001_＀＀_x0001_＀＀_x0001_＀＀㔳_xDD40_띗㿿摦畳㩰⼯楤敲瑣潩獮䘯呁嘠敩敷㽲捡楴湯唽䑐呁♅牣慥潴㵲慦瑣敳♴奄彎剁升吽啒♅佄彃䅎䕍䘽呁䘺䱑䅟䑕呉义彇䱃䕉呎呟䵅䱐呁⹅䅆♔楤灳慬役瑳楲杮䄽摵瑩嘦剁䬺奅夽䭊䍔坖䍖♘䅖㩒啑剅㵙歒晚啒唵汕卂ㅘ䉚䙔䔹啑䵬南睧卍砸卍礸䑍硅䍌獷䍌湷䕒䵬祊癫啒䉎じ䘱啑昵さ䵆噒潍橍硁卍睷卍砸卍礸䑍硅克㴽圦义佄㵗䥆卒彔佐啐♐䕈䝉呈㐽〵圦䑉䡔㐽〵匦䅔呒䵟塁䵉婉䑅䘽䱁䕓嘦剁䌺䱁久䅄㵒䥆䕖䅄♙䅖㩒奓䉍䱏䌽䱏嘦剁䤺䑎塅〽찀ᦧ产!位⹇幁䍅䵟䅅彎䕐㈨㄰ⰲ〱㈯⼵〲ㄱ착!＀＀ ＀＀	＀＀_x0008_＀＀_x0001_＀＀_x0001_＀＀_x0001_＀＀_xD97B__xDA76_턚䀦찀뿎䭠L䑇䍞彁䕐华偟䥒剏卟噒ㄨ⼲〲㜰ⰬⰬ单⥄址当䕐华佉彎剐卟剅彖佃呓ㄨ⼲〲㜰ⰬⰬ单⥄ ＀＀ ＀＀_x0008_＀＀_x0008_＀＀_x0001_＀＀_x0001_＀＀_x0001_＀＀＀＀＀＀＀＀쁅뿎䭠S䑇䍞彁佐呓䕒彔剐佉归剓⡖㈱㈯〰ⰷⰬ唬䑓䀩南䡟呌䍈剁彅乕䕒彃䕓噒䍟协⡔㈱㈯〰ⰷⰬ唬䑓착 ＀＀ ＀＀_x0008_＀＀_x0008_＀＀_x0001_＀＀_x0001_＀＀_x0001_＀＀＀＀＀＀＀＀쀜ᦦ产N佃幌䙆䕟呎偒归䅖彌䅄䱉⡙〱㈯⼵〲ㄱⰬⰬ∬䥄≌⼩䍅彁䕍乁䕟䥂䑔⡁〲㈱ㄬ⼰㔲㈯㄰⤱ơ＀＀ ＀＀Ɖ＀＀_x0008_＀＀_x0001_＀＀_x0001_＀＀_x0001_＀＀㨮⣨ࡶ䀟摦畳㩰⼯楤敲瑣潩獮䘯呁嘠敩敷㽲捡楴湯唽䑐呁♅牣慥潴㵲慦瑣敳♴奄彎剁升吽啒♅佄彃䅎䕍䘽呁䘺䱑䅟䑕呉义彇䱃䕉呎呟䵅䱐呁⹅䅆♔楤灳慬役瑳楲杮䄽摵瑩嘦剁䬺奅䈽䙕䱁䡅䩗♕䅖㩒啑剅㵙歒晚啒唵汕卂ㅘ䉚䙔䔹啑䵬南硧䍍礸华礸䑍硅䍌獷䍌湷䕒䵬祊杫祌䙂け晆啔䉖汔䘹歑啬䕒潅橍硁楍硷䍍礸华礸䑍硅克㴽圦义佄㵗䥆卒彔佐啐♐䕈䝉呈㐽〵圦䑉䡔㐽〵匦䅔呒䵟塁䵉婉䑅䘽䱁䕓嘦剁䌺䱁久䅄㵒䥆䕖䅄♙䅖㩒奓䉍䱏䌽䱏嘦剁䤺䑎塅〽찀듩䷰$䝍呇䰭乏䕞䅃䵟䅅彎偅⡓㈫〬⼴㔱㈯㄰⤱!＀＀ ＀＀	＀＀_x0008_＀＀_x0001_＀＀_x0001_＀＀_x0001_＀＀υꛊ㿕찀閼䴬 䑇䕞䅃䵟䅅彎䅓䕌⡓ㄫ〬⼱ㄱ㈯㄰⤱!＀＀ ＀＀	＀＀_x0008_＀＀_x0001_＀＀_x0001_＀＀_x0001_＀＀롒蔞ۛ䃠찀뿎䭠&amp;䑇坞当䕐华佉彎䕎彔䥌䉁ㄨ⼲〲㜰ⰬⰬ单⥄ ＀＀ ＀＀_x0008_＀＀_x0008_＀＀_x0001_＀＀_x0001_＀＀_x0001_＀＀豀碵꼝쐕뿎䭠L䑇䍞彁䕐华偟䥒剏卟噒ㄨ⼲〲㠰ⰬⰬ单⥄址当䕐华佉彎剐卟剅彖佃呓ㄨ⼲〲㠰ⰬⰬ单⥄ ＀＀ ＀＀_x0008_＀＀_x0008_＀＀_x0001_＀＀_x0001_＀＀_x0001_＀＀＀＀＀＀＀＀쁇뿎䭠'䑇䍞彁䕐华偟䑐䉟久䍟协⡔㈱㈯〰ⰶⰬ唬䑓착 ＀＀ ＀＀_x0008_＀＀_x0008_＀＀_x0001_＀＀_x0001_＀＀_x0001_＀＀豀碵꼝쐕ꎕ䶨_x001F_䍐幐䍅䵟䅅彎䕐㈨㄰ⰲ㄰ㄯ⼱〲ㄱ착!＀＀ ＀＀	＀＀_x0008_＀＀_x0001_＀＀_x0001_＀＀_x0001_＀＀꾷蜃䀬찀缔䯌_x0017_䑇䕞䅃䵟䅅彎偅⡓〲㔰〬착!＀＀ ＀＀	＀＀_x0008_＀＀_x0001_＀＀_x0001_＀＀_x0001_＀＀＀＀＀＀＀＀䀍찀ꚨ丠_x001E_䑇䕞䅃䵟䅅彎偅⡓ㄫ〬⼷㔱㈯㄰⤱!＀＀ ＀＀	＀＀_x0008_＀＀_x0001_＀＀_x0001_＀＀_x0001_＀＀腬䀜찀뿎䭠$䑇䍞彁䕐华䱟彔十䕓協ㄨ⼲〲㔰ⰬⰬ单⥄ ＀＀ ＀＀_x0008_＀＀_x0008_＀＀_x0001_＀＀_x0001_＀＀_x0001_＀＀豀碵꼝쐕ꚛ丠 䕂噁䕞䅃䵟䅅彎偅⡓㈫〬⼷㔱㈯㄰⤱!＀＀ ＀＀	＀＀_x0008_＀＀_x0001_＀＀_x0001_＀＀_x0001_＀＀ң藽턞䀄찀ᦦ产L佃幌䙆䕟呎偒归䅖彌䅄䱉⡙〱㈯⼵〲ㄱⰬⰬ∬䥄≌⼩䍅彁䕍乁䕟䥂⡔〲〱ㄬ⼰㔲㈯㄰⤱Ɲ＀＀ ＀＀ƅ＀＀_x0008_＀＀_x0001_＀＀_x0001_＀＀_x0001_＀＀竗࿀䀥摦畳㩰⼯楤敲瑣潩獮䘯呁嘠敩敷㽲捡楴湯唽䑐呁♅牣慥潴㵲慦瑣敳♴奄彎剁升吽啒♅佄彃䅎䕍䘽呁䘺䱑䅟䑕呉义彇䱃䕉呎呟䵅䱐呁⹅䅆♔楤灳慬役瑳楲杮䄽摵瑩嘦剁䬺奅丽塏婕偓䱑♅䅖㩒啑剅㵙歒晚啒唵汕卂ㅘ䉚䙔䔹啑䵬南硧䍍礸华礸䑍硅䍌獷䍌湷䕒䵬祊杫祌䙂け晆啔䉖汔䘹歑啬䑋睉呍獁呍癁橍癕橍硁卍㵫圦义佄㵗䥆卒彔佐啐♐䕈䝉呈㐽〵圦䑉䡔㐽〵匦䅔呒䵟塁䵉婉䑅䘽䱁䕓嘦剁䌺䱁久䅄㵒䥆䕖䅄♙䅖㩒奓䉍䱏䌽䱏嘦剁䤺䑎塅〽찀㹩丯 䕂噁䕞䅃䵟䅅彎偅⡓㈫〬⼷㘲㈯㄰⤱!＀＀ ＀＀	＀＀_x0008_＀＀_x0001_＀＀_x0001_＀＀_x0001_＀＀㽆业箙䀅찀뿎䭠K䑇䍞彁佐呓䕒彔义彔佃呓ㄨ⼲〲㐰ⰬⰬ单⥄址当䱈䡔䅃䕒䥟呎䍟协⡔㈱㈯〰ⰴⰬ唬䑓착 ＀＀ ＀＀_x0008_＀＀_x0008_＀＀_x0001_＀＀_x0001_＀＀_x0001_＀＀＀＀＀＀＀＀䁒ᦥ产N䕂噁䙞彆久剔剐噟䱁䑟䥁奌ㄨ⼰㔲㈯㄰ⰱⰬⰬ䐢䱉⤢䔯䅃䵟䅅彎䅓䕌⡓〲〱ㄬ⼰㔲㈯㄰⤱ƞ＀＀ ＀＀Ɔ＀＀_x0008_＀＀_x0001_＀＀_x0001_＀＀_x0001_＀＀셯뱂ℤ䀃摦畳㩰⼯楤敲瑣潩獮䘯呁嘠敩敷㽲捡楴湯唽䑐呁♅牣慥潴㵲慦瑣敳♴奄彎剁升吽啒♅佄彃䅎䕍䘽呁䘺䱑䅟䑕呉义彇䱃䕉呎呟䵅䱐呁⹅䅆♔楤灳慬役瑳楲杮䄽摵瑩嘦剁䬺奅嘽䩕噅䑕剁♓䅖㩒啑剅㵙歒晚啒唵汕卂ㅘ䉚䙔䔹啑䵬南硧䍍礸华礸䑍硅䍌獷䍌湷䕒䵬祊杫祌䙂け晆啔䉖汔吹啑䙸祕祧䑍睅䑌睅穌ㅉ穌睉呍灅圦义佄㵗䥆卒彔佐啐♐䕈䝉呈㐽〵圦䑉䡔㐽〵匦䅔呒䵟塁䵉婉䑅䘽䱁䕓嘦剁䌺䱁久䅄㵒䥆䕖䅄♙䅖㩒奓䉍䱏䈽䅅♖䅖㩒义䕄㵘0閹䴬_x001F_䍐幐䍅彁䕍乁䕟卐⬨ⰲ〱㈯⼷〲〱착!＀＀ ＀＀	＀＀_x0008_＀＀_x0001_＀＀_x0001_＀＀_x0001_＀＀៯ᶳ䀡찀熁䯌_x001F_佃幌䍅䵟䅅彎䕐㈨㄰ⰲ㐰ㄯ⼹〲〱착!＀＀ ＀＀	＀＀_x0008_＀＀_x0001_＀＀_x0001_＀＀_x0001_＀＀鶥쮚ญ䀬찀熂䯌P位⹇幁䙆䕟呎偒归䅖彌䅄䱉⡙㐰ㄯ⼹〲〱ⰬⰬ∬䥄≌⼩䍅彁䕍乁䕟䥂䑔⡁〲〱〬⼴㤱㈯㄰⤰Ɵ＀＀ ＀＀Ƈ＀＀_x0008_＀＀_x0001_＀＀_x0001_＀＀_x0001_＀＀垲쯛„䀢摦畳㩰⼯楤敲瑣潩獮䘯呁嘠敩敷㽲捡楴湯唽䑐呁♅牣慥潴㵲慦瑣敳♴奄彎剁升吽啒♅佄彃䅎䕍䘽呁䘺䱑䅟䑕呉义彇䱃䕉呎呟䵅䱐呁⹅䅆♔楤灳慬役瑳楲杮䄽摵瑩嘦剁䬺奅圽䥊卒佔啎♂䅖㩒啑剅㵙歒晚啒唵汕卂ㅘ䉚䙔䔹啑䵬南睧䍎砸协礸䑍睅䍌獷䍌湷䕒䵬祊癫啒䉎じ䘱啑昵啒䩊䕖䉒䑋睉呍獁䑍癑呍癫橍硁䍍㵫圦义佄㵗䥆卒彔佐啐♐䕈䝉呈㐽〵圦䑉䡔㐽〵匦䅔呒䵟塁䵉婉䑅䘽䱁䕓嘦剁䌺䱁久䅄㵒䥆䕖䅄♙䅖㩒奓䉍䱏䴽䝏䄮嘦剁䤺䑎塅〽찀ꚦ丠Q䝍呇䰭乏䙞彆久剔剐噟䱁䑟䥁奌〨⼷㔱㈯㄰ⰱⰬⰬ䐢䱉⤢䔯䅃䵟䅅彎䉅呉㈨㄰ⰲ㜰ㄯ⼵〲ㄱ착Ɯ＀＀ ＀＀Ƅ＀＀_x0008_＀＀_x0001_＀＀_x0001_＀＀_x0001_＀＀揘违ᨘ䀡摦畳㩰⼯楤敲瑣潩獮䘯呁嘠敩敷㽲捡楴湯唽䑐呁♅牣慥潴㵲慦瑣敳♴奄彎剁升吽啒♅佄彃䅎䕍䘽呁䘺䱑䅟䑕呉义彇䱃䕉呎呟䵅䱐呁⹅䅆♔楤灳慬役瑳楲杮䄽摵瑩嘦剁䬺奅䨽噏䑅塉䱗♏䅖㩒啑剅㵙歒晚啒唵汕卂ㅘ䉚䙔䔹啑䵬南睧祎砸华礸䑍硅䍌獷䍌湷䕒䵬祊癫啒䉎じ䘱啑昵啒䩊䍖祧䑍祅䑌㍁穌ㅅ穌睉呍灅圦义佄㵗䥆卒彔佐啐♐䕈䝉呈㐽〵圦䑉䡔㐽〵匦䅔呒䵟塁䵉婉䑅䘽䱁䕓嘦剁䌺䱁久䅄㵒䥆䕖䅄♙䅖㩒奓䉍䱏〽㜵㠵☰䅖㩒义䕄㵘0熂䯌O位⹇幁䙆䕟呎偒归䅖彌䅄䱉⡙㐰ㄯ⼹〲〱ⰬⰬ∬䥄≌⼩䍅彁䕍乁卟䱁卅㈨㄰ⰲ㐰ㄯ⼹〲〱착Ɵ＀＀ ＀＀Ƈ＀＀_x0008_＀＀_x0001_＀＀_x0001_＀＀_x0001_＀＀늣떷띗㿯摦畳㩰⼯楤敲瑣潩獮䘯呁嘠敩敷㽲捡楴湯唽䑐呁♅牣慥潴㵲慦瑣敳♴奄彎剁升吽啒♅佄彃䅎䕍䘽呁䘺䱑䅟䑕呉义彇䱃䕉呎呟䵅䱐呁⹅䅆♔楤灳慬役瑳楲杮䄽摵瑩嘦剁䬺奅儽啔䭆䝄奌♎䅖㩒啑剅㵙歒晚啒唵汕卂ㅘ䉚䙔䔹啑䵬南睧䍎砸协礸䑍睅䍌獷䍌湷䕒䵬祊癫啒䉎じ䘱啑昵さ䵆噒潍橍硁楍睷䍎砸协礸䑍睅克㴽圦义佄㵗䥆卒彔佐啐♐䕈䝉呈㐽〵圦䑉䡔㐽〵匦䅔呒䵟塁䵉婉䑅䘽䱁䕓嘦剁䌺䱁久䅄㵒䥆䕖䅄♙䅖㩒奓䉍䱏䴽䝏䄮嘦剁䤺䑎塅〽찀ᦨ产_x001F_䍐幐䍅䵟䅅彎䕐㈨㄰ⰱ〱㈯⼵〲ㄱ착!＀＀ ＀＀	＀＀_x0008_＀＀_x0001_＀＀_x0001_＀＀_x0001_＀＀䚞⩚뽯䀳찀뿎䭠$䑇䍞彁䕐华䍟䵏彐䅒䕔ㄨ⼲〲㐰ⰬⰬ单⥄ ＀＀ ＀＀_x0008_＀＀_x0008_＀＀_x0001_＀＀_x0001_＀＀_x0001_＀＀＀＀＀＀＀＀䀞듮䷰ 䑇䕞䅃䵟䅅彎䅓䕌⡓㈫〬⼶㤰㈯㄰⤱!＀＀ ＀＀	＀＀_x0008_＀＀_x0001_＀＀_x0001_＀＀_x0001_＀＀炤਽⾿䃡찀ꬭ䶨_x001B_䱌幌䍅彁䕍乁䕟卐䍟䱁⡁〲㈱착!＀＀ ＀＀	＀＀_x0008_＀＀_x0001_＀＀_x0001_＀＀_x0001_＀＀鍹ꋟ햓䀡찀熃䯌M䍐幐䙆䕟呎偒归䅖彌䅄䱉⡙㐰ㄯ⼹〲〱ⰬⰬ∬䥄≌⼩䍅彁䕍乁卟䱁卅㈨㄰ⰱ㐰ㄯ⼹〲〱착Ɲ＀＀ ＀＀ƅ＀＀_x0008_＀＀_x0001_＀＀_x0001_＀＀_x0001_＀＀ᅖ疻뫈䀄摦畳㩰⼯楤敲瑣潩獮䘯呁嘠敩敷㽲捡楴湯唽䑐呁♅牣慥潴㵲慦瑣敳♴奄彎剁升吽啒♅佄彃䅎䕍䘽呁䘺䱑䅟䑕呉义彇䱃䕉呎呟䵅䱐呁⹅䅆♔楤灳慬役瑳楲杮䄽摵瑩嘦剁䬺奅䔽䥒兂䵊䕆♈䅖㩒啑剅㵙歒晚啒唵汕卂ㅘ䉚䙔䔹啑䵬南睧䍎砸协礸䑍睅䍌獷䍌湷䕒䵬祊癫啒䉎じ䘱啑昵さ䵆噒潍橍硁卍睷䍎砸协礸䑍睅克㴽圦义佄㵗䥆卒彔佐啐♐䕈䝉呈㐽〵圦䑉䡔㐽〵匦䅔呒䵟塁䵉婉䑅䘽䱁䕓嘦剁䌺䱁久䅄㵒䥆䕖䅄♙䅖㩒奓䉍䱏倽偃嘦剁䤺䑎塅〽찀ꎑ䶨O䕂噁䙞彆久剔剐噟䱁䑟䥁奌〨⼱ㄱ㈯㄰ⰱⰬⰬ䐢䱉⤢䔯䅃䵟䅅彎䉅呉䅄㈨㄰ⰱ㄰ㄯ⼱〲ㄱ착ƞ＀＀ ＀＀Ɔ＀＀_x0008_＀＀_x0001_＀＀_x0001_＀＀_x0001_＀＀᱕⊵땐䀥摦畳㩰⼯楤敲瑣潩獮䘯呁嘠敩敷㽲捡楴湯唽䑐呁♅牣慥潴㵲慦瑣敳♴奄彎剁升吽啒♅佄彃䅎䕍䘽呁䘺䱑䅟䑕呉义彇䱃䕉呎呟䵅䱐呁⹅䅆♔楤灳慬役瑳楲杮䄽摵瑩嘦剁䬺奅䜽䕚䅎䥌先♚䅖㩒啑剅㵙歒晚啒唵汕卂ㅘ䉚䙔䔹啑䵬南睧卍砸卍礸䑍硅䍌獷䍌湷䕒䵬祊癫啒䉎じ䘱啑昵啒䩊䕖䉒䑋睉呍獅䑍癅呍癅橍硁卍㵫圦义佄㵗䥆卒彔佐啐♐䕈䝉呈㐽〵圦䑉䡔㐽〵匦䅔呒䵟塁䵉婉䑅䘽䱁䕓嘦剁䌺䱁久䅄㵒䥆䕖䅄♙䅖㩒奓䉍䱏䈽䅅♖䅖㩒义䕄㵘0뿎䭠M䑇䍞彁䕐华啟剎䍅䝏ㄨ⼲〲㔰ⰬⰬ单⥄址当䕐华佉彎乕䕒彃䕓噒䍟协⡔㈱㈯〰ⰵⰬ唬䑓착 ＀＀ ＀＀_x0008_＀＀_x0008_＀＀_x0001_＀＀_x0001_＀＀_x0001_＀＀＀＀＀＀쀀쁓熂䯌_x001F_䍐幐䍅彁䕍乁䕟卐⬨ⰲ㐰ㄯ⼹〲〱착!＀＀ ＀＀	＀＀_x0008_＀＀_x0001_＀＀_x0001_＀＀_x0001_＀＀폄攫戙䀞찀熁䯌O䕂噁䙞彆久剔剐噟䱁䑟䥁奌〨⼴㤱㈯㄰ⰰⰬⰬ䐢䱉⤢䔯䅃䵟䅅彎䉅呉䅄㈨㄰ⰲ㐰ㄯ⼹〲〱착ƞ＀＀ ＀＀Ɔ＀＀_x0008_＀＀_x0001_＀＀_x0001_＀＀_x0001_＀＀嗔䡊䆥䀟摦畳㩰⼯楤敲瑣潩獮䘯呁嘠敩敷㽲捡楴湯唽䑐呁♅牣慥潴㵲慦瑣敳♴奄彎剁升吽啒♅佄彃䅎䕍䘽呁䘺䱑䅟䑕呉义彇䱃䕉呎呟䵅䱐呁⹅䅆♔楤灳慬役瑳楲杮䄽摵瑩嘦剁䬺奅䄽奂啒佊䍎♒䅖㩒啑剅㵙歒晚啒唵汕卂ㅘ䉚䙔䔹啑䵬南睧䍎砸协礸䑍睅䍌獷䍌湷䕒䵬祊癫啒䉎じ䘱啑昵啒䩊䕖䉒䑋睉呍獉䑍癑呍癫橍硁䍍㵫圦义佄㵗䥆卒彔佐啐♐䕈䝉呈㐽〵圦䑉䡔㐽〵匦䅔呒䵟塁䵉婉䑅䘽䱁䕓嘦剁䌺䱁久䅄㵒䥆䕖䅄♙䅖㩒奓䉍䱏䈽䅅♖䅖㩒义䕄㵘0缔䯌_x0017_䑇䕞䅃䵟䅅彎偅⡓〲㈰〬착!＀＀ ＀＀	＀＀_x0008_＀＀_x0001_＀＀_x0001_＀＀_x0001_＀＀Ẹ롑䀄찀ꎖ䶨N䍐幐䙆䕟呎偒归䅖彌䅄䱉⡙㄰ㄯ⼱〲ㄱⰬⰬ∬䥄≌⼩䍅彁䕍乁䕟䥂䑔⡁〲ㄱ〬⼱ㄱ㈯㄰⤱Ɲ＀＀ ＀＀ƅ＀＀_x0008_＀＀_x0001_＀＀_x0001_＀＀_x0001_＀＀䅭⒢쥴䀣摦畳㩰⼯楤敲瑣潩獮䘯呁嘠敩敷㽲捡楴湯唽䑐呁♅牣慥潴㵲慦瑣敳♴奄彎剁升吽啒♅佄彃䅎䕍䘽呁䘺䱑䅟䑕呉义彇䱃䕉呎呟䵅䱐呁⹅䅆♔楤灳慬役瑳楲杮䄽摵瑩嘦剁䬺奅唽䍊䍎坄奚♈䅖㩒啑剅㵙歒晚啒唵汕卂ㅘ䉚䙔䔹啑䵬南睧卍砸卍礸䑍硅䍌獷䍌湷䕒䵬祊癫啒䉎じ䘱啑昵啒䩊䕖䉒䑋睉呍獅䑍癅呍癅橍硁卍㵫圦义佄㵗䥆卒彔佐啐♐䕈䝉呈㐽〵圦䑉䡔㐽〵匦䅔呒䵟塁䵉婉䑅䘽䱁䕓嘦剁䌺䱁久䅄㵒䥆䕖䅄♙䅖㩒奓䉍䱏倽偃嘦剁䤺䑎塅〽찀뿎䭠(䑇䍞彁佐呓䕒彔呏䅈䩄也䅂ㄨ⼲〲㘰ⰬⰬ单⥄ ＀＀ ＀＀_x0008_＀＀_x0008_＀＀_x0001_＀＀_x0001_＀＀_x0001_＀＀＀＀＀＀＀＀䁢뿎䭠+䑇䍞彁佐呓䕒彔䵅彐佃呎䥒彂⡃㈱㈯〰ⰷⰬ唬䑓착 ＀＀ ＀＀_x0008_＀＀_x0008_＀＀_x0001_＀＀_x0001_＀＀_x0001_＀＀＀＀＀＀＀＀䀵뿎䭠(䑇䍞彁䕐华䕟偍䍟乏剔䉉䍟ㄨ⼲〲㌰ⰬⰬ单⥄ ＀＀ ＀＀_x0008_＀＀_x0008_＀＀_x0001_＀＀_x0001_＀＀_x0001_＀＀＀＀＀＀耀䁎㹴丯R䝍呇䰭乏䙞彆久剔剐噟䱁䑟䥁奌〨⼷㘲㈯㄰ⰱⰬⰬ䐢䱉⤢䔯䅃䵟䅅彎䅓䕌⡓〲㈱〬⼷㘲㈯㄰⤱Ơ＀＀ ＀＀ƈ＀＀_x0008_＀＀_x0001_＀＀_x0001_＀＀_x0001_＀＀_xDBA4_绍辉䀁摦畳㩰⼯楤敲瑣潩獮䘯呁嘠敩敷㽲捡楴湯唽䑐呁♅牣慥潴㵲慦瑣敳♴奄彎剁升吽啒♅佄彃䅎䕍䘽呁䘺䱑䅟䑕呉义彇䱃䕉呎呟䵅䱐呁⹅䅆♔楤灳慬役瑳楲杮䄽摵瑩嘦剁䬺奅伽䭈先䍔䕖♂䅖㩒啑剅㵙歒晚啒唵汕卂ㅘ䉚䙔䔹啑䵬南睧祎礸楎礸䑍硅䍌獷䍌湷䕒䵬祊癫啒䉎じ䘱啑昵さ䵆噒潍橍硁楍睷祎礸楎礸䑍硅克㴽圦义佄㵗䥆卒彔佐啐♐䕈䝉呈㐽〵圦䑉䡔㐽〵匦䅔呒䵟塁䵉婉䑅䘽䱁䕓嘦剁䌺䱁久䅄㵒䥆䕖䅄♙䅖㩒奓䉍䱏〽㜵㠵☰䅖㩒义䕄㵘0듭䷰R䝍呇䰭乏䙞彆久剔剐噟䱁䑟䥁奌〨⼴㔱㈯㄰ⰱⰬⰬ䐢䱉⤢䔯䅃䵟䅅彎䅓䕌⡓〲ㄱ〬⼴㔱㈯㄰⤱ƛ＀＀ ＀＀ƃ＀＀_x0008_＀＀_x0001_＀＀_x0001_＀＀_x0001_＀＀勺獖䀂摦畳㩰⼯楤敲瑣潩獮䘯呁嘠敩敷㽲捡楴湯唽䑐呁♅牣慥潴㵲慦瑣敳♴奄彎剁升吽啒♅佄彃䅎䕍䘽呁䘺䱑䅟䑕呉义彇䱃䕉呎呟䵅䱐呁⹅䅆♔楤灳慬役瑳楲杮䄽摵瑩嘦剁䬺奅䴽䕌䅒先䝒♖䅖㩒啑剅㵙歒晚啒唵汕卂ㅘ䉚䙔䔹啑䵬南睧䍎砸华礸䑍硅䍌獷䍌湷䕒䵬祊癫啒䉎じ䘱啑昵さ䵆噒潍橍硁卍睷䍎砸华礸䑍硅克㴽圦义佄㵗䥆卒彔佐啐♐䕈䝉呈㐽〵圦䑉䡔㐽〵匦䅔呒䵟塁䵉婉䑅䘽䱁䕓嘦剁䌺䱁久䅄㵒单嘦剁区䵙佂㵌㔰㔷〸嘦剁䤺䑎塅〽찀熃䯌N䍐幐䙆䕟呎偒归䅖彌䅄䱉⡙㐰ㄯ⼹〲〱ⰬⰬ∬䥄≌⼩䍅彁䕍乁䕟䥂䑔⡁〲㈱〬⼴㤱㈯㄰⤰Ɲ＀＀ ＀＀ƅ＀＀_x0008_＀＀_x0001_＀＀_x0001_＀＀_x0001_＀＀欥_xD99B_埸䀠摦畳㩰⼯楤敲瑣潩獮䘯呁嘠敩敷㽲捡楴湯唽䑐呁♅牣慥潴㵲慦瑣敳♴奄彎剁升吽啒♅佄彃䅎䕍䘽呁䘺䱑䅟䑕呉义彇䱃䕉呎呟䵅䱐呁⹅䅆♔楤灳慬役瑳楲杮䄽摵瑩嘦剁䬺奅䴽坂华奘佘♒䅖㩒啑剅㵙歒晚啒唵汕卂ㅘ䉚䙔䔹啑䵬南睧䍎砸协礸䑍睅䍌獷䍌湷䕒䵬祊癫啒䉎じ䘱啑昵啒䩊䕖䉒䑋睉呍獉䑍癑呍癫橍硁䍍㵫圦义佄㵗䥆卒彔佐啐♐䕈䝉呈㐽〵圦䑉䡔㐽〵匦䅔呒䵟塁䵉婉䑅䘽䱁䕓嘦剁䌺䱁久䅄㵒䥆䕖䅄♙䅖㩒奓䉍䱏倽偃嘦剁䤺䑎塅〽찀閶䴬M䕂噁䙞彆久剔剐噟䱁䑟䥁奌ㄨ⼰㜲㈯㄰ⰰⰬⰬ䐢䱉⤢䔯䅃䵟䅅彎䉅呉㈨㄰ⰰ〱㈯⼷〲〱착ƕ＀＀ ＀＀Ž＀＀_x0008_＀＀_x0001_＀＀_x0001_＀＀_x0001_＀＀㩐塲谀䀫摦畳㩰⼯楤敲瑣潩獮䘯呁嘠敩敷㽲捡楴湯唽䑐呁♅牣慥潴㵲慦瑣敳♴奄彎剁升吽啒♅佄彃䅎䕍䘽呁䘺䱑䅟䑕呉义彇䱃䕉呎呟䵅䱐呁⹅䅆♔楤灳慬役瑳楲杮䄽摵瑩嘦剁䬺奅伽䝔䭚䍂䥐♔䅖㩒啑剅㵙歒晚啒唵汕卂ㅘ䉚䙔䔹啑䵬南硧䍍礸祎礸䑍睅䍌獷䍌湷䕒䵬祊癫啒䉎じ䘱啑昵啒䩊䍖祧䑍睅䑌睅穌㍉穌睉呍灁圦义佄㵗䥆卒彔佐啐♐䕈䝉呈㐽〵圦䑉䡔㐽〵匦䅔呒䵟塁䵉婉䑅䘽䱁䕓嘦剁䌺䱁久䅄㵒单嘦剁区䵙佂㵌䕂噁嘦剁䤺䑎塅〽찀ꎓ䶨L佃幌䙆䕟呎偒归䅖彌䅄䱉⡙㄰ㄯ⼱〲ㄱⰬⰬ∬䥄≌⼩䍅彁䕍乁䕟䥂⡔〲〱〬⼱ㄱ㈯㄰⤱ƙ＀＀ ＀＀Ɓ＀＀_x0008_＀＀_x0001_＀＀_x0001_＀＀_x0001_＀＀㑋ᣅ㊼䀧摦畳㩰⼯楤敲瑣潩獮䘯呁嘠敩敷㽲捡楴湯唽䑐呁♅牣慥潴㵲慦瑣敳♴奄彎剁升吽啒♅佄彃䅎䕍䘽呁䘺䱑䅟䑕呉义彇䱃䕉呎呟䵅䱐呁⹅䅆♔楤灳慬役瑳楲杮䄽摵瑩嘦剁䬺奅䤽但啄䅄䥄♐䅖㩒啑剅㵙歒晚啒唵汕卂ㅘ䉚䙔䔹啑䵬南睧卍砸卍礸䑍硅䍌獷䍌湷䕒䵬祊癫啒䉎じ䘱啑昵啒䩊䍖祧䑍睅䑌硁穌硅穌睉呍灅圦义佄㵗䥆卒彔佐啐♐䕈䝉呈㐽〵圦䑉䡔㐽〵匦䅔呒䵟塁䵉婉䑅䘽䱁䕓嘦剁䌺䱁久䅄㵒䥆䕖䅄♙䅖㩒奓䉍䱏䌽䱏嘦剁䤺䑎塅〽찀뿍䭠;䑇坞当䕐华佉彎十䕓協䉟乏卄ㄨ⼲〲㐰䀩䅃偟久当䍐彔䥆ㄨ⼲〲㐰착 ＀＀ ＀＀_x0008_＀＀_x0008_＀＀_x0001_＀＀_x0001_＀＀_x0001_＀＀＀＀＀＀＀＀䀈㹪丯O䕂噁䙞彆久剔剐噟䱁䑟䥁奌〨⼷㘲㈯㄰ⰱⰬⰬ䐢䱉⤢䔯䅃䵟䅅彎䉅呉䅄㈨㄰ⰱ㜰㈯⼶〲ㄱ착ƞ＀＀ ＀＀Ɔ＀＀_x0008_＀＀_x0001_＀＀_x0001_＀＀_x0001_＀＀흁匈搨䀠摦畳㩰⼯楤敲瑣潩獮䘯呁嘠敩敷㽲捡楴湯唽䑐呁♅牣慥潴㵲慦瑣敳♴奄彎剁升吽啒♅佄彃䅎䕍䘽呁䘺䱑䅟䑕呉义彇䱃䕉呎呟䵅䱐呁⹅䅆♔楤灳慬役瑳楲杮䄽摵瑩嘦剁䬺奅儽䵂䕌䭆党♒䅖㩒啑剅㵙歒晚啒唵汕卂ㅘ䉚䙔䔹啑䵬南睧祎礸楎礸䑍硅䍌獷䍌湷䕒䵬祊癫啒䉎じ䘱啑昵啒䩊䕖䉒䑋睉呍獅䑍癣橍癙橍硁卍㵫圦义佄㵗䥆卒彔佐啐♐䕈䝉呈㐽〵圦䑉䡔㐽〵匦䅔呒䵟塁䵉婉䑅䘽䱁䕓嘦剁䌺䱁久䅄㵒䥆䕖䅄♙䅖㩒奓䉍䱏䈽䅅♖䅖㩒义䕄㵘0듥䷰N䕂噁䙞彆久剔剐噟䱁䑟䥁奌〨⼴㔱㈯㄰ⰱⰬⰬ䐢䱉⤢䔯䅃䵟䅅彎䅓䕌⡓〲〱〬⼴㔱㈯㄰⤱ƙ＀＀ ＀＀Ɓ＀＀_x0008_＀＀_x0001_＀＀_x0001_＀＀_x0001_＀＀퇒宑鄫䀃摦畳㩰⼯楤敲瑣潩獮䘯呁嘠敩敷㽲捡楴湯唽䑐呁♅牣慥潴㵲慦瑣敳♴奄彎剁升吽啒♅佄彃䅎䕍䘽呁䘺䱑䅟䑕呉义彇䱃䕉呎呟䵅䱐呁⹅䅆♔楤灳慬役瑳楲杮䄽摵瑩嘦剁䬺奅圽䕔卆䭎䝘♚䅖㩒啑剅㵙歒晚啒唵汕卂ㅘ䉚䙔䔹啑䵬南睧䍎砸华礸䑍硅䍌獷䍌湷䕒䵬祊癫啒䉎じ䘱啑昵さ䵆噒潍橍硁䍍睷䍎砸华礸䑍硅克㴽圦义佄㵗䥆卒彔佐啐♐䕈䝉呈㐽〵圦䑉䡔㐽〵匦䅔呒䵟塁䵉婉䑅䘽䱁䕓嘦剁䌺䱁久䅄㵒单嘦剁区䵙佂㵌䕂噁嘦剁䤺䑎塅〽찀ꎐ䶨 䕂噁䕞彃䕍乁偟⡅〲㈱〬⼱ㄱ㈯㄰⤱!＀＀ ＀＀	＀＀_x0008_＀＀_x0001_＀＀_x0001_＀＀_x0001_＀＀葕貛䌪䀯찀뿎䭠*䑇䍞彁佐呓䕒彔䅐呒䍟乏剔䉉ㄨ⼲〲㐰ⰬⰬ单⥄ ＀＀ ＀＀_x0008_＀＀_x0008_＀＀_x0001_＀＀_x0001_＀＀_x0001_＀＀＀＀＀＀＀＀＀＀ᦣ产O䕂噁䙞彆久剔剐噟䱁䑟䥁奌ㄨ⼰㔲㈯㄰ⰱⰬⰬ䐢䱉⤢䔯䅃䵟䅅彎䉅呉䅄㈨㄰ⰰ〱㈯⼵〲ㄱ착Ƣ＀＀ ＀＀Ɗ＀＀_x0008_＀＀_x0001_＀＀_x0001_＀＀_x0001_＀＀✹蓳껵䀩摦畳㩰⼯楤敲瑣潩獮䘯呁嘠敩敷㽲捡楴湯唽䑐呁♅牣慥潴㵲慦瑣敳♴奄彎剁升吽啒♅佄彃䅎䕍䘽呁䘺䱑䅟䑕呉义彇䱃䕉呎呟䵅䱐呁⹅䅆♔楤灳慬役瑳楲杮䄽摵瑩嘦剁䬺奅倽䙙塏䑑䉅♉䅖㩒啑剅㵙歒晚啒唵汕卂ㅘ䉚䙔䔹啑䵬南硧䍍礸华礸䑍硅䍌獷䍌湷䕒䵬祊杫祌䙂け晆啔䉖汔䘹歑啬䕒潅橍硁䍍硷䍍礸华礸䑍硅克㴽圦义佄㵗䥆卒彔佐啐♐䕈䝉呈㐽〵圦䑉䡔㐽〵匦䅔呒䵟塁䵉婉䑅䘽䱁䕓嘦剁䌺䱁久䅄㵒䥆䕖䅄♙䅖㩒奓䉍䱏䈽䅅♖䅖㩒义䕄㵘0뿎䭠E䑇䍞彁佐呓䕒彔佒⡁㈱㈯〰ⰴⰬ唬䑓䀩南䡟呌䍈剁彅塅彐佒⡁㈱㈯〰ⰴⰬ唬䑓착 ＀＀ ＀＀_x0008_＀＀_x0008_＀＀_x0001_＀＀_x0001_＀＀_x0001_＀＀＀＀＀＀＀＀쀺뿎䭠%䑇䍞彁䕐华䅟呓䥟呎乁⡇㈱㈯〰ⰶⰬ唬䑓착 ＀＀ ＀＀_x0008_＀＀_x0008_＀＀_x0001_＀＀_x0001_＀＀_x0001_＀＀豀碵꼝쐕㹯丯N䍐幐䙆䕟呎偒归䅖彌䅄䱉⡙㜰㈯⼶〲ㄱⰬⰬ∬䥄≌⼩䍅彁䕍乁䕟䥂䑔⡁〲ㄱ〬⼷㘲㈯㄰⤱Ɲ＀＀ ＀＀ƅ＀＀_x0008_＀＀_x0001_＀＀_x0001_＀＀_x0001_＀＀䧔窒䀦摦畳㩰⼯楤敲瑣潩獮䘯呁嘠敩敷㽲捡楴湯唽䑐呁♅牣慥潴㵲慦瑣敳♴奄彎剁升吽啒♅佄彃䅎䕍䘽呁䘺䱑䅟䑕呉义彇䱃䕉呎呟䵅䱐呁⹅䅆♔楤灳慬役瑳楲杮䄽摵瑩嘦剁䬺奅夽䝄䍆児䵌♎䅖㩒啑剅㵙歒晚啒唵汕卂ㅘ䉚䙔䔹啑䵬南睧祎礸楎礸䑍硅䍌獷䍌湷䕒䵬祊癫啒䉎じ䘱啑昵啒䩊䕖䉒䑋睉呍獅䑍癣橍癙橍硁卍㵫圦义佄㵗䥆卒彔佐啐♐䕈䝉呈㐽〵圦䑉䡔㐽〵匦䅔呒䵟塁䵉婉䑅䘽䱁䕓嘦剁䌺䱁久䅄㵒䥆䕖䅄♙䅖㩒奓䉍䱏倽偃嘦剁䤺䑎塅〽찀閶䴬N䕂噁䙞彆久剔剐噟䱁䑟䥁奌ㄨ⼰㜲㈯㄰ⰰⰬⰬ䐢䱉⤢䔯䅃䵟䅅彎䅓䕌⡓〲㈱ㄬ⼰㜲㈯㄰⤰ƙ＀＀ ＀＀Ɓ＀＀_x0008_＀＀_x0001_＀＀_x0001_＀＀_x0001_＀＀븣属㿺摦畳㩰⼯楤敲瑣潩獮䘯呁嘠敩敷㽲捡楴湯唽䑐呁♅牣慥潴㵲慦瑣敳♴奄彎剁升吽啒♅佄彃䅎䕍䘽呁䘺䱑䅟䑕呉义彇䱃䕉呎呟䵅䱐呁⹅䅆♔楤灳慬役瑳楲杮䄽摵瑩嘦剁䬺奅夽䍔䕊佊䝐♆䅖㩒啑剅㵙歒晚啒唵汕卂ㅘ䉚䙔䔹啑䵬南硧䍍礸祎礸䑍睅䍌獷䍌湷䕒䵬祊癫啒䉎じ䘱啑昵さ䵆噒潍橍硁楍硷䍍礸祎礸䑍睅克㴽圦义佄㵗䥆卒彔佐啐♐䕈䝉呈㐽〵圦䑉䡔㐽〵匦䅔呒䵟塁䵉婉䑅䘽䱁䕓嘦剁䌺䱁久䅄㵒单嘦剁区䵙佂㵌䕂噁嘦剁䤺䑎塅〽찀ꚡ丠_x001F_䍐幐䍅彁䕍乁䕟卐⬨ⰲ㜰ㄯ⼵〲ㄱ착!＀＀ ＀＀	＀＀_x0008_＀＀_x0001_＀＀_x0001_＀＀_x0001_＀＀_xFFFF_ﾬ顳䀣찀ᦨ产N䍐幐䙆䕟呎偒归䅖彌䅄䱉⡙〱㈯⼵〲ㄱⰬⰬ∬䥄≌⼩䍅彁䕍乁䕟䥂䑔⡁〲〱ㄬ⼰㔲㈯㄰⤱ơ＀＀ ＀＀Ɖ＀＀_x0008_＀＀_x0001_＀＀_x0001_＀＀_x0001_＀＀틦◳焉䀬摦畳㩰⼯楤敲瑣潩獮䘯呁嘠敩敷㽲捡楴湯唽䑐呁♅牣慥潴㵲慦瑣敳♴奄彎剁升吽啒♅佄彃䅎䕍䘽呁䘺䱑䅟䑕呉义彇䱃䕉呎呟䵅䱐呁⹅䅆♔楤灳慬役瑳楲杮䄽摵瑩嘦剁䬺奅嘽呉噕䙇塙♏䅖㩒啑剅㵙歒晚啒唵汕卂ㅘ䉚䙔䔹啑䵬南硧䍍礸华礸䑍硅䍌獷䍌湷䕒䵬祊杫祌䙂け晆啔䉖汔䘹歑啬䕒潅橍硁䍍硷䍍礸华礸䑍硅克㴽圦义佄㵗䥆卒彔佐啐♐䕈䝉呈㐽〵圦䑉䡔㐽〵匦䅔呒䵟塁䵉婉䑅䘽䱁䕓嘦剁䌺䱁久䅄㵒䥆䕖䅄♙䅖㩒奓䉍䱏倽偃嘦剁䤺䑎塅〽찀㹲丯Q䝍呇䰭乏䙞彆久剔剐噟䱁䑟䥁奌〨⼷㘲㈯㄰ⰱⰬⰬ䐢䱉⤢䔯䅃䵟䅅彎䉅呉㈨㄰ⰲ㜰㈯⼶〲ㄱ착Ɯ＀＀ ＀＀Ƅ＀＀_x0008_＀＀_x0001_＀＀_x0001_＀＀_x0001_＀＀ϸᐗ徆䀡摦畳㩰⼯楤敲瑣潩獮䘯呁嘠敩敷㽲捡楴湯唽䑐呁♅牣慥潴㵲慦瑣敳♴奄彎剁升吽啒♅佄彃䅎䕍䘽呁䘺䱑䅟䑕呉义彇䱃䕉呎呟䵅䱐呁⹅䅆♔楤灳慬役瑳楲杮䄽摵瑩嘦剁䬺奅䔽兔䍐䵒奊♚䅖㩒啑剅㵙歒晚啒唵汕卂ㅘ䉚䙔䔹啑䵬南睧祎礸楎礸䑍硅䍌獷䍌湷䕒䵬祊癫啒䉎じ䘱啑昵啒䩊䍖祧䑍祅䑌㍁穌㉉穌睉呍灅圦义佄㵗䥆卒彔佐啐♐䕈䝉呈㐽〵圦䑉䡔㐽〵匦䅔呒䵟塁䵉婉䑅䘽䱁䕓嘦剁䌺䱁久䅄㵒䥆䕖䅄♙䅖㩒奓䉍䱏〽㜵㠵☰䅖㩒义䕄㵘0뿎䭠I䑇䍞彁佐呓䕒彔佒彁䍁⡔㈱㈯〰ⰴⰬ唬䑓䀩南䡟呌䍈剁彅䍁彔佒⡁㈱㈯〰ⰴⰬ唬䑓착 ＀＀ ＀＀_x0008_＀＀_x0008_＀＀_x0001_＀＀_x0001_＀＀_x0001_＀＀＀＀＀＀耀䁂뿎䭠I䑇䍞彁䕐华䑟卉彃䅒䕔ㄨ⼲〲㘰ⰬⰬ单⥄址当䕐华佉彎䥄䍓剟呁⡅㈱㈯〰ⰶⰬ唬䑓착 ＀＀ ＀＀_x0008_＀＀_x0008_＀＀_x0001_＀＀_x0001_＀＀_x0001_＀</t>
        </r>
      </text>
    </comment>
    <comment ref="A3" authorId="0">
      <text>
        <r>
          <rPr>
            <b/>
            <sz val="8"/>
            <color indexed="81"/>
            <rFont val="Tahoma"/>
            <family val="2"/>
          </rPr>
          <t>＀쳍쳌쳌䀓뿎䭠H䑇䍞彁䕐华卟噒䍟协⡔㈱㈯〰ⰵⰬ唬䑓䀩南偟久䥓乏卟剅彖佃呓ㄨ⼲〲㔰ⰬⰬ单⥄ ＀＀ ＀＀_x0008_＀＀_x0008_＀＀_x0001_＀＀_x0001_＀＀_x0001_＀＀＀＀＀＀耀䁭뿍䭠_x001F_䑇坞当塅䡃剟呁彅义彃䙃ㄨ⼲〲㈰착 ＀＀ ＀＀_x0008_＀＀_x0008_＀＀_x0001_＀＀_x0001_＀＀_x0001_＀＀豀碵꼝쐕熄䯌Q䝍呇䰭乏䙞彆久剔剐噟䱁䑟䥁奌〨⼴㤱㈯㄰ⰰⰬⰬ䐢䱉⤢䔯䅃䵟䅅彎䉅呉㈨㄰ⰰ㐰ㄯ⼹〲〱착Ɯ＀＀ ＀＀Ƅ＀＀_x0008_＀＀_x0001_＀＀_x0001_＀＀_x0001_＀＀燓㴮偡䀣摦畳㩰⼯楤敲瑣潩獮䘯呁嘠敩敷㽲捡楴湯唽䑐呁♅牣慥潴㵲慦瑣敳♴奄彎剁升吽啒♅佄彃䅎䕍䘽呁䘺䱑䅟䑕呉义彇䱃䕉呎呟䵅䱐呁⹅䅆♔楤灳慬役瑳楲杮䄽摵瑩嘦剁䬺奅䴽兆啊䅘啎♈䅖㩒啑剅㵙歒晚啒唵汕卂ㅘ䉚䙔䔹啑䵬南睧䍎砸协礸䑍睅䍌獷䍌湷䕒䵬祊癫啒䉎じ䘱啑昵啒䩊䍖祧䑍睅䑌ぁ穌㕅穌睉呍灁圦义佄㵗䥆卒彔佐啐♐䕈䝉呈㐽〵圦䑉䡔㐽〵匦䅔呒䵟塁䵉婉䑅䘽䱁䕓嘦剁䌺䱁久䅄㵒䥆䕖䅄♙䅖㩒奓䉍䱏〽㜵㠵☰䅖㩒义䕄㵘0듬䷰Q䝍呇䰭乏䙞彆久剔剐噟䱁䑟䥁奌〨⼴㔱㈯㄰ⰱⰬⰬ䐢䱉⤢䔯䅃䵟䅅彎䉅呉㈨㄰ⰲ㐰ㄯ⼵〲ㄱ착Ɨ＀＀ ＀＀ſ＀＀_x0008_＀＀_x0001_＀＀_x0001_＀＀_x0001_＀＀᱓ꡡᱩ䀟摦畳㩰⼯楤敲瑣潩獮䘯呁嘠敩敷㽲捡楴湯唽䑐呁♅牣慥潴㵲慦瑣敳♴奄彎剁升吽啒♅佄彃䅎䕍䘽呁䘺䱑䅟䑕呉义彇䱃䕉呎呟䵅䱐呁⹅䅆♔楤灳慬役瑳楲杮䄽摵瑩嘦剁䬺奅䔽䅒坆䍄商♘䅖㩒啑剅㵙歒晚啒唵汕卂ㅘ䉚䙔䔹啑䵬南睧䍎砸华礸䑍硅䍌獷䍌湷䕒䵬祊癫啒䉎じ䘱啑昵啒䩊䍖祧䑍祅䑌ぁ穌ㅅ穌睉呍灅圦义佄㵗䥆卒彔佐啐♐䕈䝉呈㐽〵圦䑉䡔㐽〵匦䅔呒䵟塁䵉婉䑅䘽䱁䕓嘦剁䌺䱁久䅄㵒单嘦剁区䵙佂㵌㔰㔷〸嘦剁䤺䑎塅〽찀듫䷰S䝍呇䰭乏䙞彆久剔剐噟䱁䑟䥁奌〨⼴㔱㈯㄰ⰱⰬⰬ䐢䱉⤢䔯䅃䵟䅅彎䉅呉䅄㈨㄰ⰲ㐰ㄯ⼵〲ㄱ착ƛ＀＀ ＀＀ƃ＀＀_x0008_＀＀_x0001_＀＀_x0001_＀＀_x0001_＀＀껦㓪Ƙ䀚摦畳㩰⼯楤敲瑣潩獮䘯呁嘠敩敷㽲捡楴湯唽䑐呁♅牣慥潴㵲慦瑣敳♴奄彎剁升吽啒♅佄彃䅎䕍䘽呁䘺䱑䅟䑕呉义彇䱃䕉呎呟䵅䱐呁⹅䅆♔楤灳慬役瑳楲杮䄽摵瑩嘦剁䬺奅䄽䍖䭔兄半♒䅖㩒啑剅㵙歒晚啒唵汕卂ㅘ䉚䙔䔹啑䵬南睧䍎砸华礸䑍硅䍌獷䍌湷䕒䵬祊癫啒䉎じ䘱啑昵啒䩊䕖䉒䑋睉呍獉䑍癑呍癕橍硁卍㵫圦义佄㵗䥆卒彔佐啐♐䕈䝉呈㐽〵圦䑉䡔㐽〵匦䅔呒䵟塁䵉婉䑅䘽䱁䕓嘦剁䌺䱁久䅄㵒单嘦剁区䵙佂㵌㔰㔷〸嘦剁䤺䑎塅〽찀閹䴬_x001F_䍐幐䍅䵟䅅彎䕐㈨㄰ⰱ〱㈯⼷〲〱착!＀＀ ＀＀	＀＀_x0008_＀＀_x0001_＀＀_x0001_＀＀_x0001_＀＀䥒肝Ȧ䀰찀ᦟ产_x0019_䑇灞灟楲散江睯㕟圲㌨㜸㜱착!＀＀ ＀＀	＀＀_x0008_＀＀_x0001_＀＀_x0001_＀＀_x0001_＀＀⣶轜旂䁈찀ᦡ产 䕂噁䕞彃䕍乁偟⡅〲ㄱㄬ⼰㔲㈯㄰⤱!＀＀ ＀＀	＀＀_x0008_＀＀_x0001_＀＀_x0001_＀＀_x0001_＀＀ἢ泴앖䀰찀뿎䭠&amp;䑇坞当䕐彎佐呓剟呅䉟久ㄨ⼲〲㈰ⰬⰬ单⥄ ＀＀ ＀＀_x0008_＀＀_x0008_＀＀_x0001_＀＀_x0001_＀＀_x0001_＀＀＀＀＀＀䁵듮䷰_x001E_䑇䕞䅃䵟䅅彎偅⡓ㄫ〬⼶㤰㈯㄰⤱!＀＀ ＀＀	＀＀_x0008_＀＀_x0001_＀＀_x0001_＀＀_x0001_＀＀ɠ秦䀜찀뿎䭠)䑇坞当䱈䡔䅃䕒䕟偘䱟彔佒⡁㈱㈯〰ⰳⰬ唬䑓착 ＀＀ ＀＀_x0008_＀＀_x0008_＀＀_x0001_＀＀_x0001_＀＀_x0001_＀＀＀＀＀＀＀＀䀜뿎䭠L䑇䍞彁䕐华偟䥒剏卟噒ㄨ⼲〲㔰ⰬⰬ单⥄址当䕐华佉彎剐卟剅彖佃呓ㄨ⼲〲㔰ⰬⰬ单⥄ ＀＀ ＀＀_x0008_＀＀_x0008_＀＀_x0001_＀＀_x0001_＀＀_x0001_＀＀＀＀＀＀＀＀쀀熁䯌M佃幌䙆䕟呎偒归䅖彌䅄䱉⡙㐰ㄯ⼹〲〱ⰬⰬ∬䥄≌⼩䍅彁䕍乁卟䱁卅㈨㄰ⰲ㐰ㄯ⼹〲〱착Ɲ＀＀ ＀＀ƅ＀＀_x0008_＀＀_x0001_＀＀_x0001_＀＀_x0001_＀＀孱᠅믹㿿摦畳㩰⼯楤敲瑣潩獮䘯呁嘠敩敷㽲捡楴湯唽䑐呁♅牣慥潴㵲慦瑣敳♴奄彎剁升吽啒♅佄彃䅎䕍䘽呁䘺䱑䅟䑕呉义彇䱃䕉呎呟䵅䱐呁⹅䅆♔楤灳慬役瑳楲杮䄽摵瑩嘦剁䬺奅䔽兄坘党坒♘䅖㩒啑剅㵙歒晚啒唵汕卂ㅘ䉚䙔䔹啑䵬南睧䍎砸协礸䑍睅䍌獷䍌湷䕒䵬祊癫啒䉎じ䘱啑昵さ䵆噒潍橍硁楍睷䍎砸协礸䑍睅克㴽圦义佄㵗䥆卒彔佐啐♐䕈䝉呈㐽〵圦䑉䡔㐽〵匦䅔呒䵟塁䵉婉䑅䘽䱁䕓嘦剁䌺䱁久䅄㵒䥆䕖䅄♙䅖㩒奓䉍䱏䌽䱏嘦剁䤺䑎塅〽찀ꚟ丠L佃幌䙆䕟呎偒归䅖彌䅄䱉⡙㜰ㄯ⼵〲ㄱⰬⰬ∬䥄≌⼩䍅彁䕍乁䕟䥂⡔〲〱〬⼷㔱㈯㄰⤱ƙ＀＀ ＀＀Ɓ＀＀_x0008_＀＀_x0001_＀＀_x0001_＀＀_x0001_＀＀⫼솁臬䀦摦畳㩰⼯楤敲瑣潩獮䘯呁嘠敩敷㽲捡楴湯唽䑐呁♅牣慥潴㵲慦瑣敳♴奄彎剁升吽啒♅佄彃䅎䕍䘽呁䘺䱑䅟䑕呉义彇䱃䕉呎呟䵅䱐呁⹅䅆♔楤灳慬役瑳楲杮䄽摵瑩嘦剁䬺奅䰽义䑉乕呉♃䅖㩒啑剅㵙歒晚啒唵汕卂ㅘ䉚䙔䔹啑䵬南睧祎砸华礸䑍硅䍌獷䍌湷䕒䵬祊癫啒䉎じ䘱啑昵啒䩊䍖祧䑍睅䑌㍁穌ㅅ穌睉呍灅圦义佄㵗䥆卒彔佐啐♐䕈䝉呈㐽〵圦䑉䡔㐽〵匦䅔呒䵟塁䵉婉䑅䘽䱁䕓嘦剁䌺䱁久䅄㵒䥆䕖䅄♙䅖㩒奓䉍䱏䌽䱏嘦剁䤺䑎塅〽찀㹭丯!位⹇幁䍅䵟䅅彎䕐㈨㄰ⰲ㜰㈯⼶〲ㄱ착!＀＀ ＀＀	＀＀_x0008_＀＀_x0001_＀＀_x0001_＀＀_x0001_＀＀﷣ﶸ秲䀪찀뿎䭠G䑇䍞彁䕐华䥟呎䍟协⡔㈱㈯〰ⰵⰬ唬䑓䀩南偟久䥓乏䥟呎䍟协⡔㈱㈯〰ⰵⰬ唬䑓착 ＀＀ ＀＀_x0008_＀＀_x0008_＀＀_x0001_＀＀_x0001_＀＀_x0001_＀＀＀＀＀＀䁸熀䯌 䕂噁䕞䅃䵟䅅彎偅⡓㈫〬⼴㤱㈯㄰⤰!＀＀ ＀＀	＀＀_x0008_＀＀_x0001_＀＀_x0001_＀＀_x0001_＀＀_xDD7E_컩켓㿽찀ꎝ䶨 䑇䕞䅃䵟䅅彎䉅呉⡄㌫〬⼴㔱㈯㄰⤱!＀＀ ＀＀	＀＀_x0008_＀＀_x0001_＀＀_x0001_＀＀_x0001_＀＀ꧼ틱渍䂳찀뿎䭠"䑇䍞彁佐呓䕒彔䥌䉁ㄨ⼲〲㔰ⰬⰬ单⥄ ＀＀ ＀＀_x0008_＀＀_x0008_＀＀_x0001_＀＀_x0001_＀＀_x0001_＀＀＀＀＀＀堀삂뿎䭠L䑇䍞彁䕐华偟䥒剏卟噒ㄨ⼲〲㘰ⰬⰬ单⥄址当䕐华佉彎剐卟剅彖佃呓ㄨ⼲〲㘰ⰬⰬ单⥄ ＀＀ ＀＀_x0008_＀＀_x0008_＀＀_x0001_＀＀_x0001_＀＀_x0001_＀＀＀＀＀＀＀＀쀦᥋产6䑇䙞彅卅䥔䅍䕔✨呐❉✬䕍乁Ⱗ儧䅕呒剅奌Ⱗ⬧✱丬坏Ⱜ✬⤧!＀＀ ＀＀	＀＀_x0008_＀＀_x0001_＀＀_x0001_＀＀_x0001_＀＀ɶ࢚萛䂍찀ꎒ䶨_x001F_佃幌䍅䵟䅅彎䕐㈨㄰ⰱ㄰ㄯ⼱〲ㄱ착!＀＀ ＀＀	＀＀_x0008_＀＀_x0001_＀＀_x0001_＀＀_x0001_＀＀ꑲ〳狲䀮찀뿎䭠.䑇坞当䱈䡔䅃䕒䅟位呒卟剅彖佃呓ㄨ⼲〲㌰ⰬⰬ单⥄ ＀＀ ＀＀_x0008_＀＀_x0008_＀＀_x0001_＀＀_x0001_＀＀_x0001_＀＀＀＀＀＀＀＀䀀뿎䭠'䑇坞当䕐华佉彎十䕓協䱟⡔㈱㈯〰ⰵⰬ唬䑓착 ＀＀ ＀＀_x0008_＀＀_x0008_＀＀_x0001_＀＀_x0001_＀＀_x0001_＀＀豀碵꼝쐕뿍䭠:䑇坞当䕐华佉彎十䕓協䕟啑⡉㈱㈯〰⤵䍀彁䕐华偟呃䕟⡑㈱㈯〰⤵ ＀＀ ＀＀_x0008_＀＀_x0008_＀＀_x0001_＀＀_x0001_＀＀_x0001_＀＀＀＀＀＀䀀䁘ѓ䱒_x0016_䑇䙞彇剐䍉Ņ㜠㈯⼹〲〱!＀＀ ＀＀	＀＀_x0008_＀＀_x0001_＀＀_x0001_＀＀_x0001_＀＀਽ꏗ_xDD70_䁎찀듧䷰N佃幌䙆䕟呎偒归䅖彌䅄䱉⡙㐰ㄯ⼵〲ㄱⰬⰬ∬䥄≌⼩䍅彁䕍乁䕟䥂䑔⡁〲〱〬⼴㔱㈯㄰⤱Ƙ＀＀ ＀＀ƀ＀＀_x0008_＀＀_x0001_＀＀_x0001_＀＀_x0001_＀＀좭ۣ䀥摦畳㩰⼯楤敲瑣潩獮䘯呁嘠敩敷㽲捡楴湯唽䑐呁♅牣慥潴㵲慦瑣敳♴奄彎剁升吽啒♅佄彃䅎䕍䘽呁䘺䱑䅟䑕呉义彇䱃䕉呎呟䵅䱐呁⹅䅆♔楤灳慬役瑳楲杮䄽摵瑩嘦剁䬺奅伽奆䵔䭊卌♎䅖㩒啑剅㵙歒晚啒唵汕卂ㅘ䉚䙔䔹啑䵬南睧䍎砸华礸䑍硅䍌獷䍌湷䕒䵬祊癫啒䉎じ䘱啑昵啒䩊䕖䉒䑋睉呍獁䑍癑呍癕橍硁卍㵫圦义佄㵗䥆卒彔佐啐♐䕈䝉呈㐽〵圦䑉䡔㐽〵匦䅔呒䵟塁䵉婉䑅䘽䱁䕓嘦剁䌺䱁久䅄㵒单嘦剁区䵙佂㵌佃♌䅖㩒义䕄㵘0ꚝ丠O䕂噁䙞彆久剔剐噟䱁䑟䥁奌〨⼷㔱㈯㄰ⰱⰬⰬ䐢䱉⤢䔯䅃䵟䅅彎䉅呉䅄㈨㄰ⰲ㜰ㄯ⼵〲ㄱ착ƞ＀＀ ＀＀Ɔ＀＀_x0008_＀＀_x0001_＀＀_x0001_＀＀_x0001_＀＀_xDF64_径訙䀢摦畳㩰⼯楤敲瑣潩獮䘯呁嘠敩敷㽲捡楴湯唽䑐呁♅牣慥潴㵲慦瑣敳♴奄彎剁升吽啒♅佄彃䅎䕍䘽呁䘺䱑䅟䑕呉义彇䱃䕉呎呟䵅䱐呁⹅䅆♔楤灳慬役瑳楲杮䄽摵瑩嘦剁䬺奅䘽呍乍䡅䙃♉䅖㩒啑剅㵙歒晚啒唵汕卂ㅘ䉚䙔䔹啑䵬南睧祎砸华礸䑍硅䍌獷䍌湷䕒䵬祊癫啒䉎じ䘱啑昵啒䩊䕖䉒䑋睉呍獉䑍癣呍癕橍硁卍㵫圦义佄㵗䥆卒彔佐啐♐䕈䝉呈㐽〵圦䑉䡔㐽〵匦䅔呒䵟塁䵉婉䑅䘽䱁䕓嘦剁䌺䱁久䅄㵒䥆䕖䅄♙䅖㩒奓䉍䱏䈽䅅♖䅖㩒义䕄㵘0ᦪ产Q䝍呇䰭乏䙞彆久剔剐噟䱁䑟䥁奌ㄨ⼰㔲㈯㄰ⰱⰬⰬ䐢䱉⤢䔯䅃䵟䅅彎䉅呉㈨㄰ⰰ〱㈯⼵〲ㄱ착Ơ＀＀ ＀＀ƈ＀＀_x0008_＀＀_x0001_＀＀_x0001_＀＀_x0001_＀＀Ọ샛蕻䀩摦畳㩰⼯楤敲瑣潩獮䘯呁嘠敩敷㽲捡楴湯唽䑐呁♅牣慥潴㵲慦瑣敳♴奄彎剁升吽啒♅佄彃䅎䕍䘽呁䘺䱑䅟䑕呉义彇䱃䕉呎呟䵅䱐呁⹅䅆♔楤灳慬役瑳楲杮䄽摵瑩嘦剁䬺奅䰽䙉乑乑婁♋䅖㩒啑剅㵙歒晚啒唵汕卂ㅘ䉚䙔䔹啑䵬南硧䍍礸华礸䑍硅䍌獷䍌湷䕒䵬祊杫祌䙂け晆啔䉖汔䘹歑啬䑋睉呍獁呍癁橍癕橍硁卍㵫圦义佄㵗䥆卒彔佐啐♐䕈䝉呈㐽〵圦䑉䡔㐽〵匦䅔呒䵟塁䵉婉䑅䘽䱁䕓嘦剁䌺䱁久䅄㵒䥆䕖䅄♙䅖㩒奓䉍䱏〽㜵㠵☰䅖㩒义䕄㵘0᥋产8䑇䙞彅卅䥔䅍䕔✨䅓䕌❓✬䕍乁Ⱗ儧䅕呒剅奌Ⱗ⬧✱丬坏Ⱜ✬⤧!＀＀ ＀＀	＀＀_x0008_＀＀_x0001_＀＀_x0001_＀＀_x0001_＀＀＀＀＀＀䥀䃀찀ꚢ丠N䍐幐䙆䕟呎偒归䅖彌䅄䱉⡙㜰ㄯ⼵〲ㄱⰬⰬ∬䥄≌⼩䍅彁䕍乁䕟䥂䑔⡁〲㈱〬⼷㔱㈯㄰⤱Ɲ＀＀ ＀＀ƅ＀＀_x0008_＀＀_x0001_＀＀_x0001_＀＀_x0001_＀＀왁ᙫ㘿䀣摦畳㩰⼯楤敲瑣潩獮䘯呁嘠敩敷㽲捡楴湯唽䑐呁♅牣慥潴㵲慦瑣敳♴奄彎剁升吽啒♅佄彃䅎䕍䘽呁䘺䱑䅟䑕呉义彇䱃䕉呎呟䵅䱐呁⹅䅆♔楤灳慬役瑳楲杮䄽摵瑩嘦剁䬺奅䈽䩉䑕偗乁♉䅖㩒啑剅㵙歒晚啒唵汕卂ㅘ䉚䙔䔹啑䵬南睧祎砸华礸䑍硅䍌獷䍌湷䕒䵬祊癫啒䉎じ䘱啑昵啒䩊䕖䉒䑋睉呍獉䑍癣呍癕橍硁卍㵫圦义佄㵗䥆卒彔佐啐♐䕈䝉呈㐽〵圦䑉䡔㐽〵匦䅔呒䵟塁䵉婉䑅䘽䱁䕓嘦剁䌺䱁久䅄㵒䥆䕖䅄♙䅖㩒奓䉍䱏倽偃嘦剁䤺䑎塅〽찀ᦥ产_x001F_佃幌䍅䵟䅅彎䕐㈨㄰ⰰ〱㈯⼵〲ㄱ착!＀＀ ＀＀	＀＀_x0008_＀＀_x0001_＀＀_x0001_＀＀_x0001_＀＀䯨罯ਮ䀯찀閶䴬O䕂噁䙞彆久剔剐噟䱁䑟䥁奌ㄨ⼰㜲㈯㄰ⰰⰬⰬ䐢䱉⤢䔯䅃䵟䅅彎䉅呉䅄㈨㄰ⰲ〱㈯⼷〲〱착ƙ＀＀ ＀＀Ɓ＀＀_x0008_＀＀_x0001_＀＀_x0001_＀＀_x0001_＀＀謙䀠摦畳㩰⼯楤敲瑣潩獮䘯呁嘠敩敷㽲捡楴湯唽䑐呁♅牣慥潴㵲慦瑣敳♴奄彎剁升吽啒♅佄彃䅎䕍䘽呁䘺䱑䅟䑕呉义彇䱃䕉呎呟䵅䱐呁⹅䅆♔楤灳慬役瑳楲杮䄽摵瑩嘦剁䬺奅匽䭖兄兌奌♈䅖㩒啑剅㵙歒晚啒唵汕卂ㅘ䉚䙔䔹啑䵬南硧䍍礸祎礸䑍睅䍌獷䍌湷䕒䵬祊癫啒䉎じ䘱啑昵啒䩊䕖䉒䑋睉呍獉呍癁橍癣橍硁䍍㵫圦义佄㵗䥆卒彔佐啐♐䕈䝉呈㐽〵圦䑉䡔㐽〵匦䅔呒䵟塁䵉婉䑅䘽䱁䕓嘦剁䌺䱁久䅄㵒单嘦剁区䵙佂㵌䕂噁嘦剁䤺䑎塅〽찀ꚡ丠O位⹇幁䙆䕟呎偒归䅖彌䅄䱉⡙㜰ㄯ⼵〲ㄱⰬⰬ∬䥄≌⼩䍅彁䕍乁卟䱁卅㈨㄰ⰱ㜰ㄯ⼵〲ㄱ착Ɵ＀＀ ＀＀Ƈ＀＀_x0008_＀＀_x0001_＀＀_x0001_＀＀_x0001_＀＀ၲ螮ℬ㿲摦畳㩰⼯楤敲瑣潩獮䘯呁嘠敩敷㽲捡楴湯唽䑐呁♅牣慥潴㵲慦瑣敳♴奄彎剁升吽啒♅佄彃䅎䕍䘽呁䘺䱑䅟䑕呉义彇䱃䕉呎呟䵅䱐呁⹅䅆♔楤灳慬役瑳楲杮䄽摵瑩嘦剁䬺奅䈽䡋塓婅剑♉䅖㩒啑剅㵙歒晚啒唵汕卂ㅘ䉚䙔䔹啑䵬南睧祎砸华礸䑍硅䍌獷䍌湷䕒䵬祊癫啒䉎じ䘱啑昵さ䵆噒潍橍硁卍睷祎砸华礸䑍硅克㴽圦义佄㵗䥆卒彔佐啐♐䕈䝉呈㐽〵圦䑉䡔㐽〵匦䅔呒䵟塁䵉婉䑅䘽䱁䕓嘦剁䌺䱁久䅄㵒䥆䕖䅄♙䅖㩒奓䉍䱏䴽䝏䄮嘦剁䤺䑎塅〽찀듧䷰!位⹇幁䍅䵟䅅彎䕐㈨㄰ⰰ㐰ㄯ⼵〲ㄱ착!＀＀ ＀＀	＀＀_x0008_＀＀_x0001_＀＀_x0001_＀＀_x0001_＀＀嘅ⴎ喲䀲찀䵀_x001A_䑇䙞彇䕍乁䕟卐䙟㕑〨Ⱜ㤬⤰!＀＀ ＀＀	＀＀_x0008_＀＀_x0001_＀＀_x0001_＀＀_x0001_＀＀豀碵꼝쐕찀ꚡ丠_x001F_䍐幐䍅䵟䅅彎䕐㈨㄰ⰱ㜰ㄯ⼵〲ㄱ착!＀＀ ＀＀	＀＀_x0008_＀＀_x0001_＀＀_x0001_＀＀_x0001_＀＀켘ꆠ䀲찀㹮丯_x001F_䍐幐䍅䵟䅅彎䕐㈨㄰ⰱ㜰㈯⼶〲ㄱ착!＀＀ ＀＀	＀＀_x0008_＀＀_x0001_＀＀_x0001_＀＀_x0001_＀＀藱哉죁䀲찀閺䴬N䍐幐䙆䕟呎偒归䅖彌䅄䱉⡙〱㈯⼷〲〱ⰬⰬ∬䥄≌⼩䍅彁䕍乁䕟䥂䑔⡁〲㈱ㄬ⼰㜲㈯㄰⤰Ƙ＀＀ ＀＀ƀ＀＀_x0008_＀＀_x0001_＀＀_x0001_＀＀_x0001_＀＀㟝絸ᜢ䀡摦畳㩰⼯楤敲瑣潩獮䘯呁嘠敩敷㽲捡楴湯唽䑐呁♅牣慥潴㵲慦瑣敳♴奄彎剁升吽啒♅佄彃䅎䕍䘽呁䘺䱑䅟䑕呉义彇䱃䕉呎呟䵅䱐呁⹅䅆♔楤灳慬役瑳楲杮䄽摵瑩嘦剁䬺奅䬽䍎啎兌䕄♈䅖㩒啑剅㵙歒晚啒唵汕卂ㅘ䉚䙔䔹啑䵬南硧䍍礸祎礸䑍睅䍌獷䍌湷䕒䵬祊癫啒䉎じ䘱啑昵啒䩊䕖䉒䑋睉呍獉呍癁橍癣橍硁䍍㵫圦义佄㵗䥆卒彔佐啐♐䕈䝉呈㐽〵圦䑉䡔㐽〵匦䅔呒䵟塁䵉婉䑅䘽䱁䕓嘦剁䌺䱁久䅄㵒单嘦剁区䵙佂㵌䍐♐䅖㩒义䕄㵘0뿎䭠(䑇坞当䱈䡔䅃䕒䑟卉彃䅒䕔ㄨ⼲〲㘰ⰬⰬ单⥄ ＀＀ ＀＀_x0008_＀＀_x0008_＀＀_x0001_＀＀_x0001_＀＀_x0001_＀＀슏⣵轜䀗뿎䭠,䑇䍞彁佐呓䕒彔剕呟归䉏䅟位呒ㄨ⼲〲㈰ⰬⰬ单⥄ ＀＀ ＀＀_x0008_＀＀_x0008_＀＀_x0001_＀＀_x0001_＀＀_x0001_＀＀＀＀＀＀＀＀䀦閵䴬 䕂噁䕞彃䕍乁偟⡅〲ㄱㄬ⼰㜲㈯㄰⤰!＀＀ ＀＀	＀＀_x0008_＀＀_x0001_＀＀_x0001_＀＀_x0001_＀＀匦ꌅ朗䀲찀ꬭ䶨_x001B_低幃䍅彁䕍乁䕟卐䍟䱁⡁〲〱착!＀＀ ＀＀	＀＀_x0008_＀＀_x0001_＀＀_x0001_＀＀_x0001_＀＀긕ᑺ䀛찀ꚢ丠M䍐幐䙆䕟呎偒归䅖彌䅄䱉⡙㜰ㄯ⼵〲ㄱⰬⰬ∬䥄≌⼩䍅彁䕍乁卟䱁卅㈨㄰ⰰ㜰ㄯ⼵〲ㄱ착Ɲ＀＀ ＀＀ƅ＀＀_x0008_＀＀_x0001_＀＀_x0001_＀＀_x0001_＀＀朹됬䀌摦畳㩰⼯楤敲瑣潩獮䘯呁嘠敩敷㽲捡楴湯唽䑐呁♅牣慥潴㵲慦瑣敳♴奄彎剁升吽啒♅佄彃䅎䕍䘽呁䘺䱑䅟䑕呉义彇䱃䕉呎呟䵅䱐呁⹅䅆♔楤灳慬役瑳楲杮䄽摵瑩嘦剁䬺奅娽䑗䱙乇婏♓䅖㩒啑剅㵙歒晚啒唵汕卂ㅘ䉚䙔䔹啑䵬南睧祎砸华礸䑍硅䍌獷䍌湷䕒䵬祊癫啒䉎じ䘱啑昵さ䵆噒潍橍硁䍍睷祎砸华礸䑍硅克㴽圦义佄㵗䥆卒彔佐啐♐䕈䝉呈㐽〵圦䑉䡔㐽〵匦䅔呒䵟塁䵉婉䑅䘽䱁䕓嘦剁䌺䱁久䅄㵒䥆䕖䅄♙䅖㩒奓䉍䱏倽偃嘦剁䤺䑎塅〽찀뿎䭠D䑇䍞彁佐呓䕒彔䕂彎䉏ㄨ⼲〲㄰ⰬⰬ单⥄址当䱈䡔䅃䕒偟佂ㄨ⼲〲㄰ⰬⰬ单⥄ ＀＀ ＀＀_x0008_＀＀_x0008_＀＀_x0001_＀＀_x0001_＀＀_x0001_＀＀豀碵꼝쐕㹬丯L佃幌䙆䕟呎偒归䅖彌䅄䱉⡙㜰㈯⼶〲ㄱⰬⰬ∬䥄≌⼩䍅彁䕍乁䕟䥂⡔〲〱〬⼷㘲㈯㄰⤱ƙ＀＀ ＀＀Ɓ＀＀_x0008_＀＀_x0001_＀＀_x0001_＀＀_x0001_＀＀鶪_xDA18_쯞䀥摦畳㩰⼯楤敲瑣潩獮䘯呁嘠敩敷㽲捡楴湯唽䑐呁♅牣慥潴㵲慦瑣敳♴奄彎剁升吽啒♅佄彃䅎䕍䘽呁䘺䱑䅟䑕呉义彇䱃䕉呎呟䵅䱐呁⹅䅆♔楤灳慬役瑳楲杮䄽摵瑩嘦剁䬺奅儽䵖䭆兘奆♔䅖㩒啑剅㵙歒晚啒唵汕卂ㅘ䉚䙔䔹啑䵬南睧祎礸楎礸䑍硅䍌獷䍌湷䕒䵬祊癫啒䉎じ䘱啑昵啒䩊䍖祧䑍睅䑌㍁穌㉉穌睉呍灅圦义佄㵗䥆卒彔佐啐♐䕈䝉呈㐽〵圦䑉䡔㐽〵匦䅔呒䵟塁䵉婉䑅䘽䱁䕓嘦剁䌺䱁久䅄㵒䥆䕖䅄♙䅖㩒奓䉍䱏䌽䱏嘦剁䤺䑎塅〽찀뿎䭠O䑇䍞彁佐呓䕒彔䱐乁䅟呓䕟䑎ㄨ⼲〲㈰ⰬⰬ单⥄址当䱈䡔䅃䕒䙟彖十䕓⡔㈱㈯〰ⰲⰬ唬䑓착 ＀＀ ＀＀_x0008_＀＀_x0008_＀＀_x0001_＀＀_x0001_＀＀_x0001_＀＀＀＀＀＀瀀䁲뿎䭠#䑇䍞彁䕐华䱟彔䥌䉁⡓㈱㈯〰ⰷⰬ唬䑓착 ＀＀ ＀＀_x0008_＀＀_x0008_＀＀_x0001_＀＀_x0001_＀＀_x0001_＀＀＀＀＀＀䀀䁞ᦩ产$䝍呇䰭乏䕞䅃䵟䅅彎偅⡓㈫ㄬ⼰㔲㈯㄰⤱!＀＀ ＀＀	＀＀_x0008_＀＀_x0001_＀＀_x0001_＀＀_x0001_＀＀悰揑婊㿖찀ᦟ产_x001A_䑇灞灟楲散桟杩彨㈵⡗㤳ㄸ⤳!＀＀ ＀＀	＀＀_x0008_＀＀_x0001_＀＀_x0001_＀＀_x0001_＀＀Ẹ졑䁗찀閸䴬!位⹇幁䍅䵟䅅彎䕐㈨㄰ⰲ〱㈯⼷〲〱착!＀＀ ＀＀	＀＀_x0008_＀＀_x0001_＀＀_x0001_＀＀_x0001_＀＀쏒铤䀧찀ꬭ䶨_x001B_呒幎䍅彁䕍乁䕟卐䍟䱁⡁〲〱착!＀＀ ＀＀	＀＀_x0008_＀＀_x0001_＀＀_x0001_＀＀_x0001_＀＀尩슏⣵䀓찀ꚨ丠_x001E_䑇䕞彃䕍彄剐䍉彅䝔Ŕ㜰ㄯ⼵〲ㄱ!＀＀ ＀＀	＀＀_x0008_＀＀_x0001_＀＀_x0001_＀＀_x0001_＀＀＀＀＀＀怀䁕찀ꎚ䶨Q䝍呇䰭乏䙞彆久剔剐噟䱁䑟䥁奌〨⼱ㄱ㈯㄰ⰱⰬⰬ䐢䱉⤢䔯䅃䵟䅅彎䉅呉㈨㄰ⰰ㄰ㄯ⼱〲ㄱ착Ɯ＀＀ ＀＀Ƅ＀＀_x0008_＀＀_x0001_＀＀_x0001_＀＀_x0001_＀＀툜組釉䀦摦畳㩰⼯楤敲瑣潩獮䘯呁嘠敩敷㽲捡楴湯唽䑐呁♅牣慥潴㵲慦瑣敳♴奄彎剁升吽啒♅佄彃䅎䕍䘽呁䘺䱑䅟䑕呉义彇䱃䕉呎呟䵅䱐呁⹅䅆♔楤灳慬役瑳楲杮䄽摵瑩嘦剁䬺奅䔽兎䵚坆単♌䅖㩒啑剅㵙歒晚啒唵汕卂ㅘ䉚䙔䔹啑䵬南睧卍砸卍礸䑍硅䍌獷䍌湷䕒䵬祊癫啒䉎じ䘱啑昵啒䩊䍖祧䑍睅䑌硁穌硅穌睉呍灅圦义佄㵗䥆卒彔佐啐♐䕈䝉呈㐽〵圦䑉䡔㐽〵匦䅔呒䵟塁䵉婉䑅䘽䱁䕓嘦剁䌺䱁久䅄㵒䥆䕖䅄♙䅖㩒奓䉍䱏〽㜵㠵☰䅖㩒义䕄㵘0뿎䭠&amp;䑇䍞彁䕐华䙟乕彄呓呁单ㄨ⼲〲㔰ⰬⰬ单⥄ ＀＀ ＀＀_x0008_＀＀_x0008_＀＀_x0001_＀＀_x0001_＀＀_x0001_＀＀＀＀＀＀瀀䁱閺䴬L䍐幐䙆䕟呎偒归䅖彌䅄䱉⡙〱㈯⼷〲〱ⰬⰬ∬䥄≌⼩䍅彁䕍乁䕟䥂⡔〲ㄱㄬ⼰㜲㈯㄰⤰Ɣ＀＀ ＀＀ż＀＀_x0008_＀＀_x0001_＀＀_x0001_＀＀_x0001_＀＀좜꒏䀩䀥摦畳㩰⼯楤敲瑣潩獮䘯呁嘠敩敷㽲捡楴湯唽䑐呁♅牣慥潴㵲慦瑣敳♴奄彎剁升吽啒♅佄彃䅎䕍䘽呁䘺䱑䅟䑕呉义彇䱃䕉呎呟䵅䱐呁⹅䅆♔楤灳慬役瑳楲杮䄽摵瑩嘦剁䬺奅伽坖䭊䝌兎♔䅖㩒啑剅㵙歒晚啒唵汕卂ㅘ䉚䙔䔹啑䵬南硧䍍礸祎礸䑍睅䍌獷䍌湷䕒䵬祊癫啒䉎じ䘱啑昵啒䩊䍖祧䑍硅䑌睅穌㍉穌睉呍灁圦义佄㵗䥆卒彔佐啐♐䕈䝉呈㐽〵圦䑉䡔㐽〵匦䅔呒䵟塁䵉婉䑅䘽䱁䕓嘦剁䌺䱁久䅄㵒单嘦剁区䵙佂㵌䍐♐䅖㩒义䕄㵘0ᦦ产N佃幌䙆䕟呎偒归䅖彌䅄䱉⡙〱㈯⼵〲ㄱⰬⰬ∬䥄≌⼩䍅彁䕍乁䕟䥂䑔⡁〲〱ㄬ⼰㔲㈯㄰⤱ơ＀＀ ＀＀Ɖ＀＀_x0008_＀＀_x0001_＀＀_x0001_＀＀_x0001_＀＀㤢䛚䀢摦畳㩰⼯楤敲瑣潩獮䘯呁嘠敩敷㽲捡楴湯唽䑐呁♅牣慥潴㵲慦瑣敳♴奄彎剁升吽啒♅佄彃䅎䕍䘽呁䘺䱑䅟䑕呉义彇䱃䕉呎呟䵅䱐呁⹅䅆♔楤灳慬役瑳楲杮䄽摵瑩嘦剁䬺奅刽婓䙇䩅偙♗䅖㩒啑剅㵙歒晚啒唵汕卂ㅘ䉚䙔䔹啑䵬南硧䍍礸华礸䑍硅䍌獷䍌湷䕒䵬祊杫祌䙂け晆啔䉖汔䘹歑啬䕒潅橍硁䍍硷䍍礸华礸䑍硅克㴽圦义佄㵗䥆卒彔佐啐♐䕈䝉呈㐽〵圦䑉䡔㐽〵匦䅔呒䵟塁䵉婉䑅䘽䱁䕓嘦剁䌺䱁久䅄㵒䥆䕖䅄♙䅖㩒奓䉍䱏䌽䱏嘦剁䤺䑎塅〽찀듩䷰$䝍呇䰭乏䕞彃䕍乁偟⡅〲ㄱ〬⼴㔱㈯㄰⤱!＀＀ ＀＀	＀＀_x0008_＀＀_x0001_＀＀_x0001_＀＀_x0001_＀＀몾倪_xD98B_䀧찀뿎䭠,䑇䍞彁佐呓䕒彔剕呟归䉏䅟位呒ㄨ⼲〲㠰ⰬⰬ单⥄ ＀＀ ＀＀_x0008_＀＀_x0008_＀＀_x0001_＀＀_x0001_＀＀_x0001_＀＀＀＀＀＀＀＀＀＀熁䯌!位⹇幁䍅䵟䅅彎䕐㈨㄰ⰲ㐰ㄯ⼹〲〱착!＀＀ ＀＀	＀＀_x0008_＀＀_x0001_＀＀_x0001_＀＀_x0001_＀＀㪛誏폿䀦찀㹪丯N䕂噁䙞彆久剔剐噟䱁䑟䥁奌〨⼷㘲㈯㄰ⰱⰬⰬ䐢䱉⤢䔯䅃䵟䅅彎䅓䕌⡓〲ㄱ〬⼷㘲㈯㄰⤱ƞ＀＀ ＀＀Ɔ＀＀_x0008_＀＀_x0001_＀＀_x0001_＀＀_x0001_＀＀ᗁ쮷酪㿹摦畳㩰⼯楤敲瑣潩獮䘯呁嘠敩敷㽲捡楴湯唽䑐呁♅牣慥潴㵲慦瑣敳♴奄彎剁升吽啒♅佄彃䅎䕍䘽呁䘺䱑䅟䑕呉义彇䱃䕉呎呟䵅䱐呁⹅䅆♔楤灳慬役瑳楲杮䄽摵瑩嘦剁䬺奅夽児䵎坔䵊♔䅖㩒啑剅㵙歒晚啒唵汕卂ㅘ䉚䙔䔹啑䵬南睧祎礸楎礸䑍硅䍌獷䍌湷䕒䵬祊癫啒䉎じ䘱啑昵さ䵆噒潍橍硁卍睷祎礸楎礸䑍硅克㴽圦义佄㵗䥆卒彔佐啐♐䕈䝉呈㐽〵圦䑉䡔㐽〵匦䅔呒䵟塁䵉婉䑅䘽䱁䕓嘦剁䌺䱁久䅄㵒䥆䕖䅄♙䅖㩒奓䉍䱏䈽䅅♖䅖㩒义䕄㵘0閷䴬_x001F_佃幌䍅䵟䅅彎䕐㈨㄰ⰰ〱㈯⼷〲〱착!＀＀ ＀＀	＀＀_x0008_＀＀_x0001_＀＀_x0001_＀＀_x0001_＀＀늖焌䮬䀱찀霰䴬_x0017_呒幎䝆偟䥒䕃 ⼷㠲㈯㄰찰!＀＀ ＀＀	＀＀_x0008_＀＀_x0001_＀＀_x0001_＀＀_x0001_＀＀尨⊏䁈찀뿎䭠$䑇䍞彁䕐华䍟剕䱟䅉卂ㄨ⼲〲㜰ⰬⰬ单⥄ ＀＀ ＀＀_x0008_＀＀_x0008_＀＀_x0001_＀＀_x0001_＀＀_x0001_＀＀＀＀＀＀က䁴ꬭ䶨_x001A_䑇䕞䅃䵟䅅彎偅当䅃䅌㈨㄰⤰!＀＀ ＀＀	＀＀_x0008_＀＀_x0001_＀＀_x0001_＀＀_x0001_＀＀ᑺ䞮䀛찀ꚛ丠 䕂噁䕞彃䕍乁偟⡅〲ㄱ〬⼷㔱㈯㄰⤱!＀＀ ＀＀	＀＀_x0008_＀＀_x0001_＀＀_x0001_＀＀_x0001_＀＀屽⨛臆䀳찀㹩丯 䕂噁䕞彃䕍乁偟⡅〲ㄱ〬⼷㘲㈯㄰⤱!＀＀ ＀＀	＀＀_x0008_＀＀_x0001_＀＀_x0001_＀＀_x0001_＀＀㐯槗㖤䀳찀뿎䭠L䑇䍞彁䕐华偟䥒剏卟噒ㄨ⼲〲㌰ⰬⰬ单⥄址当䕐华佉彎剐卟剅彖佃呓ㄨ⼲〲㌰ⰬⰬ单⥄ ＀＀ ＀＀_x0008_＀＀_x0008_＀＀_x0001_＀＀_x0001_＀＀_x0001_＀＀＀＀＀＀耀䁁ᦨ产O位⹇幁䙆䕟呎偒归䅖彌䅄䱉⡙〱㈯⼵〲ㄱⰬⰬ∬䥄≌⼩䍅彁䕍乁卟䱁卅㈨㄰ⰲ〱㈯⼵〲ㄱ착Ɵ＀＀ ＀＀Ƈ＀＀_x0008_＀＀_x0001_＀＀_x0001_＀＀_x0001_＀＀퐏뮩쿾㿭摦畳㩰⼯楤敲瑣潩獮䘯呁嘠敩敷㽲捡楴湯唽䑐呁♅牣慥潴㵲慦瑣敳♴奄彎剁升吽啒♅佄彃䅎䕍䘽呁䘺䱑䅟䑕呉义彇䱃䕉呎呟䵅䱐呁⹅䅆♔楤灳慬役瑳楲杮䄽摵瑩嘦剁䬺奅刽䱉呅䑅䙕♋䅖㩒啑剅㵙歒晚啒唵汕卂ㅘ䉚䙔䔹啑䵬南硧䍍礸华礸䑍硅䍌獷䍌湷䕒䵬祊杫祌䙂け晆啔䉖汔吹啑䙸祕祧䑍祅䑌睅穌ㅉ穌睉呍灅圦义佄㵗䥆卒彔佐啐♐䕈䝉呈㐽〵圦䑉䡔㐽〵匦䅔呒䵟塁䵉婉䑅䘽䱁䕓嘦剁䌺䱁久䅄㵒䥆䕖䅄♙䅖㩒奓䉍䱏䴽䝏䄮嘦剁䤺䑎塅〽찀ꎔ䶨!位⹇幁䍅彁䕍乁䕟卐⬨ⰲ㄰ㄯ⼱〲ㄱ착!＀＀ ＀＀	＀＀_x0008_＀＀_x0001_＀＀_x0001_＀＀_x0001_＀＀ꌫ쾑븫䀈찀뿎䭠E䑇䍞彁佐呓䕒彔佒⡁㈱㈯〰ⰳⰬ唬䑓䀩南䡟呌䍈剁彅塅彐佒⡁㈱㈯〰ⰳⰬ唬䑓착 ＀＀ ＀＀_x0008_＀＀_x0008_＀＀_x0001_＀＀_x0001_＀＀_x0001_＀＀＀＀＀＀＀＀쀺뿎䭠_x001F_䑇坞当塅䡃剟呁⡅㈱㈯〰ⰵⰬ唬䑓착 ＀＀ ＀＀_x0008_＀＀_x0008_＀＀_x0001_＀＀_x0001_＀＀_x0001_＀＀＀＀＀＀＀＀㿰뿎䭠I䑇䍞彁䕐华偟䅌彎十⡔㈱㈯〰ⰶⰬ唬䑓䀩南偟久䥓乏噟䱁䅟卓呅⡓㈱㈯〰ⰶⰬ唬䑓착 ＀＀ ＀＀_x0008_＀＀_x0008_＀＀_x0001_＀＀_x0001_＀＀_x0001_＀＀＀＀＀＀䂻뿍䭠_x001F_䑇坞当塅䡃剟呁彅义彃䙃ㄨ⼲〲㌰착 ＀＀ ＀＀_x0008_＀＀_x0008_＀＀_x0001_＀＀_x0001_＀＀_x0001_＀＀豀碵꼝쐕ꚟ丠M佃幌䙆䕟呎偒归䅖彌䅄䱉⡙㜰ㄯ⼵〲ㄱⰬⰬ∬䥄≌⼩䍅彁䕍乁卟䱁卅㈨㄰ⰱ㜰ㄯ⼵〲ㄱ착Ɲ＀＀ ＀＀ƅ＀＀_x0008_＀＀_x0001_＀＀_x0001_＀＀_x0001_＀＀葲욗퐳㿾摦畳㩰⼯楤敲瑣潩獮䘯呁嘠敩敷㽲捡楴湯唽䑐呁♅牣慥潴㵲慦瑣敳♴奄彎剁升吽啒♅佄彃䅎䕍䘽呁䘺䱑䅟䑕呉义彇䱃䕉呎呟䵅䱐呁⹅䅆♔楤灳慬役瑳楲杮䄽摵瑩嘦剁䬺奅吽䱃䉓䑁䉅♍䅖㩒啑剅㵙歒晚啒唵汕卂ㅘ䉚䙔䔹啑䵬南睧祎砸华礸䑍硅䍌獷䍌湷䕒䵬祊癫啒䉎じ䘱啑昵さ䵆噒潍橍硁卍睷祎砸华礸䑍硅克㴽圦义佄㵗䥆卒彔佐啐♐䕈䝉呈㐽〵圦䑉䡔㐽〵匦䅔呒䵟塁䵉婉䑅䘽䱁䕓嘦剁䌺䱁久䅄㵒䥆䕖䅄♙䅖㩒奓䉍䱏䌽䱏嘦剁䤺䑎塅〽찀ꚦ丠Q䝍呇䰭乏䙞彆久剔剐噟䱁䑟䥁奌〨⼷㔱㈯㄰ⰱⰬⰬ䐢䱉⤢䔯䅃䵟䅅彎䉅呉㈨㄰ⰰ㜰ㄯ⼵〲ㄱ착Ɯ＀＀ ＀＀Ƅ＀＀_x0008_＀＀_x0001_＀＀_x0001_＀＀_x0001_＀＀顆䎕㓄䀧摦畳㩰⼯楤敲瑣潩獮䘯呁嘠敩敷㽲捡楴湯唽䑐呁♅牣慥潴㵲慦瑣敳♴奄彎剁升吽啒♅佄彃䅎䕍䘽呁䘺䱑䅟䑕呉义彇䱃䕉呎呟䵅䱐呁⹅䅆♔楤灳慬役瑳楲杮䄽摵瑩嘦剁䬺奅䨽塓䑅偉䱅♙䅖㩒啑剅㵙歒晚啒唵汕卂ㅘ䉚䙔䔹啑䵬南睧祎砸华礸䑍硅䍌獷䍌湷䕒䵬祊癫啒䉎じ䘱啑昵啒䩊䍖祧䑍睅䑌㍁穌ㅅ穌睉呍灅圦义佄㵗䥆卒彔佐啐♐䕈䝉呈㐽〵圦䑉䡔㐽〵匦䅔呒䵟塁䵉婉䑅䘽䱁䕓嘦剁䌺䱁久䅄㵒䥆䕖䅄♙䅖㩒奓䉍䱏〽㜵㠵☰䅖㩒义䕄㵘0閺䴬$䝍呇䰭乏䕞䅃䵟䅅彎偅⡓㈫ㄬ⼰㜲㈯㄰⤰!＀＀ ＀＀	＀＀_x0008_＀＀_x0001_＀＀_x0001_＀＀_x0001_＀＀♟邊鶺㿒찀뿎䭠L䑇䍞彁䕐华偟䥒剏卟噒ㄨ⼲〲㐰ⰬⰬ单⥄址当䕐华佉彎剐卟剅彖佃呓ㄨ⼲〲㐰ⰬⰬ单⥄ ＀＀ ＀＀_x0008_＀＀_x0008_＀＀_x0001_＀＀_x0001_＀＀_x0001_＀＀＀＀＀＀＀＀䀿ᦩ产M䍐幐䙆䕟呎偒归䅖彌䅄䱉⡙〱㈯⼵〲ㄱⰬⰬ∬䥄≌⼩䍅彁䕍乁卟䱁卅㈨㄰ⰱ〱㈯⼵〲ㄱ착Ɲ＀＀ ＀＀ƅ＀＀_x0008_＀＀_x0001_＀＀_x0001_＀＀_x0001_＀＀醗྾ཱུ䀊摦畳㩰⼯楤敲瑣潩獮䘯呁嘠敩敷㽲捡楴湯唽䑐呁♅牣慥潴㵲慦瑣敳♴奄彎剁升吽啒♅佄彃䅎䕍䘽呁䘺䱑䅟䑕呉义彇䱃䕉呎呟䵅䱐呁⹅䅆♔楤灳慬役瑳楲杮䄽摵瑩嘦剁䬺奅娽噏䑑乍塇♉䅖㩒啑剅㵙歒晚啒唵汕卂ㅘ䉚䙔䔹啑䵬南硧䍍礸华礸䑍硅䍌獷䍌湷䕒䵬祊杫祌䙂け晆啔䉖汔吹啑䙸祕祧䑍硅䑌睅穌ㅉ穌睉呍灅圦义佄㵗䥆卒彔佐啐♐䕈䝉呈㐽〵圦䑉䡔㐽〵匦䅔呒䵟塁䵉婉䑅䘽䱁䕓嘦剁䌺䱁久䅄㵒䥆䕖䅄♙䅖㩒奓䉍䱏倽偃嘦剁䤺䑎塅〽찀뿎䭠I䑇䍞彁佐呓䕒彔佒彁䍁⡔㈱㈯〰ⰳⰬ唬䑓䀩南䡟呌䍈剁彅䍁彔佒⡁㈱㈯〰ⰳⰬ唬䑓착 ＀＀ ＀＀_x0008_＀＀_x0008_＀＀_x0001_＀＀_x0001_＀＀_x0001_＀＀＀＀＀＀耀䁋ꚟ丠!位⹇幁䍅䵟䅅彎䕐㈨㄰ⰲ㜰ㄯ⼵〲ㄱ착!＀＀ ＀＀	＀＀_x0008_＀＀_x0001_＀＀_x0001_＀＀_x0001_＀＀䝿達䀪찀ᦩ产$䝍呇䰭乏䕞彃䕍乁偟⡅〲ㄱㄬ⼰㔲㈯㄰⤱!＀＀ ＀＀	＀＀_x0008_＀＀_x0001_＀＀_x0001_＀＀_x0001_＀＀㍩䍎ㅔ䀨찀ꚡ丠P位⹇幁䙆䕟呎偒归䅖彌䅄䱉⡙㜰ㄯ⼵〲ㄱⰬⰬ∬䥄≌⼩䍅彁䕍乁䕟䥂䑔⡁〲〱〬⼷㔱㈯㄰⤱Ɵ＀＀ ＀＀Ƈ＀＀_x0008_＀＀_x0001_＀＀_x0001_＀＀_x0001_＀＀揽䀢摦畳㩰⼯楤敲瑣潩獮䘯呁嘠敩敷㽲捡楴湯唽䑐呁♅牣慥潴㵲慦瑣敳♴奄彎剁升吽啒♅佄彃䅎䕍䘽呁䘺䱑䅟䑕呉义彇䱃䕉呎呟䵅䱐呁⹅䅆♔楤灳慬役瑳楲杮䄽摵瑩嘦剁䬺奅丽剏塏䑑䑙♁䅖㩒啑剅㵙歒晚啒唵汕卂ㅘ䉚䙔䔹啑䵬南睧祎砸华礸䑍硅䍌獷䍌湷䕒䵬祊癫啒䉎じ䘱啑昵啒䩊䕖䉒䑋睉呍獁䑍癣呍癕橍硁卍㵫圦义佄㵗䥆卒彔佐啐♐䕈䝉呈㐽〵圦䑉䡔㐽〵匦䅔呒䵟塁䵉婉䑅䘽䱁䕓嘦剁䌺䱁久䅄㵒䥆䕖䅄♙䅖㩒奓䉍䱏䴽䝏䄮嘦剁䤺䑎塅〽찀뿎䭠&amp;䑇坞当䕐华佉彎䕎彔䥌䉁ㄨ⼲〲㈰ⰬⰬ单⥄ ＀＀ ＀＀_x0008_＀＀_x0008_＀＀_x0001_＀＀_x0001_＀＀_x0001_＀＀豀碵꼝쐕熂䯌_x001F_䍐幐䍅䵟䅅彎䕐㈨㄰ⰱ㐰ㄯ⼹〲〱착!＀＀ ＀＀	＀＀_x0008_＀＀_x0001_＀＀_x0001_＀＀_x0001_＀＀䠣_xD8A5_룑䀬찀뿎䭠'䑇坞当䱈䡔䅃䕒啟䙎䉟久ㄨ⼲〲㠰ⰬⰬ单⥄착＀＀＀＀閹䴬P位⹇幁䙆䕟呎偒归䅖彌䅄䱉⡙〱㈯⼷〲〱ⰬⰬ∬䥄≌⼩䍅彁䕍乁䕟䥂䑔⡁〲〱ㄬ⼰㜲㈯㄰⤰ƚ＀＀ ＀＀Ƃ＀＀_x0008_＀＀_x0001_＀＀_x0001_＀＀_x0001_＀＀죓犯郭䀠摦畳㩰⼯楤敲瑣潩獮䘯呁嘠敩敷㽲捡楴湯唽䑐呁♅牣慥潴㵲慦瑣敳♴奄彎剁升吽啒♅佄彃䅎䕍䘽呁䘺䱑䅟䑕呉义彇䱃䕉呎呟䵅䱐呁⹅䅆♔楤灳慬役瑳楲杮䄽摵瑩嘦剁䬺奅䄽奈䭚䵈䭊♖䅖㩒啑剅㵙歒晚啒唵汕卂ㅘ䉚䙔䔹啑䵬南硧䍍礸祎礸䑍睅䍌獷䍌湷䕒䵬祊癫啒䉎じ䘱啑昵啒䩊䕖䉒䑋睉呍獁呍癁橍癣橍硁䍍㵫圦义佄㵗䥆卒彔佐啐♐䕈䝉呈㐽〵圦䑉䡔㐽〵匦䅔呒䵟塁䵉婉䑅䘽䱁䕓嘦剁䌺䱁久䅄㵒单嘦剁区䵙佂㵌位⹇♁䅖㩒义䕄㵘0뿎䭠F䑇䍞彁佐呓䕒彔佃呓ㄨ⼲〲㜰ⰬⰬ单⥄址当䱈䡔䅃䕒也偐䕟偘ㄨ⼲〲㜰ⰬⰬ单⥄ ＀＀ ＀＀_x0008_＀＀_x0008_＀＀_x0001_＀＀_x0001_＀＀_x0001_＀＀＀＀＀＀＀＀䁏뿎䭠G䑇䍞彁䕐华䥟呎䍟协⡔㈱㈯〰ⰴⰬ唬䑓䀩南偟久䥓乏䥟呎䍟协⡔㈱㈯〰ⰴⰬ唬䑓착 ＀＀ ＀＀_x0008_＀＀_x0008_＀＀_x0001_＀＀_x0001_＀＀_x0001_＀＀＀＀＀＀䁸ᦟ产_x001A_䑇灞灟楲散桟杩彨㈵⡗㠳㔳⤲!＀＀ ＀＀	＀＀_x0008_＀＀_x0001_＀＀_x0001_＀＀_x0001_＀＀蔟凫纸䁋찀뿎䭠L䑇䍞彁佐呓䕒彔剓彖佃呓ㄨ⼲〲㐰ⰬⰬ单⥄址当䱈䡔䅃䕒卟剅彖佃呓ㄨ⼲〲㐰ⰬⰬ单⥄ ＀＀ ＀＀_x0008_＀＀_x0008_＀＀_x0001_＀＀_x0001_＀＀_x0001_＀＀＀＀＀＀＀＀䀮ꚝ丠_x001F_佃幌䍅䵟䅅彎䕐㈨㄰ⰰ㜰ㄯ⼵〲ㄱ착!＀＀ ＀＀	＀＀_x0008_＀＀_x0001_＀＀_x0001_＀＀_x0001_＀＀马鱷ꮢ䀰찀㹫丯_x001F_佃幌䍅䵟䅅彎䕐㈨㄰ⰰ㜰㈯⼶〲ㄱ착!＀＀ ＀＀	＀＀_x0008_＀＀_x0001_＀＀_x0001_＀＀_x0001_＀＀⽅䀰찀閻䴬R䝍呇䰭乏䙞彆久剔剐噟䱁䑟䥁奌ㄨ⼰㜲㈯㄰ⰰⰬⰬ䐢䱉⤢䔯䅃䵟䅅彎䅓䕌⡓〲ㄱㄬ⼰㜲㈯㄰⤰ƛ＀＀ ＀＀ƃ＀＀_x0008_＀＀_x0001_＀＀_x0001_＀＀_x0001_＀＀᩠錇䀃摦畳㩰⼯楤敲瑣潩獮䘯呁嘠敩敷㽲捡楴湯唽䑐呁♅牣慥潴㵲慦瑣敳♴奄彎剁升吽啒♅佄彃䅎䕍䘽呁䘺䱑䅟䑕呉义彇䱃䕉呎呟䵅䱐呁⹅䅆♔楤灳慬役瑳楲杮䄽摵瑩嘦剁䬺奅唽䅔䭈䥎䵔♎䅖㩒啑剅㵙歒晚啒唵汕卂ㅘ䉚䙔䔹啑䵬南硧䍍礸祎礸䑍睅䍌獷䍌湷䕒䵬祊癫啒䉎じ䘱啑昵さ䵆噒潍橍硁卍硷䍍礸祎礸䑍睅克㴽圦义佄㵗䥆卒彔佐啐♐䕈䝉呈㐽〵圦䑉䡔㐽〵匦䅔呒䵟塁䵉婉䑅䘽䱁䕓嘦剁䌺䱁久䅄㵒单嘦剁区䵙佂㵌㔰㔷〸嘦剁䤺䑎塅〽찀뿎䭠I䑇䍞彁䕐华䑟卉彃䅒䕔ㄨ⼲〲㔰ⰬⰬ单⥄址当䕐华佉彎䥄䍓剟呁⡅㈱㈯〰ⰵⰬ唬䑓착 ＀＀ ＀＀_x0008_＀＀_x0008_＀＀_x0001_＀＀_x0001_＀＀_x0001_＀＀쳍쳌쳌䀖煿䯌_x001E_䑇䕞彃䕍彄剐䍉彅䝔Ŕ㐰ㄯ⼹〲〱!＀＀ ＀＀	＀＀_x0008_＀＀_x0001_＀＀_x0001_＀＀_x0001_＀＀＀＀＀＀耀䁓찀듨䷰O位⹇幁䙆䕟呎偒归䅖彌䅄䱉⡙㐰ㄯ⼵〲ㄱⰬⰬ∬䥄≌⼩䍅彁䕍乁卟䱁卅㈨㄰ⰲ㐰ㄯ⼵〲ㄱ착ƚ＀＀ ＀＀Ƃ＀＀_x0008_＀＀_x0001_＀＀_x0001_＀＀_x0001_＀＀ቴ뀱咏㿱摦畳㩰⼯楤敲瑣潩獮䘯呁嘠敩敷㽲捡楴湯唽䑐呁♅牣慥潴㵲慦瑣敳♴奄彎剁升吽啒♅佄彃䅎䕍䘽呁䘺䱑䅟䑕呉义彇䱃䕉呎呟䵅䱐呁⹅䅆♔楤灳慬役瑳楲杮䄽摵瑩嘦剁䬺奅䬽䵒䭎䅐䭚♆䅖㩒啑剅㵙歒晚啒唵汕卂ㅘ䉚䙔䔹啑䵬南睧䍎砸华礸䑍硅䍌獷䍌湷䕒䵬祊癫啒䉎じ䘱啑昵さ䵆噒潍橍硁楍睷䍎砸华礸䑍硅克㴽圦义佄㵗䥆卒彔佐啐♐䕈䝉呈㐽〵圦䑉䡔㐽〵匦䅔呒䵟塁䵉婉䑅䘽䱁䕓嘦剁䌺䱁久䅄㵒单嘦剁区䵙佂㵌位⹇♁䅖㩒义䕄㵘0ꎐ䶨 䕂噁䕞彃䕍乁偟⡅〲〱〬⼱ㄱ㈯㄰⤱!＀＀ ＀＀	＀＀_x0008_＀＀_x0001_＀＀_x0001_＀＀_x0001_＀＀䐾㮣消䀹찀뿎䭠M䑇䍞彁䕐华啟剎䍅䝏ㄨ⼲〲㐰ⰬⰬ单⥄址当䕐华佉彎乕䕒彃䕓噒䍟协⡔㈱㈯〰ⰴⰬ唬䑓착 ＀＀ ＀＀_x0008_＀＀_x0008_＀＀_x0001_＀＀_x0001_＀＀_x0001_＀＀＀＀＀＀쀀쁛뿎䭠#䑇䍞彁䕐华䉟久偟䥁⡄㈱㈯〰ⰵⰬ唬䑓착 ＀＀ ＀＀_x0008_＀＀_x0008_＀＀_x0001_＀＀_x0001_＀＀_x0001_＀＀＀＀＀＀퀀䁴閹䴬N位⹇幁䙆䕟呎偒归䅖彌䅄䱉⡙〱㈯⼷〲〱ⰬⰬ∬䥄≌⼩䍅彁䕍乁䕟䥂⡔〲ㄱㄬ⼰㜲㈯㄰⤰Ɩ＀＀ ＀＀ž＀＀_x0008_＀＀_x0001_＀＀_x0001_＀＀_x0001_＀＀哛炶蓞䀥摦畳㩰⼯楤敲瑣潩獮䘯呁嘠敩敷㽲捡楴湯唽䑐呁♅牣慥潴㵲慦瑣敳♴奄彎剁升吽啒♅佄彃䅎䕍䘽呁䘺䱑䅟䑕呉义彇䱃䕉呎呟䵅䱐呁⹅䅆♔楤灳慬役瑳楲杮䄽摵瑩嘦剁䬺奅圽䕊䅌䕘坒♐䅖㩒啑剅㵙歒晚啒唵汕卂ㅘ䉚䙔䔹啑䵬南硧䍍礸祎礸䑍睅䍌獷䍌湷䕒䵬祊癫啒䉎じ䘱啑昵啒䩊䍖祧䑍硅䑌睅穌㍉穌睉呍灁圦义佄㵗䥆卒彔佐啐♐䕈䝉呈㐽〵圦䑉䡔㐽〵匦䅔呒䵟塁䵉婉䑅䘽䱁䕓嘦剁䌺䱁久䅄㵒单嘦剁区䵙佂㵌位⹇♁䅖㩒义䕄㵘0뿎䭠&amp;䑇坞当䕐彎佐呓剟呅䉟久ㄨ⼲〲㠰ⰬⰬ单⥄ ＀＀ ＀＀_x0008_＀＀_x0008_＀＀_x0001_＀＀_x0001_＀＀_x0001_＀＀＀＀＀＀䂧閶䴬N䕂噁䙞彆久剔剐噟䱁䑟䥁奌ㄨ⼰㜲㈯㄰ⰰⰬⰬ䐢䱉⤢䔯䅃䵟䅅彎䅓䕌⡓〲〱ㄬ⼰㜲㈯㄰⤰ƙ＀＀ ＀＀Ɓ＀＀_x0008_＀＀_x0001_＀＀_x0001_＀＀_x0001_＀＀⪫ꀾ⊔䀂摦畳㩰⼯楤敲瑣潩獮䘯呁嘠敩敷㽲捡楴湯唽䑐呁♅牣慥潴㵲慦瑣敳♴奄彎剁升吽啒♅佄彃䅎䕍䘽呁䘺䱑䅟䑕呉义彇䱃䕉呎呟䵅䱐呁⹅䅆♔楤灳慬役瑳楲杮䄽摵瑩嘦剁䬺奅伽但䕐坌奖♂䅖㩒啑剅㵙歒晚啒唵汕卂ㅘ䉚䙔䔹啑䵬南硧䍍礸祎礸䑍睅䍌獷䍌湷䕒䵬祊癫啒䉎じ䘱啑昵さ䵆噒潍橍硁䍍硷䍍礸祎礸䑍睅克㴽圦义佄㵗䥆卒彔佐啐♐䕈䝉呈㐽〵圦䑉䡔㐽〵匦䅔呒䵟塁䵉婉䑅䘽䱁䕓嘦剁䌺䱁久䅄㵒单嘦剁区䵙佂㵌䕂噁嘦剁䤺䑎塅〽찀Ꮺ产_x0017_䑇䕞䅃䵟䅅彎偅⡓〲㌱〬착!＀＀ ＀＀	＀＀_x0008_＀＀_x0001_＀＀_x0001_＀＀_x0001_＀＀_xDC2F_スᯒ䀠찀ᦫ产 䑇䕞䅃䵟䅅彎䉅呉⡄㌫ㄬ⼰㔲㈯㄰⤱!＀＀ ＀＀	＀＀_x0008_＀＀_x0001_＀＀_x0001_＀＀_x0001_＀＀휊炣ᩝ䂳찀㹲丯Q䝍呇䰭乏䙞彆久剔剐噟䱁䑟䥁奌〨⼷㘲㈯㄰ⰱⰬⰬ䐢䱉⤢䔯䅃䵟䅅彎䉅呉㈨㄰ⰰ㜰㈯⼶〲ㄱ착Ɯ＀＀ ＀＀Ƅ＀＀_x0008_＀＀_x0001_＀＀_x0001_＀＀_x0001_＀＀ﳈ䩔씋䀧摦畳㩰⼯楤敲瑣潩獮䘯呁嘠敩敷㽲捡楴湯唽䑐呁♅牣慥潴㵲慦瑣敳♴奄彎剁升吽啒♅佄彃䅎䕍䘽呁䘺䱑䅟䑕呉义彇䱃䕉呎呟䵅䱐呁⹅䅆♔楤灳慬役瑳楲杮䄽摵瑩嘦剁䬺奅䴽坎䥆䥂䝒♔䅖㩒啑剅㵙歒晚啒唵汕卂ㅘ䉚䙔䔹啑䵬南睧祎礸楎礸䑍硅䍌獷䍌湷䕒䵬祊癫啒䉎じ䘱啑昵啒䩊䍖祧䑍睅䑌㍁穌㉉穌睉呍灅圦义佄㵗䥆卒彔佐啐♐䕈䝉呈㐽〵圦䑉䡔㐽〵匦䅔呒䵟塁䵉婉䑅䘽䱁䕓嘦剁䌺䱁久䅄㵒䥆䕖䅄♙䅖㩒奓䉍䱏〽㜵㠵☰䅖㩒义䕄㵘0듩䷰M䍐幐䙆䕟呎偒归䅖彌䅄䱉⡙㐰ㄯ⼵〲ㄱⰬⰬ∬䥄≌⼩䍅彁䕍乁卟䱁卅㈨㄰ⰱ㐰ㄯ⼵〲ㄱ착Ƙ＀＀ ＀＀ƀ＀＀_x0008_＀＀_x0001_＀＀_x0001_＀＀_x0001_＀＀誻埶뿪䀆摦畳㩰⼯楤敲瑣潩獮䘯呁嘠敩敷㽲捡楴湯唽䑐呁♅牣慥潴㵲慦瑣敳♴奄彎剁升吽啒♅佄彃䅎䕍䘽呁䘺䱑䅟䑕呉义彇䱃䕉呎呟䵅䱐呁⹅䅆♔楤灳慬役瑳楲杮䄽摵瑩嘦剁䬺奅䴽坌奚䍐䅄♐䅖㩒啑剅㵙歒晚啒唵汕卂ㅘ䉚䙔䔹啑䵬南睧䍎砸华礸䑍硅䍌獷䍌湷䕒䵬祊癫啒䉎じ䘱啑昵さ䵆噒潍橍硁卍睷䍎砸华礸䑍硅克㴽圦义佄㵗䥆卒彔佐啐♐䕈䝉呈㐽〵圦䑉䡔㐽〵匦䅔呒䵟塁䵉婉䑅䘽䱁䕓嘦剁䌺䱁久䅄㵒单嘦剁区䵙佂㵌䍐♐䅖㩒义䕄㵘0뿎䭠F䑇䍞彁䕐华也呅䍟协⡔㈱㈯〰ⰲⰬ唬䑓䀩南偟久䥓乏也偐䕟偘ㄨ⼲〲㈰ⰬⰬ单⥄ ＀＀ ＀＀_x0008_＀＀_x0008_＀＀_x0001_＀＀_x0001_＀＀_x0001_＀＀＀＀＀＀＀＀䀨ꚤ丠$䝍呇䰭乏䕞䅃䵟䅅彎偅⡓㈫〬⼷㔱㈯㄰⤱!＀＀ ＀＀	＀＀_x0008_＀＀_x0001_＀＀_x0001_＀＀_x0001_＀＀鄶ங鹜㿖찀ᦪ产S䝍呇䰭乏䙞彆久剔剐噟䱁䑟䥁奌ㄨ⼰㔲㈯㄰ⰱⰬⰬ䐢䱉⤢䔯䅃䵟䅅彎䉅呉䅄㈨㄰ⰲ〱㈯⼵〲ㄱ착Ƥ＀＀ ＀＀ƌ＀＀_x0008_＀＀_x0001_＀＀_x0001_＀＀_x0001_＀＀攋呙൞䀟摦畳㩰⼯楤敲瑣潩獮䘯呁嘠敩敷㽲捡楴湯唽䑐呁♅牣慥潴㵲慦瑣敳♴奄彎剁升吽啒♅佄彃䅎䕍䘽呁䘺䱑䅟䑕呉义彇䱃䕉呎呟䵅䱐呁⹅䅆♔楤灳慬役瑳楲杮䄽摵瑩嘦剁䬺奅丽塍䡕䱃剑♅䅖㩒啑剅㵙歒晚啒唵汕卂ㅘ䉚䙔䔹啑䵬南硧䍍礸华礸䑍硅䍌獷䍌湷䕒䵬祊杫祌䙂け晆啔䉖汔䘹歑啬䕒潅橍硁楍硷䍍礸华礸䑍硅克㴽圦义佄㵗䥆卒彔佐啐♐䕈䝉呈㐽〵圦䑉䡔㐽〵匦䅔呒䵟塁䵉婉䑅䘽䱁䕓嘦剁䌺䱁久䅄㵒䥆䕖䅄♙䅖㩒奓䉍䱏〽㜵㠵☰䅖㩒义䕄㵘0㹰丯$䝍呇䰭乏䕞䅃䵟䅅彎偅⡓㈫〬⼷㘲㈯㄰⤱!＀＀ ＀＀	＀＀_x0008_＀＀_x0001_＀＀_x0001_＀＀_x0001_＀＀ฟꈒ셼㿖찀ᦟ产_x0019_䑇灞灟楲散江睯㕟圲㌨〹㈸착!＀＀ ＀＀	＀＀_x0008_＀＀_x0001_＀＀_x0001_＀＀_x0001_＀＀晧晦噦䁌찀ꎝ䶨_x001F_䑇䕞䅃䵟䅅彎䉅呉⬨ⰲ㐰ㄯ⼵〲ㄱ착!＀＀ ＀＀	＀＀_x0008_＀＀_x0001_＀＀_x0001_＀＀_x0001_＀＀⋑率鑾䂰찀ꎔ䶨!位⹇幁䍅䵟䅅彎䕐㈨㄰ⰱ㄰ㄯ⼱〲ㄱ착!＀＀ ＀＀	＀＀_x0008_＀＀_x0001_＀＀_x0001_＀＀_x0001_＀＀⋪늅㷰䀯찀ꬭ䶨_x001B_低幃䍅彁䕍乁䕟卐䍟䱁⡁〲ㄱ착!＀＀ ＀＀	＀＀_x0008_＀＀_x0001_＀＀_x0001_＀＀_x0001_＀＀맜툰_xDA8B_䀚찀뿎䭠'䑇䍞彁䕐华偟䑐䉟久䍟协⡔㈱㈯〰ⰷⰬ唬䑓착 ＀＀ ＀＀_x0008_＀＀_x0008_＀＀_x0001_＀＀_x0001_＀＀_x0001_＀＀豀碵꼝쐕ꎓ䶨N佃幌䙆䕟呎偒归䅖彌䅄䱉⡙㄰ㄯ⼱〲ㄱⰬⰬ∬䥄≌⼩䍅彁䕍乁䕟䥂䑔⡁〲ㄱ〬⼱ㄱ㈯㄰⤱Ɲ＀＀ ＀＀ƅ＀＀_x0008_＀＀_x0001_＀＀_x0001_＀＀_x0001_＀＀齓⩝䀢摦畳㩰⼯楤敲瑣潩獮䘯呁嘠敩敷㽲捡楴湯唽䑐呁♅牣慥潴㵲慦瑣敳♴奄彎剁升吽啒♅佄彃䅎䕍䘽呁䘺䱑䅟䑕呉义彇䱃䕉呎呟䵅䱐呁⹅䅆♔楤灳慬役瑳楲杮䄽摵瑩嘦剁䬺奅䬽啐佚䝚䭒♘䅖㩒啑剅㵙歒晚啒唵汕卂ㅘ䉚䙔䔹啑䵬南睧卍砸卍礸䑍硅䍌獷䍌湷䕒䵬祊癫啒䉎じ䘱啑昵啒䩊䕖䉒䑋睉呍獅䑍癅呍癅橍硁卍㵫圦义佄㵗䥆卒彔佐啐♐䕈䝉呈㐽〵圦䑉䡔㐽〵匦䅔呒䵟塁䵉婉䑅䘽䱁䕓嘦剁䌺䱁久䅄㵒䥆䕖䅄♙䅖㩒奓䉍䱏䌽䱏嘦剁䤺䑎塅〽찀뿎䭠F䑇䍞彁䕐华也呅䍟协⡔㈱㈯〰ⰵⰬ唬䑓䀩南偟久䥓乏也偐䕟偘ㄨ⼲〲㔰ⰬⰬ单⥄ ＀＀ ＀＀_x0008_＀＀_x0008_＀＀_x0001_＀＀_x0001_＀＀_x0001_＀＀＀＀＀＀쀀䁘ᦦ产M佃幌䙆䕟呎偒归䅖彌䅄䱉⡙〱㈯⼵〲ㄱⰬⰬ∬䥄≌⼩䍅彁䕍乁卟䱁卅㈨㄰ⰲ〱㈯⼵〲ㄱ착Ɲ＀＀ ＀＀ƅ＀＀_x0008_＀＀_x0001_＀＀_x0001_＀＀_x0001_＀＀_xDAAE_둼⍄㿼摦畳㩰⼯楤敲瑣潩獮䘯呁嘠敩敷㽲捡楴湯唽䑐呁♅牣慥潴㵲慦瑣敳♴奄彎剁升吽啒♅佄彃䅎䕍䘽呁䘺䱑䅟䑕呉义彇䱃䕉呎呟䵅䱐呁⹅䅆♔楤灳慬役瑳楲杮䄽摵瑩嘦剁䬺奅䘽呑䡕䡃䩇♑䅖㩒啑剅㵙歒晚啒唵汕卂ㅘ䉚䙔䔹啑䵬南硧䍍礸华礸䑍硅䍌獷䍌湷䕒䵬祊杫祌䙂け晆啔䉖汔吹啑䙸祕祧䑍祅䑌睅穌ㅉ穌睉呍灅圦义佄㵗䥆卒彔佐啐♐䕈䝉呈㐽〵圦䑉䡔㐽〵匦䅔呒䵟塁䵉婉䑅䘽䱁䕓嘦剁䌺䱁久䅄㵒䥆䕖䅄♙䅖㩒奓䉍䱏䌽䱏嘦剁䤺䑎塅〽찀熁䯌N佃幌䙆䕟呎偒归䅖彌䅄䱉⡙㐰ㄯ⼹〲〱ⰬⰬ∬䥄≌⼩䍅彁䕍乁䕟䥂䑔⡁〲㈱〬⼴㤱㈯㄰⤰Ɲ＀＀ ＀＀ƅ＀＀_x0008_＀＀_x0001_＀＀_x0001_＀＀_x0001_＀＀僝࠹秄䀡摦畳㩰⼯楤敲瑣潩獮䘯呁嘠敩敷㽲捡楴湯唽䑐呁♅牣慥潴㵲慦瑣敳♴奄彎剁升吽啒♅佄彃䅎䕍䘽呁䘺䱑䅟䑕呉义彇䱃䕉呎呟䵅䱐呁⹅䅆♔楤灳慬役瑳楲杮䄽摵瑩嘦剁䬺奅伽䥒兎䭎䕔♎䅖㩒啑剅㵙歒晚啒唵汕卂ㅘ䉚䙔䔹啑䵬南睧䍎砸协礸䑍睅䍌獷䍌湷䕒䵬祊癫啒䉎じ䘱啑昵啒䩊䕖䉒䑋睉呍獉䑍癑呍癫橍硁䍍㵫圦义佄㵗䥆卒彔佐啐♐䕈䝉呈㐽〵圦䑉䡔㐽〵匦䅔呒䵟塁䵉婉䑅䘽䱁䕓嘦剁䌺䱁久䅄㵒䥆䕖䅄♙䅖㩒奓䉍䱏䌽䱏嘦剁䤺䑎塅〽찀듧䷰L佃幌䙆䕟呎偒归䅖彌䅄䱉⡙㐰ㄯ⼵〲ㄱⰬⰬ∬䥄≌⼩䍅彁䕍乁䕟䥂⡔〲〱〬⼴㔱㈯㄰⤱Ɣ＀＀ ＀＀ż＀＀_x0008_＀＀_x0001_＀＀_x0001_＀＀_x0001_＀＀陇嶾ㅣ䀨摦畳㩰⼯楤敲瑣潩獮䘯呁嘠敩敷㽲捡楴湯唽䑐呁♅牣慥潴㵲慦瑣敳♴奄彎剁升吽啒♅佄彃䅎䕍䘽呁䘺䱑䅟䑕呉义彇䱃䕉呎呟䵅䱐呁⹅䅆♔楤灳慬役瑳楲杮䄽摵瑩嘦剁䬺奅䌽䭔䵊䵘啒♒䅖㩒啑剅㵙歒晚啒唵汕卂ㅘ䉚䙔䔹啑䵬南睧䍎砸华礸䑍硅䍌獷䍌湷䕒䵬祊癫啒䉎じ䘱啑昵啒䩊䍖祧䑍睅䑌ぁ穌ㅅ穌睉呍灅圦义佄㵗䥆卒彔佐啐♐䕈䝉呈㐽〵圦䑉䡔㐽〵匦䅔呒䵟塁䵉婉䑅䘽䱁䕓嘦剁䌺䱁久䅄㵒单嘦剁区䵙佂㵌佃♌䅖㩒义䕄㵘0ᦟ产_x0019_䑇灞灟楲散江睯㕟圲㐨㔰㌴착!＀＀ ＀＀	＀＀_x0008_＀＀_x0001_＀＀_x0001_＀＀_x0001_＀＀ᑻ䞮뫡䁋찀閸䴬L佃幌䙆䕟呎偒归䅖彌䅄䱉⡙〱㈯⼷〲〱ⰬⰬ∬䥄≌⼩䍅彁䕍乁䕟䥂⡔〲㈱ㄬ⼰㜲㈯㄰⤰Ɣ＀＀ ＀＀ż＀＀_x0008_＀＀_x0001_＀＀_x0001_＀＀_x0001_＀＀툓낶䀢摦畳㩰⼯楤敲瑣潩獮䘯呁嘠敩敷㽲捡楴湯唽䑐呁♅牣慥潴㵲慦瑣敳♴奄彎剁升吽啒♅佄彃䅎䕍䘽呁䘺䱑䅟䑕呉义彇䱃䕉呎呟䵅䱐呁⹅䅆♔楤灳慬役瑳楲杮䄽摵瑩嘦剁䬺奅唽䵌啒奈䍂♒䅖㩒啑剅㵙歒晚啒唵汕卂ㅘ䉚䙔䔹啑䵬南硧䍍礸祎礸䑍睅䍌獷䍌湷䕒䵬祊癫啒䉎じ䘱啑昵啒䩊䍖祧䑍祅䑌睅穌㍉穌睉呍灁圦义佄㵗䥆卒彔佐啐♐䕈䝉呈㐽〵圦䑉䡔㐽〵匦䅔呒䵟塁䵉婉䑅䘽䱁䕓嘦剁䌺䱁久䅄㵒单嘦剁区䵙佂㵌佃♌䅖㩒义䕄㵘0熀䯌 䕂噁䕞彃䕍乁偟⡅〲ㄱ〬⼴㤱㈯㄰⤰!＀＀ ＀＀	＀＀_x0008_＀＀_x0001_＀＀_x0001_＀＀_x0001_＀＀逅쓚鷉䀮찀ꬭ䶨_x001B_呒幎䍅彁䕍乁䕟卐䍟䱁⡁〲ㄱ착!＀＀ ＀＀	＀＀_x0008_＀＀_x0001_＀＀_x0001_＀＀_x0001_＀＀욒䀓찀뿎䭠I䑇䍞彁䕐华剟䅏剟呁⡅㈱㈯〰ⰴⰬ唬䑓䀩南偟久䥓乏䕟偘䱟彔佒⡁㈱㈯〰ⰴⰬ唬䑓착 ＀＀ ＀＀_x0008_＀＀_x0008_＀＀_x0001_＀＀_x0001_＀＀_x0001_＀＀＀＀＀＀耀䀠뿍䭠_x0019_䑇坞当塅䡃剟呁彅义彃䙃〨착 ＀＀ ＀＀_x0008_＀＀_x0008_＀＀_x0001_＀＀_x0001_＀＀_x0001_＀＀豀碵꼝쐕ᦫ产_x001E_䑇䕞彃䕍彄剐䍉彅䝔Ŕ〱㈯⼵〲ㄱ!＀＀ ＀＀	＀＀_x0008_＀＀_x0001_＀＀_x0001_＀＀_x0001_＀＀＀＀＀＀䀀䁓찀ᦧ产!位⹇幁䍅䵟䅅彎䕐㈨㄰ⰰ〱㈯⼵〲ㄱ착!＀＀ ＀＀	＀＀_x0008_＀＀_x0001_＀＀_x0001_＀＀_x0001_＀＀哊ꣁ溤䀯찀ꎒ䶨N䕂噁䙞彆久剔剐噟䱁䑟䥁奌〨⼱ㄱ㈯㄰ⰱⰬⰬ䐢䱉⤢䔯䅃䵟䅅彎䅓䕌⡓〲㈱〬⼱ㄱ㈯㄰⤱ƞ＀＀ ＀＀Ɔ＀＀_x0008_＀＀_x0001_＀＀_x0001_＀＀_x0001_＀＀ฆ蹻ሶ㿾摦畳㩰⼯楤敲瑣潩獮䘯呁嘠敩敷㽲捡楴湯唽䑐呁♅牣慥潴㵲慦瑣敳♴奄彎剁升吽啒♅佄彃䅎䕍䘽呁䘺䱑䅟䑕呉义彇䱃䕉呎呟䵅䱐呁⹅䅆♔楤灳慬役瑳楲杮䄽摵瑩嘦剁䬺奅䬽卌䭚䕆坔♂䅖㩒啑剅㵙歒晚啒唵汕卂ㅘ䉚䙔䔹啑䵬南睧卍砸卍礸䑍硅䍌獷䍌湷䕒䵬祊癫啒䉎じ䘱啑昵さ䵆噒潍橍硁楍睷卍砸卍礸䑍硅克㴽圦义佄㵗䥆卒彔佐啐♐䕈䝉呈㐽〵圦䑉䡔㐽〵匦䅔呒䵟塁䵉婉䑅䘽䱁䕓嘦剁䌺䱁久䅄㵒䥆䕖䅄♙䅖㩒奓䉍䱏䈽䅅♖䅖㩒义䕄㵘0푖䳈_x0016_䑇䙞彇剐䍉Ņ〱㈯⼷〲〱!＀＀ ＀＀	＀＀_x0008_＀＀_x0001_＀＀_x0001_＀＀_x0001_＀＀ᑻ䞮嫡䁐찀䵀_x0017_䑇䕞䅃䵟䅅彎偅⡓〲〱〬착!＀＀ ＀＀	＀＀_x0008_＀＀_x0001_＀＀_x0001_＀＀_x0001_＀＀ᑺ䞮䀛찀㹫丯N佃幌䙆䕟呎偒归䅖彌䅄䱉⡙㜰㈯⼶〲ㄱⰬⰬ∬䥄≌⼩䍅彁䕍乁䕟䥂䑔⡁〲ㄱ〬⼷㘲㈯㄰⤱Ɲ＀＀ ＀＀ƅ＀＀_x0008_＀＀_x0001_＀＀_x0001_＀＀_x0001_＀＀_xD9DE_୩屶䀡摦畳㩰⼯楤敲瑣潩獮䘯呁嘠敩敷㽲捡楴湯唽䑐呁♅牣慥潴㵲慦瑣敳♴奄彎剁升吽啒♅佄彃䅎䕍䘽呁䘺䱑䅟䑕呉义彇䱃䕉呎呟䵅䱐呁⹅䅆♔楤灳慬役瑳楲杮䄽摵瑩嘦剁䬺奅伽䥂䵈佌䍚♄䅖㩒啑剅㵙歒晚啒唵汕卂ㅘ䉚䙔䔹啑䵬南睧祎礸楎礸䑍硅䍌獷䍌湷䕒䵬祊癫啒䉎じ䘱啑昵啒䩊䕖䉒䑋睉呍獅䑍癣橍癙橍硁卍㵫圦义佄㵗䥆卒彔佐啐♐䕈䝉呈㐽〵圦䑉䡔㐽〵匦䅔呒䵟塁䵉婉䑅䘽䱁䕓嘦剁䌺䱁久䅄㵒䥆䕖䅄♙䅖㩒奓䉍䱏䌽䱏嘦剁䤺䑎塅〽찀뿎䭠$䑇䍞彁䕐华䍟䵏彐䅒䕔ㄨ⼲〲㔰ⰬⰬ单⥄ ＀＀ ＀＀_x0008_＀＀_x0008_＀＀_x0001_＀＀_x0001_＀＀_x0001_＀＀＀＀＀＀＀＀䀞뿎䭠K䑇䍞彁佐呓䕒彔义彔佃呓ㄨ⼲〲㌰ⰬⰬ单⥄址当䱈䡔䅃䕒䥟呎䍟协⡔㈱㈯〰ⰳⰬ唬䑓착 ＀＀ ＀＀_x0008_＀＀_x0008_＀＀_x0001_＀＀_x0001_＀＀_x0001_＀＀＀＀＀＀䀀䁓ꎕ䶨_x001F_䍐幐䍅䵟䅅彎䕐㈨㄰ⰰ㄰ㄯ⼱〲ㄱ착!＀＀ ＀＀	＀＀_x0008_＀＀_x0001_＀＀_x0001_＀＀_x0001_＀＀蘛袏ĩ䀴찀ꎘ䶨$䝍呇䰭乏䕞彃䕍乁偟⡅〲㈱〬⼱ㄱ㈯㄰⤱!＀＀ ＀＀	＀＀_x0008_＀＀_x0001_＀＀_x0001_＀＀_x0001_＀＀齷ꏣ燅䀧찀푖䳈 䑇䕞䅃䵟䅅彎䉅呉⡄㌫ㄬ⼰㜲㈯㄰⤰!＀＀ ＀＀	＀＀_x0008_＀＀_x0001_＀＀_x0001_＀＀_x0001_＀＀娝㭤鷿䂲찀霰䴬_x0016_䑇䙞彇剐䍉Ņ㜠㈯⼸〲〱!＀＀ ＀＀	＀＀_x0008_＀＀_x0001_＀＀_x0001_＀＀_x0001_＀＀晦晦䁎찀뿎䭠(䑇䍞彁佐呓䕒彔呏䅈䩄也䅂ㄨ⼲〲㜰ⰬⰬ单⥄ ＀＀ ＀＀_x0008_＀＀_x0008_＀＀_x0001_＀＀_x0001_＀＀_x0001_＀＀＀＀＀＀＀＀䀷뿎䭠L䑇䍞彁䕐华偟䥒剏卟噒ㄨ⼲〲㈰ⰬⰬ单⥄址当䕐华佉彎剐卟剅彖佃呓ㄨ⼲〲㈰ⰬⰬ单⥄ ＀＀ ＀＀_x0008_＀＀_x0008_＀＀_x0001_＀＀_x0001_＀＀_x0001_＀＀＀＀＀＀＀＀䁂듮䷰_x0016_䑇䙞彇剐䍉Ņ㘰〯⼹〲ㄱ!＀＀ ＀＀	＀＀_x0008_＀＀_x0001_＀＀_x0001_＀＀_x0001_＀＀馚香香䁑찀ꬭ䶨_x001A_䑇䕞䅃䵟䅅彎偅当䅃䅌㈨㄰⤱!＀＀ ＀＀	＀＀_x0008_＀＀_x0001_＀＀_x0001_＀＀_x0001_＀＀馈ṽ貣䀜찀熁䯌_x001F_佃幌䍅䵟䅅彎䕐㈨㄰ⰰ㐰ㄯ⼹〲〱착!＀＀ ＀＀	＀＀_x0008_＀＀_x0001_＀＀_x0001_＀＀_x0001_＀＀떳䢾⍨䀲찀ꬭ䶨_x001B_呁幋䍅彁䕍乁䕟卐䍟䱁⡁〲〱착!＀＀ ＀＀	＀＀_x0008_＀＀_x0001_＀＀_x0001_＀＀_x0001_＀＀_xD955_䕷䀡찀뿍䭠_x001F_䑇坞当塅䡃剟呁彅义彃䙃ㄨ⼲〲㐰착 ＀＀ ＀＀_x0008_＀＀_x0008_＀＀_x0001_＀＀_x0001_＀＀_x0001_＀＀豀碵꼝쐕熂䯌O位⹇幁䙆䕟呎偒归䅖彌䅄䱉⡙㐰ㄯ⼹〲〱ⰬⰬ∬䥄≌⼩䍅彁䕍乁卟䱁卅㈨㄰ⰰ㐰ㄯ⼹〲〱착Ɵ＀＀ ＀＀Ƈ＀＀_x0008_＀＀_x0001_＀＀_x0001_＀＀_x0001_＀＀뗥腍揆㿲摦畳㩰⼯楤敲瑣潩獮䘯呁嘠敩敷㽲捡楴湯唽䑐呁♅牣慥潴㵲慦瑣敳♴奄彎剁升吽啒♅佄彃䅎䕍䘽呁䘺䱑䅟䑕呉义彇䱃䕉呎呟䵅䱐呁⹅䅆♔楤灳慬役瑳楲杮䄽摵瑩嘦剁䬺奅䌽低䕊䕘啐♈䅖㩒啑剅㵙歒晚啒唵汕卂ㅘ䉚䙔䔹啑䵬南睧䍎砸协礸䑍睅䍌獷䍌湷䕒䵬祊癫啒䉎じ䘱啑昵さ䵆噒潍橍硁䍍睷䍎砸协礸䑍睅克㴽圦义佄㵗䥆卒彔佐啐♐䕈䝉呈㐽〵圦䑉䡔㐽〵匦䅔呒䵟塁䵉婉䑅䘽䱁䕓嘦剁䌺䱁久䅄㵒䥆䕖䅄♙䅖㩒奓䉍䱏䴽䝏䄮嘦剁䤺䑎塅〽찀뿎䭠*䑇䍞彁佐呓䕒彔䅐呒䍟乏剔䉉ㄨ⼲〲㔰ⰬⰬ单⥄ ＀＀ ＀＀_x0008_＀＀_x0008_＀＀_x0001_＀＀_x0001_＀＀_x0001_＀＀＀＀＀＀＀＀＀＀뿎䭠%䑇䍞彁䕐华䅟呓䥟呎乁⡇㈱㈯〰ⰷⰬ唬䑓착 ＀＀ ＀＀_x0008_＀＀_x0008_＀＀_x0001_＀＀_x0001_＀＀_x0001_＀＀豀碵꼝쐕뿍䭠:䑇坞当䕐华佉彎十䕓協佟䡔ㄨ⼲〲㐰䀩䅃偟久当䍐彔呏⡈㈱㈯〰⤴ ＀＀ ＀＀_x0008_＀＀_x0008_＀＀_x0001_＀＀_x0001_＀＀_x0001_＀＀＀＀＀＀＀＀＀＀뿎䭠D䑇䍞彁佐呓䕒彔䕂彎䉏ㄨ⼲〲㈰ⰬⰬ单⥄址当䱈䡔䅃䕒偟佂ㄨ⼲〲㈰ⰬⰬ单⥄ ＀＀ ＀＀_x0008_＀＀_x0008_＀＀_x0001_＀＀_x0001_＀＀_x0001_＀＀＀＀＀＀Ⰰ䂒뿎䭠E䑇䍞彁佐呓䕒彔佒⡁㈱㈯〰ⰲⰬ唬䑓䀩南䡟呌䍈剁彅塅彐佒⡁㈱㈯〰ⰲⰬ唬䑓착 ＀＀ ＀＀_x0008_＀＀_x0008_＀＀_x0001_＀＀_x0001_＀＀_x0001_＀＀＀＀＀＀＀＀쀺뿎䭠M䑇䍞彁䕐华啟剎䍅䝏ㄨ⼲〲㌰ⰬⰬ单⥄址当䕐华佉彎乕䕒彃䕓噒䍟协⡔㈱㈯〰ⰳⰬ唬䑓착 ＀＀ ＀＀_x0008_＀＀_x0008_＀＀_x0001_＀＀_x0001_＀＀_x0001_＀＀＀＀＀＀＀＀䁤뿍䭠;䑇坞当䕐华佉彎十䕓協䉟乏卄ㄨ⼲〲㔰䀩䅃偟久当䍐彔䥆ㄨ⼲〲㔰착 ＀＀ ＀＀_x0008_＀＀_x0008_＀＀_x0001_＀＀_x0001_＀＀_x0001_＀＀＀＀＀＀＀＀䀈閸䴬!位⹇幁䍅䵟䅅彎䕐㈨㄰ⰰ〱㈯⼷〲〱착!＀＀ ＀＀	＀＀_x0008_＀＀_x0001_＀＀_x0001_＀＀_x0001_＀＀̱鯯䀯찀熁䯌O䕂噁䙞彆久剔剐噟䱁䑟䥁奌〨⼴㤱㈯㄰ⰰⰬⰬ䐢䱉⤢䔯䅃䵟䅅彎䉅呉䅄㈨㄰ⰰ㐰ㄯ⼹〲〱착ƞ＀＀ ＀＀Ɔ＀＀_x0008_＀＀_x0001_＀＀_x0001_＀＀_x0001_＀＀ʑ䨮짠䀤摦畳㩰⼯楤敲瑣潩獮䘯呁嘠敩敷㽲捡楴湯唽䑐呁♅牣慥潴㵲慦瑣敳♴奄彎剁升吽啒♅佄彃䅎䕍䘽呁䘺䱑䅟䑕呉义彇䱃䕉呎呟䵅䱐呁⹅䅆♔楤灳慬役瑳楲杮䄽摵瑩嘦剁䬺奅䴽啔䵊博䝄♎䅖㩒啑剅㵙歒晚啒唵汕卂ㅘ䉚䙔䔹啑䵬南睧䍎砸协礸䑍睅䍌獷䍌湷䕒䵬祊癫啒䉎じ䘱啑昵啒䩊䕖䉒䑋睉呍獁䑍癑呍癫橍硁䍍㵫圦义佄㵗䥆卒彔佐啐♐䕈䝉呈㐽〵圦䑉䡔㐽〵匦䅔呒䵟塁䵉婉䑅䘽䱁䕓嘦剁䌺䱁久䅄㵒䥆䕖䅄♙䅖㩒奓䉍䱏䈽䅅♖䅖㩒义䕄㵘0熃䯌$䝍呇䰭乏䕞䅃䵟䅅彎偅⡓㈫〬⼴㤱㈯㄰⤰!＀＀ ＀＀	＀＀_x0008_＀＀_x0001_＀＀_x0001_＀＀_x0001_＀＀_xD900_欵䰺㿒찀ᦥ产M䕂噁䙞彆久剔剐噟䱁䑟䥁奌ㄨ⼰㔲㈯㄰ⰱⰬⰬ䐢䱉⤢䔯䅃䵟䅅彎䉅呉㈨㄰ⰱ〱㈯⼵〲ㄱ착ƞ＀＀ ＀＀Ɔ＀＀_x0008_＀＀_x0001_＀＀_x0001_＀＀_x0001_＀＀쓺뺣ဓ䀦摦畳㩰⼯楤敲瑣潩獮䘯呁嘠敩敷㽲捡楴湯唽䑐呁♅牣慥潴㵲慦瑣敳♴奄彎剁升吽啒♅佄彃䅎䕍䘽呁䘺䱑䅟䑕呉义彇䱃䕉呎呟䵅䱐呁⹅䅆♔楤灳慬役瑳楲杮䄽摵瑩嘦剁䬺奅䠽䑏䡗婅婅♕䅖㩒啑剅㵙歒晚啒唵汕卂ㅘ䉚䙔䔹啑䵬南硧䍍礸华礸䑍硅䍌獷䍌湷䕒䵬祊杫祌䙂け晆啔䉖汔䘹歑啬䑋睉呍獅呍癁橍癕橍硁卍㵫圦义佄㵗䥆卒彔佐啐♐䕈䝉呈㐽〵圦䑉䡔㐽〵匦䅔呒䵟塁䵉婉䑅䘽䱁䕓嘦剁䌺䱁久䅄㵒䥆䕖䅄♙䅖㩒奓䉍䱏䈽䅅♖䅖㩒义䕄㵘0뿎䭠I䑇䍞彁佐呓䕒彔佒彁䍁⡔㈱㈯〰ⰲⰬ唬䑓䀩南䡟呌䍈剁彅䍁彔佒⡁㈱㈯〰ⰲⰬ唬䑓착 ＀＀ ＀＀_x0008_＀＀_x0008_＀＀_x0001_＀＀_x0001_＀＀_x0001_＀＀＀＀＀＀＀＀쀰뿎䭠&amp;䑇䍞彁佐呓䕒彔䕂彎䅐䑉ㄨ⼲〲㘰ⰬⰬ单⥄ ＀＀ ＀＀_x0008_＀＀_x0008_＀＀_x0001_＀＀_x0001_＀＀_x0001_＀＀＀＀＀＀＀＀䁆㹳丯R䝍呇䰭乏䙞彆久剔剐噟䱁䑟䥁奌〨⼷㘲㈯㄰ⰱⰬⰬ䐢䱉⤢䔯䅃䵟䅅彎䅓䕌⡓〲〱〬⼷㘲㈯㄰⤱Ơ＀＀ ＀＀ƈ＀＀_x0008_＀＀_x0001_＀＀_x0001_＀＀_x0001_＀＀躢䄶싂䀇摦畳㩰⼯楤敲瑣潩獮䘯呁嘠敩敷㽲捡楴湯唽䑐呁♅牣慥潴㵲慦瑣敳♴奄彎剁升吽啒♅佄彃䅎䕍䘽呁䘺䱑䅟䑕呉义彇䱃䕉呎呟䵅䱐呁⹅䅆♔楤灳慬役瑳楲杮䄽摵瑩嘦剁䬺奅匽䕒䅊䵈午♚䅖㩒啑剅㵙歒晚啒唵汕卂ㅘ䉚䙔䔹啑䵬南睧祎礸楎礸䑍硅䍌獷䍌湷䕒䵬祊癫啒䉎じ䘱啑昵さ䵆噒潍橍硁䍍睷祎礸楎礸䑍硅克㴽圦义佄㵗䥆卒彔佐啐♐䕈䝉呈㐽〵圦䑉䡔㐽〵匦䅔呒䵟塁䵉婉䑅䘽䱁䕓嘦剁䌺䱁久䅄㵒䥆䕖䅄♙䅖㩒奓䉍䱏〽㜵㠵☰䅖㩒义䕄㵘0뿌䭠_x000E_䑇坞当卉彏佃䕄_x001C_＀＀ ＀＀_x0004_＀＀_x0004_＀＀_x0001_＀＀_x0001_＀＀_x0008_＀＀单D熃䯌N䍐幐䙆䕟呎偒归䅖彌䅄䱉⡙㐰ㄯ⼹〲〱ⰬⰬ∬䥄≌⼩䍅彁䕍乁䕟䥂䑔⡁〲〱〬⼴㤱㈯㄰⤰Ɲ＀＀ ＀＀ƅ＀＀_x0008_＀＀_x0001_＀＀_x0001_＀＀_x0001_＀＀⹴졿藨䀣摦畳㩰⼯楤敲瑣潩獮䘯呁嘠敩敷㽲捡楴湯唽䑐呁♅牣慥潴㵲慦瑣敳♴奄彎剁升吽啒♅佄彃䅎䕍䘽呁䘺䱑䅟䑕呉义彇䱃䕉呎呟䵅䱐呁⹅䅆♔楤灳慬役瑳楲杮䄽摵瑩嘦剁䬺奅䤽兔卌䍆䵘♆䅖㩒啑剅㵙歒晚啒唵汕卂ㅘ䉚䙔䔹啑䵬南睧䍎砸协礸䑍睅䍌獷䍌湷䕒䵬祊癫啒䉎じ䘱啑昵啒䩊䕖䉒䑋睉呍獁䑍癑呍癫橍硁䍍㵫圦义佄㵗䥆卒彔佐啐♐䕈䝉呈㐽〵圦䑉䡔㐽〵匦䅔呒䵟塁䵉婉䑅䘽䱁䕓嘦剁䌺䱁久䅄㵒䥆䕖䅄♙䅖㩒奓䉍䱏倽偃嘦剁䤺䑎塅〽찀ꚟ丠N佃幌䙆䕟呎偒归䅖彌䅄䱉⡙㜰ㄯ⼵〲ㄱⰬⰬ∬䥄≌⼩䍅彁䕍乁䕟䥂䑔⡁〲㈱〬⼷㔱㈯㄰⤱Ɲ＀＀ ＀＀ƅ＀＀_x0008_＀＀_x0001_＀＀_x0001_＀＀_x0001_＀＀萑렓_xD819_䀟摦畳㩰⼯楤敲瑣潩獮䘯呁嘠敩敷㽲捡楴湯唽䑐呁♅牣慥潴㵲慦瑣敳♴奄彎剁升吽啒♅佄彃䅎䕍䘽呁䘺䱑䅟䑕呉义彇䱃䕉呎呟䵅䱐呁⹅䅆♔楤灳慬役瑳楲杮䄽摵瑩嘦剁䬺奅䐽䑕䑁偉噃♁䅖㩒啑剅㵙歒晚啒唵汕卂ㅘ䉚䙔䔹啑䵬南睧祎砸华礸䑍硅䍌獷䍌湷䕒䵬祊癫啒䉎じ䘱啑昵啒䩊䕖䉒䑋睉呍獉䑍癣呍癕橍硁卍㵫圦义佄㵗䥆卒彔佐啐♐䕈䝉呈㐽〵圦䑉䡔㐽〵匦䅔呒䵟塁䵉婉䑅䘽䱁䕓嘦剁䌺䱁久䅄㵒䥆䕖䅄♙䅖㩒奓䉍䱏䌽䱏嘦剁䤺䑎塅〽찀뿎䭠O䑇䍞彁佐呓䕒彔䱐乁䅟呓䕟䑎ㄨ⼲〲㠰ⰬⰬ单⥄址当䱈䡔䅃䕒䙟彖十䕓⡔㈱㈯〰ⰸⰬ唬䑓착 ＀＀ ＀＀_x0008_＀＀_x0008_＀＀_x0001_＀＀_x0001_＀＀_x0001_＀＀＀＀＀＀쀀䁴뿎䭠S䑇䍞彁佐呓䕒彔剐佉归剓⡖㈱㈯〰ⰲⰬ唬䑓䀩南䡟呌䍈剁彅乕䕒彃䕓噒䍟协⡔㈱㈯〰ⰲⰬ唬䑓착 ＀＀ ＀＀_x0008_＀＀_x0008_＀＀_x0001_＀＀_x0001_＀＀_x0001_＀＀＀＀＀＀耀䁈뿎䭠)䑇坞当䱈䡔䅃䕒䕟偘䱟彔佒⡁㈱㈯〰ⰴⰬ唬䑓착 ＀＀ ＀＀_x0008_＀＀_x0008_＀＀_x0001_＀＀_x0001_＀＀_x0001_＀＀＀＀＀＀＀＀䀠閸䴬N佃幌䙆䕟呎偒归䅖彌䅄䱉⡙〱㈯⼷〲〱ⰬⰬ∬䥄≌⼩䍅彁䕍乁䕟䥂䑔⡁〲㈱ㄬ⼰㜲㈯㄰⤰Ƙ＀＀ ＀＀ƀ＀＀_x0008_＀＀_x0001_＀＀_x0001_＀＀_x0001_＀＀濺︟穾䀠摦畳㩰⼯楤敲瑣潩獮䘯呁嘠敩敷㽲捡楴湯唽䑐呁♅牣慥潴㵲慦瑣敳♴奄彎剁升吽啒♅佄彃䅎䕍䘽呁䘺䱑䅟䑕呉义彇䱃䕉呎呟䵅䱐呁⹅䅆♔楤灳慬役瑳楲杮䄽摵瑩嘦剁䬺奅䄽奎啒䵆䝂♖䅖㩒啑剅㵙歒晚啒唵汕卂ㅘ䉚䙔䔹啑䵬南硧䍍礸祎礸䑍睅䍌獷䍌湷䕒䵬祊癫啒䉎じ䘱啑昵啒䩊䕖䉒䑋睉呍獉呍癁橍癣橍硁䍍㵫圦义佄㵗䥆卒彔佐啐♐䕈䝉呈㐽〵圦䑉䡔㐽〵匦䅔呒䵟塁䵉婉䑅䘽䱁䕓嘦剁䌺䱁久䅄㵒单嘦剁区䵙佂㵌佃♌䅖㩒义䕄㵘0뿎䭠H䑇䍞彁䕐华卟噒䍟协⡔㈱㈯〰ⰴⰬ唬䑓䀩南偟久䥓乏卟剅彖佃呓ㄨ⼲〲㐰ⰬⰬ单⥄ ＀＀ ＀＀_x0008_＀＀_x0008_＀＀_x0001_＀＀_x0001_＀＀_x0001_＀＀＀＀＀＀耀䁫ꚨ丠 䑇䕞䅃䵟䅅彎䉅呉⡄㌫〬⼷㔱㈯㄰⤱!＀＀ ＀＀	＀＀_x0008_＀＀_x0001_＀＀_x0001_＀＀_x0001_＀＀炤਽䬗䂳찀㹴丯 䑇䕞䅃䵟䅅彎䉅呉⡄㌫〬⼷㘲㈯㄰⤱!＀＀ ＀＀	＀＀_x0008_＀＀_x0001_＀＀_x0001_＀＀_x0001_＀＀삃ꇊ䩅䂳찀뿎䭠F䑇䍞彁佐呓䕒彔佃呓ㄨ⼲〲㘰ⰬⰬ单⥄址当䱈䡔䅃䕒也偐䕟偘ㄨ⼲〲㘰ⰬⰬ单⥄ ＀＀ ＀＀_x0008_＀＀_x0008_＀＀_x0001_＀＀_x0001_＀＀_x0001_＀＀＀＀＀＀耀䁑뿎䭠'䑇䍞彁䕐华偟剁彔佃呎䥒⡂㈱㈯〰ⰶⰬ唬䑓착 ＀＀ ＀＀_x0008_＀＀_x0008_＀＀_x0001_＀＀_x0001_＀＀_x0001_＀＀＀＀＀＀＀＀＀＀뿎䭠G䑇䍞彁䕐华䥟呎䍟协⡔㈱㈯〰ⰳⰬ唬䑓䀩南偟久䥓乏䥟呎䍟协⡔㈱㈯〰ⰳⰬ唬䑓착 ＀＀ ＀＀_x0008_＀＀_x0008_＀＀_x0001_＀＀_x0001_＀＀_x0001_＀＀＀＀＀＀＀＀䁸뿎䭠P䑇䍞彁䕐华䅟䍃䵕䍟䵏剐义⡃㈱㈯〰ⰶⰬ唬䑓䀩南䍟䵏剐䥟䍎偟久当䥌䉁ㄨ⼲〲㘰ⰬⰬ单⥄ ＀＀ ＀＀_x0008_＀＀_x0008_＀＀_x0001_＀＀_x0001_＀＀_x0001_＀＀豀碵꼝쐕뿍䭠:䑇坞当䕐华佉彎十䕓協偟佒⡐㈱㈯〰⤵䍀彁䕐华偟呃剟⡅㈱㈯〰⤵ ＀＀ ＀＀_x0008_＀＀_x0008_＀＀_x0001_＀＀_x0001_＀＀_x0001_＀＀＀＀＀＀＀＀＀＀뿎䭠.䑇坞当䱈䡔䅃䕒䅟位呒卟剅彖佃呓ㄨ⼲〲㐰ⰬⰬ单⥄ ＀＀ ＀＀_x0008_＀＀_x0008_＀＀_x0001_＀＀_x0001_＀＀_x0001_＀＀＀＀＀＀＀＀뿰뿎䭠#䑇䍞彁䕐华䱟彔䥌䉁⡓㈱㈯〰ⰲⰬ唬䑓착 ＀＀ ＀＀_x0008_＀＀_x0008_＀＀_x0001_＀＀_x0001_＀＀_x0001_＀＀豀碵꼝쐕㹰丯M䍐幐䙆䕟呎偒归䅖彌䅄䱉⡙㜰㈯⼶〲ㄱⰬⰬ∬䥄≌⼩䍅彁䕍乁卟䱁卅㈨㄰ⰲ㜰㈯⼶〲ㄱ착Ɲ＀＀ ＀＀ƅ＀＀_x0008_＀＀_x0001_＀＀_x0001_＀＀_x0001_＀＀惘슣ḋ䀆摦畳㩰⼯楤敲瑣潩獮䘯呁嘠敩敷㽲捡楴湯唽䑐呁♅牣慥潴㵲慦瑣敳♴奄彎剁升吽啒♅佄彃䅎䕍䘽呁䘺䱑䅟䑕呉义彇䱃䕉呎呟䵅䱐呁⹅䅆♔楤灳慬役瑳楲杮䄽摵瑩嘦剁䬺奅伽兒䝖䅒䵖♐䅖㩒啑剅㵙歒晚啒唵汕卂ㅘ䉚䙔䔹啑䵬南睧祎礸楎礸䑍硅䍌獷䍌湷䕒䵬祊癫啒䉎じ䘱啑昵さ䵆噒潍橍硁楍睷祎礸楎礸䑍硅克㴽圦义佄㵗䥆卒彔佐啐♐䕈䝉呈㐽〵圦䑉䡔㐽〵匦䅔呒䵟塁䵉婉䑅䘽䱁䕓嘦剁䌺䱁久䅄㵒䥆䕖䅄♙䅖㩒奓䉍䱏倽偃嘦剁䤺䑎塅〽찀뿎䭠&amp;䑇坞当䕐华佉彎䕎彔䥌䉁ㄨ⼲〲㠰ⰬⰬ单⥄ ＀＀ ＀＀_x0008_＀＀_x0008_＀＀_x0001_＀＀_x0001_＀＀_x0001_＀＀豀碵꼝쐕ᦨ产O位⹇幁䙆䕟呎偒归䅖彌䅄䱉⡙〱㈯⼵〲ㄱⰬⰬ∬䥄≌⼩䍅彁䕍乁卟䱁卅㈨㄰ⰰ〱㈯⼵〲ㄱ착Ɵ＀＀ ＀＀Ƈ＀＀_x0008_＀＀_x0001_＀＀_x0001_＀＀_x0001_＀＀훶睾껯㿱摦畳㩰⼯楤敲瑣潩獮䘯呁嘠敩敷㽲捡楴湯唽䑐呁♅牣慥潴㵲慦瑣敳♴奄彎剁升吽啒♅佄彃䅎䕍䘽呁䘺䱑䅟䑕呉义彇䱃䕉呎呟䵅䱐呁⹅䅆♔楤灳慬役瑳楲杮䄽摵瑩嘦剁䬺奅䠽䙇䡙剅呋♇䅖㩒啑剅㵙歒晚啒唵汕卂ㅘ䉚䙔䔹啑䵬南硧䍍礸华礸䑍硅䍌獷䍌湷䕒䵬祊杫祌䙂け晆啔䉖汔吹啑䙸祕祧䑍睅䑌睅穌ㅉ穌睉呍灅圦义佄㵗䥆卒彔佐啐♐䕈䝉呈㐽〵圦䑉䡔㐽〵匦䅔呒䵟塁䵉婉䑅䘽䱁䕓嘦剁䌺䱁久䅄㵒䥆䕖䅄♙䅖㩒奓䉍䱏䴽䝏䄮嘦剁䤺䑎塅〽찀듫䷰Q䝍呇䰭乏䙞彆久剔剐噟䱁䑟䥁奌〨⼴㔱㈯㄰ⰱⰬⰬ䐢䱉⤢䔯䅃䵟䅅彎䉅呉㈨㄰ⰰ㐰ㄯ⼵〲ㄱ착Ɨ＀＀ ＀＀ſ＀＀_x0008_＀＀_x0001_＀＀_x0001_＀＀_x0001_＀＀᫚쨿䀥摦畳㩰⼯楤敲瑣潩獮䘯呁嘠敩敷㽲捡楴湯唽䑐呁♅牣慥潴㵲慦瑣敳♴奄彎剁升吽啒♅佄彃䅎䕍䘽呁䘺䱑䅟䑕呉义彇䱃䕉呎呟䵅䱐呁⹅䅆♔楤灳慬役瑳楲杮䄽摵瑩嘦剁䬺奅唽坌䕚䝐䵐♂䅖㩒啑剅㵙歒晚啒唵汕卂ㅘ䉚䙔䔹啑䵬南睧䍎砸华礸䑍硅䍌獷䍌湷䕒䵬祊癫啒䉎じ䘱啑昵啒䩊䍖祧䑍睅䑌ぁ穌ㅅ穌睉呍灅圦义佄㵗䥆卒彔佐啐♐䕈䝉呈㐽〵圦䑉䡔㐽〵匦䅔呒䵟塁䵉婉䑅䘽䱁䕓嘦剁䌺䱁久䅄㵒单嘦剁区䵙佂㵌㔰㔷〸嘦剁䤺䑎塅〽찀듪䷰S䝍呇䰭乏䙞彆久剔剐噟䱁䑟䥁奌〨⼴㔱㈯㄰ⰱⰬⰬ䐢䱉⤢䔯䅃䵟䅅彎䉅呉䅄㈨㄰ⰰ㐰ㄯ⼵〲ㄱ착ƛ＀＀ ＀＀ƃ＀＀_x0008_＀＀_x0001_＀＀_x0001_＀＀_x0001_＀＀䍠ﱼ䀡摦畳㩰⼯楤敲瑣潩獮䘯呁嘠敩敷㽲捡楴湯唽䑐呁♅牣慥潴㵲慦瑣敳♴奄彎剁升吽啒♅佄彃䅎䕍䘽呁䘺䱑䅟䑕呉义彇䱃䕉呎呟䵅䱐呁⹅䅆♔楤灳慬役瑳楲杮䄽摵瑩嘦剁䬺奅䌽䥖䕄䭌䭖♆䅖㩒啑剅㵙歒晚啒唵汕卂ㅘ䉚䙔䔹啑䵬南睧䍎砸华礸䑍硅䍌獷䍌湷䕒䵬祊癫啒䉎じ䘱啑昵啒䩊䕖䉒䑋睉呍獁䑍癑呍癕橍硁卍㵫圦义佄㵗䥆卒彔佐啐♐䕈䝉呈㐽〵圦䑉䡔㐽〵匦䅔呒䵟塁䵉婉䑅䘽䱁䕓嘦剁䌺䱁久䅄㵒单嘦剁区䵙佂㵌㔰㔷〸嘦剁䤺䑎塅〽찀ꬬ䶨_x0017_䵌幔䝆偟䥒䕃 ⼱〱㈯㄰찱!＀＀ ＀＀	＀＀_x0008_＀＀_x0001_＀＀_x0001_＀＀_x0001_＀＀⣶轜旂䁒찀閻䴬Q䝍呇䰭乏䙞彆久剔剐噟䱁䑟䥁奌ㄨ⼰㜲㈯㄰ⰰⰬⰬ䐢䱉⤢䔯䅃䵟䅅彎䉅呉㈨㄰ⰲ〱㈯⼷〲〱착Ɨ＀＀ ＀＀ſ＀＀_x0008_＀＀_x0001_＀＀_x0001_＀＀_x0001_＀＀䍗瑥䔡䀢摦畳㩰⼯楤敲瑣潩獮䘯呁嘠敩敷㽲捡楴湯唽䑐呁♅牣慥潴㵲慦瑣敳♴奄彎剁升吽啒♅佄彃䅎䕍䘽呁䘺䱑䅟䑕呉义彇䱃䕉呎呟䵅䱐呁⹅䅆♔楤灳慬役瑳楲杮䄽摵瑩嘦剁䬺奅䌽奐䭖䝎华♈䅖㩒啑剅㵙歒晚啒唵汕卂ㅘ䉚䙔䔹啑䵬南硧䍍礸祎礸䑍睅䍌獷䍌湷䕒䵬祊癫啒䉎じ䘱啑昵啒䩊䍖祧䑍祅䑌睅穌㍉穌睉呍灁圦义佄㵗䥆卒彔佐啐♐䕈䝉呈㐽〵圦䑉䡔㐽〵匦䅔呒䵟塁䵉婉䑅䘽䱁䕓嘦剁䌺䱁久䅄㵒单嘦剁区䵙佂㵌㔰㔷〸嘦剁䤺䑎塅〽찀閺䴬$䝍呇䰭乏䕞彃䕍乁偟⡅〲ㄱㄬ⼰㜲㈯㄰⤰!＀＀ ＀＀	＀＀_x0008_＀＀_x0001_＀＀_x0001_＀＀_x0001_＀＀贙幼ೱ䀦찀ꬭ䶨_x001B_低幃䍅彁䕍乁䕟卐䍟䱁⡁〲㈱착!＀＀ ＀＀	＀＀_x0008_＀＀_x0001_＀＀_x0001_＀＀_x0001_＀＀⇀꥔珙䀜찀뿎䭠+䑇䍞彁佐呓䕒彔䵅彐佃呎䥒彂⡃㈱㈯〰ⰲⰬ唬䑓착 ＀＀ ＀＀_x0008_＀＀_x0008_＀＀_x0001_＀＀_x0001_＀＀_x0001_＀＀＀＀＀＀＀＀䁀뿍䭠:䑇坞当䕐华佉彎十䕓協䕟啑⡉㈱㈯〰⤶䍀彁䕐华偟呃䕟⡑㈱㈯〰⤶ ＀＀ ＀＀_x0008_＀＀_x0008_＀＀_x0001_＀＀_x0001_＀＀_x0001_＀＀＀＀＀＀쀀䁘ꎑ䶨M䕂噁䙞彆久剔剐噟䱁䑟䥁奌〨⼱ㄱ㈯㄰ⰱⰬⰬ䐢䱉⤢䔯䅃䵟䅅彎䉅呉㈨㄰ⰱ㄰ㄯ⼱〲ㄱ착ƚ＀＀ ＀＀Ƃ＀＀_x0008_＀＀_x0001_＀＀_x0001_＀＀_x0001_＀＀粒涳ꊆ䀨摦畳㩰⼯楤敲瑣潩獮䘯呁嘠敩敷㽲捡楴湯唽䑐呁♅牣慥潴㵲慦瑣敳♴奄彎剁升吽啒♅佄彃䅎䕍䘽呁䘺䱑䅟䑕呉义彇䱃䕉呎呟䵅䱐呁⹅䅆♔楤灳慬役瑳楲杮䄽摵瑩嘦剁䬺奅夽䍂啂兆坒♔䅖㩒啑剅㵙歒晚啒唵汕卂ㅘ䉚䙔䔹啑䵬南睧卍砸卍礸䑍硅䍌獷䍌湷䕒䵬祊癫啒䉎じ䘱啑昵啒䩊䍖祧䑍硅䑌硁穌硅穌睉呍灅圦义佄㵗䥆卒彔佐啐♐䕈䝉呈㐽〵圦䑉䡔㐽〵匦䅔呒䵟塁䵉婉䑅䘽䱁䕓嘦剁䌺䱁久䅄㵒䥆䕖䅄♙䅖㩒奓䉍䱏䈽䅅♖䅖㩒义䕄㵘0閼䴬_x001F_䑇䕞䅃䵟䅅彎䉅呉⬨ⰳ㄰ㄯ⼱〲ㄱ착!＀＀ ＀＀	＀＀_x0008_＀＀_x0001_＀＀_x0001_＀＀_x0001_＀＀㌳㌳갓䂰찀뿎䭠$䑇䍞彁䕐华䱟彔十䕓協ㄨ⼲〲㘰ⰬⰬ单⥄ ＀＀ ＀＀_x0008_＀＀_x0008_＀＀_x0001_＀＀_x0001_＀＀_x0001_＀＀＀＀＀＀ꀀ䁺뿎䭠I䑇䍞彁䕐华剟䅏剟呁⡅㈱㈯〰ⰷⰬ唬䑓䀩南偟久䥓乏䕟偘䱟彔佒⡁㈱㈯〰ⰷⰬ唬䑓착 ＀＀ ＀＀_x0008_＀＀_x0008_＀＀_x0001_＀＀_x0001_＀＀_x0001_＀＀Ẹ㡑䀠熁䯌M佃幌䙆䕟呎偒归䅖彌䅄䱉⡙㐰ㄯ⼹〲〱ⰬⰬ∬䥄≌⼩䍅彁䕍乁卟䱁卅㈨㄰ⰰ㐰ㄯ⼹〲〱착Ɲ＀＀ ＀＀ƅ＀＀_x0008_＀＀_x0001_＀＀_x0001_＀＀_x0001_＀＀櫳㟴䀂摦畳㩰⼯楤敲瑣潩獮䘯呁嘠敩敷㽲捡楴湯唽䑐呁♅牣慥潴㵲慦瑣敳♴奄彎剁升吽啒♅佄彃䅎䕍䘽呁䘺䱑䅟䑕呉义彇䱃䕉呎呟䵅䱐呁⹅䅆♔楤灳慬役瑳楲杮䄽摵瑩嘦剁䬺奅夽奚坆奆啂♆䅖㩒啑剅㵙歒晚啒唵汕卂ㅘ䉚䙔䔹啑䵬南睧䍎砸协礸䑍睅䍌獷䍌湷䕒䵬祊癫啒䉎じ䘱啑昵さ䵆噒潍橍硁䍍睷䍎砸协礸䑍睅克㴽圦义佄㵗䥆卒彔佐啐♐䕈䝉呈㐽〵圦䑉䡔㐽〵匦䅔呒䵟塁䵉婉䑅䘽䱁䕓嘦剁䌺䱁久䅄㵒䥆䕖䅄♙䅖㩒奓䉍䱏䌽䱏嘦剁䤺䑎塅〽찀ꚟ丠!位⹇幁䍅䵟䅅彎䕐㈨㄰ⰰ㜰ㄯ⼵〲ㄱ착!＀＀ ＀＀	＀＀_x0008_＀＀_x0001_＀＀_x0001_＀＀_x0001_＀＀ꨑځ䀲찀㹭丯!位⹇幁䍅䵟䅅彎䕐㈨㄰ⰰ㜰㈯⼶〲ㄱ착!＀＀ ＀＀	＀＀_x0008_＀＀_x0001_＀＀_x0001_＀＀_x0001_＀＀ꩥ呠䀱찀뿎䭠F䑇䍞彁䕐华也呅䍟协⡔㈱㈯〰ⰸⰬ唬䑓䀩南偟久䥓乏也偐䕟偘ㄨ⼲〲㠰ⰬⰬ单⥄ ＀＀ ＀＀_x0008_＀＀_x0008_＀＀_x0001_＀＀_x0001_＀＀_x0001_＀＀＀＀＀＀＀＀䀴ꎝ䶨 䑇䕞䅃䵟䅅彎䉅呉⡄ㄫ〬⼴㔱㈯㄰⤱!＀＀ ＀＀	＀＀_x0008_＀＀_x0001_＀＀_x0001_＀＀_x0001_＀＀司ꗣ뙻䂱찀뿎䭠,䑇䍞彁佐呓䕒彔剕呟归䉏䅟位呒ㄨ⼲〲㌰ⰬⰬ单⥄ ＀＀ ＀＀_x0008_＀＀_x0008_＀＀_x0001_＀＀_x0001_＀＀_x0001_＀＀＀＀＀＀＀＀䀦閲䴬_x001F_䑇䙞䍟䵏卟䅈䕒当問⡔低ⱗⰬ刢∸착!＀＀ ＀＀	＀＀_x0008_＀＀_x0001_＀＀_x0001_＀＀_x0001_＀＀럩ί鯧䁷찀ꬭ䶨_x001B_呒幎䍅彁䕍乁䕟卐䍟䱁⡁〲㈱착!＀＀ ＀＀	＀＀_x0008_＀＀_x0001_＀＀_x0001_＀＀_x0001_＀＀笃ꑌ᬴䀖찀뿎䭠$䑇䍞彁䕐华䍟剕䱟䅉卂ㄨ⼲〲㈰ⰬⰬ单⥄ ＀＀ ＀＀_x0008_＀＀_x0008_＀＀_x0001_＀＀_x0001_＀＀_x0001_＀＀豀碵꼝쐕뿎䭠#䑇䍞彁䕐华䱟彔䥌䉁⡓㈱㈯〰ⰸⰬ唬䑓착 ＀＀ ＀＀_x0008_＀＀_x0008_＀＀_x0001_＀＀_x0001_＀＀_x0001_＀＀＀＀＀＀쐀䂤ᦫ产_x001F_䑇䕞䅃䵟䅅彎䉅呉⬨ⰲ〱㈯⼵〲ㄱ착!＀＀ ＀＀	＀＀_x0008_＀＀_x0001_＀＀_x0001_＀＀_x0001_＀＀슏⣵䪼䂰찀熁䯌M䕂噁䙞彆久剔剐噟䱁䑟䥁奌〨⼴㤱㈯㄰ⰰⰬⰬ䐢䱉⤢䔯䅃䵟䅅彎䉅呉㈨㄰ⰱ㐰ㄯ⼹〲〱착ƚ＀＀ ＀＀Ƃ＀＀_x0008_＀＀_x0001_＀＀_x0001_＀＀_x0001_＀＀갱ᑿ过䀤摦畳㩰⼯楤敲瑣潩獮䘯呁嘠敩敷㽲捡楴湯唽䑐呁♅牣慥潴㵲慦瑣敳♴奄彎剁升吽啒♅佄彃䅎䕍䘽呁䘺䱑䅟䑕呉义彇䱃䕉呎呟䵅䱐呁⹅䅆♔楤灳慬役瑳楲杮䄽摵瑩嘦剁䬺奅䬽卐䝒䍄佌♒䅖㩒啑剅㵙歒晚啒唵汕卂ㅘ䉚䙔䔹啑䵬南睧䍎砸协礸䑍睅䍌獷䍌湷䕒䵬祊癫啒䉎じ䘱啑昵啒䩊䍖祧䑍硅䑌ぁ穌㕅穌睉呍灁圦义佄㵗䥆卒彔佐啐♐䕈䝉呈㐽〵圦䑉䡔㐽〵匦䅔呒䵟塁䵉婉䑅䘽䱁䕓嘦剁䌺䱁久䅄㵒䥆䕖䅄♙䅖㩒奓䉍䱏䈽䅅♖䅖㩒义䕄㵘0ꚝ丠O䕂噁䙞彆久剔剐噟䱁䑟䥁奌〨⼷㔱㈯㄰ⰱⰬⰬ䐢䱉⤢䔯䅃䵟䅅彎䉅呉䅄㈨㄰ⰰ㜰ㄯ⼵〲ㄱ착ƞ＀＀ ＀＀Ɔ＀＀_x0008_＀＀_x0001_＀＀_x0001_＀＀_x0001_＀＀晞癦毭䀬摦畳㩰⼯楤敲瑣潩獮䘯呁嘠敩敷㽲捡楴湯唽䑐呁♅牣慥潴㵲慦瑣敳♴奄彎剁升吽啒♅佄彃䅎䕍䘽呁䘺䱑䅟䑕呉义彇䱃䕉呎呟䵅䱐呁⹅䅆♔楤灳慬役瑳楲杮䄽摵瑩嘦剁䬺奅丽䱁䡉婑䩕♅䅖㩒啑剅㵙歒晚啒唵汕卂ㅘ䉚䙔䔹啑䵬南睧祎砸华礸䑍硅䍌獷䍌湷䕒䵬祊癫啒䉎じ䘱啑昵啒䩊䕖䉒䑋睉呍獁䑍癣呍癕橍硁卍㵫圦义佄㵗䥆卒彔佐啐♐䕈䝉呈㐽〵圦䑉䡔㐽〵匦䅔呒䵟塁䵉婉䑅䘽䱁䕓嘦剁䌺䱁久䅄㵒䥆䕖䅄♙䅖㩒奓䉍䱏䈽䅅♖䅖㩒义䕄㵘0듨䷰P位⹇幁䙆䕟呎偒归䅖彌䅄䱉⡙㐰ㄯ⼵〲ㄱⰬⰬ∬䥄≌⼩䍅彁䕍乁䕟䥂䑔⡁〲ㄱ〬⼴㔱㈯㄰⤱ƚ＀＀ ＀＀Ƃ＀＀_x0008_＀＀_x0001_＀＀_x0001_＀＀_x0001_＀＀酾懦ꎊ䀠摦畳㩰⼯楤敲瑣潩獮䘯呁嘠敩敷㽲捡楴湯唽䑐呁♅牣慥潴㵲慦瑣敳♴奄彎剁升吽啒♅佄彃䅎䕍䘽呁䘺䱑䅟䑕呉义彇䱃䕉呎呟䵅䱐呁⹅䅆♔楤灳慬役瑳楲杮䄽摵瑩嘦剁䬺奅䄽兊䝐䵊坚♔䅖㩒啑剅㵙歒晚啒唵汕卂ㅘ䉚䙔䔹啑䵬南睧䍎砸华礸䑍硅䍌獷䍌湷䕒䵬祊癫啒䉎じ䘱啑昵啒䩊䕖䉒䑋睉呍獅䑍癑呍癕橍硁卍㵫圦义佄㵗䥆卒彔佐啐♐䕈䝉呈㐽〵圦䑉䡔㐽〵匦䅔呒䵟塁䵉婉䑅䘽䱁䕓嘦剁䌺䱁久䅄㵒单嘦剁区䵙佂㵌位⹇♁䅖㩒义䕄㵘0ꎝ䶨 䑇䕞䅃䵟䅅彎䅓䕌⡓㌫〬⼴㔱㈯㄰⤱!＀＀ ＀＀	＀＀_x0008_＀＀_x0001_＀＀_x0001_＀＀_x0001_＀＀ᑺ_xDCC6_䃡찀熃䯌L䍐幐䙆䕟呎偒归䅖彌䅄䱉⡙㐰ㄯ⼹〲〱ⰬⰬ∬䥄≌⼩䍅彁䕍乁䕟䥂⡔〲㈱〬⼴㤱㈯㄰⤰ƙ＀＀ ＀＀Ɓ＀＀_x0008_＀＀_x0001_＀＀_x0001_＀＀_x0001_＀＀愶霯蕧䀡摦畳㩰⼯楤敲瑣潩獮䘯呁嘠敩敷㽲捡楴湯唽䑐呁♅牣慥潴㵲慦瑣敳♴奄彎剁升吽啒♅佄彃䅎䕍䘽呁䘺䱑䅟䑕呉义彇䱃䕉呎呟䵅䱐呁⹅䅆♔楤灳慬役瑳楲杮䄽摵瑩嘦剁䬺奅伽䕘坊坒䝔♈䅖㩒啑剅㵙歒晚啒唵汕卂ㅘ䉚䙔䔹啑䵬南睧䍎砸协礸䑍睅䍌獷䍌湷䕒䵬祊癫啒䉎じ䘱啑昵啒䩊䍖祧䑍祅䑌ぁ穌㕅穌睉呍灁圦义佄㵗䥆卒彔佐啐♐䕈䝉呈㐽〵圦䑉䡔㐽〵匦䅔呒䵟塁䵉婉䑅䘽䱁䕓嘦剁䌺䱁久䅄㵒䥆䕖䅄♙䅖㩒奓䉍䱏倽偃嘦剁䤺䑎塅〽찀뿎䭠+䑇䍞彁佐呓䕒彔䵅彐佃呎䥒彂⡃㈱㈯〰ⰸⰬ唬䑓착 ＀＀ ＀＀_x0008_＀＀_x0008_＀＀_x0001_＀＀_x0001_＀＀_x0001_＀＀＀＀＀＀쀀䁗뿎䭠(䑇䍞彁䕐华䕟偍䍟乏剔䉉䍟ㄨ⼲〲㐰ⰬⰬ单⥄ ＀＀ ＀＀_x0008_＀＀_x0008_＀＀_x0001_＀＀_x0001_＀＀_x0001_＀＀＀＀＀＀＀＀䀿ꚢ丠N䍐幐䙆䕟呎偒归䅖彌䅄䱉⡙㜰ㄯ⼵〲ㄱⰬⰬ∬䥄≌⼩䍅彁䕍乁䕟䥂䑔⡁〲〱〬⼷㔱㈯㄰⤱Ɲ＀＀ ＀＀ƅ＀＀_x0008_＀＀_x0001_＀＀_x0001_＀＀_x0001_＀＀︁댔䀪摦畳㩰⼯楤敲瑣潩獮䘯呁嘠敩敷㽲捡楴湯唽䑐呁♅牣慥潴㵲慦瑣敳♴奄彎剁升吽啒♅佄彃䅎䕍䘽呁䘺䱑䅟䑕呉义彇䱃䕉呎呟䵅䱐呁⹅䅆♔楤灳慬役瑳楲杮䄽摵瑩嘦剁䬺奅丽䑃婗䡙䱑♙䅖㩒啑剅㵙歒晚啒唵汕卂ㅘ䉚䙔䔹啑䵬南睧祎砸华礸䑍硅䍌獷䍌湷䕒䵬祊癫啒䉎じ䘱啑昵啒䩊䕖䉒䑋睉呍獁䑍癣呍癕橍硁卍㵫圦义佄㵗䥆卒彔佐啐♐䕈䝉呈㐽〵圦䑉䡔㐽〵匦䅔呒䵟塁䵉婉䑅䘽䱁䕓嘦剁䌺䱁久䅄㵒䥆䕖䅄♙䅖㩒奓䉍䱏倽偃嘦剁䤺䑎塅〽찀閶䴬O䕂噁䙞彆久剔剐噟䱁䑟䥁奌ㄨ⼰㜲㈯㄰ⰰⰬⰬ䐢䱉⤢䔯䅃䵟䅅彎䉅呉䅄㈨㄰ⰰ〱㈯⼷〲〱착ƙ＀＀ ＀＀Ɓ＀＀_x0008_＀＀_x0001_＀＀_x0001_＀＀_x0001_＀＀碨ᦰ펹䀧摦畳㩰⼯楤敲瑣潩獮䘯呁嘠敩敷㽲捡楴湯唽䑐呁♅牣慥潴㵲慦瑣敳♴奄彎剁升吽啒♅佄彃䅎䕍䘽呁䘺䱑䅟䑕呉义彇䱃䕉呎呟䵅䱐呁⹅䅆♔楤灳慬役瑳楲杮䄽摵瑩嘦剁䬺奅匽児䵚䅒卐♚䅖㩒啑剅㵙歒晚啒唵汕卂ㅘ䉚䙔䔹啑䵬南硧䍍礸祎礸䑍睅䍌獷䍌湷䕒䵬祊癫啒䉎じ䘱啑昵啒䩊䕖䉒䑋睉呍獁呍癁橍癣橍硁䍍㵫圦义佄㵗䥆卒彔佐啐♐䕈䝉呈㐽〵圦䑉䡔㐽〵匦䅔呒䵟塁䵉婉䑅䘽䱁䕓嘦剁䌺䱁久䅄㵒单嘦剁区䵙佂㵌䕂噁嘦剁䤺䑎塅〽찀霰䴬_x0017_䱌幌䝆偟䥒䕃 ⼷㠲㈯㄰찰!＀＀ ＀＀	＀＀_x0008_＀＀_x0001_＀＀_x0001_＀＀_x0001_＀＀롒蔞臫䁒찀뿎䭠O䑇䍞彁佐呓䕒彔䱐乁䅟呓䕟䑎ㄨ⼲〲㄰ⰬⰬ单⥄址当䱈䡔䅃䕒䙟彖十䕓⡔㈱㈯〰ⰱⰬ唬䑓착 ＀＀ ＀＀_x0008_＀＀_x0008_＀＀_x0001_＀＀_x0001_＀＀_x0001_＀＀＀＀＀＀䀀䁴뿎䭠&amp;䑇䍞彁䕐华䙟乕彄呓呁单ㄨ⼲〲㘰ⰬⰬ单⥄ ＀＀ ＀＀_x0008_＀＀_x0008_＀＀_x0001_＀＀_x0001_＀＀_x0001_＀＀＀＀＀＀耀쁄ᦟ产_x001A_䑇灞灟楲散桟杩彨㈵⡗㠳ㄷ⤷!＀＀ ＀＀	＀＀_x0008_＀＀_x0001_＀＀_x0001_＀＀_x0001_＀＀竡긔酇䁎찀듧䷰M佃幌䙆䕟呎偒归䅖彌䅄䱉⡙㐰ㄯ⼵〲ㄱⰬⰬ∬䥄≌⼩䍅彁䕍乁卟䱁卅㈨㄰ⰲ㐰ㄯ⼵〲ㄱ착Ƙ＀＀ ＀＀ƀ＀＀_x0008_＀＀_x0001_＀＀_x0001_＀＀_x0001_＀＀ރ骏륣㿾摦畳㩰⼯楤敲瑣潩獮䘯呁嘠敩敷㽲捡楴湯唽䑐呁♅牣慥潴㵲慦瑣敳♴奄彎剁升吽啒♅佄彃䅎䕍䘽呁䘺䱑䅟䑕呉义彇䱃䕉呎呟䵅䱐呁⹅䅆♔楤灳慬役瑳楲杮䄽摵瑩嘦剁䬺奅伽䍖䍎午䵔♊䅖㩒啑剅㵙歒晚啒唵汕卂ㅘ䉚䙔䔹啑䵬南睧䍎砸华礸䑍硅䍌獷䍌湷䕒䵬祊癫啒䉎じ䘱啑昵さ䵆噒潍橍硁楍睷䍎砸华礸䑍硅克㴽圦义佄㵗䥆卒彔佐啐♐䕈䝉呈㐽〵圦䑉䡔㐽〵匦䅔呒䵟塁䵉婉䑅䘽䱁䕓嘦剁䌺䱁久䅄㵒单嘦剁区䵙佂㵌佃♌䅖㩒义䕄㵘0閹䴬O位⹇幁䙆䕟呎偒归䅖彌䅄䱉⡙〱㈯⼷〲〱ⰬⰬ∬䥄≌⼩䍅彁䕍乁卟䱁卅㈨㄰ⰲ〱㈯⼷〲〱착ƚ＀＀ ＀＀Ƃ＀＀_x0008_＀＀_x0001_＀＀_x0001_＀＀_x0001_＀＀谂ྂ術㿯摦畳㩰⼯楤敲瑣潩獮䘯呁嘠敩敷㽲捡楴湯唽䑐呁♅牣慥潴㵲慦瑣敳♴奄彎剁升吽啒♅佄彃䅎䕍䘽呁䘺䱑䅟䑕呉义彇䱃䕉呎呟䵅䱐呁⹅䅆♔楤灳慬役瑳楲杮䄽摵瑩嘦剁䬺奅䌽博䍒佘啘♌䅖㩒啑剅㵙歒晚啒唵汕卂ㅘ䉚䙔䔹啑䵬南硧䍍礸祎礸䑍睅䍌獷䍌湷䕒䵬祊癫啒䉎じ䘱啑昵さ䵆噒潍橍硁楍硷䍍礸祎礸䑍睅克㴽圦义佄㵗䥆卒彔佐啐♐䕈䝉呈㐽〵圦䑉䡔㐽〵匦䅔呒䵟塁䵉婉䑅䘽䱁䕓嘦剁䌺䱁久䅄㵒单嘦剁区䵙佂㵌位⹇♁䅖㩒义䕄㵘0ꬭ䶨_x001A_䑇䕞䅃䵟䅅彎偅当䅃䅌㈨㄰⤲!＀＀ ＀＀	＀＀_x0008_＀＀_x0001_＀＀_x0001_＀＀_x0001_＀＀衈ײ䀞찀뿎䭠E䑇䍞彁䕐华剟䅏䅟呃ㄨ⼲〲㈰ⰬⰬ单⥄址当䕐华佉彎䍁彔佒⡁㈱㈯〰ⰲⰬ唬䑓착 ＀＀ ＀＀_x0008_＀＀_x0008_＀＀_x0001_＀＀_x0001_＀＀_x0001_＀＀＀＀＀＀怀쁾閺䴬N䍐幐䙆䕟呎偒归䅖彌䅄䱉⡙〱㈯⼷〲〱ⰬⰬ∬䥄≌⼩䍅彁䕍乁䕟䥂䑔⡁〲〱ㄬ⼰㜲㈯㄰⤰Ƙ＀＀ ＀＀ƀ＀＀_x0008_＀＀_x0001_＀＀_x0001_＀＀_x0001_＀＀䦱賬ṹ䀧摦畳㩰⼯楤敲瑣潩獮䘯呁嘠敩敷㽲捡楴湯唽䑐呁♅牣慥潴㵲慦瑣敳♴奄彎剁升吽啒♅佄彃䅎䕍䘽呁䘺䱑䅟䑕呉义彇䱃䕉呎呟䵅䱐呁⹅䅆♔楤灳慬役瑳楲杮䄽摵瑩嘦剁䬺奅䴽䵈䅂䅌坖♄䅖㩒啑剅㵙歒晚啒唵汕卂ㅘ䉚䙔䔹啑䵬南硧䍍礸祎礸䑍睅䍌獷䍌湷䕒䵬祊癫啒䉎じ䘱啑昵啒䩊䕖䉒䑋睉呍獁呍癁橍癣橍硁䍍㵫圦义佄㵗䥆卒彔佐啐♐䕈䝉呈㐽〵圦䑉䡔㐽〵匦䅔呒䵟塁䵉婉䑅䘽䱁䕓嘦剁䌺䱁久䅄㵒单嘦剁区䵙佂㵌䍐♐䅖㩒义䕄㵘0ꚤ丠$䝍呇䰭乏䕞彃䕍乁偟⡅〲ㄱ〬⼷㔱㈯㄰⤱!＀＀ ＀＀	＀＀_x0008_＀＀_x0001_＀＀_x0001_＀＀_x0001_＀＀_xDDD6_䴼䀩찀㹰丯$䝍呇䰭乏䕞彃䕍乁偟⡅〲ㄱ〬⼷㘲㈯㄰⤱!＀＀ ＀＀	＀＀_x0008_＀＀_x0001_＀＀_x0001_＀＀_x0001_＀＀䀭櫛䀩찀᥋产6䑇䙞彅卅䥔䅍䕔✨偅❓✬䕍乁Ⱗ儧䅕呒剅奌Ⱗ⬧✱丬坏Ⱜ✬⤧!＀＀ ＀＀	＀＀_x0008_＀＀_x0001_＀＀_x0001_＀＀_x0001_＀＀㬄௾䄄㿼찀閺䴬M䍐幐䙆䕟呎偒归䅖彌䅄䱉⡙〱㈯⼷〲〱ⰬⰬ∬䥄≌⼩䍅彁䕍乁卟䱁卅㈨㄰ⰱ〱㈯⼷〲〱착Ƙ＀＀ ＀＀ƀ＀＀_x0008_＀＀_x0001_＀＀_x0001_＀＀_x0001_＀＀辈뿴瓎䀆摦畳㩰⼯楤敲瑣潩獮䘯呁嘠敩敷㽲捡楴湯唽䑐呁♅牣慥潴㵲慦瑣敳♴奄彎剁升吽啒♅佄彃䅎䕍䘽呁䘺䱑䅟䑕呉义彇䱃䕉呎呟䵅䱐呁⹅䅆♔楤灳慬役瑳楲杮䄽摵瑩嘦剁䬺奅伽䭐䥖兘商♖䅖㩒啑剅㵙歒晚啒唵汕卂ㅘ䉚䙔䔹啑䵬南硧䍍礸祎礸䑍睅䍌獷䍌湷䕒䵬祊癫啒䉎じ䘱啑昵さ䵆噒潍橍硁卍硷䍍礸祎礸䑍睅克㴽圦义佄㵗䥆卒彔佐啐♐䕈䝉呈㐽〵圦䑉䡔㐽〵匦䅔呒䵟塁䵉婉䑅䘽䱁䕓嘦剁䌺䱁久䅄㵒单嘦剁区䵙佂㵌䍐♐䅖㩒义䕄㵘0ꬭ䶨_x001B_呁幋䍅彁䕍乁䕟卐䍟䱁⡁〲ㄱ착!＀＀ ＀＀	＀＀_x0008_＀＀_x0001_＀＀_x0001_＀＀_x0001_＀＀询惶䀡찀뿎䭠E䑇䍞彁䕐华剟䅏䅟呃ㄨ⼲〲㔰ⰬⰬ单⥄址当䕐华佉彎䍁彔佒⡁㈱㈯〰ⰵⰬ唬䑓착 ＀＀ ＀＀_x0008_＀＀_x0008_＀＀_x0001_＀＀_x0001_＀＀_x0001_＀＀＀＀＀＀　䁹뿍䭠_x001F_䑇坞当塅䡃剟呁彅义彃䙃ㄨ⼲〲㔰착 ＀＀ ＀＀_x0008_＀＀_x0008_＀＀_x0001_＀＀_x0001_＀＀_x0001_＀＀豀碵꼝쐕煿䯌 䑇䕞䅃䵟䅅彎䉅呉⡄㌫〬⼴㤱㈯㄰⤰!＀＀ ＀＀	＀＀_x0008_＀＀_x0001_＀＀_x0001_＀＀_x0001_＀＀눭ݧ䂳찀뿎䭠$䑇䍞彁䕐华䍟剕䱟䅉卂ㄨ⼲〲㠰ⰬⰬ单⥄ ＀＀ ＀＀_x0008_＀＀_x0008_＀＀_x0001_＀＀_x0001_＀＀_x0001_＀＀＀＀＀＀뀀䁴熁䯌N佃幌䙆䕟呎偒归䅖彌䅄䱉⡙㐰ㄯ⼹〲〱ⰬⰬ∬䥄≌⼩䍅彁䕍乁䕟䥂䑔⡁〲〱〬⼴㤱㈯㄰⤰Ɲ＀＀ ＀＀ƅ＀＀_x0008_＀＀_x0001_＀＀_x0001_＀＀_x0001_＀＀匇챟䦉䀥摦畳㩰⼯楤敲瑣潩獮䘯呁嘠敩敷㽲捡楴湯唽䑐呁♅牣慥潴㵲慦瑣敳♴奄彎剁升吽啒♅佄彃䅎䕍䘽呁䘺䱑䅟䑕呉义彇䱃䕉呎呟䵅䱐呁⹅䅆♔楤灳慬役瑳楲杮䄽摵瑩嘦剁䬺奅䬽䅚䥆奎䍚♄䅖㩒啑剅㵙歒晚啒唵汕卂ㅘ䉚䙔䔹啑䵬南睧䍎砸协礸䑍睅䍌獷䍌湷䕒䵬祊癫啒䉎じ䘱啑昵啒䩊䕖䉒䑋睉呍獁䑍癑呍癫橍硁䍍㵫圦义佄㵗䥆卒彔佐啐♐䕈䝉呈㐽〵圦䑉䡔㐽〵匦䅔呒䵟塁䵉婉䑅䘽䱁䕓嘦剁䌺䱁久䅄㵒䥆䕖䅄♙䅖㩒奓䉍䱏䌽䱏嘦剁䤺䑎塅〽찀ꎜ䶨R䝍呇䰭乏䙞彆久剔剐噟䱁䑟䥁奌〨⼱ㄱ㈯㄰ⰱⰬⰬ䐢䱉⤢䔯䅃䵟䅅彎䅓䕌⡓〲ㄱ〬⼱ㄱ㈯㄰⤱Ơ＀＀ ＀＀ƈ＀＀_x0008_＀＀_x0001_＀＀_x0001_＀＀_x0001_＀＀塽샽쪧䀅摦畳㩰⼯楤敲瑣潩獮䘯呁嘠敩敷㽲捡楴湯唽䑐呁♅牣慥潴㵲慦瑣敳♴奄彎剁升吽啒♅佄彃䅎䕍䘽呁䘺䱑䅟䑕呉义彇䱃䕉呎呟䵅䱐呁⹅䅆♔楤灳慬役瑳楲杮䄽摵瑩嘦剁䬺奅匽䅐䅘啂卖♈䅖㩒啑剅㵙歒晚啒唵汕卂ㅘ䉚䙔䔹啑䵬南睧卍砸卍礸䑍硅䍌獷䍌湷䕒䵬祊癫啒䉎じ䘱啑昵さ䵆噒潍橍硁卍睷卍砸卍礸䑍硅克㴽圦义佄㵗䥆卒彔佐啐♐䕈䝉呈㐽〵圦䑉䡔㐽〵匦䅔呒䵟塁䵉婉䑅䘽䱁䕓嘦剁䌺䱁久䅄㵒䥆䕖䅄♙䅖㩒奓䉍䱏〽㜵㠵☰䅖㩒义䕄㵘0閸䴬L佃幌䙆䕟呎偒归䅖彌䅄䱉⡙〱㈯⼷〲〱ⰬⰬ∬䥄≌⼩䍅彁䕍乁䕟䥂⡔〲〱ㄬ⼰㜲㈯㄰⤰Ɣ＀＀ ＀＀ż＀＀_x0008_＀＀_x0001_＀＀_x0001_＀＀_x0001_＀＀䮟㔔䀧摦畳㩰⼯楤敲瑣潩獮䘯呁嘠敩敷㽲捡楴湯唽䑐呁♅牣慥潴㵲慦瑣敳♴奄彎剁升吽啒♅佄彃䅎䕍䘽呁䘺䱑䅟䑕呉义彇䱃䕉呎呟䵅䱐呁⹅䅆♔楤灳慬役瑳楲杮䄽摵瑩嘦剁䬺奅夽䭂䅔奊啔♘䅖㩒啑剅㵙歒晚啒唵汕卂ㅘ䉚䙔䔹啑䵬南硧䍍礸祎礸䑍睅䍌獷䍌湷䕒䵬祊癫啒䉎じ䘱啑昵啒䩊䍖祧䑍睅䑌睅穌㍉穌睉呍灁圦义佄㵗䥆卒彔佐啐♐䕈䝉呈㐽〵圦䑉䡔㐽〵匦䅔呒䵟塁䵉婉䑅䘽䱁䕓嘦剁䌺䱁久䅄㵒单嘦剁区䵙佂㵌佃♌䅖㩒义䕄㵘0뿎䭠L䑇䍞彁佐呓䕒彔剓彖佃呓ㄨ⼲〲㜰ⰬⰬ单⥄址当䱈䡔䅃䕒卟剅彖佃呓ㄨ⼲〲㜰ⰬⰬ单⥄ ＀＀ ＀＀_x0008_＀＀_x0008_＀＀_x0001_＀＀_x0001_＀＀_x0001_＀＀＀＀＀＀＀＀䀰ᦟ产_x0019_䑇灞灟楲散江睯㕟圲㌨㐹㜴착!＀＀ ＀＀	＀＀_x0008_＀＀_x0001_＀＀_x0001_＀＀_x0001_＀＀ꏗ㵰꜊䁑찀뿎䭠_x001F_䑇坞当塅䡃剟呁⡅㈱㈯〰ⰶⰬ唬䑓착 ＀＀ ＀＀_x0008_＀＀_x0008_＀＀_x0001_＀＀_x0001_＀＀_x0001_＀＀＀＀＀＀＀＀㿰ᦩ产L䍐幐䙆䕟呎偒归䅖彌䅄䱉⡙〱㈯⼵〲ㄱⰬⰬ∬䥄≌⼩䍅彁䕍乁䕟䥂⡔〲㈱ㄬ⼰㔲㈯㄰⤱Ɲ＀＀ ＀＀ƅ＀＀_x0008_＀＀_x0001_＀＀_x0001_＀＀_x0001_＀＀詑ჽ㢼䀥摦畳㩰⼯楤敲瑣潩獮䘯呁嘠敩敷㽲捡楴湯唽䑐呁♅牣慥潴㵲慦瑣敳♴奄彎剁升吽啒♅佄彃䅎䕍䘽呁䘺䱑䅟䑕呉义彇䱃䕉呎呟䵅䱐呁⹅䅆♔楤灳慬役瑳楲杮䄽摵瑩嘦剁䬺奅倽䱉䑙剁塓♋䅖㩒啑剅㵙歒晚啒唵汕卂ㅘ䉚䙔䔹啑䵬南硧䍍礸华礸䑍硅䍌獷䍌湷䕒䵬祊杫祌䙂け晆啔䉖汔䘹歑啬䑋睉呍獉呍癁橍癕橍硁卍㵫圦义佄㵗䥆卒彔佐啐♐䕈䝉呈㐽〵圦䑉䡔㐽〵匦䅔呒䵟塁䵉婉䑅䘽䱁䕓嘦剁䌺䱁久䅄㵒䥆䕖䅄♙䅖㩒奓䉍䱏倽偃嘦剁䤺䑎塅〽찀ꎒ䶨N䕂噁䙞彆久剔剐噟䱁䑟䥁奌〨⼱ㄱ㈯㄰ⰱⰬⰬ䐢䱉⤢䔯䅃䵟䅅彎䅓䕌⡓〲〱〬⼱ㄱ㈯㄰⤱ƞ＀＀ ＀＀Ɔ＀＀_x0008_＀＀_x0001_＀＀_x0001_＀＀_x0001_＀＀뉛訲貱䀄摦畳㩰⼯楤敲瑣潩獮䘯呁嘠敩敷㽲捡楴湯唽䑐呁♅牣慥潴㵲慦瑣敳♴奄彎剁升吽啒♅佄彃䅎䕍䘽呁䘺䱑䅟䑕呉义彇䱃䕉呎呟䵅䱐呁⹅䅆♔楤灳慬役瑳楲杮䄽摵瑩嘦剁䬺奅伽奄佈兎䅘♚䅖㩒啑剅㵙歒晚啒唵汕卂ㅘ䉚䙔䔹啑䵬南睧卍砸卍礸䑍硅䍌獷䍌湷䕒䵬祊癫啒䉎じ䘱啑昵さ䵆噒潍橍硁䍍睷卍砸卍礸䑍硅克㴽圦义佄㵗䥆卒彔佐啐♐䕈䝉呈㐽〵圦䑉䡔㐽〵匦䅔呒䵟塁䵉婉䑅䘽䱁䕓嘦剁䌺䱁久䅄㵒䥆䕖䅄♙䅖㩒奓䉍䱏䈽䅅♖䅖㩒义䕄㵘0푖䳈_x001F_䑇䕞䅃䵟䅅彎䉅呉⬨ⰲ〱㈯⼷〲〱착!＀＀ ＀＀	＀＀_x0008_＀＀_x0001_＀＀_x0001_＀＀_x0001_＀＀ⴏ鶲ꆯ䂯찀뿎䭠&amp;䑇坞当䕐彎佐呓剟呅䉟久ㄨ⼲〲㌰ⰬⰬ单⥄ ＀＀ ＀＀_x0008_＀＀_x0008_＀＀_x0001_＀＀_x0001_＀＀_x0001_＀＀＀＀＀＀䀀䁵ᦠ产_x0017_䑇䕞䅃䙟卉䅃彌䕙剁⬨ⰱ착!＀＀ ＀＀	＀＀_x0008_＀＀_x0001_＀＀_x0001_＀＀_x0008_＀＀㈱㈯㄰1찀ᦥ产_x000C_佃幌䝆偟䥒䕃!＀＀ ＀＀	＀＀_x0008_＀＀_x0001_＀＀_x0001_＀＀_x0001_＀＀㵱휊傣䁋찀熁䯌!位⹇幁䍅䵟䅅彎䕐㈨㄰ⰰ㐰ㄯ⼹〲〱착!＀＀ ＀＀	＀＀_x0008_＀＀_x0001_＀＀_x0001_＀＀_x0001_＀＀鞍ቮ䂃䀰찀ꎝ䶨_x001E_䑇䕞䅃䵟䅅彎偅⡓㈫〬⼴㔱㈯㄰⤱!＀＀ ＀＀	＀＀_x0008_＀＀_x0001_＀＀_x0001_＀＀_x0001_＀＀曋䤎䀞찀뿎䭠"䑇䍞彁佐呓䕒彔䥌䉁ㄨ⼲〲㘰ⰬⰬ单⥄ ＀＀ ＀＀_x0008_＀＀_x0008_＀＀_x0001_＀＀_x0001_＀＀_x0001_＀＀＀＀＀＀က삇뿎䭠'䑇䍞彁䕐华偟䑐䉟久䍟协⡔㈱㈯〰ⰲⰬ唬䑓착 ＀＀ ＀＀_x0008_＀＀_x0008_＀＀_x0001_＀＀_x0001_＀＀_x0001_＀＀豀碵꼝쐕ꎘ䶨$䝍呇䰭乏䕞彃䕍乁偟⡅〲〱〬⼱ㄱ㈯㄰⤱!＀＀ ＀＀	＀＀_x0008_＀＀_x0001_＀＀_x0001_＀＀_x0001_＀＀⪺譐证䀭찀뿎䭠'䑇坞当䕐华佉彎十䕓協䱟⡔㈱㈯〰ⰶⰬ唬䑓착 ＀＀ ＀＀_x0008_＀＀_x0008_＀＀_x0001_＀＀_x0001_＀＀_x0001_＀＀豀碵꼝쐕뿎䭠F䑇䍞彁佐呓䕒彔佃呓ㄨ⼲〲㔰ⰬⰬ单⥄址当䱈䡔䅃䕒也偐䕟偘ㄨ⼲〲㔰ⰬⰬ单⥄ ＀＀ ＀＀_x0008_＀＀_x0008_＀＀_x0001_＀＀_x0001_＀＀_x0001_＀＀＀＀＀＀䀀䁑熂䯌N位⹇幁䙆䕟呎偒归䅖彌䅄䱉⡙㐰ㄯ⼹〲〱ⰬⰬ∬䥄≌⼩䍅彁䕍乁䕟䥂⡔〲㈱〬⼴㤱㈯㄰⤰ƛ＀＀ ＀＀ƃ＀＀_x0008_＀＀_x0001_＀＀_x0001_＀＀_x0001_＀＀웿鞲杒䀤摦畳㩰⼯楤敲瑣潩獮䘯呁嘠敩敷㽲捡楴湯唽䑐呁♅牣慥潴㵲慦瑣敳♴奄彎剁升吽啒♅佄彃䅎䕍䘽呁䘺䱑䅟䑕呉义彇䱃䕉呎呟䵅䱐呁⹅䅆♔楤灳慬役瑳楲杮䄽摵瑩嘦剁䬺奅䜽䥌兒华卌♒䅖㩒啑剅㵙歒晚啒唵汕卂ㅘ䉚䙔䔹啑䵬南睧䍎砸协礸䑍睅䍌獷䍌湷䕒䵬祊癫啒䉎じ䘱啑昵啒䩊䍖祧䑍祅䑌ぁ穌㕅穌睉呍灁圦义佄㵗䥆卒彔佐啐♐䕈䝉呈㐽〵圦䑉䡔㐽〵匦䅔呒䵟塁䵉婉䑅䘽䱁䕓嘦剁䌺䱁久䅄㵒䥆䕖䅄♙䅖㩒奓䉍䱏䴽䝏䄮嘦剁䤺䑎塅〽찀閸䴬M佃幌䙆䕟呎偒归䅖彌䅄䱉⡙〱㈯⼷〲〱ⰬⰬ∬䥄≌⼩䍅彁䕍乁卟䱁卅㈨㄰ⰲ〱㈯⼷〲〱착Ƙ＀＀ ＀＀ƀ＀＀_x0008_＀＀_x0001_＀＀_x0001_＀＀_x0001_＀＀䨞뮹쨓㿽摦畳㩰⼯楤敲瑣潩獮䘯呁嘠敩敷㽲捡楴湯唽䑐呁♅牣慥潴㵲慦瑣敳♴奄彎剁升吽啒♅佄彃䅎䕍䘽呁䘺䱑䅟䑕呉义彇䱃䕉呎呟䵅䱐呁⹅䅆♔楤灳慬役瑳楲杮䄽摵瑩嘦剁䬺奅儽䍂䕚䵘䥆♖䅖㩒啑剅㵙歒晚啒唵汕卂ㅘ䉚䙔䔹啑䵬南硧䍍礸祎礸䑍睅䍌獷䍌湷䕒䵬祊癫啒䉎じ䘱啑昵さ䵆噒潍橍硁楍硷䍍礸祎礸䑍睅克㴽圦义佄㵗䥆卒彔佐啐♐䕈䝉呈㐽〵圦䑉䡔㐽〵匦䅔呒䵟塁䵉婉䑅䘽䱁䕓嘦剁䌺䱁久䅄㵒单嘦剁区䵙佂㵌佃♌䅖㩒义䕄㵘0ꚝ丠N䕂噁䙞彆久剔剐噟䱁䑟䥁奌〨⼷㔱㈯㄰ⰱⰬⰬ䐢䱉⤢䔯䅃䵟䅅彎䅓䕌⡓〲㈱〬⼷㔱㈯㄰⤱ƞ＀＀ ＀＀Ɔ＀＀_x0008_＀＀_x0001_＀＀_x0001_＀＀_x0001_＀＀瞘嘲㢟㿾摦畳㩰⼯楤敲瑣潩獮䘯呁嘠敩敷㽲捡楴湯唽䑐呁♅牣慥潴㵲慦瑣敳♴奄彎剁升吽啒♅佄彃䅎䕍䘽呁䘺䱑䅟䑕呉义彇䱃䕉呎呟䵅䱐呁⹅䅆♔楤灳慬役瑳楲杮䄽摵瑩嘦剁䬺奅吽噓乏剓偉♑䅖㩒啑剅㵙歒晚啒唵汕卂ㅘ䉚䙔䔹啑䵬南睧祎砸华礸䑍硅䍌獷䍌湷䕒䵬祊癫啒䉎じ䘱啑昵さ䵆噒潍橍硁楍睷祎砸华礸䑍硅克㴽圦义佄㵗䥆卒彔佐啐♐䕈䝉呈㐽〵圦䑉䡔㐽〵匦䅔呒䵟塁䵉婉䑅䘽䱁䕓嘦剁䌺䱁久䅄㵒䥆䕖䅄♙䅖㩒奓䉍䱏䈽䅅♖䅖㩒义䕄㵘0뿎䭠'䑇坞当䱈䡔䅃䕒啟䙎䉟久ㄨ⼲〲㐰ⰬⰬ单⥄착＀＀＀＀뿎䭠A䑇䍞彁䕐华剟䅏ㄨ⼲〲㌰ⰬⰬ单⥄址当䕐华佉彎塅彐佒⡁㈱㈯〰ⰳⰬ唬䑓착 ＀＀ ＀＀_x0008_＀＀_x0008_＀＀_x0001_＀＀_x0001_＀＀_x0001_＀＀＀＀＀＀倀삀ꎖ䶨L䍐幐䙆䕟呎偒归䅖彌䅄䱉⡙㄰ㄯ⼱〲ㄱⰬⰬ∬䥄≌⼩䍅彁䕍乁䕟䥂⡔〲㈱〬⼱ㄱ㈯㄰⤱ƙ＀＀ ＀＀Ɓ＀＀_x0008_＀＀_x0001_＀＀_x0001_＀＀_x0001_＀＀࠼鉈볎䀢摦畳㩰⼯楤敲瑣潩獮䘯呁嘠敩敷㽲捡楴湯唽䑐呁♅牣慥潴㵲慦瑣敳♴奄彎剁升吽啒♅佄彃䅎䕍䘽呁䘺䱑䅟䑕呉义彇䱃䕉呎呟䵅䱐呁⹅䅆♔楤灳慬役瑳楲杮䄽摵瑩嘦剁䬺奅䔽卄䅒䥈䅄♔䅖㩒啑剅㵙歒晚啒唵汕卂ㅘ䉚䙔䔹啑䵬南睧卍砸卍礸䑍硅䍌獷䍌湷䕒䵬祊癫啒䉎じ䘱啑昵啒䩊䍖祧䑍祅䑌硁穌硅穌睉呍灅圦义佄㵗䥆卒彔佐啐♐䕈䝉呈㐽〵圦䑉䡔㐽〵匦䅔呒䵟塁䵉婉䑅䘽䱁䕓嘦剁䌺䱁久䅄㵒䥆䕖䅄♙䅖㩒奓䉍䱏倽偃嘦剁䤺䑎塅〽찀줽䭠_x001A_䑇䙞彇䕍乁䕟卐䙟㙑〨Ⱜ㤬⤰ ＀＀ ＀＀_x0008_＀＀_x0008_＀＀_x0001_＀＀_x0001_＀＀_x0001_＀＀횶ग㥭㿾뿎䭠(䑇坞当䱈䡔䅃䕒䑟卉彃䅒䕔ㄨ⼲〲㜰ⰬⰬ单⥄ ＀＀ ＀＀_x0008_＀＀_x0008_＀＀_x0001_＀＀_x0001_＀＀_x0001_＀＀尨슏䀗뿎䭠A䑇䍞彁䕐华剟䅏ㄨ⼲〲㘰ⰬⰬ单⥄址当䕐华佉彎塅彐佒⡁㈱㈯〰ⰶⰬ唬䑓착 ＀＀ ＀＀_x0008_＀＀_x0008_＀＀_x0001_＀＀_x0001_＀＀_x0001_＀＀＀＀＀＀삀뿎䭠I䑇䍞彁䕐华䑟卉彃䅒䕔ㄨ⼲〲㐰ⰬⰬ单⥄址当䕐华佉彎䥄䍓剟呁⡅㈱㈯〰ⰴⰬ唬䑓착 ＀＀ ＀＀_x0008_＀＀_x0008_＀＀_x0001_＀＀_x0001_＀＀_x0001_＀＀＀＀＀＀＀＀䀘熃䯌$䝍呇䰭乏䕞彃䕍乁偟⡅〲ㄱ〬⼴㤱㈯㄰⤰!＀＀ ＀＀	＀＀_x0008_＀＀_x0001_＀＀_x0001_＀＀_x0001_＀＀숷⊢轎䀥찀ꚨ丠_x001F_䑇䕞䅃䵟䅅彎䉅呉⬨ⰲ㜰ㄯ⼵〲ㄱ착!＀＀ ＀＀	＀＀_x0008_＀＀_x0001_＀＀_x0001_＀＀_x0001_＀＀Ȍ蜫聖䂰찀㹴丯_x001F_䑇䕞䅃䵟䅅彎䉅呉⬨ⰲ㜰㈯⼶〲ㄱ착!＀＀ ＀＀	＀＀_x0008_＀＀_x0001_＀＀_x0001_＀＀_x0001_＀＀_xDD2F_ؤ老䂰찀ꎙ䶨S䝍呇䰭乏䙞彆久剔剐噟䱁䑟䥁奌〨⼱ㄱ㈯㄰ⰱⰬⰬ䐢䱉⤢䔯䅃䵟䅅彎䉅呉䅄㈨㄰ⰱ㄰ㄯ⼱〲ㄱ착Ơ＀＀ ＀＀ƈ＀＀_x0008_＀＀_x0001_＀＀_x0001_＀＀_x0001_＀＀罪얋䩕䀡摦畳㩰⼯楤敲瑣潩獮䘯呁嘠敩敷㽲捡楴湯唽䑐呁♅牣慥潴㵲慦瑣敳♴奄彎剁升吽啒♅佄彃䅎䕍䘽呁䘺䱑䅟䑕呉义彇䱃䕉呎呟䵅䱐呁⹅䅆♔楤灳慬役瑳楲杮䄽摵瑩嘦剁䬺奅䜽䕂䍚䥂䝐♈䅖㩒啑剅㵙歒晚啒唵汕卂ㅘ䉚䙔䔹啑䵬南睧卍砸卍礸䑍硅䍌獷䍌湷䕒䵬祊癫啒䉎じ䘱啑昵啒䩊䕖䉒䑋睉呍獅䑍癅呍癅橍硁卍㵫圦义佄㵗䥆卒彔佐啐♐䕈䝉呈㐽〵圦䑉䡔㐽〵匦䅔呒䵟塁䵉婉䑅䘽䱁䕓嘦剁䌺䱁久䅄㵒䥆䕖䅄♙䅖㩒奓䉍䱏〽㜵㠵☰䅖㩒义䕄㵘0閼䴬 䑇䕞䅃䵟䅅彎䉅呉⡄㈫〬⼱ㄱ㈯㄰⤱!＀＀ ＀＀	＀＀_x0008_＀＀_x0001_＀＀_x0001_＀＀_x0001_＀＀炤਽믗䂱찀뿎䭠I䑇䍞彁䕐华偟䅌彎十⡔㈱㈯〰ⰲⰬ唬䑓䀩南偟久䥓乏噟䱁䅟卓呅⡓㈱㈯〰ⰲⰬ唬䑓착 ＀＀ ＀＀_x0008_＀＀_x0008_＀＀_x0001_＀＀_x0001_＀＀_x0001_＀＀＀＀＀＀턀䂴熄䯌S䝍呇䰭乏䙞彆久剔剐噟䱁䑟䥁奌〨⼴㤱㈯㄰ⰰⰬⰬ䐢䱉⤢䔯䅃䵟䅅彎䉅呉䅄㈨㄰ⰲ㐰ㄯ⼹〲〱착Ơ＀＀ ＀＀ƈ＀＀_x0008_＀＀_x0001_＀＀_x0001_＀＀_x0001_＀＀㌱凐า䀝摦畳㩰⼯楤敲瑣潩獮䘯呁嘠敩敷㽲捡楴湯唽䑐呁♅牣慥潴㵲慦瑣敳♴奄彎剁升吽啒♅佄彃䅎䕍䘽呁䘺䱑䅟䑕呉义彇䱃䕉呎呟䵅䱐呁⹅䅆♔楤灳慬役瑳楲杮䄽摵瑩嘦剁䬺奅䜽卒坒兄兘♐䅖㩒啑剅㵙歒晚啒唵汕卂ㅘ䉚䙔䔹啑䵬南睧䍎砸协礸䑍睅䍌獷䍌湷䕒䵬祊癫啒䉎じ䘱啑昵啒䩊䕖䉒䑋睉呍獉䑍癑呍癫橍硁䍍㵫圦义佄㵗䥆卒彔佐啐♐䕈䝉呈㐽〵圦䑉䡔㐽〵匦䅔呒䵟塁䵉婉䑅䘽䱁䕓嘦剁䌺䱁久䅄㵒䥆䕖䅄♙䅖㩒奓䉍䱏〽㜵㠵☰䅖㩒义䕄㵘0ᦨ产N位⹇幁䙆䕟呎偒归䅖彌䅄䱉⡙〱㈯⼵〲ㄱⰬⰬ∬䥄≌⼩䍅彁䕍乁䕟䥂⡔〲㈱ㄬ⼰㔲㈯㄰⤱Ɵ＀＀ ＀＀Ƈ＀＀_x0008_＀＀_x0001_＀＀_x0001_＀＀_x0001_＀＀면ไᯭ䀢摦畳㩰⼯楤敲瑣潩獮䘯呁嘠敩敷㽲捡楴湯唽䑐呁♅牣慥潴㵲慦瑣敳♴奄彎剁升吽啒♅佄彃䅎䕍䘽呁䘺䱑䅟䑕呉义彇䱃䕉呎呟䵅䱐呁⹅䅆♔楤灳慬役瑳楲杮䄽摵瑩嘦剁䬺奅堽䩗久噑乏♕䅖㩒啑剅㵙歒晚啒唵汕卂ㅘ䉚䙔䔹啑䵬南硧䍍礸华礸䑍硅䍌獷䍌湷䕒䵬祊杫祌䙂け晆啔䉖汔䘹歑啬䑋睉呍獉呍癁橍癕橍硁卍㵫圦义佄㵗䥆卒彔佐啐♐䕈䝉呈㐽〵圦䑉䡔㐽〵匦䅔呒䵟塁䵉婉䑅䘽䱁䕓嘦剁䌺䱁久䅄㵒䥆䕖䅄♙䅖㩒奓䉍䱏䴽䝏䄮嘦剁䤺䑎塅〽찀뿎䭠M䑇䍞彁䕐华啟剎䍅䝏ㄨ⼲〲㈰ⰬⰬ单⥄址当䕐华佉彎乕䕒彃䕓噒䍟协⡔㈱㈯〰ⰲⰬ唬䑓착 ＀＀ ＀＀_x0008_＀＀_x0008_＀＀_x0001_＀＀_x0001_＀＀_x0001_＀＀＀＀＀＀＀＀䁭ꚝ丠M䕂噁䙞彆久剔剐噟䱁䑟䥁奌〨⼷㔱㈯㄰ⰱⰬⰬ䐢䱉⤢䔯䅃䵟䅅彎䉅呉㈨㄰ⰱ㜰ㄯ⼵〲ㄱ착ƚ＀＀ ＀＀Ƃ＀＀_x0008_＀＀_x0001_＀＀_x0001_＀＀_x0001_＀＀㜳̘헴䀨摦畳㩰⼯楤敲瑣潩獮䘯呁嘠敩敷㽲捡楴湯唽䑐呁♅牣慥潴㵲慦瑣敳♴奄彎剁升吽啒♅佄彃䅎䕍䘽呁䘺䱑䅟䑕呉义彇䱃䕉呎呟䵅䱐呁⹅䅆♔楤灳慬役瑳楲杮䄽摵瑩嘦剁䬺奅䘽乓䩇婕䉇♇䅖㩒啑剅㵙歒晚啒唵汕卂ㅘ䉚䙔䔹啑䵬南睧祎砸华礸䑍硅䍌獷䍌湷䕒䵬祊癫啒䉎じ䘱啑昵啒䩊䍖祧䑍硅䑌㍁穌ㅅ穌睉呍灅圦义佄㵗䥆卒彔佐啐♐䕈䝉呈㐽〵圦䑉䡔㐽〵匦䅔呒䵟塁䵉婉䑅䘽䱁䕓嘦剁䌺䱁久䅄㵒䥆䕖䅄♙䅖㩒奓䉍䱏䈽䅅♖䅖㩒义䕄㵘0㹮丯O位⹇幁䙆䕟呎偒归䅖彌䅄䱉⡙㜰㈯⼶〲ㄱⰬⰬ∬䥄≌⼩䍅彁䕍乁卟䱁卅㈨㄰ⰱ㜰㈯⼶〲ㄱ착Ɵ＀＀ ＀＀Ƈ＀＀_x0008_＀＀_x0001_＀＀_x0001_＀＀_x0001_＀＀뤎桖ᖐ㿲摦畳㩰⼯楤敲瑣潩獮䘯呁嘠敩敷㽲捡楴湯唽䑐呁♅牣慥潴㵲慦瑣敳♴奄彎剁升吽啒♅佄彃䅎䕍䘽呁䘺䱑䅟䑕呉义彇䱃䕉呎呟䵅䱐呁⹅䅆♔楤灳慬役瑳楲杮䄽摵瑩嘦剁䬺奅夽商啖䭐兄♎䅖㩒啑剅㵙歒晚啒唵汕卂ㅘ䉚䙔䔹啑䵬南睧祎礸楎礸䑍硅䍌獷䍌湷䕒䵬祊癫啒䉎じ䘱啑昵さ䵆噒潍橍硁卍睷祎礸楎礸䑍硅克㴽圦义佄㵗䥆卒彔佐啐♐䕈䝉呈㐽〵圦䑉䡔㐽〵匦䅔呒䵟塁䵉婉䑅䘽䱁䕓嘦剁䌺䱁久䅄㵒䥆䕖䅄♙䅖㩒奓䉍䱏䴽䝏䄮嘦剁䤺䑎塅〽찀듨䷰O位⹇幁䙆䕟呎偒归䅖彌䅄䱉⡙㐰ㄯ⼵〲ㄱⰬⰬ∬䥄≌⼩䍅彁䕍乁卟䱁卅㈨㄰ⰰ㐰ㄯ⼵〲ㄱ착ƚ＀＀ ＀＀Ƃ＀＀_x0008_＀＀_x0001_＀＀_x0001_＀＀_x0001_＀＀ិ鑘쌟㿳摦畳㩰⼯楤敲瑣潩獮䘯呁嘠敩敷㽲捡楴湯唽䑐呁♅牣慥潴㵲慦瑣敳♴奄彎剁升吽啒♅佄彃䅎䕍䘽呁䘺䱑䅟䑕呉义彇䱃䕉呎呟䵅䱐呁⹅䅆♔楤灳慬役瑳楲杮䄽摵瑩嘦剁䬺奅儽奈䍘䅄卄♒䅖㩒啑剅㵙歒晚啒唵汕卂ㅘ䉚䙔䔹啑䵬南睧䍎砸华礸䑍硅䍌獷䍌湷䕒䵬祊癫啒䉎じ䘱啑昵さ䵆噒潍橍硁䍍睷䍎砸华礸䑍硅克㴽圦义佄㵗䥆卒彔佐啐♐䕈䝉呈㐽〵圦䑉䡔㐽〵匦䅔呒䵟塁䵉婉䑅䘽䱁䕓嘦剁䌺䱁久䅄㵒单嘦剁区䵙佂㵌位⹇♁䅖㩒义䕄㵘0ꚢ丠L䍐幐䙆䕟呎偒归䅖彌䅄䱉⡙㜰ㄯ⼵〲ㄱⰬⰬ∬䥄≌⼩䍅彁䕍乁䕟䥂⡔〲㈱〬⼷㔱㈯㄰⤱ƙ＀＀ ＀＀Ɓ＀＀_x0008_＀＀_x0001_＀＀_x0001_＀＀_x0001_＀＀_xDB0A_嗑쒯䀤摦畳㩰⼯楤敲瑣潩獮䘯呁嘠敩敷㽲捡楴湯唽䑐呁♅牣慥潴㵲慦瑣敳♴奄彎剁升吽啒♅佄彃䅎䕍䘽呁䘺䱑䅟䑕呉义彇䱃䕉呎呟䵅䱐呁⹅䅆♔楤灳慬役瑳楲杮䄽摵瑩嘦剁䬺奅䈽婙剏偍䡃♑䅖㩒啑剅㵙歒晚啒唵汕卂ㅘ䉚䙔䔹啑䵬南睧祎砸华礸䑍硅䍌獷䍌湷䕒䵬祊癫啒䉎じ䘱啑昵啒䩊䍖祧䑍祅䑌㍁穌ㅅ穌睉呍灅圦义佄㵗䥆卒彔佐啐♐䕈䝉呈㐽〵圦䑉䡔㐽〵匦䅔呒䵟塁䵉婉䑅䘽䱁䕓嘦剁䌺䱁久䅄㵒䥆䕖䅄♙䅖㩒奓䉍䱏倽偃嘦剁䤺䑎塅〽찀霁䴬_x0016_䑇䙞彇剐䍉Ņㄠㄯ⼱〲ㄱ!＀＀ ＀＀	＀＀_x0008_＀＀_x0001_＀＀_x0001_＀＀_x0001_＀＀凬Ẹ_xDB85_䁑찀ᦫ产 䑇䕞䅃䵟䅅彎䉅呉⡄ㄫㄬ⼰㔲㈯㄰⤱!＀＀ ＀＀	＀＀_x0008_＀＀_x0001_＀＀_x0001_＀＀_x0001_＀＀桳걜䂱찀㹱丯S䝍呇䰭乏䙞彆久剔剐噟䱁䑟䥁奌〨⼷㘲㈯㄰ⰱⰬⰬ䐢䱉⤢䔯䅃䵟䅅彎䉅呉䅄㈨㄰ⰱ㜰㈯⼶〲ㄱ착Ơ＀＀ ＀＀ƈ＀＀_x0008_＀＀_x0001_＀＀_x0001_＀＀_x0001_＀＀쌶棎頼䀠摦畳㩰⼯楤敲瑣潩獮䘯呁嘠敩敷㽲捡楴湯唽䑐呁♅牣慥潴㵲慦瑣敳♴奄彎剁升吽啒♅佄彃䅎䕍䘽呁䘺䱑䅟䑕呉义彇䱃䕉呎呟䵅䱐呁⹅䅆♔楤灳慬役瑳楲杮䄽摵瑩嘦剁䬺奅匽䭊兄兂䝄♚䅖㩒啑剅㵙歒晚啒唵汕卂ㅘ䉚䙔䔹啑䵬南睧祎礸楎礸䑍硅䍌獷䍌湷䕒䵬祊癫啒䉎じ䘱啑昵啒䩊䕖䉒䑋睉呍獅䑍癣橍癙橍硁卍㵫圦义佄㵗䥆卒彔佐啐♐䕈䝉呈㐽〵圦䑉䡔㐽〵匦䅔呒䵟塁䵉婉䑅䘽䱁䕓嘦剁䌺䱁久䅄㵒䥆䕖䅄♙䅖㩒奓䉍䱏〽㜵㠵☰䅖㩒义䕄㵘0㹯丯M䍐幐䙆䕟呎偒归䅖彌䅄䱉⡙㜰㈯⼶〲ㄱⰬⰬ∬䥄≌⼩䍅彁䕍乁卟䱁卅㈨㄰ⰰ㜰㈯⼶〲ㄱ착Ɲ＀＀ ＀＀ƅ＀＀_x0008_＀＀_x0001_＀＀_x0001_＀＀_x0001_＀＀ꌙ餣竘䀌摦畳㩰⼯楤敲瑣潩獮䘯呁嘠敩敷㽲捡楴湯唽䑐呁♅牣慥潴㵲慦瑣敳♴奄彎剁升吽啒♅佄彃䅎䕍䘽呁䘺䱑䅟䑕呉义彇䱃䕉呎呟䵅䱐呁⹅䅆♔楤灳慬役瑳楲杮䄽摵瑩嘦剁䬺奅唽䅄䍆商卌♐䅖㩒啑剅㵙歒晚啒唵汕卂ㅘ䉚䙔䔹啑䵬南睧祎礸楎礸䑍硅䍌獷䍌湷䕒䵬祊癫啒䉎じ䘱啑昵さ䵆噒潍橍硁䍍睷祎礸楎礸䑍硅克㴽圦义佄㵗䥆卒彔佐啐♐䕈䝉呈㐽〵圦䑉䡔㐽〵匦䅔呒䵟塁䵉婉䑅䘽䱁䕓嘦剁䌺䱁久䅄㵒䥆䕖䅄♙䅖㩒奓䉍䱏倽偃嘦剁䤺䑎塅〽찀Ħ䱒_x000D_䑇䙞偟䥒䕃〨착!＀＀ ＀＀	＀＀_x0008_＀＀_x0001_＀＀_x0001_＀＀_x0001_＀＀晧晦䁎찀ᦪ产S䝍呇䰭乏䙞彆久剔剐噟䱁䑟䥁奌ㄨ⼰㔲㈯㄰ⰱⰬⰬ䐢䱉⤢䔯䅃䵟䅅彎䉅呉䅄㈨㄰ⰰ〱㈯⼵〲ㄱ착Ƥ＀＀ ＀＀ƌ＀＀_x0008_＀＀_x0001_＀＀_x0001_＀＀_x0001_＀＀⾵縴ɉ䀥摦畳㩰⼯楤敲瑣潩獮䘯呁嘠敩敷㽲捡楴湯唽䑐呁♅牣慥潴㵲慦瑣敳♴奄彎剁升吽啒♅佄彃䅎䕍䘽呁䘺䱑䅟䑕呉义彇䱃䕉呎呟䵅䱐呁⹅䅆♔楤灳慬役瑳楲杮䄽摵瑩嘦剁䬺奅䨽婕呃䡕噗♗䅖㩒啑剅㵙歒晚啒唵汕卂ㅘ䉚䙔䔹啑䵬南硧䍍礸华礸䑍硅䍌獷䍌湷䕒䵬祊杫祌䙂け晆啔䉖汔䘹歑啬䕒潅橍硁䍍硷䍍礸华礸䑍硅克㴽圦义佄㵗䥆卒彔佐啐♐䕈䝉呈㐽〵圦䑉䡔㐽〵匦䅔呒䵟塁䵉婉䑅䘽䱁䕓嘦剁䌺䱁久䅄㵒䥆䕖䅄♙䅖㩒奓䉍䱏〽㜵㠵☰䅖㩒义䕄㵘0ꚨ丠_x0016_䑇䙞彇剐䍉Ņ㜰ㄯ⼵〲ㄱ!＀＀ ＀＀	＀＀_x0008_＀＀_x0001_＀＀_x0001_＀＀_x0001_＀＀ꏗ㵰霊䁑찀熄䯌R䝍呇䰭乏䙞彆久剔剐噟䱁䑟䥁奌〨⼴㤱㈯㄰ⰰⰬⰬ䐢䱉⤢䔯䅃䵟䅅彎䅓䕌⡓〲㈱〬⼴㤱㈯㄰⤰Ơ＀＀ ＀＀ƈ＀＀_x0008_＀＀_x0001_＀＀_x0001_＀＀_x0001_＀＀뗷쀢䀁摦畳㩰⼯楤敲瑣潩獮䘯呁嘠敩敷㽲捡楴湯唽䑐呁♅牣慥潴㵲慦瑣敳♴奄彎剁升吽啒♅佄彃䅎䕍䘽呁䘺䱑䅟䑕呉义彇䱃䕉呎呟䵅䱐呁⹅䅆♔楤灳慬役瑳楲杮䄽摵瑩嘦剁䬺奅䜽䍆佌䥚䕔♐䅖㩒啑剅㵙歒晚啒唵汕卂ㅘ䉚䙔䔹啑䵬南睧䍎砸协礸䑍睅䍌獷䍌湷䕒䵬祊癫啒䉎じ䘱啑昵さ䵆噒潍橍硁楍睷䍎砸协礸䑍睅克㴽圦义佄㵗䥆卒彔佐啐♐䕈䝉呈㐽〵圦䑉䡔㐽〵匦䅔呒䵟塁䵉婉䑅䘽䱁䕓嘦剁䌺䱁久䅄㵒䥆䕖䅄♙䅖㩒奓䉍䱏〽㜵㠵☰䅖㩒义䕄㵘0듮䷰ 䑇䕞䅃䵟䅅彎䉅呉⡄㌫〬⼶㤰㈯㄰⤱!＀＀ ＀＀	＀＀_x0008_＀＀_x0001_＀＀_x0001_＀＀_x0001_＀＀쒜뀠䂲찀ꬭ䶨_x001B_呁幋䍅彁䕍乁䕟卐䍟䱁⡁〲㈱착!＀＀ ＀＀	＀＀_x0008_＀＀_x0001_＀＀_x0001_＀＀_x0001_＀＀ꇸÒ䀢찀뿍䭠_x001F_䑇坞当塅䡃剟呁彅义彃䙃ㄨ⼲〲㘰착 ＀＀ ＀＀_x0008_＀＀_x0008_＀＀_x0001_＀＀_x0001_＀＀_x0001_＀＀豀碵꼝쐕ᦦ产M佃幌䙆䕟呎偒归䅖彌䅄䱉⡙〱㈯⼵〲ㄱⰬⰬ∬䥄≌⼩䍅彁䕍乁卟䱁卅㈨㄰ⰰ〱㈯⼵〲ㄱ착Ɲ＀＀ ＀＀ƅ＀＀_x0008_＀＀_x0001_＀＀_x0001_＀＀_x0001_＀＀⤠릠仸㿾摦畳㩰⼯楤敲瑣潩獮䘯呁嘠敩敷㽲捡楴湯唽䑐呁♅牣慥潴㵲慦瑣敳♴奄彎剁升吽啒♅佄彃䅎䕍䘽呁䘺䱑䅟䑕呉义彇䱃䕉呎呟䵅䱐呁⹅䅆♔楤灳慬役瑳楲杮䄽摵瑩嘦剁䬺奅倽䩏䑙則乗♓䅖㩒啑剅㵙歒晚啒唵汕卂ㅘ䉚䙔䔹啑䵬南硧䍍礸华礸䑍硅䍌獷䍌湷䕒䵬祊杫祌䙂け晆啔䉖汔吹啑䙸祕祧䑍睅䑌睅穌ㅉ穌睉呍灅圦义佄㵗䥆卒彔佐啐♐䕈䝉呈㐽〵圦䑉䡔㐽〵匦䅔呒䵟塁䵉婉䑅䘽䱁䕓嘦剁䌺䱁久䅄㵒䥆䕖䅄♙䅖㩒奓䉍䱏䌽䱏嘦剁䤺䑎塅〽찀뿎䭠E䑇䍞彁䕐华剟䅏䅟呃ㄨ⼲〲㠰ⰬⰬ单⥄址当䕐华佉彎䍁彔佒⡁㈱㈯〰ⰸⰬ唬䑓착 ＀＀ ＀＀_x0008_＀＀_x0008_＀＀_x0001_＀＀_x0001_＀＀_x0001_＀＀＀＀＀＀瀀삢ᦫ产 䑇䕞䅃䵟䅅彎䅓䕌⡓㌫ㄬ⼰㔲㈯㄰⤱!＀＀ ＀＀	＀＀_x0008_＀＀_x0001_＀＀_x0001_＀＀_x0001_＀＀ꏗ㵰丢䃡찀뿎䭠K䑇䍞彁佐呓䕒彔义彔佃呓ㄨ⼲〲㈰ⰬⰬ单⥄址当䱈䡔䅃䕒䥟呎䍟协⡔㈱㈯〰ⰲⰬ唬䑓착 ＀＀ ＀＀_x0008_＀＀_x0008_＀＀_x0001_＀＀_x0001_＀＀_x0001_＀＀＀＀＀＀䀀䁑ꎕ䶨N位⹇幁䙆䕟呎偒归䅖彌䅄䱉⡙㄰ㄯ⼱〲ㄱⰬⰬ∬䥄≌⼩䍅彁䕍乁䕟䥂⡔〲㈱〬⼱ㄱ㈯㄰⤱ƛ＀＀ ＀＀ƃ＀＀_x0008_＀＀_x0001_＀＀_x0001_＀＀_x0001_＀＀៙䀤摦畳㩰⼯楤敲瑣潩獮䘯呁嘠敩敷㽲捡楴湯唽䑐呁♅牣慥潴㵲慦瑣敳♴奄彎剁升吽啒♅佄彃䅎䕍䘽呁䘺䱑䅟䑕呉义彇䱃䕉呎呟䵅䱐呁⹅䅆♔楤灳慬役瑳楲杮䄽摵瑩嘦剁䬺奅䬽啂华䵂坖♐䅖㩒啑剅㵙歒晚啒唵汕卂ㅘ䉚䙔䔹啑䵬南睧卍砸卍礸䑍硅䍌獷䍌湷䕒䵬祊癫啒䉎じ䘱啑昵啒䩊䍖祧䑍祅䑌硁穌硅穌睉呍灅圦义佄㵗䥆卒彔佐啐♐䕈䝉呈㐽〵圦䑉䡔㐽〵匦䅔呒䵟塁䵉婉䑅䘽䱁䕓嘦剁䌺䱁久䅄㵒䥆䕖䅄♙䅖㩒奓䉍䱏䴽䝏䄮嘦剁䤺䑎塅〽찀郧䮢_x0017_䑇䕞䅃䵟䅅彎偅⡓〲㤰〬착 ＀＀ ＀＀_x0008_＀＀_x0008_＀＀_x0001_＀＀_x0001_＀＀_x0001_＀＀쳍쳌쳌䀘뿎䭠S䑇䍞彁佐呓䕒彔剐佉归剓⡖㈱㈯〰ⰴⰬ唬䑓䀩南䡟呌䍈剁彅乕䕒彃䕓噒䍟协⡔㈱㈯〰ⰴⰬ唬䑓착 ＀＀ ＀＀_x0008_＀＀_x0008_＀＀_x0001_＀＀_x0001_＀＀_x0001_＀＀＀＀＀＀＀＀＀＀㹭丯P位⹇幁䙆䕟呎偒归䅖彌䅄䱉⡙㜰㈯⼶〲ㄱⰬⰬ∬䥄≌⼩䍅彁䕍乁䕟䥂䑔⡁〲㈱〬⼷㘲㈯㄰⤱Ɵ＀＀ ＀＀Ƈ＀＀_x0008_＀＀_x0001_＀＀_x0001_＀＀_x0001_＀＀䑽⅟ᒞ䀞摦畳㩰⼯楤敲瑣潩獮䘯呁嘠敩敷㽲捡楴湯唽䑐呁♅牣慥潴㵲慦瑣敳♴奄彎剁升吽啒♅佄彃䅎䕍䘽呁䘺䱑䅟䑕呉义彇䱃䕉呎呟䵅䱐呁⹅䅆♔楤灳慬役瑳楲杮䄽摵瑩嘦剁䬺奅䌽䥎䅊䝒䭔♎䅖㩒啑剅㵙歒晚啒唵汕卂ㅘ䉚䙔䔹啑䵬南睧祎礸楎礸䑍硅䍌獷䍌湷䕒䵬祊癫啒䉎じ䘱啑昵啒䩊䕖䉒䑋睉呍獉䑍癣橍癙橍硁卍㵫圦义佄㵗䥆卒彔佐啐♐䕈䝉呈㐽〵圦䑉䡔㐽〵匦䅔呒䵟塁䵉婉䑅䘽䱁䕓嘦剁䌺䱁久䅄㵒䥆䕖䅄♙䅖㩒奓䉍䱏䴽䝏䄮嘦剁䤺䑎塅〽찀㹪丯M䕂噁䙞彆久剔剐噟䱁䑟䥁奌〨⼷㘲㈯㄰ⰱⰬⰬ䐢䱉⤢䔯䅃䵟䅅彎䉅呉㈨㄰ⰱ㜰㈯⼶〲ㄱ착ƚ＀＀ ＀＀Ƃ＀＀_x0008_＀＀_x0001_＀＀_x0001_＀＀_x0001_＀＀聨쨘䀢摦畳㩰⼯楤敲瑣潩獮䘯呁嘠敩敷㽲捡楴湯唽䑐呁♅牣慥潴㵲慦瑣敳♴奄彎剁升吽啒♅佄彃䅎䕍䘽呁䘺䱑䅟䑕呉义彇䱃䕉呎呟䵅䱐呁⹅䅆♔楤灳慬役瑳楲杮䄽摵瑩嘦剁䬺奅圽䭖䍎奔卐♎䅖㩒啑剅㵙歒晚啒唵汕卂ㅘ䉚䙔䔹啑䵬南睧祎礸楎礸䑍硅䍌獷䍌湷䕒䵬祊癫啒䉎じ䘱啑昵啒䩊䍖祧䑍硅䑌㍁穌㉉穌睉呍灅圦义佄㵗䥆卒彔佐啐♐䕈䝉呈㐽〵圦䑉䡔㐽〵匦䅔呒䵟塁䵉婉䑅䘽䱁䕓嘦剁䌺䱁久䅄㵒䥆䕖䅄♙䅖㩒奓䉍䱏䈽䅅♖䅖㩒义䕄㵘0뿍䭠_x001F_䑇坞当塅䡃剟呁彅䅂彌䡓ㄨ⼲〲㈰착 ＀＀ ＀＀_x0008_＀＀_x0008_＀＀_x0001_＀＀_x0001_＀＀_x0001_＀＀豀碵꼝쐕ᦧ产P位⹇幁䙆䕟呎偒归䅖彌䅄䱉⡙〱㈯⼵〲ㄱⰬⰬ∬䥄≌⼩䍅彁䕍乁䕟䥂䑔⡁〲ㄱㄬ⼰㔲㈯㄰⤱ƣ＀＀ ＀＀Ƌ＀＀_x0008_＀＀_x0001_＀＀_x0001_＀＀_x0001_＀＀攊_xDFF2_䀝摦畳㩰⼯楤敲瑣潩獮䘯呁嘠</t>
        </r>
      </text>
    </comment>
    <comment ref="A4" authorId="0">
      <text>
        <r>
          <rPr>
            <b/>
            <sz val="8"/>
            <color indexed="81"/>
            <rFont val="Tahoma"/>
            <family val="2"/>
          </rPr>
          <t>敩敷㽲捡楴湯唽䑐呁♅牣慥潴㵲慦瑣敳♴奄彎剁升吽啒♅佄彃䅎䕍䘽呁䘺䱑䅟䑕呉义彇䱃䕉呎呟䵅䱐呁⹅䅆♔楤灳慬役瑳楲杮䄽摵瑩嘦剁䬺奅倽前噉乃呙♓䅖㩒啑剅㵙歒晚啒唵汕卂ㅘ䉚䙔䔹啑䵬南硧䍍礸华礸䑍硅䍌獷䍌湷䕒䵬祊杫祌䙂け晆啔䉖汔䘹歑啬䕒潅橍硁卍硷䍍礸华礸䑍硅克㴽圦义佄㵗䥆卒彔佐啐♐䕈䝉呈㐽〵圦䑉䡔㐽〵匦䅔呒䵟塁䵉婉䑅䘽䱁䕓嘦剁䌺䱁久䅄㵒䥆䕖䅄♙䅖㩒奓䉍䱏䴽䝏䄮嘦剁䤺䑎塅〽찀㹯丯L䍐幐䙆䕟呎偒归䅖彌䅄䱉⡙㜰㈯⼶〲ㄱⰬⰬ∬䥄≌⼩䍅彁䕍乁䕟䥂⡔〲㈱〬⼷㘲㈯㄰⤱ƙ＀＀ ＀＀Ɓ＀＀_x0008_＀＀_x0001_＀＀_x0001_＀＀_x0001_＀＀每鬴䀤摦畳㩰⼯楤敲瑣潩獮䘯呁嘠敩敷㽲捡楴湯唽䑐呁♅牣慥潴㵲慦瑣敳♴奄彎剁升吽啒♅佄彃䅎䕍䘽呁䘺䱑䅟䑕呉义彇䱃䕉呎呟䵅䱐呁⹅䅆♔楤灳慬役瑳楲杮䄽摵瑩嘦剁䬺奅䬽䕌兊䥈䕄♘䅖㩒啑剅㵙歒晚啒唵汕卂ㅘ䉚䙔䔹啑䵬南睧祎礸楎礸䑍硅䍌獷䍌湷䕒䵬祊癫啒䉎じ䘱啑昵啒䩊䍖祧䑍祅䑌㍁穌㉉穌睉呍灅圦义佄㵗䥆卒彔佐啐♐䕈䝉呈㐽〵圦䑉䡔㐽〵匦䅔呒䵟塁䵉婉䑅䘽䱁䕓嘦剁䌺䱁久䅄㵒䥆䕖䅄♙䅖㩒奓䉍䱏倽偃嘦剁䤺䑎塅〽찀뿎䭠&amp;䑇坞当䕐华佉彎䕎彔䥌䉁ㄨ⼲〲㌰ⰬⰬ单⥄ ＀＀ ＀＀_x0008_＀＀_x0008_＀＀_x0001_＀＀_x0001_＀＀_x0001_＀＀豀碵꼝쐕뿎䭠B䑇䍞彁䕐华偟佒彊䉏⡌㈱㈯〰ⰸⰬ唬䑓䀩南偟久䥓乏偟佂ㄨ⼲〲㠰ⰬⰬ单⥄ ＀＀ ＀＀_x0008_＀＀_x0008_＀＀_x0001_＀＀_x0001_＀＀_x0001_＀＀＀＀＀＀䄀䂾듥䷰M䕂噁䙞彆久剔剐噟䱁䑟䥁奌〨⼴㔱㈯㄰ⰱⰬⰬ䐢䱉⤢䔯䅃䵟䅅彎䉅呉㈨㄰ⰱ㐰ㄯ⼵〲ㄱ착ƕ＀＀ ＀＀Ž＀＀_x0008_＀＀_x0001_＀＀_x0001_＀＀_x0001_＀＀쨆玩䀧摦畳㩰⼯楤敲瑣潩獮䘯呁嘠敩敷㽲捡楴湯唽䑐呁♅牣慥潴㵲慦瑣敳♴奄彎剁升吽啒♅佄彃䅎䕍䘽呁䘺䱑䅟䑕呉义彇䱃䕉呎呟䵅䱐呁⹅䅆♔楤灳慬役瑳楲杮䄽摵瑩嘦剁䬺奅䴽䭂䕐坈兒♒䅖㩒啑剅㵙歒晚啒唵汕卂ㅘ䉚䙔䔹啑䵬南睧䍎砸华礸䑍硅䍌獷䍌湷䕒䵬祊癫啒䉎じ䘱啑昵啒䩊䍖祧䑍硅䑌ぁ穌ㅅ穌睉呍灅圦义佄㵗䥆卒彔佐啐♐䕈䝉呈㐽〵圦䑉䡔㐽〵匦䅔呒䵟塁䵉婉䑅䘽䱁䕓嘦剁䌺䱁久䅄㵒单嘦剁区䵙佂㵌䕂噁嘦剁䤺䑎塅〽찀ᦟ产_x001A_䑇灞灟楲散桟杩彨㈵⡗㤳㠰⤲!＀＀ ＀＀	＀＀_x0008_＀＀_x0001_＀＀_x0001_＀＀_x0001_＀＀蔟凫纸䁓찀푖䳈 䑇䕞䅃䵟䅅彎䉅呉⡄ㄫㄬ⼰㜲㈯㄰⤰!＀＀ ＀＀	＀＀_x0008_＀＀_x0001_＀＀_x0001_＀＀_x0001_＀＀㥘좴㸖䂱찀뿎䭠&amp;䑇䍞彁佐呓䕒彔䕂彎䅐䑉ㄨ⼲〲㜰ⰬⰬ单⥄ ＀＀ ＀＀_x0008_＀＀_x0008_＀＀_x0001_＀＀_x0001_＀＀_x0001_＀＀＀＀＀＀＀＀䁆煿䯌_x001F_䑇䕞䅃䵟䅅彎䉅呉⬨ⰲ㐰ㄯ⼹〲〱착!＀＀ ＀＀	＀＀_x0008_＀＀_x0001_＀＀_x0001_＀＀_x0001_＀＀뙆ﷳꎔ䂯찀閼䴬_x001E_䑇䕞䅃䵟䅅彎偅⡓㌫〬⼱ㄱ㈯㄰⤱!＀＀ ＀＀	＀＀_x0008_＀＀_x0001_＀＀_x0001_＀＀_x0001_＀＀녜ﲞ䀞찀ꚥ丠S䝍呇䰭乏䙞彆久剔剐噟䱁䑟䥁奌〨⼷㔱㈯㄰ⰱⰬⰬ䐢䱉⤢䔯䅃䵟䅅彎䉅呉䅄㈨㄰ⰲ㜰ㄯ⼵〲ㄱ착Ơ＀＀ ＀＀ƈ＀＀_x0008_＀＀_x0001_＀＀_x0001_＀＀_x0001_＀＀녏葓᥀䀜摦畳㩰⼯楤敲瑣潩獮䘯呁嘠敩敷㽲捡楴湯唽䑐呁♅牣慥潴㵲慦瑣敳♴奄彎剁升吽啒♅佄彃䅎䕍䘽呁䘺䱑䅟䑕呉义彇䱃䕉呎呟䵅䱐呁⹅䅆♔楤灳慬役瑳楲杮䄽摵瑩嘦剁䬺奅娽䙍塗䱓䙏♋䅖㩒啑剅㵙歒晚啒唵汕卂ㅘ䉚䙔䔹啑䵬南睧祎砸华礸䑍硅䍌獷䍌湷䕒䵬祊癫啒䉎じ䘱啑昵啒䩊䕖䉒䑋睉呍獉䑍癣呍癕橍硁卍㵫圦义佄㵗䥆卒彔佐啐♐䕈䝉呈㐽〵圦䑉䡔㐽〵匦䅔呒䵟塁䵉婉䑅䘽䱁䕓嘦剁䌺䱁久䅄㵒䥆䕖䅄♙䅖㩒奓䉍䱏〽㜵㠵☰䅖㩒义䕄㵘0듧䷰M佃幌䙆䕟呎偒归䅖彌䅄䱉⡙㐰ㄯ⼵〲ㄱⰬⰬ∬䥄≌⼩䍅彁䕍乁卟䱁卅㈨㄰ⰰ㐰ㄯ⼵〲ㄱ착Ƙ＀＀ ＀＀ƀ＀＀_x0008_＀＀_x0001_＀＀_x0001_＀＀_x0001_＀＀麪絸䀁摦畳㩰⼯楤敲瑣潩獮䘯呁嘠敩敷㽲捡楴湯唽䑐呁♅牣慥潴㵲慦瑣敳♴奄彎剁升吽啒♅佄彃䅎䕍䘽呁䘺䱑䅟䑕呉义彇䱃䕉呎呟䵅䱐呁⹅䅆♔楤灳慬役瑳楲杮䄽摵瑩嘦剁䬺奅夽䭂䝖佘奊♆䅖㩒啑剅㵙歒晚啒唵汕卂ㅘ䉚䙔䔹啑䵬南睧䍎砸华礸䑍硅䍌獷䍌湷䕒䵬祊癫啒䉎じ䘱啑昵さ䵆噒潍橍硁䍍睷䍎砸华礸䑍硅克㴽圦义佄㵗䥆卒彔佐啐♐䕈䝉呈㐽〵圦䑉䡔㐽〵匦䅔呒䵟塁䵉婉䑅䘽䱁䕓嘦剁䌺䱁久䅄㵒单嘦剁区䵙佂㵌佃♌䅖㩒义䕄㵘0뿎䭠G䑇䍞彁䕐华䥟呎䍟协⡔㈱㈯〰ⰲⰬ唬䑓䀩南偟久䥓乏䥟呎䍟协⡔㈱㈯〰ⰲⰬ唬䑓착 ＀＀ ＀＀_x0008_＀＀_x0008_＀＀_x0001_＀＀_x0001_＀＀_x0001_＀＀＀＀＀＀䁶ᦟ产_x001A_䑇灞灟楲散桟杩彨㈵⡗〴㐵⤳!＀＀ ＀＀	＀＀_x0008_＀＀_x0001_＀＀_x0001_＀＀_x0001_＀＀＀＀＀＀쀀䁓찀ꚡ丠N位⹇幁䙆䕟呎偒归䅖彌䅄䱉⡙㜰ㄯ⼵〲ㄱⰬⰬ∬䥄≌⼩䍅彁䕍乁䕟䥂⡔〲㈱〬⼷㔱㈯㄰⤱ƛ＀＀ ＀＀ƃ＀＀_x0008_＀＀_x0001_＀＀_x0001_＀＀_x0001_＀＀돦伲뼉䀤摦畳㩰⼯楤敲瑣潩獮䘯呁嘠敩敷㽲捡楴湯唽䑐呁♅牣慥潴㵲慦瑣敳♴奄彎剁升吽啒♅佄彃䅎䕍䘽呁䘺䱑䅟䑕呉义彇䱃䕉呎呟䵅䱐呁⹅䅆♔楤灳慬役瑳楲杮䄽摵瑩嘦剁䬺奅丽塙䩙偉噅♙䅖㩒啑剅㵙歒晚啒唵汕卂ㅘ䉚䙔䔹啑䵬南睧祎砸华礸䑍硅䍌獷䍌湷䕒䵬祊癫啒䉎じ䘱啑昵啒䩊䍖祧䑍祅䑌㍁穌ㅅ穌睉呍灅圦义佄㵗䥆卒彔佐啐♐䕈䝉呈㐽〵圦䑉䡔㐽〵匦䅔呒䵟塁䵉婉䑅䘽䱁䕓嘦剁䌺䱁久䅄㵒䥆䕖䅄♙䅖㩒奓䉍䱏䴽䝏䄮嘦剁䤺䑎塅〽찀閻䴬S䝍呇䰭乏䙞彆久剔剐噟䱁䑟䥁奌ㄨ⼰㜲㈯㄰ⰰⰬⰬ䐢䱉⤢䔯䅃䵟䅅彎䉅呉䅄㈨㄰ⰲ〱㈯⼷〲〱착ƛ＀＀ ＀＀ƃ＀＀_x0008_＀＀_x0001_＀＀_x0001_＀＀_x0001_＀＀㻗䁹뻮䀝摦畳㩰⼯楤敲瑣潩獮䘯呁嘠敩敷㽲捡楴湯唽䑐呁♅牣慥潴㵲慦瑣敳♴奄彎剁升吽啒♅佄彃䅎䕍䘽呁䘺䱑䅟䑕呉义彇䱃䕉呎呟䵅䱐呁⹅䅆♔楤灳慬役瑳楲杮䄽摵瑩嘦剁䬺奅匽䭂奒卂䵒♘䅖㩒啑剅㵙歒晚啒唵汕卂ㅘ䉚䙔䔹啑䵬南硧䍍礸祎礸䑍睅䍌獷䍌湷䕒䵬祊癫啒䉎じ䘱啑昵啒䩊䕖䉒䑋睉呍獉呍癁橍癣橍硁䍍㵫圦义佄㵗䥆卒彔佐啐♐䕈䝉呈㐽〵圦䑉䡔㐽〵匦䅔呒䵟塁䵉婉䑅䘽䱁䕓嘦剁䌺䱁久䅄㵒单嘦剁区䵙佂㵌㔰㔷〸嘦剁䤺䑎塅〽찀缔䯌_x0017_䑇䕞䅃䵟䅅彎偅⡓〲㘰〬착!＀＀ ＀＀	＀＀_x0008_＀＀_x0001_＀＀_x0001_＀＀_x0001_＀＀쳍쳌쳌䀐찀듥䷰O䕂噁䙞彆久剔剐噟䱁䑟䥁奌〨⼴㔱㈯㄰ⰱⰬⰬ䐢䱉⤢䔯䅃䵟䅅彎䉅呉䅄㈨㄰ⰱ㐰ㄯ⼵〲ㄱ착ƙ＀＀ ＀＀Ɓ＀＀_x0008_＀＀_x0001_＀＀_x0001_＀＀_x0001_＀＀浵І襔䀤摦畳㩰⼯楤敲瑣潩獮䘯呁嘠敩敷㽲捡楴湯唽䑐呁♅牣慥潴㵲慦瑣敳♴奄彎剁升吽啒♅佄彃䅎䕍䘽呁䘺䱑䅟䑕呉义彇䱃䕉呎呟䵅䱐呁⹅䅆♔楤灳慬役瑳楲杮䄽摵瑩嘦剁䬺奅䤽䅖䍈䭐䵐♈䅖㩒啑剅㵙歒晚啒唵汕卂ㅘ䉚䙔䔹啑䵬南睧䍎砸华礸䑍硅䍌獷䍌湷䕒䵬祊癫啒䉎じ䘱啑昵啒䩊䕖䉒䑋睉呍獅䑍癑呍癕橍硁卍㵫圦义佄㵗䥆卒彔佐啐♐䕈䝉呈㐽〵圦䑉䡔㐽〵匦䅔呒䵟塁䵉婉䑅䘽䱁䕓嘦剁䌺䱁久䅄㵒单嘦剁区䵙佂㵌䕂噁嘦剁䤺䑎塅〽찀ꬭ䶨_x0017_呒幎䝆偟䥒䕃 ⼱〱㈯㄰찱!＀＀ ＀＀	＀＀_x0008_＀＀_x0001_＀＀_x0001_＀＀_x0001_＀＀롒蔞퇫䁈찀뿎䭠'䑇䍞彁䕐华偟剁彔佃呎䥒⡂㈱㈯〰ⰷⰬ唬䑓착 ＀＀ ＀＀_x0008_＀＀_x0008_＀＀_x0001_＀＀_x0001_＀＀_x0001_＀＀＀＀＀＀＀＀＀＀뿎䭠#䑇䍞彁䕐华䉟久偟䥁⡄㈱㈯〰ⰶⰬ唬䑓착 ＀＀ ＀＀_x0008_＀＀_x0008_＀＀_x0001_＀＀_x0001_＀＀_x0001_＀＀＀＀＀＀쀀䁵푖䳈 䑇䕞䅃䵟䅅彎䅓䕌⡓㌫ㄬ⼰㜲㈯㄰⤰!＀＀ ＀＀	＀＀_x0008_＀＀_x0001_＀＀_x0001_＀＀_x0001_＀＀롒蔞ꨣ䃡찀뿎䭠F䑇䍞彁佐呓䕒彔佃呓ㄨ⼲〲㐰ⰬⰬ单⥄址当䱈䡔䅃䕒也偐䕟偘ㄨ⼲〲㐰ⰬⰬ单⥄ ＀＀ ＀＀_x0008_＀＀_x0008_＀＀_x0001_＀＀_x0001_＀＀_x0001_＀＀＀＀＀＀＀＀䁔듩䷰N䍐幐䙆䕟呎偒归䅖彌䅄䱉⡙㐰ㄯ⼵〲ㄱⰬⰬ∬䥄≌⼩䍅彁䕍乁䕟䥂䑔⡁〲ㄱ〬⼴㔱㈯㄰⤱Ƙ＀＀ ＀＀ƀ＀＀_x0008_＀＀_x0001_＀＀_x0001_＀＀_x0001_＀＀쁶朏줅䀣摦畳㩰⼯楤敲瑣潩獮䘯呁嘠敩敷㽲捡楴湯唽䑐呁♅牣慥潴㵲慦瑣敳♴奄彎剁升吽啒♅佄彃䅎䕍䘽呁䘺䱑䅟䑕呉义彇䱃䕉呎呟䵅䱐呁⹅䅆♔楤灳慬役瑳楲杮䄽摵瑩嘦剁䬺奅夽䕂佄䍌奄♈䅖㩒啑剅㵙歒晚啒唵汕卂ㅘ䉚䙔䔹啑䵬南睧䍎砸华礸䑍硅䍌獷䍌湷䕒䵬祊癫啒䉎じ䘱啑昵啒䩊䕖䉒䑋睉呍獅䑍癑呍癕橍硁卍㵫圦义佄㵗䥆卒彔佐啐♐䕈䝉呈㐽〵圦䑉䡔㐽〵匦䅔呒䵟塁䵉婉䑅䘽䱁䕓嘦剁䌺䱁久䅄㵒单嘦剁区䵙佂㵌䍐♐䅖㩒义䕄㵘0뿎䭠O䑇䍞彁佐呓䕒彔䱐乁䅟呓䕟䑎ㄨ⼲〲㜰ⰬⰬ单⥄址当䱈䡔䅃䕒䙟彖十䕓⡔㈱㈯〰ⰷⰬ唬䑓착 ＀＀ ＀＀_x0008_＀＀_x0008_＀＀_x0001_＀＀_x0001_＀＀_x0001_＀＀＀＀＀＀倀䁻뿎䭠#䑇䍞彁䕐华䱟彔䥌䉁⡓㈱㈯〰ⰳⰬ唬䑓착 ＀＀ ＀＀_x0008_＀＀_x0008_＀＀_x0001_＀＀_x0001_＀＀_x0001_＀＀豀碵꼝쐕ᦫ产_x001E_䑇䕞䅃䵟䅅彎偅⡓㈫ㄬ⼰㔲㈯㄰⤱!＀＀ ＀＀	＀＀_x0008_＀＀_x0001_＀＀_x0001_＀＀_x0001_＀＀隅_xFFFF_ｵ願䀞찀뿎䭠D䑇䍞彁佐呓䕒彔䕂彎䉏ㄨ⼲〲㌰ⰬⰬ单⥄址当䱈䡔䅃䕒偟佂ㄨ⼲〲㌰ⰬⰬ单⥄ ＀＀ ＀＀_x0008_＀＀_x0008_＀＀_x0001_＀＀_x0001_＀＀_x0001_＀＀＀＀＀＀쀀䂒뿎䭠H䑇䍞彁䕐华卟噒䍟协⡔㈱㈯〰ⰳⰬ唬䑓䀩南偟久䥓乏卟剅彖佃呓ㄨ⼲〲㌰ⰬⰬ单⥄ ＀＀ ＀＀_x0008_＀＀_x0008_＀＀_x0001_＀＀_x0001_＀＀_x0001_＀＀＀＀＀＀䀀䁦뿎䭠P䑇䍞彁䕐华䅟䍃䵕䍟䵏剐义⡃㈱㈯〰ⰴⰬ唬䑓䀩南䍟䵏剐䥟䍎偟久当䥌䉁ㄨ⼲〲㐰ⰬⰬ单⥄ ＀＀ ＀＀_x0008_＀＀_x0008_＀＀_x0001_＀＀_x0001_＀＀_x0001_＀＀豀碵꼝쐕뿎䭠'䑇䍞彁䕐华偟䑐䉟久䍟协⡔㈱㈯〰ⰸⰬ唬䑓착 ＀＀ ＀＀_x0008_＀＀_x0008_＀＀_x0001_＀＀_x0001_＀＀_x0001_＀＀豀碵꼝쐕듥䷰_x001F_佃幌䍅彁䕍乁䕟卐⬨ⰲ㐰ㄯ⼵〲ㄱ착!＀＀ ＀＀	＀＀_x0008_＀＀_x0001_＀＀_x0001_＀＀_x0001_＀＀耓䩿墕䀒찀뿎䭠(䑇䍞彁佐呓䕒彔呏䅈䩄也䅂ㄨ⼲〲㈰ⰬⰬ单⥄ ＀＀ ＀＀_x0008_＀＀_x0008_＀＀_x0001_＀＀_x0001_＀＀_x0001_＀＀豀碵꼝쐕뿎䭠+䑇䍞彁佐呓䕒彔䵅彐佃呎䥒彂⡃㈱㈯〰ⰳⰬ唬䑓착 ＀＀ ＀＀_x0008_＀＀_x0008_＀＀_x0001_＀＀_x0001_＀＀_x0001_＀＀＀＀＀＀耀䁅ꚟ丠N佃幌䙆䕟呎偒归䅖彌䅄䱉⡙㜰ㄯ⼵〲ㄱⰬⰬ∬䥄≌⼩䍅彁䕍乁䕟䥂䑔⡁〲〱〬⼷㔱㈯㄰⤱Ɲ＀＀ ＀＀ƅ＀＀_x0008_＀＀_x0001_＀＀_x0001_＀＀_x0001_＀＀﹨迣䀣摦畳㩰⼯楤敲瑣潩獮䘯呁嘠敩敷㽲捡楴湯唽䑐呁♅牣慥潴㵲慦瑣敳♴奄彎剁升吽啒♅佄彃䅎䕍䘽呁䘺䱑䅟䑕呉义彇䱃䕉呎呟䵅䱐呁⹅䅆♔楤灳慬役瑳楲杮䄽摵瑩嘦剁䬺奅娽婏則塋䱋♑䅖㩒啑剅㵙歒晚啒唵汕卂ㅘ䉚䙔䔹啑䵬南睧祎砸华礸䑍硅䍌獷䍌湷䕒䵬祊癫啒䉎じ䘱啑昵啒䩊䕖䉒䑋睉呍獁䑍癣呍癕橍硁卍㵫圦义佄㵗䥆卒彔佐啐♐䕈䝉呈㐽〵圦䑉䡔㐽〵匦䅔呒䵟塁䵉婉䑅䘽䱁䕓嘦剁䌺䱁久䅄㵒䥆䕖䅄♙䅖㩒奓䉍䱏䌽䱏嘦剁䤺䑎塅〽찀ꎕ䶨O位⹇幁䙆䕟呎偒归䅖彌䅄䱉⡙㄰ㄯ⼱〲ㄱⰬⰬ∬䥄≌⼩䍅彁䕍乁卟䱁卅㈨㄰ⰲ㄰ㄯ⼱〲ㄱ착Ɵ＀＀ ＀＀Ƈ＀＀_x0008_＀＀_x0001_＀＀_x0001_＀＀_x0001_＀＀ṟ쒵丒㿱摦畳㩰⼯楤敲瑣潩獮䘯呁嘠敩敷㽲捡楴湯唽䑐呁♅牣慥潴㵲慦瑣敳♴奄彎剁升吽啒♅佄彃䅎䕍䘽呁䘺䱑䅟䑕呉义彇䱃䕉呎呟䵅䱐呁⹅䅆♔楤灳慬役瑳楲杮䄽摵瑩嘦剁䬺奅䄽坌䭂午䕘♚䅖㩒啑剅㵙歒晚啒唵汕卂ㅘ䉚䙔䔹啑䵬南睧卍砸卍礸䑍硅䍌獷䍌湷䕒䵬祊癫啒䉎じ䘱啑昵さ䵆噒潍橍硁楍睷卍砸卍礸䑍硅克㴽圦义佄㵗䥆卒彔佐啐♐䕈䝉呈㐽〵圦䑉䡔㐽〵匦䅔呒䵟塁䵉婉䑅䘽䱁䕓嘦剁䌺䱁久䅄㵒䥆䕖䅄♙䅖㩒奓䉍䱏䴽䝏䄮嘦剁䤺䑎塅〽찀뿎䭠$䑇䍞彁䕐华䱟彔十䕓協ㄨ⼲〲㜰ⰬⰬ单⥄ ＀＀ ＀＀_x0008_＀＀_x0008_＀＀_x0001_＀＀_x0001_＀＀_x0001_＀＀＀＀＀＀저䂉閸䴬N佃幌䙆䕟呎偒归䅖彌䅄䱉⡙〱㈯⼷〲〱ⰬⰬ∬䥄≌⼩䍅彁䕍乁䕟䥂䑔⡁〲〱ㄬ⼰㜲㈯㄰⤰Ƙ＀＀ ＀＀ƀ＀＀_x0008_＀＀_x0001_＀＀_x0001_＀＀_x0001_＀＀爪ﲵ䀣摦畳㩰⼯楤敲瑣潩獮䘯呁嘠敩敷㽲捡楴湯唽䑐呁♅牣慥潴㵲慦瑣敳♴奄彎剁升吽啒♅佄彃䅎䕍䘽呁䘺䱑䅟䑕呉义彇䱃䕉呎呟䵅䱐呁⹅䅆♔楤灳慬役瑳楲杮䄽摵瑩嘦剁䬺奅䌽䥄奖啖䝒♆䅖㩒啑剅㵙歒晚啒唵汕卂ㅘ䉚䙔䔹啑䵬南硧䍍礸祎礸䑍睅䍌獷䍌湷䕒䵬祊癫啒䉎じ䘱啑昵啒䩊䕖䉒䑋睉呍獁呍癁橍癣橍硁䍍㵫圦义佄㵗䥆卒彔佐啐♐䕈䝉呈㐽〵圦䑉䡔㐽〵匦䅔呒䵟塁䵉婉䑅䘽䱁䕓嘦剁䌺䱁久䅄㵒单嘦剁区䵙佂㵌佃♌䅖㩒义䕄㵘0缔䯌_x0017_䑇䕞䅃䵟䅅彎偅⡓〲㌰〬착!＀＀ ＀＀	＀＀_x0008_＀＀_x0001_＀＀_x0001_＀＀_x0001_＀＀Ẹ롑䀃찀ꚨ丠 䑇䕞䅃䵟䅅彎䉅呉⡄ㄫ〬⼷㔱㈯㄰⤱!＀＀ ＀＀	＀＀_x0008_＀＀_x0001_＀＀_x0001_＀＀_x0001_＀＀_xDB23_绹믪䂱찀㹴丯 䑇䕞䅃䵟䅅彎䉅呉⡄ㄫ〬⼷㘲㈯㄰⤱!＀＀ ＀＀	＀＀_x0008_＀＀_x0001_＀＀_x0001_＀＀_x0001_＀＀馚香몙䂱찀ꎖ䶨M䍐幐䙆䕟呎偒归䅖彌䅄䱉⡙㄰ㄯ⼱〲ㄱⰬⰬ∬䥄≌⼩䍅彁䕍乁卟䱁卅㈨㄰ⰱ㄰ㄯ⼱〲ㄱ착Ɲ＀＀ ＀＀ƅ＀＀_x0008_＀＀_x0001_＀＀_x0001_＀＀_x0001_＀＀邞䀆摦畳㩰⼯楤敲瑣潩獮䘯呁嘠敩敷㽲捡楴湯唽䑐呁♅牣慥潴㵲慦瑣敳♴奄彎剁升吽啒♅佄彃䅎䕍䘽呁䘺䱑䅟䑕呉义彇䱃䕉呎呟䵅䱐呁⹅䅆♔楤灳慬役瑳楲杮䄽摵瑩嘦剁䬺奅䤽䅌坚奄䝌♎䅖㩒啑剅㵙歒晚啒唵汕卂ㅘ䉚䙔䔹啑䵬南睧卍砸卍礸䑍硅䍌獷䍌湷䕒䵬祊癫啒䉎じ䘱啑昵さ䵆噒潍橍硁卍睷卍砸卍礸䑍硅克㴽圦义佄㵗䥆卒彔佐啐♐䕈䝉呈㐽〵圦䑉䡔㐽〵匦䅔呒䵟塁䵉婉䑅䘽䱁䕓嘦剁䌺䱁久䅄㵒䥆䕖䅄♙䅖㩒奓䉍䱏倽偃嘦剁䤺䑎塅〽찀뿎䭠_x0019_䑇坞当塅䡃剟呁⡅ⰰⰬ唬䑓착 ＀＀ ＀＀_x0008_＀＀_x0008_＀＀_x0001_＀＀_x0001_＀＀_x0001_＀＀＀＀＀＀＀＀㿰뿎䭠%䑇䍞彁䕐华䅟呓䥟呎乁⡇㈱㈯〰ⰲⰬ唬䑓착 ＀＀ ＀＀_x0008_＀＀_x0008_＀＀_x0001_＀＀_x0001_＀＀_x0001_＀＀豀碵꼝쐕ꚧ丠R䝍呇䰭乏䙞彆久剔剐噟䱁䑟䥁奌〨⼷㔱㈯㄰ⰱⰬⰬ䐢䱉⤢䔯䅃䵟䅅彎䅓䕌⡓〲ㄱ〬⼷㔱㈯㄰⤱Ơ＀＀ ＀＀ƈ＀＀_x0008_＀＀_x0001_＀＀_x0001_＀＀_x0001_＀＀琣槤䀃摦畳㩰⼯楤敲瑣潩獮䘯呁嘠敩敷㽲捡楴湯唽䑐呁♅牣慥潴㵲慦瑣敳♴奄彎剁升吽啒♅佄彃䅎䕍䘽呁䘺䱑䅟䑕呉义彇䱃䕉呎呟䵅䱐呁⹅䅆♔楤灳慬役瑳楲杮䄽摵瑩嘦剁䬺奅堽䩗婃偅䑙♉䅖㩒啑剅㵙歒晚啒唵汕卂ㅘ䉚䙔䔹啑䵬南睧祎砸华礸䑍硅䍌獷䍌湷䕒䵬祊癫啒䉎じ䘱啑昵さ䵆噒潍橍硁卍睷祎砸华礸䑍硅克㴽圦义佄㵗䥆卒彔佐啐♐䕈䝉呈㐽〵圦䑉䡔㐽〵匦䅔呒䵟塁䵉婉䑅䘽䱁䕓嘦剁䌺䱁久䅄㵒䥆䕖䅄♙䅖㩒奓䉍䱏〽㜵㠵☰䅖㩒义䕄㵘0㹮丯N位⹇幁䙆䕟呎偒归䅖彌䅄䱉⡙㜰㈯⼶〲ㄱⰬⰬ∬䥄≌⼩䍅彁䕍乁䕟䥂⡔〲㈱〬⼷㘲㈯㄰⤱ƛ＀＀ ＀＀ƃ＀＀_x0008_＀＀_x0001_＀＀_x0001_＀＀_x0001_＀＀负㠨뇀䀤摦畳㩰⼯楤敲瑣潩獮䘯呁嘠敩敷㽲捡楴湯唽䑐呁♅牣慥潴㵲慦瑣敳♴奄彎剁升吽啒♅佄彃䅎䕍䘽呁䘺䱑䅟䑕呉义彇䱃䕉呎呟䵅䱐呁⹅䅆♔楤灳慬役瑳楲杮䄽摵瑩嘦剁䬺奅夽䅚兂䭊兆♘䅖㩒啑剅㵙歒晚啒唵汕卂ㅘ䉚䙔䔹啑䵬南睧祎礸楎礸䑍硅䍌獷䍌湷䕒䵬祊癫啒䉎じ䘱啑昵啒䩊䍖祧䑍祅䑌㍁穌㉉穌睉呍灅圦义佄㵗䥆卒彔佐啐♐䕈䝉呈㐽〵圦䑉䡔㐽〵匦䅔呒䵟塁䵉婉䑅䘽䱁䕓嘦剁䌺䱁久䅄㵒䥆䕖䅄♙䅖㩒奓䉍䱏䴽䝏䄮嘦剁䤺䑎塅〽찀뿎䭠$䑇䍞彁䕐华䍟䵏彐䅒䕔ㄨ⼲〲㘰ⰬⰬ单⥄ ＀＀ ＀＀_x0008_＀＀_x0008_＀＀_x0001_＀＀_x0001_＀＀_x0001_＀＀＀＀＀＀＀＀䀞뿎䭠8䑇䍞彁䕐华也呅䍟协⡔㈱㈯〰⤸址当䕐华佉彎偎彐塅⡐㈱㈯〰⤸ ＀＀ ＀＀_x0008_＀＀_x0008_＀＀_x0001_＀＀_x0001_＀＀_x0001_＀＀＀＀＀＀＀＀䀴霰䴬_x0017_低幃䝆偟䥒䕃 ⼷㠲㈯㄰찰!＀＀ ＀＀	＀＀_x0008_＀＀_x0001_＀＀_x0001_＀＀_x0001_＀＀롒蔞㇫䁍찀ꚨ丠 䑇䕞䅃䵟䅅彎䅓䕌⡓㌫〬⼷㔱㈯㄰⤱!＀＀ ＀＀	＀＀_x0008_＀＀_x0001_＀＀_x0001_＀＀_x0001_＀＀롒蔞읳䃡찀ᦪ产_x0016_䑇䙞彇剐䍉Ņ〱㈯⼵〲ㄱ!＀＀ ＀＀	＀＀_x0008_＀＀_x0001_＀＀_x0001_＀＀_x0001_＀＀㵱휊傣䁐찀㹴丯 䑇䕞䅃䵟䅅彎䅓䕌⡓㌫〬⼷㘲㈯㄰⤱!＀＀ ＀＀	＀＀_x0008_＀＀_x0001_＀＀_x0001_＀＀_x0001_＀＀ᑺ웎䃡찀閻䴬Q䝍呇䰭乏䙞彆久剔剐噟䱁䑟䥁奌ㄨ⼰㜲㈯㄰ⰰⰬⰬ䐢䱉⤢䔯䅃䵟䅅彎䉅呉㈨㄰ⰰ〱㈯⼷〲〱착Ɨ＀＀ ＀＀ſ＀＀_x0008_＀＀_x0001_＀＀_x0001_＀＀_x0001_＀＀粮杅䀥摦畳㩰⼯楤敲瑣潩獮䘯呁嘠敩敷㽲捡楴湯唽䑐呁♅牣慥潴㵲慦瑣敳♴奄彎剁升吽啒♅佄彃䅎䕍䘽呁䘺䱑䅟䑕呉义彇䱃䕉呎呟䵅䱐呁⹅䅆♔楤灳慬役瑳楲杮䄽摵瑩嘦剁䬺奅䌽䍒䍈奔坔♚䅖㩒啑剅㵙歒晚啒唵汕卂ㅘ䉚䙔䔹啑䵬南硧䍍礸祎礸䑍睅䍌獷䍌湷䕒䵬祊癫啒䉎じ䘱啑昵啒䩊䍖祧䑍睅䑌睅穌㍉穌睉呍灁圦义佄㵗䥆卒彔佐啐♐䕈䝉呈㐽〵圦䑉䡔㐽〵匦䅔呒䵟塁䵉婉䑅䘽䱁䕓嘦剁䌺䱁久䅄㵒单嘦剁区䵙佂㵌㔰㔷〸嘦剁䤺䑎塅〽찀ꎕ䶨P位⹇幁䙆䕟呎偒归䅖彌䅄䱉⡙㄰ㄯ⼱〲ㄱⰬⰬ∬䥄≌⼩䍅彁䕍乁䕟䥂䑔⡁〲㈱〬⼱ㄱ㈯㄰⤱Ɵ＀＀ ＀＀Ƈ＀＀_x0008_＀＀_x0001_＀＀_x0001_＀＀_x0001_＀＀퀎慆騢䀞摦畳㩰⼯楤敲瑣潩獮䘯呁嘠敩敷㽲捡楴湯唽䑐呁♅牣慥潴㵲慦瑣敳♴奄彎剁升吽啒♅佄彃䅎䕍䘽呁䘺䱑䅟䑕呉义彇䱃䕉呎呟䵅䱐呁⹅䅆♔楤灳慬役瑳楲杮䄽摵瑩嘦剁䬺奅䬽䝘䥒佖啄♖䅖㩒啑剅㵙歒晚啒唵汕卂ㅘ䉚䙔䔹啑䵬南睧卍砸卍礸䑍硅䍌獷䍌湷䕒䵬祊癫啒䉎じ䘱啑昵啒䩊䕖䉒䑋睉呍獉䑍癅呍癅橍硁卍㵫圦义佄㵗䥆卒彔佐啐♐䕈䝉呈㐽〵圦䑉䡔㐽〵匦䅔呒䵟塁䵉婉䑅䘽䱁䕓嘦剁䌺䱁久䅄㵒䥆䕖䅄♙䅖㩒奓䉍䱏䴽䝏䄮嘦剁䤺䑎塅〽찀푖䳈_x001E_䑇䕞䅃䵟䅅彎偅⡓㈫ㄬ⼰㜲㈯㄰⤰!＀＀ ＀＀	＀＀_x0008_＀＀_x0001_＀＀_x0001_＀＀_x0001_＀＀ࢰ럾㶒䀜찀뿎䭠(䑇䍞彁佐呓䕒彔呏䅈䩄也䅂ㄨ⼲〲㠰ⰬⰬ单⥄ ＀＀ ＀＀_x0008_＀＀_x0008_＀＀_x0001_＀＀_x0001_＀＀_x0001_＀＀＀＀＀＀耀䁌뿎䭠(䑇䍞彁䕐华䕟偍䍟乏剔䉉䍟ㄨ⼲〲㔰ⰬⰬ单⥄ ＀＀ ＀＀_x0008_＀＀_x0008_＀＀_x0001_＀＀_x0001_＀＀_x0001_＀＀＀＀＀＀＀＀䀦뿍䭠_x001F_䑇坞当塅䡃剟呁彅义彃䙃ㄨ⼲〲㜰착 ＀＀ ＀＀_x0008_＀＀_x0008_＀＀_x0001_＀＀_x0001_＀＀_x0001_＀＀豀碵꼝쐕ꎖ䶨L䍐幐䙆䕟呎偒归䅖彌䅄䱉⡙㄰ㄯ⼱〲ㄱⰬⰬ∬䥄≌⼩䍅彁䕍乁䕟䥂⡔〲〱〬⼱ㄱ㈯㄰⤱ƙ＀＀ ＀＀Ɓ＀＀_x0008_＀＀_x0001_＀＀_x0001_＀＀_x0001_＀＀䶸訋⸉䀪摦畳㩰⼯楤敲瑣潩獮䘯呁嘠敩敷㽲捡楴湯唽䑐呁♅牣慥潴㵲慦瑣敳♴奄彎剁升吽啒♅佄彃䅎䕍䘽呁䘺䱑䅟䑕呉义彇䱃䕉呎呟䵅䱐呁⹅䅆♔楤灳慬役瑳楲杮䄽摵瑩嘦剁䬺奅伽坈䥂啊坄♐䅖㩒啑剅㵙歒晚啒唵汕卂ㅘ䉚䙔䔹啑䵬南睧卍砸卍礸䑍硅䍌獷䍌湷䕒䵬祊癫啒䉎じ䘱啑昵啒䩊䍖祧䑍睅䑌硁穌硅穌睉呍灅圦义佄㵗䥆卒彔佐啐♐䕈䝉呈㐽〵圦䑉䡔㐽〵匦䅔呒䵟塁䵉婉䑅䘽䱁䕓嘦剁䌺䱁久䅄㵒䥆䕖䅄♙䅖㩒奓䉍䱏倽偃嘦剁䤺䑎塅〽찀閼䴬_x001F_䑇䕞䅃䵟䅅彎䉅呉⬨ⰱ㄰ㄯ⼱〲ㄱ착!＀＀ ＀＀	＀＀_x0008_＀＀_x0001_＀＀_x0001_＀＀_x0001_＀＀晧晦쉦䂮찀뿍䭠:䑇坞当䕐华佉彎十䕓協佟䡔ㄨ⼲〲㈰䀩䅃偟久当䍐彔呏⡈㈱㈯〰⤲ ＀＀ ＀＀_x0008_＀＀_x0008_＀＀_x0001_＀＀_x0001_＀＀_x0001_＀＀豀碵꼝쐕熁䯌N䕂噁䙞彆久剔剐噟䱁䑟䥁奌〨⼴㤱㈯㄰ⰰⰬⰬ䐢䱉⤢䔯䅃䵟䅅彎䅓䕌⡓〲ㄱ〬⼴㤱㈯㄰⤰ƞ＀＀ ＀＀Ɔ＀＀_x0008_＀＀_x0001_＀＀_x0001_＀＀_x0001_＀＀ྭ뢵㿼摦畳㩰⼯楤敲瑣潩獮䘯呁嘠敩敷㽲捡楴湯唽䑐呁♅牣慥潴㵲慦瑣敳♴奄彎剁升吽啒♅佄彃䅎䕍䘽呁䘺䱑䅟䑕呉义彇䱃䕉呎呟䵅䱐呁⹅䅆♔楤灳慬役瑳楲杮䄽摵瑩嘦剁䬺奅伽䵆䥒䍚坈♔䅖㩒啑剅㵙歒晚啒唵汕卂ㅘ䉚䙔䔹啑䵬南睧䍎砸协礸䑍睅䍌獷䍌湷䕒䵬祊癫啒䉎じ䘱啑昵さ䵆噒潍橍硁卍睷䍎砸协礸䑍睅克㴽圦义佄㵗䥆卒彔佐啐♐䕈䝉呈㐽〵圦䑉䡔㐽〵匦䅔呒䵟塁䵉婉䑅䘽䱁䕓嘦剁䌺䱁久䅄㵒䥆䕖䅄♙䅖㩒奓䉍䱏䈽䅅♖䅖㩒义䕄㵘0뿎䭠*䑇䍞彁佐呓䕒彔䅐呒䍟乏剔䉉ㄨ⼲〲㘰ⰬⰬ单⥄ ＀＀ ＀＀_x0008_＀＀_x0008_＀＀_x0001_＀＀_x0001_＀＀_x0001_＀＀＀＀＀＀＀＀＀＀뿎䭠%䑇䍞彁䕐华䅟呓䥟呎乁⡇㈱㈯〰ⰸⰬ唬䑓착 ＀＀ ＀＀_x0008_＀＀_x0008_＀＀_x0001_＀＀_x0001_＀＀_x0001_＀＀豀碵꼝쐕뿍䭠_x001F_䑇坞当塅䡃剟呁彅䅂彌䡓ㄨ⼲〲㌰착 ＀＀ ＀＀_x0008_＀＀_x0008_＀＀_x0001_＀＀_x0001_＀＀_x0001_＀＀豀碵꼝쐕ᦠ产_x0017_䑇䕞䅃䙟卉䅃彌䕙剁⬨ⰲ착!＀＀ ＀＀	＀＀_x0008_＀＀_x0001_＀＀_x0001_＀＀_x0008_＀＀㈱㈯㄰2찀ꎝ䶨 䑇䕞䅃䵟䅅彎䅓䕌⡓ㄫ〬⼴㔱㈯㄰⤱!＀＀ ＀＀	＀＀_x0008_＀＀_x0001_＀＀_x0001_＀＀_x0001_＀＀㵱휊罻䃠찀熃䯌L䍐幐䙆䕟呎偒归䅖彌䅄䱉⡙㐰ㄯ⼹〲〱ⰬⰬ∬䥄≌⼩䍅彁䕍乁䕟䥂⡔〲〱〬⼴㤱㈯㄰⤰ƙ＀＀ ＀＀Ɓ＀＀_x0008_＀＀_x0001_＀＀_x0001_＀＀_x0001_＀＀᰺姭㵜䀥摦畳㩰⼯楤敲瑣潩獮䘯呁嘠敩敷㽲捡楴湯唽䑐呁♅牣慥潴㵲慦瑣敳♴奄彎剁升吽啒♅佄彃䅎䕍䘽呁䘺䱑䅟䑕呉义彇䱃䕉呎呟䵅䱐呁⹅䅆♔楤灳慬役瑳楲杮䄽摵瑩嘦剁䬺奅唽䵔奒啚䕆♔䅖㩒啑剅㵙歒晚啒唵汕卂ㅘ䉚䙔䔹啑䵬南睧䍎砸协礸䑍睅䍌獷䍌湷䕒䵬祊癫啒䉎じ䘱啑昵啒䩊䍖祧䑍睅䑌ぁ穌㕅穌睉呍灁圦义佄㵗䥆卒彔佐啐♐䕈䝉呈㐽〵圦䑉䡔㐽〵匦䅔呒䵟塁䵉婉䑅䘽䱁䕓嘦剁䌺䱁久䅄㵒䥆䕖䅄♙䅖㩒奓䉍䱏倽偃嘦剁䤺䑎塅〽찀듩䷰L䍐幐䙆䕟呎偒归䅖彌䅄䱉⡙㐰ㄯ⼵〲ㄱⰬⰬ∬䥄≌⼩䍅彁䕍乁䕟䥂⡔〲㈱〬⼴㔱㈯㄰⤱Ɣ＀＀ ＀＀ż＀＀_x0008_＀＀_x0001_＀＀_x0001_＀＀_x0001_＀＀逾酼雗䀢摦畳㩰⼯楤敲瑣潩獮䘯呁嘠敩敷㽲捡楴湯唽䑐呁♅牣慥潴㵲慦瑣敳♴奄彎剁升吽啒♅佄彃䅎䕍䘽呁䘺䱑䅟䑕呉义彇䱃䕉呎呟䵅䱐呁⹅䅆♔楤灳慬役瑳楲杮䄽摵瑩嘦剁䬺奅䜽兌䅂兖兆♔䅖㩒啑剅㵙歒晚啒唵汕卂ㅘ䉚䙔䔹啑䵬南睧䍎砸华礸䑍硅䍌獷䍌湷䕒䵬祊癫啒䉎じ䘱啑昵啒䩊䍖祧䑍祅䑌ぁ穌ㅅ穌睉呍灅圦义佄㵗䥆卒彔佐啐♐䕈䝉呈㐽〵圦䑉䡔㐽〵匦䅔呒䵟塁䵉婉䑅䘽䱁䕓嘦剁䌺䱁久䅄㵒单嘦剁区䵙佂㵌䍐♐䅖㩒义䕄㵘0뿍䭠:䑇坞当䕐华佉彎十䕓協佟䡔ㄨ⼲〲㜰䀩䅃偟久当䍐彔呏⡈㈱㈯〰⤷ ＀＀ ＀＀_x0008_＀＀_x0008_＀＀_x0001_＀＀_x0001_＀＀_x0001_＀＀＀＀＀＀＀＀＀＀뿍䭠;䑇坞当䕐华佉彎十䕓協䉟乏卄ㄨ⼲〲㘰䀩䅃偟久当䍐彔䥆ㄨ⼲〲㘰착 ＀＀ ＀＀_x0008_＀＀_x0008_＀＀_x0001_＀＀_x0001_＀＀_x0001_＀＀＀＀＀＀＀＀㿰듮䷰_x001F_䑇䕞䅃䵟䅅彎䉅呉⬨ⰲ㘰〯⼹〲ㄱ착!＀＀ ＀＀	＀＀_x0008_＀＀_x0001_＀＀_x0001_＀＀_x0001_＀＀蔟凫矘䂰찀듨䷰_x001F_䍐幐䍅䵟䅅彎䕐㈨㄰ⰲ㐰ㄯ⼵〲ㄱ착!＀＀ ＀＀	＀＀_x0008_＀＀_x0001_＀＀_x0001_＀＀_x0001_＀＀⇦㹓䀬찀㹬丯M佃幌䙆䕟呎偒归䅖彌䅄䱉⡙㜰㈯⼶〲ㄱⰬⰬ∬䥄≌⼩䍅彁䕍乁卟䱁卅㈨㄰ⰱ㜰㈯⼶〲ㄱ착Ɲ＀＀ ＀＀ƅ＀＀_x0008_＀＀_x0001_＀＀_x0001_＀＀_x0001_＀＀쐉㮻僻㿾摦畳㩰⼯楤敲瑣潩獮䘯呁嘠敩敷㽲捡楴湯唽䑐呁♅牣慥潴㵲慦瑣敳♴奄彎剁升吽啒♅佄彃䅎䕍䘽呁䘺䱑䅟䑕呉义彇䱃䕉呎呟䵅䱐呁⹅䅆♔楤灳慬役瑳楲杮䄽摵瑩嘦剁䬺奅䴽啔奊䕚坌♊䅖㩒啑剅㵙歒晚啒唵汕卂ㅘ䉚䙔䔹啑䵬南睧祎礸楎礸䑍硅䍌獷䍌湷䕒䵬祊癫啒䉎じ䘱啑昵さ䵆噒潍橍硁卍睷祎礸楎礸䑍硅克㴽圦义佄㵗䥆卒彔佐啐♐䕈䝉呈㐽〵圦䑉䡔㐽〵匦䅔呒䵟塁䵉婉䑅䘽䱁䕓嘦剁䌺䱁久䅄㵒䥆䕖䅄♙䅖㩒奓䉍䱏䌽䱏嘦剁䤺䑎塅〽찀閹䴬O位⹇幁䙆䕟呎偒归䅖彌䅄䱉⡙〱㈯⼷〲〱ⰬⰬ∬䥄≌⼩䍅彁䕍乁卟䱁卅㈨㄰ⰰ〱㈯⼷〲〱착ƚ＀＀ ＀＀Ƃ＀＀_x0008_＀＀_x0001_＀＀_x0001_＀＀_x0001_＀＀呖︦㿱摦畳㩰⼯楤敲瑣潩獮䘯呁嘠敩敷㽲捡楴湯唽䑐呁♅牣慥潴㵲慦瑣敳♴奄彎剁升吽啒♅佄彃䅎䕍䘽呁䘺䱑䅟䑕呉义彇䱃䕉呎呟䵅䱐呁⹅䅆♔楤灳慬役瑳楲杮䄽摵瑩嘦剁䬺奅夽坊䥄华卐♈䅖㩒啑剅㵙歒晚啒唵汕卂ㅘ䉚䙔䔹啑䵬南硧䍍礸祎礸䑍睅䍌獷䍌湷䕒䵬祊癫啒䉎じ䘱啑昵さ䵆噒潍橍硁䍍硷䍍礸祎礸䑍睅克㴽圦义佄㵗䥆卒彔佐啐♐䕈䝉呈㐽〵圦䑉䡔㐽〵匦䅔呒䵟塁䵉婉䑅䘽䱁䕓嘦剁䌺䱁久䅄㵒单嘦剁区䵙佂㵌位⹇♁䅖㩒义䕄㵘0뿎䭠)䑇坞当䱈䡔䅃䕒䕟偘䱟彔佒⡁㈱㈯〰ⰵⰬ唬䑓착 ＀＀ ＀＀_x0008_＀＀_x0008_＀＀_x0001_＀＀_x0001_＀＀_x0001_＀＀＀＀＀＀＀＀䀠Ꮺ产_x001A_䑇䙞彇䕍乁䕟卐䙟ㅑ〨Ⱜ㤬⤰!＀＀ ＀＀	＀＀_x0008_＀＀_x0001_＀＀_x0001_＀＀_x0001_＀＀挴뭶䄃㿼찀ᦪ产R䝍呇䰭乏䙞彆久剔剐噟䱁䑟䥁奌ㄨ⼰㔲㈯㄰ⰱⰬⰬ䐢䱉⤢䔯䅃䵟䅅彎䅓䕌⡓〲㈱ㄬ⼰㔲㈯㄰⤱Ơ＀＀ ＀＀ƈ＀＀_x0008_＀＀_x0001_＀＀_x0001_＀＀_x0001_＀＀✏쵌昐䀂摦畳㩰⼯楤敲瑣潩獮䘯呁嘠敩敷㽲捡楴湯唽䑐呁♅牣慥潴㵲慦瑣敳♴奄彎剁升吽啒♅佄彃䅎䕍䘽呁䘺䱑䅟䑕呉义彇䱃䕉呎呟䵅䱐呁⹅䅆♔楤灳慬役瑳楲杮䄽摵瑩嘦剁䬺奅堽偗䡁䙓䙏♓䅖㩒啑剅㵙歒晚啒唵汕卂ㅘ䉚䙔䔹啑䵬南硧䍍礸华礸䑍硅䍌獷䍌湷䕒䵬祊杫祌䙂け晆啔䉖汔吹啑䙸祕祧䑍祅䑌睅穌ㅉ穌睉呍灅圦义佄㵗䥆卒彔佐啐♐䕈䝉呈㐽〵圦䑉䡔㐽〵匦䅔呒䵟塁䵉婉䑅䘽䱁䕓嘦剁䌺䱁久䅄㵒䥆䕖䅄♙䅖㩒奓䉍䱏〽㜵㠵☰䅖㩒义䕄㵘0뿎䭠(䑇坞当䱈䡔䅃䕒䑟卉彃䅒䕔ㄨ⼲〲㈰ⰬⰬ单⥄ ＀＀ ＀＀_x0008_＀＀_x0008_＀＀_x0001_＀＀_x0001_＀＀_x0001_＀＀＀＀＀＀＀＀䀜뿎䭠B䑇䍞彁䕐华偟佒彊䉏⡌㈱㈯〰ⰷⰬ唬䑓䀩南偟久䥓乏偟佂ㄨ⼲〲㜰ⰬⰬ单⥄ ＀＀ ＀＀_x0008_＀＀_x0008_＀＀_x0001_＀＀_x0001_＀＀_x0001_＀＀＀＀＀＀鴀䂻ꚨ丠_x001E_䑇䕞䅃䵟䅅彎偅⡓㈫〬⼷㔱㈯㄰⤱!＀＀ ＀＀	＀＀_x0008_＀＀_x0001_＀＀_x0001_＀＀_x0001_＀＀薘乶䀞찀㹴丯_x001E_䑇䕞䅃䵟䅅彎偅⡓㈫〬⼷㘲㈯㄰⤱!＀＀ ＀＀	＀＀_x0008_＀＀_x0001_＀＀_x0001_＀＀_x0001_＀＀쫑삽䀞찀뿎䭠"䑇䍞彁佐呓䕒彔䥌䉁ㄨ⼲〲㜰ⰬⰬ单⥄ ＀＀ ＀＀_x0008_＀＀_x0008_＀＀_x0001_＀＀_x0001_＀＀_x0001_＀＀＀＀＀＀က삄煿䯌 䑇䕞䅃䵟䅅彎䉅呉⡄ㄫ〬⼴㤱㈯㄰⤰!＀＀ ＀＀	＀＀_x0008_＀＀_x0001_＀＀_x0001_＀＀_x0001_＀＀沋ﯧ﯉䂰찀ꬭ䶨_x0016_䑇䙞彇剐䍉Ņㄠㄯ⼰〲ㄱ!＀＀ ＀＀	＀＀_x0008_＀＀_x0001_＀＀_x0001_＀＀_x0001_＀＀凬Ẹ쮅䁑찀閼䴬_x001F_䑇灞灟楲散桟杩彨㈵⡗㄰ㄯ⼱〲ㄱ착!＀＀ ＀＀	＀＀_x0008_＀＀_x0001_＀＀_x0001_＀＀_x0001_＀＀＀＀＀＀쀀䁓찀뿎䭠.䑇坞当䱈䡔䅃䕒䅟位呒卟剅彖佃呓ㄨ⼲〲㔰ⰬⰬ单⥄ ＀＀ ＀＀_x0008_＀＀_x0008_＀＀_x0001_＀＀_x0001_＀＀_x0001_＀＀豀碵꼝쐕뿎䭠'䑇坞当䕐华佉彎十䕓協䱟⡔㈱㈯〰ⰷⰬ唬䑓착 ＀＀ ＀＀_x0008_＀＀_x0008_＀＀_x0001_＀＀_x0001_＀＀_x0001_＀＀豀碵꼝쐕뿎䭠I䑇䍞彁䕐华偟䅌彎十⡔㈱㈯〰ⰵⰬ唬䑓䀩南偟久䥓乏噟䱁䅟卓呅⡓㈱㈯〰ⰵⰬ唬䑓착 ＀＀ ＀＀_x0008_＀＀_x0008_＀＀_x0001_＀＀_x0001_＀＀_x0001_＀＀＀＀＀＀鼀䂺퐬䳈_x0016_䑇䙞彇剐䍉Ņ㐰ㄯ⼹〲〱!＀＀ ＀＀	＀＀_x0008_＀＀_x0001_＀＀_x0001_＀＀_x0001_＀＀尩슏ࣵ䁓찀ᦫ产 䑇䕞䅃䵟䅅彎䅓䕌⡓ㄫㄬ⼰㔲㈯㄰⤱!＀＀ ＀＀	＀＀_x0008_＀＀_x0001_＀＀_x0001_＀＀_x0001_＀＀馚香厡䃠찀뿍䭠:䑇坞当䕐华佉彎十䕓協偟佒⡐㈱㈯〰⤶䍀彁䕐华偟呃剟⡅㈱㈯〰⤶ ＀＀ ＀＀_x0008_＀＀_x0008_＀＀_x0001_＀＀_x0001_＀＀_x0001_＀＀＀＀＀＀＀＀＀＀뿎䭠F䑇䍞彁佐呓䕒彔佃呓ㄨ⼲〲㌰ⰬⰬ单⥄址当䱈䡔䅃䕒也偐䕟偘ㄨ⼲〲㌰ⰬⰬ单⥄ ＀＀ ＀＀_x0008_＀＀_x0008_＀＀_x0001_＀＀_x0001_＀＀_x0001_＀＀＀＀＀＀耀䁕뿎䭠B䑇䍞彁䕐华偟佒彊䉏⡌㈱㈯〰ⰶⰬ唬䑓䀩南偟久䥓乏偟佂ㄨ⼲〲㘰ⰬⰬ单⥄ ＀＀ ＀＀_x0008_＀＀_x0008_＀＀_x0001_＀＀_x0001_＀＀_x0001_＀＀＀＀＀＀ᬀ䂼ᦩ产L䍐幐䙆䕟呎偒归䅖彌䅄䱉⡙〱㈯⼵〲ㄱⰬⰬ∬䥄≌⼩䍅彁䕍乁䕟䥂⡔〲〱ㄬ⼰㔲㈯㄰⤱Ɲ＀＀ ＀＀ƅ＀＀_x0008_＀＀_x0001_＀＀_x0001_＀＀_x0001_＀＀쏴쵏꘴䀯摦畳㩰⼯楤敲瑣潩獮䘯呁嘠敩敷㽲捡楴湯唽䑐呁♅牣慥潴㵲慦瑣敳♴奄彎剁升吽啒♅佄彃䅎䕍䘽呁䘺䱑䅟䑕呉义彇䱃䕉呎呟䵅䱐呁⹅䅆♔楤灳慬役瑳楲杮䄽摵瑩嘦剁䬺奅吽乕䩗剗噇♅䅖㩒啑剅㵙歒晚啒唵汕卂ㅘ䉚䙔䔹啑䵬南硧䍍礸华礸䑍硅䍌獷䍌湷䕒䵬祊杫祌䙂け晆啔䉖汔䘹歑啬䑋睉呍獁呍癁橍癕橍硁卍㵫圦义佄㵗䥆卒彔佐啐♐䕈䝉呈㐽〵圦䑉䡔㐽〵匦䅔呒䵟塁䵉婉䑅䘽䱁䕓嘦剁䌺䱁久䅄㵒䥆䕖䅄♙䅖㩒奓䉍䱏倽偃嘦剁䤺䑎塅〽찀ᦨ产_x001F_䍐幐䍅䵟䅅彎䕐㈨㄰ⰲ〱㈯⼵〲ㄱ착!＀＀ ＀＀	＀＀_x0008_＀＀_x0001_＀＀_x0001_＀＀_x0001_＀＀꫸ক钿䀰찀뿎䭠'䑇坞当䱈䡔䅃䕒啟䙎䉟久ㄨ⼲〲㜰ⰬⰬ单⥄착＀＀＀＀煿䯌 䑇䕞䅃䵟䅅彎䅓䕌⡓㌫〬⼴㤱㈯㄰⤰!＀＀ ＀＀	＀＀_x0008_＀＀_x0001_＀＀_x0001_＀＀_x0001_＀＀尩슏ᰭ䃢찀뿎䭠_x001E_䑇䍞彁䕐华䱟彔十䕓協〨ⰬⰬ单⥄ ＀＀ ＀＀_x0008_＀＀_x0008_＀＀_x0001_＀＀_x0001_＀＀_x0001_＀＀＀＀＀＀쀀䁐뿍䭠:䑇坞当䕐华佉彎十䕓協䕟啑⡉㈱㈯〰⤷䍀彁䕐华偟呃䕟⡑㈱㈯〰⤷ ＀＀ ＀＀_x0008_＀＀_x0008_＀＀_x0001_＀＀_x0001_＀＀_x0001_＀＀＀＀＀＀䀀䁘뿎䭠(䑇坞当䱈䡔䅃䕒䑟卉彃䅒䕔ㄨ⼲〲㠰ⰬⰬ单⥄ ＀＀ ＀＀_x0008_＀＀_x0008_＀＀_x0001_＀＀_x0001_＀＀_x0001_＀＀ꏗ㵰휊䀙뿎䭠,䑇䍞彁佐呓䕒彔剕呟归䉏䅟位呒ㄨ⼲〲㐰ⰬⰬ单⥄ ＀＀ ＀＀_x0008_＀＀_x0008_＀＀_x0001_＀＀_x0001_＀＀_x0001_＀＀＀＀＀＀＀＀䀢뿎䭠K䑇䍞彁佐呓䕒彔义彔佃呓ㄨ⼲〲㠰ⰬⰬ单⥄址当䱈䡔䅃䕒䥟呎䍟协⡔㈱㈯〰ⰸⰬ唬䑓착 ＀＀ ＀＀_x0008_＀＀_x0008_＀＀_x0001_＀＀_x0001_＀＀_x0001_＀＀＀＀＀＀䀀䁑들䷰ 䕂噁䕞彃䕍乁偟⡅〲㈱〬⼴㔱㈯㄰⤱!＀＀ ＀＀	＀＀_x0008_＀＀_x0001_＀＀_x0001_＀＀_x0001_＀＀ㆾ_x0004_컇䀬찀뿎䭠L䑇䍞彁佐呓䕒彔剓彖佃呓ㄨ⼲〲㌰ⰬⰬ单⥄址当䱈䡔䅃䕒卟剅彖佃呓ㄨ⼲〲㌰ⰬⰬ单⥄ ＀＀ ＀＀_x0008_＀＀_x0008_＀＀_x0001_＀＀_x0001_＀＀_x0001_＀＀＀＀＀＀＀＀䀮뿎䭠$䑇䍞彁䕐华䍟剕䱟䅉卂ㄨ⼲〲㌰ⰬⰬ单⥄ ＀＀ ＀＀_x0008_＀＀_x0008_＀＀_x0001_＀＀_x0001_＀＀_x0001_＀＀豀碵꼝쐕ꎓ䶨L佃幌䙆䕟呎偒归䅖彌䅄䱉⡙㄰ㄯ⼱〲ㄱⰬⰬ∬䥄≌⼩䍅彁䕍乁䕟䥂⡔〲ㄱ〬⼱ㄱ㈯㄰⤱ƙ＀＀ ＀＀Ɓ＀＀_x0008_＀＀_x0001_＀＀_x0001_＀＀_x0001_＀＀ᡯ儍_xDBDF_䀤摦畳㩰⼯楤敲瑣潩獮䘯呁嘠敩敷㽲捡楴湯唽䑐呁♅牣慥潴㵲慦瑣敳♴奄彎剁升吽啒♅佄彃䅎䕍䘽呁䘺䱑䅟䑕呉义彇䱃䕉呎呟䵅䱐呁⹅䅆♔楤灳慬役瑳楲杮䄽摵瑩嘦剁䬺奅䴽䕒䥌䥎啄♎䅖㩒啑剅㵙歒晚啒唵汕卂ㅘ䉚䙔䔹啑䵬南睧卍砸卍礸䑍硅䍌獷䍌湷䕒䵬祊癫啒䉎じ䘱啑昵啒䩊䍖祧䑍硅䑌硁穌硅穌睉呍灅圦义佄㵗䥆卒彔佐啐♐䕈䝉呈㐽〵圦䑉䡔㐽〵匦䅔呒䵟塁䵉婉䑅䘽䱁䕓嘦剁䌺䱁久䅄㵒䥆䕖䅄♙䅖㩒奓䉍䱏䌽䱏嘦剁䤺䑎塅〽찀熂䯌N位⹇幁䙆䕟呎偒归䅖彌䅄䱉⡙㐰ㄯ⼹〲〱ⰬⰬ∬䥄≌⼩䍅彁䕍乁䕟䥂⡔〲〱〬⼴㤱㈯㄰⤰ƛ＀＀ ＀＀ƃ＀＀_x0008_＀＀_x0001_＀＀_x0001_＀＀_x0001_＀＀狥ྎ䀫摦畳㩰⼯楤敲瑣潩獮䘯呁嘠敩敷㽲捡楴湯唽䑐呁♅牣慥潴㵲慦瑣敳♴奄彎剁升吽啒♅佄彃䅎䕍䘽呁䘺䱑䅟䑕呉义彇䱃䕉呎呟䵅䱐呁⹅䅆♔楤灳慬役瑳楲杮䄽摵瑩嘦剁䬺奅䬽䅌奌奐佌♎䅖㩒啑剅㵙歒晚啒唵汕卂ㅘ䉚䙔䔹啑䵬南睧䍎砸协礸䑍睅䍌獷䍌湷䕒䵬祊癫啒䉎じ䘱啑昵啒䩊䍖祧䑍睅䑌ぁ穌㕅穌睉呍灁圦义佄㵗䥆卒彔佐啐♐䕈䝉呈㐽〵圦䑉䡔㐽〵匦䅔呒䵟塁䵉婉䑅䘽䱁䕓嘦剁䌺䱁久䅄㵒䥆䕖䅄♙䅖㩒奓䉍䱏䴽䝏䄮嘦剁䤺䑎塅〽찀㹪丯O䕂噁䙞彆久剔剐噟䱁䑟䥁奌〨⼷㘲㈯㄰ⰱⰬⰬ䐢䱉⤢䔯䅃䵟䅅彎䉅呉䅄㈨㄰ⰲ㜰㈯⼶〲ㄱ착ƞ＀＀ ＀＀Ɔ＀＀_x0008_＀＀_x0001_＀＀_x0001_＀＀_x0001_＀＀ቼ쨶䀛摦畳㩰⼯楤敲瑣潩獮䘯呁嘠敩敷㽲捡楴湯唽䑐呁♅牣慥潴㵲慦瑣敳♴奄彎剁升吽啒♅佄彃䅎䕍䘽呁䘺䱑䅟䑕呉义彇䱃䕉呎呟䵅䱐呁⹅䅆♔楤灳慬役瑳楲杮䄽摵瑩嘦剁䬺奅圽半啖䭌奊♊䅖㩒啑剅㵙歒晚啒唵汕卂ㅘ䉚䙔䔹啑䵬南睧祎礸楎礸䑍硅䍌獷䍌湷䕒䵬祊癫啒䉎じ䘱啑昵啒䩊䕖䉒䑋睉呍獉䑍癣橍癙橍硁卍㵫圦义佄㵗䥆卒彔佐啐♐䕈䝉呈㐽〵圦䑉䡔㐽〵匦䅔呒䵟塁䵉婉䑅䘽䱁䕓嘦剁䌺䱁久䅄㵒䥆䕖䅄♙䅖㩒奓䉍䱏䈽䅅♖䅖㩒义䕄㵘0듨䷰N位⹇幁䙆䕟呎偒归䅖彌䅄䱉⡙㐰ㄯ⼵〲ㄱⰬⰬ∬䥄≌⼩䍅彁䕍乁䕟䥂⡔〲㈱〬⼴㔱㈯㄰⤱Ɩ＀＀ ＀＀ž＀＀_x0008_＀＀_x0001_＀＀_x0001_＀＀_x0001_＀＀ꬹ䀤摦畳㩰⼯楤敲瑣潩獮䘯呁嘠敩敷㽲捡楴湯唽䑐呁♅牣慥潴㵲慦瑣敳♴奄彎剁升吽啒♅佄彃䅎䕍䘽呁䘺䱑䅟䑕呉义彇䱃䕉呎呟䵅䱐呁⹅䅆♔楤灳慬役瑳楲杮䄽摵瑩嘦剁䬺奅䄽兊䅐坌䍎♚䅖㩒啑剅㵙歒晚啒唵汕卂ㅘ䉚䙔䔹啑䵬南睧䍎砸华礸䑍硅䍌獷䍌湷䕒䵬祊癫啒䉎じ䘱啑昵啒䩊䍖祧䑍祅䑌ぁ穌ㅅ穌睉呍灅圦义佄㵗䥆卒彔佐啐♐䕈䝉呈㐽〵圦䑉䡔㐽〵匦䅔呒䵟塁䵉婉䑅䘽䱁䕓嘦剁䌺䱁久䅄㵒单嘦剁区䵙佂㵌位⹇♁䅖㩒义䕄㵘0ᦥ产_x001F_佃幌䍅彁䕍乁䕟卐⬨ⰲ〱㈯⼵〲ㄱ착!＀＀ ＀＀	＀＀_x0008_＀＀_x0001_＀＀_x0001_＀＀_x0001_＀＀萚_xDDB9_෋䀒찀ᦣ产O䕂噁䙞彆久剔剐噟䱁䑟䥁奌ㄨ⼰㔲㈯㄰ⰱⰬⰬ䐢䱉⤢䔯䅃䵟䅅彎䉅呉䅄㈨㄰ⰱ〱㈯⼵〲ㄱ착Ƣ＀＀ ＀＀Ɗ＀＀_x0008_＀＀_x0001_＀＀_x0001_＀＀_x0001_＀＀廙输偱䀣摦畳㩰⼯楤敲瑣潩獮䘯呁嘠敩敷㽲捡楴湯唽䑐呁♅牣慥潴㵲慦瑣敳♴奄彎剁升吽啒♅佄彃䅎䕍䘽呁䘺䱑䅟䑕呉义彇䱃䕉呎呟䵅䱐呁⹅䅆♔楤灳慬役瑳楲杮䄽摵瑩嘦剁䬺奅堽䑋塁䩃塉♁䅖㩒啑剅㵙歒晚啒唵汕卂ㅘ䉚䙔䔹啑䵬南硧䍍礸华礸䑍硅䍌獷䍌湷䕒䵬祊杫祌䙂け晆啔䉖汔䘹歑啬䕒潅橍硁卍硷䍍礸华礸䑍硅克㴽圦义佄㵗䥆卒彔佐啐♐䕈䝉呈㐽〵圦䑉䡔㐽〵匦䅔呒䵟塁䵉婉䑅䘽䱁䕓嘦剁䌺䱁久䅄㵒䥆䕖䅄♙䅖㩒奓䉍䱏䈽䅅♖䅖㩒义䕄㵘0閸䴬M佃幌䙆䕟呎偒归䅖彌䅄䱉⡙〱㈯⼷〲〱ⰬⰬ∬䥄≌⼩䍅彁䕍乁卟䱁卅㈨㄰ⰰ〱㈯⼷〲〱착Ƙ＀＀ ＀＀ƀ＀＀_x0008_＀＀_x0001_＀＀_x0001_＀＀_x0001_＀＀_xFFFF_￠㠁생䀀摦畳㩰⼯楤敲瑣潩獮䘯呁嘠敩敷㽲捡楴湯唽䑐呁♅牣慥潴㵲慦瑣敳♴奄彎剁升吽啒♅佄彃䅎䕍䘽呁䘺䱑䅟䑕呉义彇䱃䕉呎呟䵅䱐呁⹅䅆♔楤灳慬役瑳楲杮䄽摵瑩嘦剁䬺奅䌽䕄坒䭂䅔♎䅖㩒啑剅㵙歒晚啒唵汕卂ㅘ䉚䙔䔹啑䵬南硧䍍礸祎礸䑍睅䍌獷䍌湷䕒䵬祊癫啒䉎じ䘱啑昵さ䵆噒潍橍硁䍍硷䍍礸祎礸䑍睅克㴽圦义佄㵗䥆卒彔佐啐♐䕈䝉呈㐽〵圦䑉䡔㐽〵匦䅔呒䵟塁䵉婉䑅䘽䱁䕓嘦剁䌺䱁久䅄㵒单嘦剁区䵙佂㵌佃♌䅖㩒义䕄㵘0뿎䭠I䑇䍞彁䕐华䑟卉彃䅒䕔ㄨ⼲〲㌰ⰬⰬ单⥄址当䕐华佉彎䥄䍓剟呁⡅㈱㈯〰ⰳⰬ唬䑓착 ＀＀ ＀＀_x0008_＀＀_x0008_＀＀_x0001_＀＀_x0001_＀＀_x0001_＀＀＀＀＀＀＀＀䀙ᦟ产_x001A_䑇灞灟楲散桟杩彨㈵⡗㤳㐴⤷!＀＀ ＀＀	＀＀_x0008_＀＀_x0001_＀＀_x0001_＀＀_x0001_＀＀㌳㌳ꌳ䁗찀ꚝ丠N䕂噁䙞彆久剔剐噟䱁䑟䥁奌〨⼷㔱㈯㄰ⰱⰬⰬ䐢䱉⤢䔯䅃䵟䅅彎䅓䕌⡓〲〱〬⼷㔱㈯㄰⤱ƞ＀＀ ＀＀Ɔ＀＀_x0008_＀＀_x0001_＀＀_x0001_＀＀_x0001_＀＀袴砖⪍䀅摦畳㩰⼯楤敲瑣潩獮䘯呁嘠敩敷㽲捡楴湯唽䑐呁♅牣慥潴㵲慦瑣敳♴奄彎剁升吽啒♅佄彃䅎䕍䘽呁䘺䱑䅟䑕呉义彇䱃䕉呎呟䵅䱐呁⹅䅆♔楤灳慬役瑳楲杮䄽摵瑩嘦剁䬺奅䰽呕䉙假塋♁䅖㩒啑剅㵙歒晚啒唵汕卂ㅘ䉚䙔䔹啑䵬南睧祎砸华礸䑍硅䍌獷䍌湷䕒䵬祊癫啒䉎じ䘱啑昵さ䵆噒潍橍硁䍍睷祎砸华礸䑍硅克㴽圦义佄㵗䥆卒彔佐啐♐䕈䝉呈㐽〵圦䑉䡔㐽〵匦䅔呒䵟塁䵉婉䑅䘽䱁䕓嘦剁䌺䱁久䅄㵒䥆䕖䅄♙䅖㩒奓䉍䱏䈽䅅♖䅖㩒义䕄㵘0㹯丯N䍐幐䙆䕟呎偒归䅖彌䅄䱉⡙㜰㈯⼶〲ㄱⰬⰬ∬䥄≌⼩䍅彁䕍乁䕟䥂䑔⡁〲㈱〬⼷㘲㈯㄰⤱Ɲ＀＀ ＀＀ƅ＀＀_x0008_＀＀_x0001_＀＀_x0001_＀＀_x0001_＀＀ꏚ࿟䀣摦畳㩰⼯楤敲瑣潩獮䘯呁嘠敩敷㽲捡楴湯唽䑐呁♅牣慥潴㵲慦瑣敳♴奄彎剁升吽啒♅佄彃䅎䕍䘽呁䘺䱑䅟䑕呉义彇䱃䕉呎呟䵅䱐呁⹅䅆♔楤灳慬役瑳楲杮䄽摵瑩嘦剁䬺奅䜽䅔䭖䥊䕚♘䅖㩒啑剅㵙歒晚啒唵汕卂ㅘ䉚䙔䔹啑䵬南睧祎礸楎礸䑍硅䍌獷䍌湷䕒䵬祊癫啒䉎じ䘱啑昵啒䩊䕖䉒䑋睉呍獉䑍癣橍癙橍硁卍㵫圦义佄㵗䥆卒彔佐啐♐䕈䝉呈㐽〵圦䑉䡔㐽〵匦䅔呒䵟塁䵉婉䑅䘽䱁䕓嘦剁䌺䱁久䅄㵒䥆䕖䅄♙䅖㩒奓䉍䱏倽偃嘦剁䤺䑎塅〽찀ᦨ产N䍐幐䙆䕟呎偒归䅖彌䅄䱉⡙〱㈯⼵〲ㄱⰬⰬ∬䥄≌⼩䍅彁䕍乁䕟䥂䑔⡁〲ㄱㄬ⼰㔲㈯㄰⤱ơ＀＀ ＀＀Ɖ＀＀_x0008_＀＀_x0001_＀＀_x0001_＀＀_x0001_＀＀뤃✀悍䀧摦畳㩰⼯楤敲瑣潩獮䘯呁嘠敩敷㽲捡楴湯唽䑐呁♅牣慥潴㵲慦瑣敳♴奄彎剁升吽啒♅佄彃䅎䕍䘽呁䘺䱑䅟䑕呉义彇䱃䕉呎呟䵅䱐呁⹅䅆♔楤灳慬役瑳楲杮䄽摵瑩嘦剁䬺奅吽䙅䙅塋呏♕䅖㩒啑剅㵙歒晚啒唵汕卂ㅘ䉚䙔䔹啑䵬南硧䍍礸华礸䑍硅䍌獷䍌湷䕒䵬祊杫祌䙂け晆啔䉖汔䘹歑啬䕒潅橍硁卍硷䍍礸华礸䑍硅克㴽圦义佄㵗䥆卒彔佐啐♐䕈䝉呈㐽〵圦䑉䡔㐽〵匦䅔呒䵟塁䵉婉䑅䘽䱁䕓嘦剁䌺䱁久䅄㵒䥆䕖䅄♙䅖㩒奓䉍䱏倽偃嘦剁䤺䑎塅〽찀뿎䭠&amp;䑇䍞彁䕐华䙟乕彄呓呁单ㄨ⼲〲㜰ⰬⰬ单⥄ ＀＀ ＀＀_x0008_＀＀_x0008_＀＀_x0001_＀＀_x0001_＀＀_x0001_＀＀＀＀＀＀䁷뿍䭠_x001F_䑇坞当塅䡃剟呁彅义彃䙃ㄨ⼲〲㠰착 ＀＀ ＀＀_x0008_＀＀_x0008_＀＀_x0001_＀＀_x0001_＀＀_x0001_＀＀豀碵꼝쐕뿎䭠S䑇䍞彁佐呓䕒彔剐佉归剓⡖㈱㈯〰ⰶⰬ唬䑓䀩南䡟呌䍈剁彅乕䕒彃䕓噒䍟协⡔㈱㈯〰ⰶⰬ唬䑓착 ＀＀ ＀＀_x0008_＀＀_x0008_＀＀_x0001_＀＀_x0001_＀＀_x0001_＀＀＀＀＀＀＀＀쀈ᦡ产 䕂噁䕞彃䕍乁偟⡅〲㈱ㄬ⼰㔲㈯㄰⤱!＀＀ ＀＀	＀＀_x0008_＀＀_x0001_＀＀_x0001_＀＀_x0001_＀＀忭楙扒䀫찀뿍䭠:䑇坞当䕐华佉彎十䕓協䕟啑⡉㈱㈯〰⤲䍀彁䕐华偟呃䕟⡑㈱㈯〰⤲ ＀＀ ＀＀_x0008_＀＀_x0008_＀＀_x0001_＀＀_x0001_＀＀_x0001_＀＀豀碵꼝쐕煿䯌_x001E_䑇䕞䅃䵟䅅彎偅⡓㈫〬⼴㤱㈯㄰⤰!＀＀ ＀＀	＀＀_x0008_＀＀_x0001_＀＀_x0001_＀＀_x0001_＀＀攂깓ﻰ䀛찀熁䯌L佃幌䙆䕟呎偒归䅖彌䅄䱉⡙㐰ㄯ⼹〲〱ⰬⰬ∬䥄≌⼩䍅彁䕍乁䕟䥂⡔〲ㄱ〬⼴㤱㈯㄰⤰ƙ＀＀ ＀＀Ɓ＀＀_x0008_＀＀_x0001_＀＀_x0001_＀＀_x0001_＀＀㬟阱လ䀦摦畳㩰⼯楤敲瑣潩獮䘯呁嘠敩敷㽲捡楴湯唽䑐呁♅牣慥潴㵲慦瑣敳♴奄彎剁升吽啒♅佄彃䅎䕍䘽呁䘺䱑䅟䑕呉义彇䱃䕉呎呟䵅䱐呁⹅䅆♔楤灳慬役瑳楲杮䄽摵瑩嘦剁䬺奅伽奐䍊奄䝚♂䅖㩒啑剅㵙歒晚啒唵汕卂ㅘ䉚䙔䔹啑䵬南睧䍎砸协礸䑍睅䍌獷䍌湷䕒䵬祊癫啒䉎じ䘱啑昵啒䩊䍖祧䑍硅䑌ぁ穌㕅穌睉呍灁圦义佄㵗䥆卒彔佐啐♐䕈䝉呈㐽〵圦䑉䡔㐽〵匦䅔呒䵟塁䵉婉䑅䘽䱁䕓嘦剁䌺䱁久䅄㵒䥆䕖䅄♙䅖㩒奓䉍䱏䌽䱏嘦剁䤺䑎塅〽찀듥䷰_x001F_佃幌䍅䵟䅅彎䕐㈨㄰ⰱ㐰ㄯ⼵〲ㄱ착!＀＀ ＀＀	＀＀_x0008_＀＀_x0001_＀＀_x0001_＀＀_x0001_＀＀፻牃爐䀮찀뿎䭠D䑇䍞彁佐呓䕒彔䕂彎䉏ㄨ⼲〲㐰ⰬⰬ单⥄址当䱈䡔䅃䕒偟佂ㄨ⼲〲㐰ⰬⰬ单⥄ ＀＀ ＀＀_x0008_＀＀_x0008_＀＀_x0001_＀＀_x0001_＀＀_x0001_＀＀＀＀＀＀吀䂒뿎䭠&amp;䑇䍞彁佐呓䕒彔䕂彎䅐䑉ㄨ⼲〲㈰ⰬⰬ单⥄ ＀＀ ＀＀_x0008_＀＀_x0008_＀＀_x0001_＀＀_x0001_＀＀_x0001_＀＀＀＀＀＀耀䁆熄䯌S䝍呇䰭乏䙞彆久剔剐噟䱁䑟䥁奌〨⼴㤱㈯㄰ⰰⰬⰬ䐢䱉⤢䔯䅃䵟䅅彎䉅呉䅄㈨㄰ⰰ㐰ㄯ⼹〲〱착Ơ＀＀ ＀＀ƈ＀＀_x0008_＀＀_x0001_＀＀_x0001_＀＀_x0001_＀＀澈쥤薣䀟摦畳㩰⼯楤敲瑣潩獮䘯呁嘠敩敷㽲捡楴湯唽䑐呁♅牣慥潴㵲慦瑣敳♴奄彎剁升吽啒♅佄彃䅎䕍䘽呁䘺䱑䅟䑕呉义彇䱃䕉呎呟䵅䱐呁⹅䅆♔楤灳慬役瑳楲杮䄽摵瑩嘦剁䬺奅䴽卆华博佚♎䅖㩒啑剅㵙歒晚啒唵汕卂ㅘ䉚䙔䔹啑䵬南睧䍎砸协礸䑍睅䍌獷䍌湷䕒䵬祊癫啒䉎じ䘱啑昵啒䩊䕖䉒䑋睉呍獁䑍癑呍癫橍硁䍍㵫圦义佄㵗䥆卒彔佐啐♐䕈䝉呈㐽〵圦䑉䡔㐽〵匦䅔呒䵟塁䵉婉䑅䘽䱁䕓嘦剁䌺䱁久䅄㵒䥆䕖䅄♙䅖㩒奓䉍䱏〽㜵㠵☰䅖㩒义䕄㵘0ᦨ产N位⹇幁䙆䕟呎偒归䅖彌䅄䱉⡙〱㈯⼵〲ㄱⰬⰬ∬䥄≌⼩䍅彁䕍乁䕟䥂⡔〲〱ㄬ⼰㔲㈯㄰⤱Ɵ＀＀ ＀＀Ƈ＀＀_x0008_＀＀_x0001_＀＀_x0001_＀＀_x0001_＀＀콞饼䀨摦畳㩰⼯楤敲瑣潩獮䘯呁嘠敩敷㽲捡楴湯唽䑐呁♅牣慥潴㵲慦瑣敳♴奄彎剁升吽啒♅佄彃䅎䕍䘽呁䘺䱑䅟䑕呉义彇䱃䕉呎呟䵅䱐呁⹅䅆♔楤灳慬役瑳楲杮䄽摵瑩嘦剁䬺奅䈽剗剁呅偗♑䅖㩒啑剅㵙歒晚啒唵汕卂ㅘ䉚䙔䔹啑䵬南硧䍍礸华礸䑍硅䍌獷䍌湷䕒䵬祊杫祌䙂け晆啔䉖汔䘹歑啬䑋睉呍獁呍癁橍癕橍硁卍㵫圦义佄㵗䥆卒彔佐啐♐䕈䝉呈㐽〵圦䑉䡔㐽〵匦䅔呒䵟塁䵉婉䑅䘽䱁䕓嘦剁䌺䱁久䅄㵒䥆䕖䅄♙䅖㩒奓䉍䱏䴽䝏䄮嘦剁䤺䑎塅〽찀ꎓ䶨M佃幌䙆䕟呎偒归䅖彌䅄䱉⡙㄰ㄯ⼱〲ㄱⰬⰬ∬䥄≌⼩䍅彁䕍乁卟䱁卅㈨㄰ⰲ㄰ㄯ⼱〲ㄱ착Ɲ＀＀ ＀＀ƅ＀＀_x0008_＀＀_x0001_＀＀_x0001_＀＀_x0001_＀＀攫仴을㿽摦畳㩰⼯楤敲瑣潩獮䘯呁嘠敩敷㽲捡楴湯唽䑐呁♅牣慥潴㵲慦瑣敳♴奄彎剁升吽啒♅佄彃䅎䕍䘽呁䘺䱑䅟䑕呉义彇䱃䕉呎呟䵅䱐呁⹅䅆♔楤灳慬役瑳楲杮䄽摵瑩嘦剁䬺奅䔽䝚䍔卌䅂♄䅖㩒啑剅㵙歒晚啒唵汕卂ㅘ䉚䙔䔹啑䵬南睧卍砸卍礸䑍硅䍌獷䍌湷䕒䵬祊癫啒䉎じ䘱啑昵さ䵆噒潍橍硁楍睷卍砸卍礸䑍硅克㴽圦义佄㵗䥆卒彔佐啐♐䕈䝉呈㐽〵圦䑉䡔㐽〵匦䅔呒䵟塁䵉婉䑅䘽䱁䕓嘦剁䌺䱁久䅄㵒䥆䕖䅄♙䅖㩒奓䉍䱏䌽䱏嘦剁䤺䑎塅〽찀뿎䭠I䑇䍞彁䕐华剟䅏剟呁⡅㈱㈯〰ⰳⰬ唬䑓䀩南偟久䥓乏䕟偘䱟彔佒⡁㈱㈯〰ⰳⰬ唬䑓착 ＀＀ ＀＀_x0008_＀＀_x0008_＀＀_x0001_＀＀_x0001_＀＀_x0001_＀＀롑蔞䀠뿍䭠_x001F_䑇坞当塅䡃剟呁彅䅂彌䡓ㄨ⼲〲㐰착 ＀＀ ＀＀_x0008_＀＀_x0008_＀＀_x0001_＀＀_x0001_＀＀_x0001_＀＀豀碵꼝쐕뿎䭠_x001F_䑇坞当塅䡃剟呁⡅㈱㈯〰ⰷⰬ唬䑓착 ＀＀ ＀＀_x0008_＀＀_x0008_＀＀_x0001_＀＀_x0001_＀＀_x0001_＀＀＀＀＀＀＀＀㿰ꚢ丠L䍐幐䙆䕟呎偒归䅖彌䅄䱉⡙㜰ㄯ⼵〲ㄱⰬⰬ∬䥄≌⼩䍅彁䕍乁䕟䥂⡔〲〱〬⼷㔱㈯㄰⤱ƙ＀＀ ＀＀Ɓ＀＀_x0008_＀＀_x0001_＀＀_x0001_＀＀_x0001_＀＀希ࣚ뗜䀭摦畳㩰⼯楤敲瑣潩獮䘯呁嘠敩敷㽲捡楴湯唽䑐呁♅牣慥潴㵲慦瑣敳♴奄彎剁升吽啒♅佄彃䅎䕍䘽呁䘺䱑䅟䑕呉义彇䱃䕉呎呟䵅䱐呁⹅䅆♔楤灳慬役瑳楲杮䄽摵瑩嘦剁䬺奅吽久䉑呏䙉♋䅖㩒啑剅㵙歒晚啒唵汕卂ㅘ䉚䙔䔹啑䵬南睧祎砸华礸䑍硅䍌獷䍌湷䕒䵬祊癫啒䉎じ䘱啑昵啒䩊䍖祧䑍睅䑌㍁穌ㅅ穌睉呍灅圦义佄㵗䥆卒彔佐啐♐䕈䝉呈㐽〵圦䑉䡔㐽〵匦䅔呒䵟塁䵉婉䑅䘽䱁䕓嘦剁䌺䱁久䅄㵒䥆䕖䅄♙䅖㩒奓䉍䱏倽偃嘦剁䤺䑎塅〽찀뿎䭠'䑇䍞彁䕐华偟剁彔佃呎䥒⡂㈱㈯〰ⰲⰬ唬䑓착 ＀＀ ＀＀_x0008_＀＀_x0008_＀＀_x0001_＀＀_x0001_＀＀_x0001_＀＀＀＀＀＀＀＀＀＀閼䴬 䑇䕞䅃䵟䅅彎䅓䕌⡓㈫〬⼱ㄱ㈯㄰⤱!＀＀ ＀＀	＀＀_x0008_＀＀_x0001_＀＀_x0001_＀＀_x0001_＀＀슏⣵Ꚅ䃠찀뿎䭠&amp;䑇坞当䕐彎佐呓剟呅䉟久ㄨ⼲〲㐰ⰬⰬ单⥄ ＀＀ ＀＀_x0008_＀＀_x0008_＀＀_x0001_＀＀_x0001_＀＀_x0001_＀＀＀＀＀＀怀䁵듧䷰N佃幌䙆䕟呎偒归䅖彌䅄䱉⡙㐰ㄯ⼵〲ㄱⰬⰬ∬䥄≌⼩䍅彁䕍乁䕟䥂䑔⡁〲ㄱ〬⼴㔱㈯㄰⤱Ƙ＀＀ ＀＀ƀ＀＀_x0008_＀＀_x0001_＀＀_x0001_＀＀_x0001_＀＀͹す䀣摦畳㩰⼯楤敲瑣潩獮䘯呁嘠敩敷㽲捡楴湯唽䑐呁♅牣慥潴㵲慦瑣敳♴奄彎剁升吽啒♅佄彃䅎䕍䘽呁䘺䱑䅟䑕呉义彇䱃䕉呎呟䵅䱐呁⹅䅆♔楤灳慬役瑳楲杮䄽摵瑩嘦剁䬺奅䌽䕆䝎䅒䕘♖䅖㩒啑剅㵙歒晚啒唵汕卂ㅘ䉚䙔䔹啑䵬南睧䍎砸华礸䑍硅䍌獷䍌湷䕒䵬祊癫啒䉎じ䘱啑昵啒䩊䕖䉒䑋睉呍獅䑍癑呍癕橍硁卍㵫圦义佄㵗䥆卒彔佐啐♐䕈䝉呈㐽〵圦䑉䡔㐽〵匦䅔呒䵟塁䵉婉䑅䘽䱁䕓嘦剁䌺䱁久䅄㵒单嘦剁区䵙佂㵌佃♌䅖㩒义䕄㵘0閷䴬_x001F_佃幌䍅彁䕍乁䕟卐⬨ⰲ〱㈯⼷〲〱착!＀＀ ＀＀	＀＀_x0008_＀＀_x0001_＀＀_x0001_＀＀_x0001_＀＀꾟⹙ﴛ䀑찀뿎䭠&amp;䑇坞当䕐华佉彎䕎彔䥌䉁ㄨ⼲〲㐰ⰬⰬ单⥄ ＀＀ ＀＀_x0008_＀＀_x0008_＀＀_x0001_＀＀_x0001_＀＀_x0001_＀＀豀碵꼝쐕뿎䭠I䑇䍞彁䕐华偟䅌彎十⡔㈱㈯〰ⰸⰬ唬䑓䀩南偟久䥓乏噟䱁䅟卓呅⡓㈱㈯〰ⰸⰬ唬䑓착 ＀＀ ＀＀_x0008_＀＀_x0008_＀＀_x0001_＀＀_x0001_＀＀_x0001_＀＀＀＀＀＀휀䂲熄䯌R䝍呇䰭乏䙞彆久剔剐噟䱁䑟䥁奌〨⼴㤱㈯㄰ⰰⰬⰬ䐢䱉⤢䔯䅃䵟䅅彎䅓䕌⡓〲〱〬⼴㤱㈯㄰⤰Ơ＀＀ ＀＀ƈ＀＀_x0008_＀＀_x0001_＀＀_x0001_＀＀_x0001_＀＀‹叫ヿ䀃摦畳㩰⼯楤敲瑣潩獮䘯呁嘠敩敷㽲捡楴湯唽䑐呁♅牣慥潴㵲慦瑣敳♴奄彎剁升吽啒♅佄彃䅎䕍䘽呁䘺䱑䅟䑕呉义彇䱃䕉呎呟䵅䱐呁⹅䅆♔楤灳慬役瑳楲杮䄽摵瑩嘦剁䬺奅圽䵂半䵎华♘䅖㩒啑剅㵙歒晚啒唵汕卂ㅘ䉚䙔䔹啑䵬南睧䍎砸协礸䑍睅䍌獷䍌湷䕒䵬祊癫啒䉎じ䘱啑昵さ䵆噒潍橍硁䍍睷䍎砸协礸䑍睅克㴽圦义佄㵗䥆卒彔佐啐♐䕈䝉呈㐽〵圦䑉䡔㐽〵匦䅔呒䵟塁䵉婉䑅䘽䱁䕓嘦剁䌺䱁久䅄㵒䥆䕖䅄♙䅖㩒奓䉍䱏〽㜵㠵☰䅖㩒义䕄㵘0ᦥ产_x001F_佃幌䍅䵟䅅彎䕐㈨㄰ⰱ〱㈯⼵〲ㄱ착!＀＀ ＀＀	＀＀_x0008_＀＀_x0001_＀＀_x0001_＀＀_x0001_＀＀였栳䀪찀㹴丯 䑇䕞䅃䵟䅅彎䅓䕌⡓ㄫ〬⼷㘲㈯㄰⤱!＀＀ ＀＀	＀＀_x0008_＀＀_x0001_＀＀_x0001_＀＀_x0001_＀＀晧晦潖䃠찀듮䷰ 䑇䕞䅃䵟䅅彎䉅呉⡄ㄫ〬⼶㤰㈯㄰⤱!＀＀ ＀＀	＀＀_x0008_＀＀_x0001_＀＀_x0001_＀＀_x0001_＀＀ﯨ걲䂱찀뿎䭠'䑇䍞彁䕐华偟䑐䉟久䍟协⡔㈱㈯〰ⰳⰬ唬䑓착 ＀＀ ＀＀_x0008_＀＀_x0008_＀＀_x0001_＀＀_x0001_＀＀_x0001_＀＀豀碵꼝쐕ꚡ丠O位⹇幁䙆䕟呎偒归䅖彌䅄䱉⡙㜰ㄯ⼵〲ㄱⰬⰬ∬䥄≌⼩䍅彁䕍乁卟䱁卅㈨㄰ⰲ㜰ㄯ⼵〲ㄱ착Ɵ＀＀ ＀＀Ƈ＀＀_x0008_＀＀_x0001_＀＀_x0001_＀＀_x0001_＀＀戶ꖃɅ㿱摦畳㩰⼯楤敲瑣潩獮䘯呁嘠敩敷㽲捡楴湯唽䑐呁♅牣慥潴㵲慦瑣敳♴奄彎剁升吽啒♅佄彃䅎䕍䘽呁䘺䱑䅟䑕呉义彇䱃䕉呎呟䵅䱐呁⹅䅆♔楤灳慬役瑳楲杮䄽摵瑩嘦剁䬺奅䰽䡉䱉偑䡅♓䅖㩒啑剅㵙歒晚啒唵汕卂ㅘ䉚䙔䔹啑䵬南睧祎砸华礸䑍硅䍌獷䍌湷䕒䵬祊癫啒䉎じ䘱啑昵さ䵆噒潍橍硁楍睷祎砸华礸䑍硅克㴽圦义佄㵗䥆卒彔佐啐♐䕈䝉呈㐽〵圦䑉䡔㐽〵匦䅔呒䵟塁䵉婉䑅䘽䱁䕓嘦剁䌺䱁久䅄㵒䥆䕖䅄♙䅖㩒奓䉍䱏䴽䝏䄮嘦剁䤺䑎塅〽찀ᦦ产L佃幌䙆䕟呎偒归䅖彌䅄䱉⡙〱㈯⼵〲ㄱⰬⰬ∬䥄≌⼩䍅彁䕍乁䕟䥂⡔〲ㄱㄬ⼰㔲㈯㄰⤱Ɲ＀＀ ＀＀ƅ＀＀_x0008_＀＀_x0001_＀＀_x0001_＀＀_x0001_＀＀ص諨儾䀣摦畳㩰⼯楤敲瑣潩獮䘯呁嘠敩敷㽲捡楴湯唽䑐呁♅牣慥潴㵲慦瑣敳♴奄彎剁升吽啒♅佄彃䅎䕍䘽呁䘺䱑䅟䑕呉义彇䱃䕉呎呟䵅䱐呁⹅䅆♔楤灳慬役瑳楲杮䄽摵瑩嘦剁䬺奅吽偁婏䡓噏♏䅖㩒啑剅㵙歒晚啒唵汕卂ㅘ䉚䙔䔹啑䵬南硧䍍礸华礸䑍硅䍌獷䍌湷䕒䵬祊杫祌䙂け晆啔䉖汔䘹歑啬䑋睉呍獅呍癁橍癕橍硁卍㵫圦义佄㵗䥆卒彔佐啐♐䕈䝉呈㐽〵圦䑉䡔㐽〵匦䅔呒䵟塁䵉婉䑅䘽䱁䕓嘦剁䌺䱁久䅄㵒䥆䕖䅄♙䅖㩒奓䉍䱏䌽䱏嘦剁䤺䑎塅〽찀ꎕ䶨P位⹇幁䙆䕟呎偒归䅖彌䅄䱉⡙㄰ㄯ⼱〲ㄱⰬⰬ∬䥄≌⼩䍅彁䕍乁䕟䥂䑔⡁〲〱〬⼱ㄱ㈯㄰⤱Ɵ＀＀ ＀＀Ƈ＀＀_x0008_＀＀_x0001_＀＀_x0001_＀＀_x0001_＀＀㸖洫䀢摦畳㩰⼯楤敲瑣潩獮䘯呁嘠敩敷㽲捡楴湯唽䑐呁♅牣慥潴㵲慦瑣敳♴奄彎剁升吽啒♅佄彃䅎䕍䘽呁䘺䱑䅟䑕呉义彇䱃䕉呎呟䵅䱐呁⹅䅆♔楤灳慬役瑳楲杮䄽摵瑩嘦剁䬺奅儽啌兔䍌䝌♊䅖㩒啑剅㵙歒晚啒唵汕卂ㅘ䉚䙔䔹啑䵬南睧卍砸卍礸䑍硅䍌獷䍌湷䕒䵬祊癫啒䉎じ䘱啑昵啒䩊䕖䉒䑋睉呍獁䑍癅呍癅橍硁卍㵫圦义佄㵗䥆卒彔佐啐♐䕈䝉呈㐽〵圦䑉䡔㐽〵匦䅔呒䵟塁䵉婉䑅䘽䱁䕓嘦剁䌺䱁久䅄㵒䥆䕖䅄♙䅖㩒奓䉍䱏䴽䝏䄮嘦剁䤺䑎塅〽찀ꬭ䶨_x0017_䱌幌䝆偟䥒䕃 ⼱〱㈯㄰찱!＀＀ ＀＀	＀＀_x0008_＀＀_x0001_＀＀_x0001_＀＀_x0001_＀＀尨䁒찀霰䴬_x0017_呁幋䝆偟䥒䕃 ⼷㠲㈯㄰찰!＀＀ ＀＀	＀＀_x0008_＀＀_x0001_＀＀_x0001_＀＀_x0001_＀＀ᑺޮ䁑찀ᦥ产N䕂噁䙞彆久剔剐噟䱁䑟䥁奌ㄨ⼰㔲㈯㄰ⰱⰬⰬ䐢䱉⤢䔯䅃䵟䅅彎䅓䕌⡓〲ㄱㄬ⼰㔲㈯㄰⤱ƞ＀＀ ＀＀Ɔ＀＀_x0008_＀＀_x0001_＀＀_x0001_＀＀_x0001_＀＀裱國脨㿾摦畳㩰⼯楤敲瑣潩獮䘯呁嘠敩敷㽲捡楴湯唽䑐呁♅牣慥潴㵲慦瑣敳♴奄彎剁升吽啒♅佄彃䅎䕍䘽呁䘺䱑䅟䑕呉义彇䱃䕉呎呟䵅䱐呁⹅䅆♔楤灳慬役瑳楲杮䄽摵瑩嘦剁䬺奅䘽䙉噁䉃䱏♇䅖㩒啑剅㵙歒晚啒唵汕卂ㅘ䉚䙔䔹啑䵬南硧䍍礸华礸䑍硅䍌獷䍌湷䕒䵬祊杫祌䙂け晆啔䉖汔吹啑䙸祕祧䑍硅䑌睅穌ㅉ穌睉呍灅圦义佄㵗䥆卒彔佐啐♐䕈䝉呈㐽〵圦䑉䡔㐽〵匦䅔呒䵟塁䵉婉䑅䘽䱁䕓嘦剁䌺䱁久䅄㵒䥆䕖䅄♙䅖㩒奓䉍䱏䈽䅅♖䅖㩒义䕄㵘0熂䯌P位⹇幁䙆䕟呎偒归䅖彌䅄䱉⡙㐰ㄯ⼹〲〱ⰬⰬ∬䥄≌⼩䍅彁䕍乁䕟䥂䑔⡁〲ㄱ〬⼴㤱㈯㄰⤰Ɵ＀＀ ＀＀Ƈ＀＀_x0008_＀＀_x0001_＀＀_x0001_＀＀_x0001_＀＀ฎʶ敝䀠摦畳㩰⼯楤敲瑣潩獮䘯呁嘠敩敷㽲捡楴湯唽䑐呁♅牣慥潴㵲慦瑣敳♴奄彎剁升吽啒♅佄彃䅎䕍䘽呁䘺䱑䅟䑕呉义彇䱃䕉呎呟䵅䱐呁⹅䅆♔楤灳慬役瑳楲杮䄽摵瑩嘦剁䬺奅䜽啒佖啒兄♊䅖㩒啑剅㵙歒晚啒唵汕卂ㅘ䉚䙔䔹啑䵬南睧䍎砸协礸䑍睅䍌獷䍌湷䕒䵬祊癫啒䉎じ䘱啑昵啒䩊䕖䉒䑋睉呍獅䑍癑呍癫橍硁䍍㵫圦义佄㵗䥆卒彔佐啐♐䕈䝉呈㐽〵圦䑉䡔㐽〵匦䅔呒䵟塁䵉婉䑅䘽䱁䕓嘦剁䌺䱁久䅄㵒䥆䕖䅄♙䅖㩒奓䉍䱏䴽䝏䄮嘦剁䤺䑎塅〽찀뿎䭠$䑇䍞彁䕐华䱟彔十䕓協ㄨ⼲〲㈰ⰬⰬ单⥄ ＀＀ ＀＀_x0008_＀＀_x0008_＀＀_x0001_＀＀_x0001_＀＀_x0001_＀＀豀碵꼝쐕ꎕ䶨N位⹇幁䙆䕟呎偒归䅖彌䅄䱉⡙㄰ㄯ⼱〲ㄱⰬⰬ∬䥄≌⼩䍅彁䕍乁䕟䥂⡔〲〱〬⼱ㄱ㈯㄰⤱ƛ＀＀ ＀＀ƃ＀＀_x0008_＀＀_x0001_＀＀_x0001_＀＀_x0001_＀＀ꏫࣼ夾䀫摦畳㩰⼯楤敲瑣潩獮䘯呁嘠敩敷㽲捡楴湯唽䑐呁♅牣慥潴㵲慦瑣敳♴奄彎剁升吽啒♅佄彃䅎䕍䘽呁䘺䱑䅟䑕呉义彇䱃䕉呎呟䵅䱐呁⹅䅆♔楤灳慬役瑳楲杮䄽摵瑩嘦剁䬺奅䜽䝖䍎佐啄♖䅖㩒啑剅㵙歒晚啒唵汕卂ㅘ䉚䙔䔹啑䵬南睧卍砸卍礸䑍硅䍌獷䍌湷䕒䵬祊癫啒䉎じ䘱啑昵啒䩊䍖祧䑍睅䑌硁穌硅穌睉呍灅圦义佄㵗䥆卒彔佐啐♐䕈䝉呈㐽〵圦䑉䡔㐽〵匦䅔呒䵟塁䵉婉䑅䘽䱁䕓嘦剁䌺䱁久䅄㵒䥆䕖䅄♙䅖㩒奓䉍䱏䴽䝏䄮嘦剁䤺䑎塅〽찀듮䷰ 䑇䕞䅃䵟䅅彎䅓䕌⡓㌫〬⼶㤰㈯㄰⤱!＀＀ ＀＀	＀＀_x0008_＀＀_x0001_＀＀_x0001_＀＀_x0001_＀＀ਾꏗ늸䃡찀뿎䭠#䑇䍞彁䕐华䉟久偟䥁⡄㈱㈯〰ⰷⰬ唬䑓착 ＀＀ ＀＀_x0008_＀＀_x0008_＀＀_x0001_＀＀_x0001_＀＀_x0001_＀＀＀＀＀＀뀀䁶熃䯌M䍐幐䙆䕟呎偒归䅖彌䅄䱉⡙㐰ㄯ⼹〲〱ⰬⰬ∬䥄≌⼩䍅彁䕍乁卟䱁卅㈨㄰ⰲ㐰ㄯ⼹〲〱착Ɲ＀＀ ＀＀ƅ＀＀_x0008_＀＀_x0001_＀＀_x0001_＀＀_x0001_＀＀旜ꋇ詗䀃摦畳㩰⼯楤敲瑣潩獮䘯呁嘠敩敷㽲捡楴湯唽䑐呁♅牣慥潴㵲慦瑣敳♴奄彎剁升吽啒♅佄彃䅎䕍䘽呁䘺䱑䅟䑕呉义彇䱃䕉呎呟䵅䱐呁⹅䅆♔楤灳慬役瑳楲杮䄽摵瑩嘦剁䬺奅䴽奘兒华卖♖䅖㩒啑剅㵙歒晚啒唵汕卂ㅘ䉚䙔䔹啑䵬南睧䍎砸协礸䑍睅䍌獷䍌湷䕒䵬祊癫啒䉎じ䘱啑昵さ䵆噒潍橍硁楍睷䍎砸协礸䑍睅克㴽圦义佄㵗䥆卒彔佐啐♐䕈䝉呈㐽〵圦䑉䡔㐽〵匦䅔呒䵟塁䵉婉䑅䘽䱁䕓嘦剁䌺䱁久䅄㵒䥆䕖䅄♙䅖㩒奓䉍䱏倽偃嘦剁䤺䑎塅〽찀ꎑ䶨O䕂噁䙞彆久剔剐噟䱁䑟䥁奌〨⼱ㄱ㈯㄰ⰱⰬⰬ䐢䱉⤢䔯䅃䵟䅅彎䉅呉䅄㈨㄰ⰲ㄰ㄯ⼱〲ㄱ착ƞ＀＀ ＀＀Ɔ＀＀_x0008_＀＀_x0001_＀＀_x0001_＀＀_x0001_＀＀昘镗䀢摦畳㩰⼯楤敲瑣潩獮䘯呁嘠敩敷㽲捡楴湯唽䑐呁♅牣慥潴㵲慦瑣敳♴奄彎剁升吽啒♅佄彃䅎䕍䘽呁䘺䱑䅟䑕呉义彇䱃䕉呎呟䵅䱐呁⹅䅆♔楤灳慬役瑳楲杮䄽摵瑩嘦剁䬺奅唽䕐坐䅄䅖♖䅖㩒啑剅㵙歒晚啒唵汕卂ㅘ䉚䙔䔹啑䵬南睧卍砸卍礸䑍硅䍌獷䍌湷䕒䵬祊癫啒䉎じ䘱啑昵啒䩊䕖䉒䑋睉呍獉䑍癅呍癅橍硁卍㵫圦义佄㵗䥆卒彔佐啐♐䕈䝉呈㐽〵圦䑉䡔㐽〵匦䅔呒䵟塁䵉婉䑅䘽䱁䕓嘦剁䌺䱁久䅄㵒䥆䕖䅄♙䅖㩒奓䉍䱏䈽䅅♖䅖㩒义䕄㵘0㹭丯P位⹇幁䙆䕟呎偒归䅖彌䅄䱉⡙㜰㈯⼶〲ㄱⰬⰬ∬䥄≌⼩䍅彁䕍乁䕟䥂䑔⡁〲〱〬⼷㘲㈯㄰⤱Ɵ＀＀ ＀＀Ƈ＀＀_x0008_＀＀_x0001_＀＀_x0001_＀＀_x0001_＀＀捷ﶠ堶䀢摦畳㩰⼯楤敲瑣潩獮䘯呁嘠敩敷㽲捡楴湯唽䑐呁♅牣慥潴㵲慦瑣敳♴奄彎剁升吽啒♅佄彃䅎䕍䘽呁䘺䱑䅟䑕呉义彇䱃䕉呎呟䵅䱐呁⹅䅆♔楤灳慬役瑳楲杮䄽摵瑩嘦剁䬺奅䜽奐䝎兊䍂♎䅖㩒啑剅㵙歒晚啒唵汕卂ㅘ䉚䙔䔹啑䵬南睧祎礸楎礸䑍硅䍌獷䍌湷䕒䵬祊癫啒䉎じ䘱啑昵啒䩊䕖䉒䑋睉呍獁䑍癣橍癙橍硁卍㵫圦义佄㵗䥆卒彔佐啐♐䕈䝉呈㐽〵圦䑉䡔㐽〵匦䅔呒䵟塁䵉婉䑅䘽䱁䕓嘦剁䌺䱁久䅄㵒䥆䕖䅄♙䅖㩒奓䉍䱏䴽䝏䄮嘦剁䤺䑎塅〽찀뿎䭠F䑇䍞彁佐呓䕒彔佃呓ㄨ⼲〲㈰ⰬⰬ单⥄址当䱈䡔䅃䕒也偐䕟偘ㄨ⼲〲㈰ⰬⰬ单⥄ ＀＀ ＀＀_x0008_＀＀_x0008_＀＀_x0001_＀＀_x0001_＀＀_x0001_＀＀＀＀＀＀＀＀䁑㹯丯L䍐幐䙆䕟呎偒归䅖彌䅄䱉⡙㜰㈯⼶〲ㄱⰬⰬ∬䥄≌⼩䍅彁䕍乁䕟䥂⡔〲〱〬⼷㘲㈯㄰⤱ƙ＀＀ ＀＀Ɓ＀＀_x0008_＀＀_x0001_＀＀_x0001_＀＀_x0001_＀＀ﻑ窄䀭摦畳㩰⼯楤敲瑣潩獮䘯呁嘠敩敷㽲捡楴湯唽䑐呁♅牣慥潴㵲慦瑣敳♴奄彎剁升吽啒♅佄彃䅎䕍䘽呁䘺䱑䅟䑕呉义彇䱃䕉呎呟䵅䱐呁⹅䅆♔楤灳慬役瑳楲杮䄽摵瑩嘦剁䬺奅伽坄奈䕈䝊♎䅖㩒啑剅㵙歒晚啒唵汕卂ㅘ䉚䙔䔹啑䵬南睧祎礸楎礸䑍硅䍌獷䍌湷䕒䵬祊癫啒䉎じ䘱啑昵啒䩊䍖祧䑍睅䑌㍁穌㉉穌睉呍灅圦义佄㵗䥆卒彔佐啐♐䕈䝉呈㐽〵圦䑉䡔㐽〵匦䅔呒䵟塁䵉婉䑅䘽䱁䕓嘦剁䌺䱁久䅄㵒䥆䕖䅄♙䅖㩒奓䉍䱏倽偃嘦剁䤺䑎塅〽찀ꎖ䶨N䍐幐䙆䕟呎偒归䅖彌䅄䱉⡙㄰ㄯ⼱〲ㄱⰬⰬ∬䥄≌⼩䍅彁䕍乁䕟䥂䑔⡁〲㈱〬⼱ㄱ㈯㄰⤱Ɲ＀＀ ＀＀ƅ＀＀_x0008_＀＀_x0001_＀＀_x0001_＀＀_x0001_＀＀褳泈攋䀡摦畳㩰⼯楤敲瑣潩獮䘯呁嘠敩敷㽲捡楴湯唽䑐呁♅牣慥潴㵲慦瑣敳♴奄彎剁升吽啒♅佄彃䅎䕍䘽呁䘺䱑䅟䑕呉义彇䱃䕉呎呟䵅䱐呁⹅䅆♔楤灳慬役瑳楲杮䄽摵瑩嘦剁䬺奅䌽䝊佂䅆啐♎䅖㩒啑剅㵙歒晚啒唵汕卂ㅘ䉚䙔䔹啑䵬南睧卍砸卍礸䑍硅䍌獷䍌湷䕒䵬祊癫啒䉎じ䘱啑昵啒䩊䕖䉒䑋睉呍獉䑍癅呍癅橍硁卍㵫圦义佄㵗䥆卒彔佐啐♐䕈䝉呈㐽〵圦䑉䡔㐽〵匦䅔呒䵟塁䵉婉䑅䘽䱁䕓嘦剁䌺䱁久䅄㵒䥆䕖䅄♙䅖㩒奓䉍䱏倽偃嘦剁䤺䑎塅〽찀᥋产6䑇䙞彅卅䥔䅍䕔✨䕎❔✬䕍乁Ⱗ儧䅕呒剅奌Ⱗ⬧✱丬坏Ⱜ✬⤧!＀＀ ＀＀	＀＀_x0008_＀＀_x0001_＀＀_x0001_＀＀_x0001_＀＀鮥慄䂄찀</t>
        </r>
      </text>
    </comment>
  </commentList>
</comments>
</file>

<file path=xl/sharedStrings.xml><?xml version="1.0" encoding="utf-8"?>
<sst xmlns="http://schemas.openxmlformats.org/spreadsheetml/2006/main" count="1075" uniqueCount="790">
  <si>
    <t>Information Technology Services</t>
  </si>
  <si>
    <t>ScaleOverride</t>
  </si>
  <si>
    <t>UnitOverride</t>
  </si>
  <si>
    <t>ReverseSign</t>
  </si>
  <si>
    <t>IsDrivingAssumption</t>
  </si>
  <si>
    <t>SegmentID</t>
  </si>
  <si>
    <t>Total</t>
  </si>
  <si>
    <t>2008A</t>
  </si>
  <si>
    <t>Tax Expense</t>
  </si>
  <si>
    <t>Common Stock</t>
  </si>
  <si>
    <t>Retained Earnings</t>
  </si>
  <si>
    <t>NA</t>
  </si>
  <si>
    <t>Other</t>
  </si>
  <si>
    <t>Repair and other services</t>
  </si>
  <si>
    <t>INCOME STATEMENT</t>
  </si>
  <si>
    <t>2004A</t>
  </si>
  <si>
    <t>GD.N,mscalc:targetPrice</t>
  </si>
  <si>
    <t>,mscalc:sedolCodeCalc</t>
  </si>
  <si>
    <t>,mscalc:closePriceCurrencyCalc</t>
  </si>
  <si>
    <t>,mscalc:targetPrice,,,,USD</t>
  </si>
  <si>
    <t>$BZ$2</t>
  </si>
  <si>
    <t>YoY % Chg.</t>
  </si>
  <si>
    <t>GROSS REVENUE</t>
  </si>
  <si>
    <t>OPERATING SEGMENTS</t>
  </si>
  <si>
    <t>YoY Pt. Chg.</t>
  </si>
  <si>
    <t>Incremental Margin</t>
  </si>
  <si>
    <t>Aerospace Op. Margin</t>
  </si>
  <si>
    <t>Aerospace Op. Income</t>
  </si>
  <si>
    <t>Aerospace Op. Expenses</t>
  </si>
  <si>
    <t>Combat Systems Op. Margin</t>
  </si>
  <si>
    <t>Combat Systems Op. Income</t>
  </si>
  <si>
    <t>Combat Systems Op. Expenses</t>
  </si>
  <si>
    <t>Marine Systems Op. Margin</t>
  </si>
  <si>
    <t>Marine Systems Op. Income</t>
  </si>
  <si>
    <t>Marine Systems Op. Expenses</t>
  </si>
  <si>
    <t>Aircraft manufacturing, outfitting, and completion</t>
  </si>
  <si>
    <t>Nuclear-Powered Submarines</t>
  </si>
  <si>
    <t>% of Total</t>
  </si>
  <si>
    <t>Surface Combatants</t>
  </si>
  <si>
    <t>Auxillary and Commercial Ships</t>
  </si>
  <si>
    <t>Defense Backlog ($M)</t>
  </si>
  <si>
    <t>Information Systems and Technology Op. Income</t>
  </si>
  <si>
    <t>Information Systems and Technology Op. Expenses</t>
  </si>
  <si>
    <t>Total Operating Profit</t>
  </si>
  <si>
    <t>Consolidated Operating Revenue</t>
  </si>
  <si>
    <t>SG&amp;A</t>
  </si>
  <si>
    <t>EPS RECONCILIATION</t>
  </si>
  <si>
    <t>Avg Debt</t>
  </si>
  <si>
    <t>Implied Interest Rate and Forward Interest Rate Assumption</t>
  </si>
  <si>
    <t>Interest Expense Forecast</t>
  </si>
  <si>
    <t>Pretax Income</t>
  </si>
  <si>
    <t>Net Income</t>
  </si>
  <si>
    <t>LLL.N,mscalc:targetPrice,,,,USD</t>
  </si>
  <si>
    <t>LLL.N,mscalc:closePriceCurrencyCalc</t>
  </si>
  <si>
    <t>LLL.N,mscalc:sedolCodeCalc</t>
  </si>
  <si>
    <t>2247366</t>
  </si>
  <si>
    <t>Check</t>
  </si>
  <si>
    <t>Total Assets</t>
  </si>
  <si>
    <t>Total Current Liabilities</t>
  </si>
  <si>
    <t>Deferred Income Taxes</t>
  </si>
  <si>
    <t>Proceeds from Issuance of Common Stock</t>
  </si>
  <si>
    <t>Total Revenues</t>
  </si>
  <si>
    <t>Goodwill</t>
  </si>
  <si>
    <t>Intangible Assets</t>
  </si>
  <si>
    <t>USD</t>
  </si>
  <si>
    <t>Net Income - Reported</t>
  </si>
  <si>
    <t>Avg. Diluted Shs.</t>
  </si>
  <si>
    <t>Dividend Per Share</t>
  </si>
  <si>
    <t>Accounts Payable</t>
  </si>
  <si>
    <t>Net Cash From Operations</t>
  </si>
  <si>
    <t>Net Cash From Investing</t>
  </si>
  <si>
    <t>Dividends Paid</t>
  </si>
  <si>
    <t>Net Cash From Financing</t>
  </si>
  <si>
    <t>Net Increase / (Decrease) In Cash</t>
  </si>
  <si>
    <t>Ending Cash</t>
  </si>
  <si>
    <t>Cash &amp; Cash Equivalents</t>
  </si>
  <si>
    <t>Inventories - net</t>
  </si>
  <si>
    <t xml:space="preserve">Total Current Assets </t>
  </si>
  <si>
    <t>Property, Plant &amp; Equipment - net</t>
  </si>
  <si>
    <t>Other Assets</t>
  </si>
  <si>
    <t>Other Non-Current Liabilities</t>
  </si>
  <si>
    <t>Total Liabilities</t>
  </si>
  <si>
    <t>Accumulated Other Comprehensive Income (Loss)</t>
  </si>
  <si>
    <t>Common Stock held in treasury</t>
  </si>
  <si>
    <t>Total Shareholders Equity</t>
  </si>
  <si>
    <t>Total Liabilities &amp; SE</t>
  </si>
  <si>
    <t>Cost of Sales</t>
  </si>
  <si>
    <t xml:space="preserve">Long-Term Debt </t>
  </si>
  <si>
    <t>Cash Beginning of the period</t>
  </si>
  <si>
    <t>Contracts in process</t>
  </si>
  <si>
    <t>Other current assets</t>
  </si>
  <si>
    <t>Other liabilities</t>
  </si>
  <si>
    <t>Free Cash Flow</t>
  </si>
  <si>
    <t>FCF Conversion %</t>
  </si>
  <si>
    <t>As a % of Net Revenue</t>
  </si>
  <si>
    <t>As a % of Beginning Net PP&amp;E</t>
  </si>
  <si>
    <t>Extraordinary/One-Time Charges/Expenses</t>
  </si>
  <si>
    <t>Depreciation and Amortization</t>
  </si>
  <si>
    <t>Balance Sheet</t>
  </si>
  <si>
    <t>Operating Income</t>
  </si>
  <si>
    <t>Corporate</t>
  </si>
  <si>
    <t>2009A</t>
  </si>
  <si>
    <t xml:space="preserve">Receivables, net </t>
  </si>
  <si>
    <t>Information Systems &amp; Technology</t>
  </si>
  <si>
    <t>MSe</t>
  </si>
  <si>
    <t xml:space="preserve">Net Income </t>
  </si>
  <si>
    <t>Cash used by discontinuing operations</t>
  </si>
  <si>
    <t>COGS</t>
  </si>
  <si>
    <t>For Modelware Purposes</t>
  </si>
  <si>
    <t>Unrecorded Goodwill</t>
  </si>
  <si>
    <t>ATK.N,mscalc:targetPrice,,,,USD</t>
  </si>
  <si>
    <t>ATK.N,mscalc:sedolCodeCalc</t>
  </si>
  <si>
    <t>ATK.N,mscalc:closePriceCurrencyCalc</t>
  </si>
  <si>
    <t>95</t>
  </si>
  <si>
    <t>2017677</t>
  </si>
  <si>
    <t>Additional paid-in-capital</t>
  </si>
  <si>
    <t>Aerospace</t>
  </si>
  <si>
    <t>Combat Systems</t>
  </si>
  <si>
    <t>Marine Systems</t>
  </si>
  <si>
    <t>Information Systems and Technology</t>
  </si>
  <si>
    <t>2007A</t>
  </si>
  <si>
    <t>Interest Net</t>
  </si>
  <si>
    <t>Other, net</t>
  </si>
  <si>
    <t>Discontinued operations</t>
  </si>
  <si>
    <t>Stock-based compensation expense</t>
  </si>
  <si>
    <t>Other net</t>
  </si>
  <si>
    <t>Repayments of commercial paper, net</t>
  </si>
  <si>
    <t>Business acquisitions, net of cash acquired</t>
  </si>
  <si>
    <t>Proceeds from fixed-rate notes, net</t>
  </si>
  <si>
    <t>Dividends paid</t>
  </si>
  <si>
    <t>Purchases of common stock</t>
  </si>
  <si>
    <t>Repayment of fixed-rate notes</t>
  </si>
  <si>
    <t xml:space="preserve">Short-term debt and current portion of LT Debt </t>
  </si>
  <si>
    <t>Pre-owned aircraft</t>
  </si>
  <si>
    <t>GD.N</t>
  </si>
  <si>
    <t>General Dynamics</t>
  </si>
  <si>
    <t>Ticker:</t>
  </si>
  <si>
    <t>Operating Margin Ex-Reallocation Adjustments</t>
  </si>
  <si>
    <t>Currency</t>
  </si>
  <si>
    <t>Implied Net Orders</t>
  </si>
  <si>
    <t>Implied Net Book:Bill</t>
  </si>
  <si>
    <t>2010A</t>
  </si>
  <si>
    <t>Current Stock Price</t>
  </si>
  <si>
    <t>Count</t>
  </si>
  <si>
    <t>Extraordinary Items</t>
  </si>
  <si>
    <t>2013A</t>
  </si>
  <si>
    <t>Customer Advances and Deposits</t>
  </si>
  <si>
    <t>Days Sales Outstanding</t>
  </si>
  <si>
    <t>Domestic Backlog</t>
  </si>
  <si>
    <t>International Backlog</t>
  </si>
  <si>
    <t>GD.N,mscalc:closePriceCurrencyCalc</t>
  </si>
  <si>
    <t>GD.N,mscalc:targetPrice,,,,USD</t>
  </si>
  <si>
    <t>GD.N,mscalc:sedolCodeCalc</t>
  </si>
  <si>
    <t>EBITDA</t>
  </si>
  <si>
    <t>Revenue</t>
  </si>
  <si>
    <t>Taxes</t>
  </si>
  <si>
    <t>2011A</t>
  </si>
  <si>
    <t>GD</t>
  </si>
  <si>
    <t>CASH FLOW STATEMENT</t>
  </si>
  <si>
    <t>This sheet contains Factset binary data for use with this workbook's =FDS codes.  Modifying the worksheet's contents may damage the workbook's =FDS functionality.</t>
  </si>
  <si>
    <t>COMMENTS</t>
  </si>
  <si>
    <t>EBITDA Margin</t>
  </si>
  <si>
    <t>GAAP EPS</t>
  </si>
  <si>
    <t>2003A</t>
  </si>
  <si>
    <t>Diluted EPS</t>
  </si>
  <si>
    <t>Basic EPS</t>
  </si>
  <si>
    <t>Sharecount Calculation</t>
  </si>
  <si>
    <t>Dividend Payout Ratio</t>
  </si>
  <si>
    <t>Dividends</t>
  </si>
  <si>
    <t>Basic Shares Outstanding - Period End (MM)</t>
  </si>
  <si>
    <t>Net Change in Sharecount</t>
  </si>
  <si>
    <t>Basic Shares Outstanding - Average (MM)</t>
  </si>
  <si>
    <t>Share Impact of Dilutive Instruments</t>
  </si>
  <si>
    <t>Annualized % Change in Shares</t>
  </si>
  <si>
    <t>Avg. Stock Price (for repurchase calculation)</t>
  </si>
  <si>
    <t>Sequential % Chg.</t>
  </si>
  <si>
    <t>Consolidated Operating Expenses</t>
  </si>
  <si>
    <t>2001A</t>
  </si>
  <si>
    <t>2002A</t>
  </si>
  <si>
    <t>2005A</t>
  </si>
  <si>
    <t>2006A</t>
  </si>
  <si>
    <t>1QA</t>
  </si>
  <si>
    <t>2QA</t>
  </si>
  <si>
    <t>3QA</t>
  </si>
  <si>
    <t>4QA</t>
  </si>
  <si>
    <t>Total Op. Margin</t>
  </si>
  <si>
    <t>BALANCE SHEET</t>
  </si>
  <si>
    <t>Liabilities</t>
  </si>
  <si>
    <t>2012A</t>
  </si>
  <si>
    <t>Shareholders' Equity</t>
  </si>
  <si>
    <t>Dilutive Instruments Exercised</t>
  </si>
  <si>
    <t>Company-Sponsored R&amp;D</t>
  </si>
  <si>
    <t>Net Operating Income Adjustments (Reallocation Method)</t>
  </si>
  <si>
    <t>% of Total Operating Income</t>
  </si>
  <si>
    <t>Operating Profit Ex-Reallocations</t>
  </si>
  <si>
    <t>Fixed-Price Contracts</t>
  </si>
  <si>
    <t>Cost-Type Contracts</t>
  </si>
  <si>
    <t>Time &amp; Materials Contracts</t>
  </si>
  <si>
    <t>Defense Revenues</t>
  </si>
  <si>
    <t>Defense Operating Margin</t>
  </si>
  <si>
    <t>Defense Op. Expenses</t>
  </si>
  <si>
    <t>Goodwill Impairment &amp; Other One-Time Charges</t>
  </si>
  <si>
    <t>Working Capital and Other</t>
  </si>
  <si>
    <t>Backlog/Sales</t>
  </si>
  <si>
    <t>Shares Repurchased</t>
  </si>
  <si>
    <t>Other Financial Activities</t>
  </si>
  <si>
    <t>Proceeds from Option Activities</t>
  </si>
  <si>
    <t>Days Customer Advances Outstanding</t>
  </si>
  <si>
    <t>Large Cabin</t>
  </si>
  <si>
    <t>% of Segment Revenue</t>
  </si>
  <si>
    <t>Income Statement</t>
  </si>
  <si>
    <t>Capex</t>
  </si>
  <si>
    <t>Assets</t>
  </si>
  <si>
    <t>90</t>
  </si>
  <si>
    <t>GD.N,mscalc:factsetIdCalc</t>
  </si>
  <si>
    <t>GD.N,mstag:statutoryTaxRate,2011FY,,FYR</t>
  </si>
  <si>
    <t>GD.N,mstag:statutoryTaxRate,2012FY,,FYR</t>
  </si>
  <si>
    <t>GD.N,mstag:statutoryTaxRate,2006FY,,FYR</t>
  </si>
  <si>
    <t>GD.N,mstag:statutoryTaxRate,2013FY,,FYR</t>
  </si>
  <si>
    <t>GD.N,mstag:statutoryTaxRate,2003FY,,FYR</t>
  </si>
  <si>
    <t>GD.N,mstag:statutoryTaxRate,2009FY,,FYR</t>
  </si>
  <si>
    <t>GD.N,mstag:statutoryTaxRate,2004FY,,FYR</t>
  </si>
  <si>
    <t>GD.N,mstag:statutoryTaxRate,2005FY,,FYR</t>
  </si>
  <si>
    <t>GD.N,mstag:statutoryTaxRate,2008FY,,FYR</t>
  </si>
  <si>
    <t>GD.N,mstag:statutoryTaxRate,2002FY,,FYR</t>
  </si>
  <si>
    <t>GD.N,mstag:statutoryTaxRate,2010FY,,FYR</t>
  </si>
  <si>
    <t>GD.N,mstag:statutoryTaxRate,2007FY,,FYR</t>
  </si>
  <si>
    <t>0.315</t>
  </si>
  <si>
    <t>0.3148</t>
  </si>
  <si>
    <t>0.312430632630411</t>
  </si>
  <si>
    <t>ATK.N,mscalc:factsetIdCalc</t>
  </si>
  <si>
    <t>ATK</t>
  </si>
  <si>
    <t>ATK.N,mstag:statutoryTaxRate,2006FY,,FYR</t>
  </si>
  <si>
    <t>ATK.N,mstag:statutoryTaxRate,2007FY,,FYR</t>
  </si>
  <si>
    <t>ATK.N,mstag:statutoryTaxRate,2004FY,,FYR</t>
  </si>
  <si>
    <t>ATK.N,mstag:statutoryTaxRate,2011FY,,FYR</t>
  </si>
  <si>
    <t>ATK.N,mstag:statutoryTaxRate,2009FY,,FYR</t>
  </si>
  <si>
    <t>ATK.N,mstag:statutoryTaxRate,2010FY,,FYR</t>
  </si>
  <si>
    <t>ATK.N,mstag:statutoryTaxRate,2014FY,,FYR</t>
  </si>
  <si>
    <t>ATK.N,mstag:statutoryTaxRate,2005FY,,FYR</t>
  </si>
  <si>
    <t>ATK.N,mstag:statutoryTaxRate,2008FY,,FYR</t>
  </si>
  <si>
    <t>ATK.N,mstag:statutoryTaxRate,2003FY,,FYR</t>
  </si>
  <si>
    <t>ATK.N,mstag:statutoryTaxRate,2012FY,,FYR</t>
  </si>
  <si>
    <t>ATK.N,mstag:statutoryTaxRate,2013FY,,FYR</t>
  </si>
  <si>
    <t>0.368</t>
  </si>
  <si>
    <t>0.353</t>
  </si>
  <si>
    <t>0.362</t>
  </si>
  <si>
    <t>0.382</t>
  </si>
  <si>
    <t>Tax Rate</t>
  </si>
  <si>
    <t>Per Share Effect of Extra Item</t>
  </si>
  <si>
    <t>% of Total Revenue</t>
  </si>
  <si>
    <t>As a % of Total Expenses</t>
  </si>
  <si>
    <t>Days Contracts Outstanding</t>
  </si>
  <si>
    <t>As a % of Revenues</t>
  </si>
  <si>
    <t>Days Payable Outstanding</t>
  </si>
  <si>
    <t>Total Backlog ($M)</t>
  </si>
  <si>
    <t>Funded Backlog ($)</t>
  </si>
  <si>
    <t>% ofTotal Backlog</t>
  </si>
  <si>
    <t>Unfunded Backlog</t>
  </si>
  <si>
    <t>Aerospace Backlog ($M)</t>
  </si>
  <si>
    <t>Combat Systems Backlog ($M)</t>
  </si>
  <si>
    <t>Marine Systems Backlog ($M)</t>
  </si>
  <si>
    <t>% of Backlog</t>
  </si>
  <si>
    <t>Capital expenditures</t>
  </si>
  <si>
    <t>Total Green Deliveries (units)</t>
  </si>
  <si>
    <t>Mid-size Cabin</t>
  </si>
  <si>
    <t>Total Outfitted Deliveries (units)</t>
  </si>
  <si>
    <t>Pre-owned Deliveries (units)</t>
  </si>
  <si>
    <t>% of Total Backlog</t>
  </si>
  <si>
    <t>2014A</t>
  </si>
  <si>
    <t>2015A</t>
  </si>
  <si>
    <t>2016A</t>
  </si>
  <si>
    <t>2018E</t>
  </si>
  <si>
    <t>2019E</t>
  </si>
  <si>
    <t>2020E</t>
  </si>
  <si>
    <t>Rating:</t>
  </si>
  <si>
    <t>Price Target:</t>
  </si>
  <si>
    <t>Date:</t>
  </si>
  <si>
    <t>Rajeev Lalwani</t>
  </si>
  <si>
    <t>(212) 761-8518</t>
  </si>
  <si>
    <t>rajeev.lalwani@morganstanley.com</t>
  </si>
  <si>
    <t>Valuation Summary</t>
  </si>
  <si>
    <t>$m, unless stated otherwise</t>
  </si>
  <si>
    <t>BEAR TO BULL VALUATION</t>
  </si>
  <si>
    <t>BEAR</t>
  </si>
  <si>
    <t>BULL</t>
  </si>
  <si>
    <t>SUMMARIZED FINANCIAL DATA</t>
  </si>
  <si>
    <t>Valuation Year</t>
  </si>
  <si>
    <t>Company Valuation</t>
  </si>
  <si>
    <t>Price Return Potential</t>
  </si>
  <si>
    <t>Implied Target P/E</t>
  </si>
  <si>
    <t>Implied Target EV/EBITDA</t>
  </si>
  <si>
    <t>Implied Target FCF Yield</t>
  </si>
  <si>
    <t>Allocated Segment Costs</t>
  </si>
  <si>
    <t>Total Segment Operating Income</t>
  </si>
  <si>
    <t>Assumed Multiple</t>
  </si>
  <si>
    <t>Implied Per Share Value</t>
  </si>
  <si>
    <t>Total Operating Expenses</t>
  </si>
  <si>
    <t>Forecasted Debt</t>
  </si>
  <si>
    <t>Cash and ST Investments</t>
  </si>
  <si>
    <t>Net Debt</t>
  </si>
  <si>
    <t>Forecasted Shares (mil)</t>
  </si>
  <si>
    <t>OPERATING STATISTICS</t>
  </si>
  <si>
    <t>Diluted Shares (mil)</t>
  </si>
  <si>
    <t>EPS (Diluted)</t>
  </si>
  <si>
    <t>Cash Flow</t>
  </si>
  <si>
    <t>Total Revenue Growth</t>
  </si>
  <si>
    <t>Operating Cash Flow</t>
  </si>
  <si>
    <t>Cash Flow from Investment</t>
  </si>
  <si>
    <t>Total Segment Operating Margin</t>
  </si>
  <si>
    <t>Share Repurchases</t>
  </si>
  <si>
    <t>Total Operating Margin</t>
  </si>
  <si>
    <t>Total EBITDA Margin</t>
  </si>
  <si>
    <t>Net Debt Change</t>
  </si>
  <si>
    <t>Cash Flow from Financing</t>
  </si>
  <si>
    <t>P/E</t>
  </si>
  <si>
    <t>EV/EBITDA</t>
  </si>
  <si>
    <t>FCF Yield</t>
  </si>
  <si>
    <t>Free Cash Flow Conversion</t>
  </si>
  <si>
    <t>Free Cash Flow Per Share</t>
  </si>
  <si>
    <t>Debt</t>
  </si>
  <si>
    <t>Net Debt to EBITDA</t>
  </si>
  <si>
    <t>Debt to EBITDA</t>
  </si>
  <si>
    <t>Corporate Expense</t>
  </si>
  <si>
    <t>Interest Expense</t>
  </si>
  <si>
    <t>Underweight</t>
  </si>
  <si>
    <t>2021E</t>
  </si>
  <si>
    <t>2QE</t>
  </si>
  <si>
    <t>3QE</t>
  </si>
  <si>
    <t>4QE</t>
  </si>
  <si>
    <t>1QE</t>
  </si>
  <si>
    <t>Product</t>
  </si>
  <si>
    <t>Service</t>
  </si>
  <si>
    <t>US Government Sales</t>
  </si>
  <si>
    <t>C4ISR Systems</t>
  </si>
  <si>
    <t>Wheeled Combat Vehicles</t>
  </si>
  <si>
    <t>Weapons Systems and Munitions</t>
  </si>
  <si>
    <t>Tanks and Tracked Vehicles</t>
  </si>
  <si>
    <t>Engineering and Other Services</t>
  </si>
  <si>
    <t>2015A (Restated)</t>
  </si>
  <si>
    <t>2016A (Restated)</t>
  </si>
  <si>
    <t>Unbilled Receivables</t>
  </si>
  <si>
    <t>International / US Commercial Sales</t>
  </si>
  <si>
    <t>MS Net Income</t>
  </si>
  <si>
    <t>Equity Value</t>
  </si>
  <si>
    <t>MS Net Income Adjusted</t>
  </si>
  <si>
    <t>BASE</t>
  </si>
  <si>
    <t>Implied Price Per Aircraft</t>
  </si>
  <si>
    <t>Operating Margin Change (-3% / 0% / +1%)</t>
  </si>
  <si>
    <t>Revenue Change (-2% / 0% / +2%)</t>
  </si>
  <si>
    <t>Total Capital Returned to Shareholders</t>
  </si>
  <si>
    <t>FCF Returned to Shareholders (%)</t>
  </si>
  <si>
    <t>2365161</t>
  </si>
  <si>
    <t>Last G450 delivered in January 2018</t>
  </si>
  <si>
    <t>Continue to draw down G550 production</t>
  </si>
  <si>
    <t>Feather out G650</t>
  </si>
  <si>
    <t>First G600 delivers in 2019</t>
  </si>
  <si>
    <t>First G500 delivers in "early part" of 2018 and ramp to "meaningful impact"</t>
  </si>
  <si>
    <t>Headwinds are now largely behind</t>
  </si>
  <si>
    <t>30-31 Mid Cabin deliveries</t>
  </si>
  <si>
    <t>Middle East program at FRP, steady state through 2019</t>
  </si>
  <si>
    <t>UK AJAX program ramping through 2018, steady state through 2020</t>
  </si>
  <si>
    <t>U.S. ground force recap startup in 4Q17</t>
  </si>
  <si>
    <t>Total Gulfstream AC Deliveries (units)</t>
  </si>
  <si>
    <t>Aircraft Services (Jet Aviation)</t>
  </si>
  <si>
    <t>IS&amp;T Backlog ($M)</t>
  </si>
  <si>
    <t>Information Systems &amp; Technology Op. Margin</t>
  </si>
  <si>
    <t>Columbia-class will be the driver of growth</t>
  </si>
  <si>
    <t>Matthew Sharpe</t>
  </si>
  <si>
    <t>(212) 761-5156</t>
  </si>
  <si>
    <t>matt.sharpe@morganstanley.com</t>
  </si>
  <si>
    <t>OLD</t>
  </si>
  <si>
    <t>NEW</t>
  </si>
  <si>
    <t>2017A</t>
  </si>
  <si>
    <t>2018 guidance @ 4Q17: 2-3% increase</t>
  </si>
  <si>
    <t>2018 guidance @ 4Q17: 18%</t>
  </si>
  <si>
    <t>2018 guidance @ 4Q17: 3-4% increase</t>
  </si>
  <si>
    <t>2018 guidance @ 4Q17: mid- to high- 15% range</t>
  </si>
  <si>
    <t>2018 guidance @ 4Q17: 5-6% increase</t>
  </si>
  <si>
    <t>2018 guidance @ 4Q17: around 11%</t>
  </si>
  <si>
    <t>2018 guidance @ 4Q17: mid- to high- 8% range</t>
  </si>
  <si>
    <t>2018 guidance @ 4Q17:$8.35-8.40B</t>
  </si>
  <si>
    <t>Modest in 2018, more significant in 2019 and beyond</t>
  </si>
  <si>
    <t>Long-term ('17-21) @ 4Q17: 7%</t>
  </si>
  <si>
    <t>Long-term ('17-21) @ 4Q17: 5.5%</t>
  </si>
  <si>
    <t>Long-term ('17-21) @ 4Q17: 5.6%</t>
  </si>
  <si>
    <t>Long-term ('17-21) @ 4Q17: 3.5-5.0%</t>
  </si>
  <si>
    <t>and significant traction 2021</t>
  </si>
  <si>
    <t>2018 low point, modest increases 2019 and 2020,</t>
  </si>
  <si>
    <t>Long-term ('17-21) @ 4Q17: 6%</t>
  </si>
  <si>
    <t>Long-term ('17-21) @ 4Q17: 5%</t>
  </si>
  <si>
    <t>Long-term ('17-21) @ 4Q17: 6.7%</t>
  </si>
  <si>
    <t>2018 guidance @ 4Q17: 4.4-4.8% increase, $32.35-32.45B</t>
  </si>
  <si>
    <t>2018 guidance @ 4Q17: 13.1%</t>
  </si>
  <si>
    <t>2018 guidance @ 4Q17: $4.25B</t>
  </si>
  <si>
    <t>2018 guidance @ 4Q17: 19%</t>
  </si>
  <si>
    <t>2018 guidance @ 4Q17: Flat</t>
  </si>
  <si>
    <t>2018 guidance @ 4Q17: $115M</t>
  </si>
  <si>
    <t>"We typically target around 2% of sales"</t>
  </si>
  <si>
    <t>TRADING MULTIPLES - MSe</t>
  </si>
  <si>
    <t>CSRA</t>
  </si>
  <si>
    <t>CSRA Backlog ($M)</t>
  </si>
  <si>
    <t>CSRA Op. Income</t>
  </si>
  <si>
    <t>CSRA Cost Synergy</t>
  </si>
  <si>
    <t>CSRA Deal Amortization</t>
  </si>
  <si>
    <t>CSRA Cost to Achieve</t>
  </si>
  <si>
    <t>$211M associated with CSRA in 2018</t>
  </si>
  <si>
    <t>CSRA D&amp;A</t>
  </si>
  <si>
    <t>Actual</t>
  </si>
  <si>
    <t>CSRA CAPEX</t>
  </si>
  <si>
    <t>FY 2017</t>
  </si>
  <si>
    <t>Assumes achievement of 2% of combined IT business revenue of $10B by 2020</t>
  </si>
  <si>
    <t>Assumes associated cost is sunk by year-end 2018</t>
  </si>
  <si>
    <t>Assumes midpoint of 15-30% range on deal price ammortized over 10 years</t>
  </si>
  <si>
    <t>CSRA Op. Income (ex-deal impact)</t>
  </si>
  <si>
    <t>CSRA Op. Expenses (ex-deal impact)</t>
  </si>
  <si>
    <t>CSRA Op. Margin (ex-Deal Impact)</t>
  </si>
  <si>
    <t>2018 guidance @ 4Q17: $10.90-11.00 (ecludes CSRA deal)</t>
  </si>
  <si>
    <t>2018 guidance @ 4Q17: $3.7B (excludes CSRA)</t>
  </si>
  <si>
    <t>Tax Rate Change (0% / 0% / 0%)</t>
  </si>
  <si>
    <t>Assume common with GD approach at ~2% of revenue, with elevated interim</t>
  </si>
  <si>
    <t>Deal</t>
  </si>
  <si>
    <t>Assumes $7.5B in financing for CSRA deal</t>
  </si>
  <si>
    <t>225</t>
  </si>
  <si>
    <t>Bizjet</t>
  </si>
  <si>
    <t>Services</t>
  </si>
  <si>
    <t>Defense</t>
  </si>
  <si>
    <t>SEGMENT EXPOSURE - OPERATING INCOME</t>
  </si>
  <si>
    <t>Research</t>
  </si>
  <si>
    <t>MSA91FHR</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</si>
  <si>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</si>
  <si>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</si>
  <si>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</si>
  <si>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</si>
  <si>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</si>
  <si>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</si>
  <si>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</si>
  <si>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Rajeev Lalwani</t>
  </si>
  <si>
    <t>Date: 11 Apr 2018</t>
  </si>
  <si>
    <t>Ticker: GD.N</t>
  </si>
  <si>
    <t>Stock Rating: Underweight</t>
  </si>
  <si>
    <t>Industry: Aerospace &amp; Defense</t>
  </si>
  <si>
    <t>Industry View: In-Line</t>
  </si>
  <si>
    <t>Price as of 11 Apr 2018: 217.16</t>
  </si>
  <si>
    <t>Target Price: 217</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</si>
  <si>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</si>
  <si>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</si>
  <si>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</si>
  <si>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</si>
  <si>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General Dynamics Corp..</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</si>
  <si>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</si>
  <si>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</si>
  <si>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</si>
  <si>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</si>
  <si>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</si>
  <si>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</si>
  <si>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</si>
  <si>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</si>
  <si>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</si>
  <si>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</si>
  <si>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</si>
  <si>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</si>
  <si>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</si>
  <si>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</si>
  <si>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</si>
  <si>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</si>
  <si>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</si>
  <si>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</si>
  <si>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</si>
  <si>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</si>
  <si>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</si>
  <si>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</si>
  <si>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</si>
  <si>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</si>
  <si>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</si>
  <si>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</si>
  <si>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</si>
  <si>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</si>
  <si>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</si>
  <si>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</si>
  <si>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</si>
  <si>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</si>
  <si>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</si>
  <si>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</si>
  <si>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</si>
  <si>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</si>
  <si>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</si>
  <si>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</si>
  <si>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</si>
  <si>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</si>
  <si>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</si>
  <si>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</si>
  <si>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</si>
  <si>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</si>
  <si>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</si>
  <si>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</si>
  <si>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</si>
  <si>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</si>
  <si>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</si>
  <si>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</si>
  <si>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</si>
  <si>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</si>
  <si>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</si>
  <si>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</si>
  <si>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</si>
  <si>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</si>
  <si>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</si>
  <si>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</si>
  <si>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</si>
  <si>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</si>
  <si>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</si>
  <si>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</si>
  <si>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</si>
  <si>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</si>
  <si>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</si>
  <si>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</si>
  <si>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</si>
  <si>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</si>
  <si>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</si>
  <si>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</si>
  <si>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</si>
  <si>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</si>
  <si>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</si>
  <si>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</si>
  <si>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</si>
  <si>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</si>
  <si>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</si>
  <si>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</si>
  <si>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</si>
  <si>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</si>
  <si>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</si>
  <si>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</si>
  <si>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</si>
  <si>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</si>
  <si>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</si>
  <si>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</si>
  <si>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</si>
  <si>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</si>
  <si>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</si>
  <si>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</si>
  <si>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</si>
  <si>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</si>
  <si>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</si>
  <si>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</si>
  <si>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</si>
  <si>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</si>
  <si>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</si>
  <si>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</si>
  <si>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</si>
  <si>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</si>
  <si>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</si>
  <si>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</si>
  <si>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</si>
  <si>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</si>
  <si>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</si>
  <si>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</si>
  <si>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</si>
  <si>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</si>
  <si>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</si>
  <si>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</si>
  <si>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</si>
  <si>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</si>
  <si>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</si>
  <si>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</si>
  <si>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</si>
  <si>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</si>
  <si>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</si>
  <si>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</si>
  <si>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</si>
  <si>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</si>
  <si>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</si>
  <si>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</si>
  <si>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</si>
  <si>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</si>
  <si>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</si>
  <si>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</si>
  <si>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</si>
  <si>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</si>
  <si>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</si>
  <si>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</si>
  <si>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</si>
  <si>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</si>
  <si>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</si>
  <si>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</si>
  <si>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</si>
  <si>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</si>
  <si>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</si>
  <si>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</si>
  <si>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</si>
  <si>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</si>
  <si>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</si>
  <si>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</si>
  <si>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</si>
  <si>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</si>
  <si>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</si>
  <si>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</si>
  <si>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</si>
  <si>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</si>
  <si>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</si>
  <si>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</si>
  <si>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</si>
  <si>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</si>
  <si>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</si>
  <si>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</si>
  <si>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</si>
  <si>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</si>
  <si>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</si>
  <si>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</si>
  <si>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</si>
  <si>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</si>
  <si>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</si>
  <si>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</si>
  <si>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</si>
  <si>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</si>
  <si>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</si>
  <si>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</si>
  <si>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</si>
  <si>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</si>
  <si>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</si>
  <si>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</si>
  <si>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</si>
  <si>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</si>
  <si>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</si>
  <si>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</si>
  <si>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</si>
  <si>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General Dynamics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</si>
  <si>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</si>
  <si>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</si>
  <si>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</si>
  <si>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</si>
  <si>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</si>
  <si>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</si>
  <si>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</si>
  <si>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</si>
  <si>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</si>
  <si>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</si>
  <si>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</si>
  <si>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</si>
  <si>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</si>
  <si>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</si>
  <si>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</si>
  <si>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</si>
  <si>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</si>
  <si>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</si>
  <si>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</si>
  <si>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</si>
  <si>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</si>
  <si>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</si>
  <si>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</si>
  <si>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</si>
  <si>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</si>
  <si>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</si>
  <si>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</si>
  <si>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</si>
  <si>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</si>
  <si>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</si>
  <si>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</si>
  <si>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</si>
  <si>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</si>
  <si>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</si>
  <si>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</si>
  <si>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</si>
  <si>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</si>
  <si>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</si>
  <si>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</si>
  <si>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</si>
  <si>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</si>
  <si>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</si>
  <si>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</si>
  <si>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</si>
  <si>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</si>
  <si>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</si>
  <si>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</si>
  <si>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</si>
  <si>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</si>
  <si>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</si>
  <si>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</si>
  <si>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</si>
  <si>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</si>
  <si>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</si>
  <si>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</si>
  <si>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</si>
  <si>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</si>
  <si>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</si>
  <si>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</si>
  <si>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</si>
  <si>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</si>
  <si>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</si>
  <si>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</si>
  <si>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</si>
  <si>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</si>
  <si>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</si>
  <si>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</si>
  <si>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General Dynamics Corp..</t>
  </si>
  <si>
    <t>In the next 3 months, Morgan Stanley expects to receive or intends to seek compensation for investment</t>
  </si>
  <si>
    <t>banking services from General Dynamics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</si>
  <si>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</si>
  <si>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</si>
  <si>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</si>
  <si>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</si>
  <si>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</si>
  <si>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Rajeev Lalwani,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</si>
  <si>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</si>
  <si>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</si>
  <si>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</si>
  <si>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</si>
  <si>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</si>
  <si>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</si>
  <si>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</si>
  <si>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</si>
  <si>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</si>
  <si>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</si>
  <si>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</si>
  <si>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</si>
  <si>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</si>
  <si>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</si>
  <si>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</si>
  <si>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</si>
  <si>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</si>
  <si>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</si>
  <si>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</si>
  <si>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</si>
  <si>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</si>
  <si>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</si>
  <si>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</si>
  <si>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</si>
  <si>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</si>
  <si>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</si>
  <si>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</si>
  <si>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</si>
  <si>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</si>
  <si>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</si>
  <si>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</si>
  <si>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</si>
  <si>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</si>
  <si>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</si>
  <si>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</si>
  <si>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</si>
  <si>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</si>
  <si>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</si>
  <si>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</si>
  <si>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</si>
  <si>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</si>
  <si>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</si>
  <si>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</si>
  <si>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</si>
  <si>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</si>
  <si>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</si>
  <si>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</si>
  <si>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</si>
  <si>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</si>
  <si>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</si>
  <si>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</si>
  <si>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</si>
  <si>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</si>
  <si>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</si>
  <si>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</si>
  <si>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</si>
  <si>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</si>
  <si>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</si>
  <si>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</si>
  <si>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</si>
  <si>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</si>
  <si>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</si>
  <si>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</si>
  <si>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</si>
  <si>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</si>
  <si>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</si>
  <si>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</si>
  <si>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</si>
  <si>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</si>
  <si>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</si>
  <si>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Regular Update</t>
  </si>
  <si>
    <t>NorthAmerica</t>
  </si>
  <si>
    <t>sharpmat</t>
  </si>
  <si>
    <t>General Dynamics Corp.</t>
  </si>
  <si>
    <t>L:\AERO\Companies\GD\GD.model.WIP.xlsm</t>
  </si>
  <si>
    <t>[BRO MSA]</t>
  </si>
  <si>
    <t>[PRODUCT MODEL]</t>
  </si>
  <si>
    <t>[EMAIL_ALERT YES]</t>
  </si>
  <si>
    <t>[DISCIPLINE Company]</t>
  </si>
  <si>
    <t>[SUPPRESSED NO]</t>
  </si>
  <si>
    <t>[DOCDAT 2018-04-11]</t>
  </si>
  <si>
    <t>[DOCTIME 12:32]</t>
  </si>
  <si>
    <t>[PSYM GD.N(S&amp;P) (None)]</t>
  </si>
  <si>
    <t>[COU 1]</t>
  </si>
  <si>
    <t>[ANA ]</t>
  </si>
  <si>
    <t>[HL GD.N Model]</t>
  </si>
  <si>
    <t>[IND AERODF DEFENS]</t>
  </si>
  <si>
    <t>[PANA MSA91FHR]</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</si>
</sst>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 #,##0_ ;_ * \-#,##0_ ;_ * &quot;-&quot;_ ;_ @_ "/>
    <numFmt numFmtId="165" formatCode="_(* #,##0_);_(* \(#,##0\);_(* &quot;-&quot;??_);_(@_)"/>
    <numFmt numFmtId="167" formatCode="&quot;$&quot;#,##0.00"/>
    <numFmt numFmtId="169" formatCode="#,##0.0_);\(#,##0.0\)"/>
    <numFmt numFmtId="170" formatCode="[$-409]mmm\-yy;@"/>
    <numFmt numFmtId="176" formatCode="#,##0.0%_);\(#,##0.0%\)"/>
    <numFmt numFmtId="177" formatCode="#,##0%_);\(#,##0%\)"/>
    <numFmt numFmtId="178" formatCode="_(* #,##0.0000_);_(* \(#,##0.0000\);_(* &quot;-&quot;??_);_(@_)"/>
    <numFmt numFmtId="179" formatCode="0.0%"/>
    <numFmt numFmtId="180" formatCode="0.0"/>
    <numFmt numFmtId="181" formatCode="0.0\x"/>
    <numFmt numFmtId="182" formatCode="&quot;$&quot;#,##0"/>
    <numFmt numFmtId="192" formatCode="#,##0.0"/>
    <numFmt numFmtId="193" formatCode="&quot;$&quot;#,##0.0"/>
    <numFmt numFmtId="196" formatCode="_-* #,##0.00_-;\-* #,##0.00_-;_-* &quot;-&quot;??_-;_-@_-"/>
    <numFmt numFmtId="200" formatCode="&quot;$&quot;#,##0.000"/>
    <numFmt numFmtId="201" formatCode="#,##0.000_);\(#,##0.000\)"/>
    <numFmt numFmtId="202" formatCode="0.00\x"/>
    <numFmt numFmtId="203" formatCode="[$-F400]h:mm:ss\ AM/PM"/>
    <numFmt numFmtId="204" formatCode="0&quot;E&quot;"/>
    <numFmt numFmtId="205" formatCode="0&quot;e&quot;"/>
    <numFmt numFmtId="206" formatCode="#,##0.000"/>
    <numFmt numFmtId="207" formatCode="_(* #,##0.0_);_(* \(#,##0.0\);_(* &quot;-&quot;??_);_(@_)"/>
    <numFmt numFmtId="208" formatCode="_(&quot;$&quot;* #,##0_);_(&quot;$&quot;* \(#,##0\);_(&quot;$&quot;* &quot;-&quot;??_);_(@_)"/>
    <numFmt numFmtId="209" formatCode="0.0&quot;x&quot;"/>
    <numFmt numFmtId="215" formatCode="mm/dd/yy\ hh:mm"/>
  </numFmts>
  <fonts count="99">
    <font>
      <sz val="10"/>
      <name val="Arial"/>
    </font>
    <font>
      <sz val="11"/>
      <color theme="1"/>
      <name val="Calibri"/>
      <family val="2"/>
      <scheme val="minor"/>
    </font>
    <font>
      <sz val="10"/>
      <name val="Arial"/>
      <family val="2"/>
    </font>
    <font>
      <sz val="10"/>
      <name val="Arial"/>
      <family val="2"/>
    </font>
    <font>
      <sz val="8"/>
      <name val="Arial"/>
      <family val="2"/>
    </font>
    <font>
      <b/>
      <sz val="10"/>
      <name val="Arial"/>
      <family val="2"/>
    </font>
    <font>
      <sz val="10"/>
      <name val="Arial"/>
      <family val="2"/>
    </font>
    <font>
      <i/>
      <sz val="8"/>
      <name val="Times New Roman"/>
      <family val="1"/>
    </font>
    <font>
      <sz val="9"/>
      <name val="Times New Roman"/>
      <family val="1"/>
    </font>
    <font>
      <b/>
      <sz val="8"/>
      <color indexed="81"/>
      <name val="Tahoma"/>
      <family val="2"/>
    </font>
    <font>
      <sz val="8"/>
      <color indexed="81"/>
      <name val="Tahoma"/>
      <family val="2"/>
    </font>
    <font>
      <sz val="10"/>
      <name val="MS Sans Serif"/>
      <family val="2"/>
    </font>
    <font>
      <b/>
      <sz val="10"/>
      <color indexed="8"/>
      <name val="Times New Roman"/>
      <family val="1"/>
    </font>
    <font>
      <sz val="10"/>
      <color indexed="8"/>
      <name val="Times New Roman"/>
      <family val="1"/>
    </font>
    <font>
      <sz val="10"/>
      <color indexed="9"/>
      <name val="Arial"/>
      <family val="2"/>
    </font>
    <font>
      <sz val="10"/>
      <color indexed="8"/>
      <name val="Arial"/>
      <family val="2"/>
    </font>
    <font>
      <sz val="10"/>
      <color indexed="8"/>
      <name val="MS Sans Serif"/>
      <family val="2"/>
    </font>
    <font>
      <i/>
      <sz val="10"/>
      <name val="Arial"/>
      <family val="2"/>
    </font>
    <font>
      <sz val="11"/>
      <name val="Arial"/>
      <family val="2"/>
    </font>
    <font>
      <b/>
      <sz val="8"/>
      <name val="Arial"/>
      <family val="2"/>
    </font>
    <font>
      <sz val="8"/>
      <color indexed="12"/>
      <name val="Arial"/>
      <family val="2"/>
    </font>
    <font>
      <sz val="8"/>
      <color indexed="9"/>
      <name val="Arial"/>
      <family val="2"/>
    </font>
    <font>
      <b/>
      <sz val="8"/>
      <color indexed="9"/>
      <name val="Arial"/>
      <family val="2"/>
    </font>
    <font>
      <i/>
      <sz val="8"/>
      <name val="Arial"/>
      <family val="2"/>
    </font>
    <font>
      <b/>
      <i/>
      <sz val="8"/>
      <name val="Arial"/>
      <family val="2"/>
    </font>
    <font>
      <sz val="12"/>
      <name val="바탕체"/>
      <family val="1"/>
      <charset val="129"/>
    </font>
    <font>
      <b/>
      <sz val="10"/>
      <color indexed="81"/>
      <name val="Tahoma"/>
      <family val="2"/>
    </font>
    <font>
      <sz val="10"/>
      <color indexed="81"/>
      <name val="Tahoma"/>
      <family val="2"/>
    </font>
    <font>
      <sz val="8"/>
      <color indexed="8"/>
      <name val="Arial"/>
      <family val="2"/>
    </font>
    <font>
      <sz val="8"/>
      <name val="Arial"/>
      <family val="2"/>
    </font>
    <font>
      <b/>
      <sz val="10"/>
      <name val="Arial"/>
      <family val="2"/>
    </font>
    <font>
      <sz val="8"/>
      <color indexed="12"/>
      <name val="Arial"/>
      <family val="2"/>
    </font>
    <font>
      <sz val="8"/>
      <color indexed="8"/>
      <name val="Arial"/>
      <family val="2"/>
    </font>
    <font>
      <b/>
      <sz val="8"/>
      <color indexed="8"/>
      <name val="Arial"/>
      <family val="2"/>
    </font>
    <font>
      <sz val="10"/>
      <color indexed="9"/>
      <name val="Arial"/>
      <family val="2"/>
    </font>
    <font>
      <sz val="10"/>
      <name val="Courier"/>
      <family val="3"/>
    </font>
    <font>
      <sz val="8"/>
      <color indexed="9"/>
      <name val="Arial"/>
      <family val="2"/>
    </font>
    <font>
      <b/>
      <sz val="8"/>
      <color indexed="9"/>
      <name val="Arial"/>
      <family val="2"/>
    </font>
    <font>
      <b/>
      <sz val="8"/>
      <name val="Arial"/>
      <family val="2"/>
    </font>
    <font>
      <i/>
      <sz val="8"/>
      <name val="Arial"/>
      <family val="2"/>
    </font>
    <font>
      <b/>
      <i/>
      <sz val="8"/>
      <name val="Arial"/>
      <family val="2"/>
    </font>
    <font>
      <b/>
      <sz val="8"/>
      <color indexed="8"/>
      <name val="Arial"/>
      <family val="2"/>
    </font>
    <font>
      <sz val="10"/>
      <name val="Times New Roman"/>
      <family val="1"/>
    </font>
    <font>
      <b/>
      <sz val="8"/>
      <color indexed="10"/>
      <name val="Arial"/>
      <family val="2"/>
    </font>
    <font>
      <sz val="10"/>
      <name val="Helv"/>
    </font>
    <font>
      <b/>
      <sz val="8"/>
      <color indexed="12"/>
      <name val="Arial"/>
      <family val="2"/>
    </font>
    <font>
      <b/>
      <sz val="8"/>
      <color indexed="22"/>
      <name val="Arial"/>
      <family val="2"/>
    </font>
    <font>
      <b/>
      <i/>
      <sz val="8"/>
      <color indexed="9"/>
      <name val="Arial"/>
      <family val="2"/>
    </font>
    <font>
      <i/>
      <sz val="8"/>
      <color indexed="8"/>
      <name val="Arial"/>
      <family val="2"/>
    </font>
    <font>
      <i/>
      <sz val="8"/>
      <color indexed="12"/>
      <name val="Arial"/>
      <family val="2"/>
    </font>
    <font>
      <i/>
      <sz val="8"/>
      <color indexed="9"/>
      <name val="Arial"/>
      <family val="2"/>
    </font>
    <font>
      <b/>
      <sz val="18"/>
      <color indexed="9"/>
      <name val="Arial"/>
      <family val="2"/>
    </font>
    <font>
      <b/>
      <sz val="12"/>
      <color indexed="9"/>
      <name val="Arial"/>
      <family val="2"/>
    </font>
    <font>
      <sz val="10"/>
      <color indexed="16"/>
      <name val="Arial"/>
      <family val="2"/>
    </font>
    <font>
      <b/>
      <sz val="10"/>
      <color indexed="16"/>
      <name val="Arial"/>
      <family val="2"/>
    </font>
    <font>
      <b/>
      <sz val="11"/>
      <color indexed="16"/>
      <name val="Arial"/>
      <family val="2"/>
    </font>
    <font>
      <b/>
      <sz val="14"/>
      <color indexed="9"/>
      <name val="Arial"/>
      <family val="2"/>
    </font>
    <font>
      <sz val="12"/>
      <color indexed="16"/>
      <name val="Arial"/>
      <family val="2"/>
    </font>
    <font>
      <b/>
      <sz val="12"/>
      <color indexed="12"/>
      <name val="Arial"/>
      <family val="2"/>
    </font>
    <font>
      <i/>
      <sz val="10"/>
      <color indexed="9"/>
      <name val="Arial"/>
      <family val="2"/>
    </font>
    <font>
      <sz val="10"/>
      <color rgb="FF002060"/>
      <name val="Times New Roman"/>
      <family val="1"/>
    </font>
    <font>
      <b/>
      <sz val="11"/>
      <color rgb="FF002060"/>
      <name val="Arial"/>
      <family val="2"/>
    </font>
    <font>
      <sz val="10"/>
      <color rgb="FF002060"/>
      <name val="Arial"/>
      <family val="2"/>
    </font>
    <font>
      <b/>
      <sz val="10"/>
      <color rgb="FF002060"/>
      <name val="Arial"/>
      <family val="2"/>
    </font>
    <font>
      <b/>
      <sz val="10"/>
      <color theme="0"/>
      <name val="Arial"/>
      <family val="2"/>
    </font>
    <font>
      <sz val="10"/>
      <color theme="0"/>
      <name val="Arial"/>
      <family val="2"/>
    </font>
    <font>
      <b/>
      <u/>
      <sz val="10"/>
      <color rgb="FF0070C0"/>
      <name val="Arial"/>
      <family val="2"/>
    </font>
    <font>
      <sz val="10"/>
      <color rgb="FF0070C0"/>
      <name val="Arial"/>
      <family val="2"/>
    </font>
    <font>
      <i/>
      <sz val="10"/>
      <color rgb="FF0070C0"/>
      <name val="Arial"/>
      <family val="2"/>
    </font>
    <font>
      <b/>
      <sz val="10"/>
      <color rgb="FF0070C0"/>
      <name val="Arial"/>
      <family val="2"/>
    </font>
    <font>
      <sz val="9"/>
      <color indexed="81"/>
      <name val="Tahoma"/>
      <family val="2"/>
    </font>
    <font>
      <b/>
      <sz val="9"/>
      <color indexed="81"/>
      <name val="Tahoma"/>
      <family val="2"/>
    </font>
    <font>
      <sz val="8"/>
      <color rgb="FF0000FF"/>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indexed="9"/>
      <name val="Calibri"/>
      <family val="2"/>
    </font>
    <font>
      <b/>
      <u/>
      <sz val="11"/>
      <color rgb="FF777777"/>
      <name val="Calibri"/>
      <family val="2"/>
      <scheme val="minor"/>
    </font>
    <font>
      <sz val="10"/>
      <name val="Arial"/>
      <family val="2"/>
    </font>
    <font>
      <u/>
      <sz val="8"/>
      <name val="Arial"/>
      <family val="2"/>
    </font>
    <font>
      <b/>
      <sz val="10"/>
      <color rgb="FFFF0000"/>
      <name val="Arial"/>
      <family val="2"/>
    </font>
    <font>
      <sz val="8"/>
      <color theme="1"/>
      <name val="Arial"/>
      <family val="2"/>
    </font>
    <font>
      <b/>
      <sz val="8"/>
      <color rgb="FF0000FF"/>
      <name val="Arial"/>
      <family val="2"/>
    </font>
    <font>
      <b/>
      <u/>
      <sz val="8"/>
      <name val="Arial"/>
      <family val="2"/>
    </font>
    <font>
      <sz val="10"/>
      <color rgb="FF000000"/>
      <name val="Arial"/>
      <family val="2"/>
    </font>
    <font>
      <b/>
      <sz val="12"/>
      <color rgb="FF000080"/>
      <name val="Arial"/>
      <family val="2"/>
    </font>
  </fonts>
  <fills count="46">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8"/>
        <bgColor indexed="64"/>
      </patternFill>
    </fill>
    <fill>
      <patternFill patternType="solid">
        <fgColor indexed="48"/>
        <bgColor indexed="64"/>
      </patternFill>
    </fill>
    <fill>
      <patternFill patternType="solid">
        <fgColor indexed="23"/>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theme="3" tint="0.79998168889431442"/>
        <bgColor indexed="64"/>
      </patternFill>
    </fill>
    <fill>
      <patternFill patternType="solid">
        <fgColor indexed="5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4F81BD"/>
        <bgColor indexed="64"/>
      </patternFill>
    </fill>
    <fill>
      <patternFill patternType="solid">
        <fgColor indexed="65"/>
        <bgColor indexed="64"/>
      </patternFill>
    </fill>
  </fills>
  <borders count="50">
    <border>
      <left/>
      <right/>
      <top/>
      <bottom/>
      <diagonal/>
    </border>
    <border>
      <left/>
      <right/>
      <top/>
      <bottom style="thin">
        <color indexed="8"/>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medium">
        <color indexed="9"/>
      </right>
      <top/>
      <bottom/>
      <diagonal/>
    </border>
    <border>
      <left style="medium">
        <color indexed="9"/>
      </left>
      <right style="medium">
        <color indexed="9"/>
      </right>
      <top/>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style="medium">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diagonal/>
    </border>
    <border>
      <left/>
      <right style="thin">
        <color indexed="64"/>
      </right>
      <top/>
      <bottom style="hair">
        <color indexed="64"/>
      </bottom>
      <diagonal/>
    </border>
    <border>
      <left/>
      <right style="thin">
        <color indexed="64"/>
      </right>
      <top style="dashed">
        <color indexed="64"/>
      </top>
      <bottom style="dashed">
        <color indexed="64"/>
      </bottom>
      <diagonal/>
    </border>
    <border>
      <left/>
      <right style="thin">
        <color auto="1"/>
      </right>
      <top/>
      <bottom/>
      <diagonal/>
    </border>
    <border>
      <left style="thin">
        <color auto="1"/>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0">
    <xf numFmtId="0" fontId="0" fillId="0" borderId="0"/>
    <xf numFmtId="0" fontId="2" fillId="0" borderId="0"/>
    <xf numFmtId="0" fontId="2" fillId="0" borderId="0">
      <alignment vertical="top"/>
    </xf>
    <xf numFmtId="0" fontId="2" fillId="0" borderId="0">
      <alignment vertical="top"/>
    </xf>
    <xf numFmtId="0" fontId="3" fillId="0" borderId="0" applyNumberFormat="0" applyFont="0" applyFill="0" applyBorder="0" applyAlignment="0" applyProtection="0"/>
    <xf numFmtId="0" fontId="3" fillId="0" borderId="0" applyNumberFormat="0" applyFill="0" applyBorder="0" applyAlignment="0" applyProtection="0"/>
    <xf numFmtId="0" fontId="2" fillId="0" borderId="0"/>
    <xf numFmtId="0" fontId="11" fillId="0" borderId="0"/>
    <xf numFmtId="0" fontId="11" fillId="0" borderId="0"/>
    <xf numFmtId="0" fontId="12" fillId="0" borderId="0"/>
    <xf numFmtId="43" fontId="3" fillId="0" borderId="0" applyFont="0" applyFill="0" applyBorder="0" applyAlignment="0" applyProtection="0"/>
    <xf numFmtId="43" fontId="42" fillId="0" borderId="0" applyFont="0" applyFill="0" applyBorder="0" applyAlignment="0" applyProtection="0"/>
    <xf numFmtId="4" fontId="44" fillId="0" borderId="0" applyFont="0" applyFill="0" applyBorder="0" applyAlignment="0" applyProtection="0"/>
    <xf numFmtId="0" fontId="3" fillId="0" borderId="0">
      <alignment vertical="center"/>
    </xf>
    <xf numFmtId="38" fontId="2" fillId="0" borderId="0" applyFont="0" applyFill="0" applyBorder="0" applyAlignment="0" applyProtection="0"/>
    <xf numFmtId="0" fontId="3" fillId="0" borderId="0"/>
    <xf numFmtId="0" fontId="42" fillId="0" borderId="0"/>
    <xf numFmtId="0" fontId="16" fillId="0" borderId="0" applyNumberFormat="0" applyFont="0" applyFill="0" applyBorder="0" applyAlignment="0" applyProtection="0"/>
    <xf numFmtId="0" fontId="42" fillId="0" borderId="0"/>
    <xf numFmtId="0" fontId="35" fillId="0" borderId="0"/>
    <xf numFmtId="0" fontId="8" fillId="0" borderId="0">
      <alignment vertical="center"/>
    </xf>
    <xf numFmtId="9" fontId="3" fillId="0" borderId="0" applyFont="0" applyFill="0" applyBorder="0" applyAlignment="0" applyProtection="0"/>
    <xf numFmtId="0" fontId="6" fillId="2" borderId="0" applyNumberFormat="0" applyFont="0" applyBorder="0" applyAlignment="0" applyProtection="0"/>
    <xf numFmtId="0" fontId="3" fillId="2" borderId="0" applyNumberFormat="0" applyFont="0" applyBorder="0" applyAlignment="0" applyProtection="0"/>
    <xf numFmtId="0" fontId="13" fillId="0" borderId="0"/>
    <xf numFmtId="0" fontId="13" fillId="0" borderId="1">
      <alignment horizontal="centerContinuous"/>
    </xf>
    <xf numFmtId="0" fontId="7" fillId="0" borderId="1"/>
    <xf numFmtId="0" fontId="2" fillId="0" borderId="0"/>
    <xf numFmtId="164" fontId="25" fillId="0" borderId="0" applyFont="0" applyFill="0" applyBorder="0" applyAlignment="0" applyProtection="0"/>
    <xf numFmtId="0" fontId="25" fillId="0" borderId="0" applyFont="0" applyFill="0" applyBorder="0" applyAlignment="0" applyProtection="0"/>
    <xf numFmtId="0" fontId="73" fillId="0" borderId="0" applyNumberFormat="0" applyFill="0" applyBorder="0" applyAlignment="0" applyProtection="0"/>
    <xf numFmtId="0" fontId="74" fillId="0" borderId="30" applyNumberFormat="0" applyFill="0" applyAlignment="0" applyProtection="0"/>
    <xf numFmtId="0" fontId="75" fillId="0" borderId="31" applyNumberFormat="0" applyFill="0" applyAlignment="0" applyProtection="0"/>
    <xf numFmtId="0" fontId="76" fillId="0" borderId="32" applyNumberFormat="0" applyFill="0" applyAlignment="0" applyProtection="0"/>
    <xf numFmtId="0" fontId="76" fillId="0" borderId="0" applyNumberFormat="0" applyFill="0" applyBorder="0" applyAlignment="0" applyProtection="0"/>
    <xf numFmtId="0" fontId="77" fillId="13" borderId="0" applyNumberFormat="0" applyBorder="0" applyAlignment="0" applyProtection="0"/>
    <xf numFmtId="0" fontId="78" fillId="14" borderId="0" applyNumberFormat="0" applyBorder="0" applyAlignment="0" applyProtection="0"/>
    <xf numFmtId="0" fontId="79" fillId="15" borderId="0" applyNumberFormat="0" applyBorder="0" applyAlignment="0" applyProtection="0"/>
    <xf numFmtId="0" fontId="80" fillId="16" borderId="33" applyNumberFormat="0" applyAlignment="0" applyProtection="0"/>
    <xf numFmtId="0" fontId="81" fillId="17" borderId="34" applyNumberFormat="0" applyAlignment="0" applyProtection="0"/>
    <xf numFmtId="0" fontId="82" fillId="17" borderId="33" applyNumberFormat="0" applyAlignment="0" applyProtection="0"/>
    <xf numFmtId="0" fontId="83" fillId="0" borderId="35" applyNumberFormat="0" applyFill="0" applyAlignment="0" applyProtection="0"/>
    <xf numFmtId="0" fontId="84" fillId="18" borderId="36" applyNumberFormat="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7" fillId="0" borderId="38" applyNumberFormat="0" applyFill="0" applyAlignment="0" applyProtection="0"/>
    <xf numFmtId="0" fontId="88"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88" fillId="23" borderId="0" applyNumberFormat="0" applyBorder="0" applyAlignment="0" applyProtection="0"/>
    <xf numFmtId="0" fontId="88"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88" fillId="27" borderId="0" applyNumberFormat="0" applyBorder="0" applyAlignment="0" applyProtection="0"/>
    <xf numFmtId="0" fontId="88"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88" fillId="31" borderId="0" applyNumberFormat="0" applyBorder="0" applyAlignment="0" applyProtection="0"/>
    <xf numFmtId="0" fontId="88"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88" fillId="35" borderId="0" applyNumberFormat="0" applyBorder="0" applyAlignment="0" applyProtection="0"/>
    <xf numFmtId="0" fontId="88"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88" fillId="39" borderId="0" applyNumberFormat="0" applyBorder="0" applyAlignment="0" applyProtection="0"/>
    <xf numFmtId="0" fontId="88"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88" fillId="43" borderId="0" applyNumberFormat="0" applyBorder="0" applyAlignment="0" applyProtection="0"/>
    <xf numFmtId="0" fontId="89" fillId="44" borderId="0"/>
    <xf numFmtId="0" fontId="1" fillId="0" borderId="0"/>
    <xf numFmtId="0" fontId="1" fillId="19" borderId="37" applyNumberFormat="0" applyFont="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2" fillId="0" borderId="0"/>
    <xf numFmtId="0" fontId="2" fillId="2" borderId="0" applyNumberFormat="0" applyFont="0" applyBorder="0" applyAlignment="0" applyProtection="0"/>
    <xf numFmtId="44" fontId="2" fillId="0" borderId="0" applyFont="0" applyFill="0" applyBorder="0" applyAlignment="0" applyProtection="0"/>
    <xf numFmtId="44" fontId="91" fillId="0" borderId="0" applyFont="0" applyFill="0" applyBorder="0" applyAlignment="0" applyProtection="0"/>
    <xf numFmtId="0" fontId="35" fillId="0" borderId="0"/>
  </cellStyleXfs>
  <cellXfs count="1385">
    <xf numFmtId="0" fontId="0" fillId="0" borderId="0" xfId="0"/>
    <xf numFmtId="49" fontId="0" fillId="0" borderId="0" xfId="0" applyNumberFormat="1"/>
    <xf numFmtId="0" fontId="15" fillId="0" borderId="0" xfId="0" applyFont="1"/>
    <xf numFmtId="0" fontId="4" fillId="0" borderId="0" xfId="0" applyFont="1" applyFill="1" applyBorder="1"/>
    <xf numFmtId="179" fontId="29" fillId="0" borderId="8" xfId="21" applyNumberFormat="1" applyFont="1" applyFill="1" applyBorder="1"/>
    <xf numFmtId="0" fontId="36" fillId="5" borderId="8" xfId="17" applyFont="1" applyFill="1" applyBorder="1"/>
    <xf numFmtId="0" fontId="36" fillId="5" borderId="9" xfId="17" applyFont="1" applyFill="1" applyBorder="1"/>
    <xf numFmtId="0" fontId="36" fillId="5" borderId="0" xfId="17" applyFont="1" applyFill="1" applyBorder="1"/>
    <xf numFmtId="0" fontId="37" fillId="5" borderId="10" xfId="17" quotePrefix="1" applyFont="1" applyFill="1" applyBorder="1" applyAlignment="1">
      <alignment horizontal="center"/>
    </xf>
    <xf numFmtId="0" fontId="37" fillId="5" borderId="8" xfId="17" quotePrefix="1" applyFont="1" applyFill="1" applyBorder="1" applyAlignment="1">
      <alignment horizontal="center"/>
    </xf>
    <xf numFmtId="0" fontId="37" fillId="5" borderId="3" xfId="17" applyFont="1" applyFill="1" applyBorder="1" applyAlignment="1">
      <alignment horizontal="center"/>
    </xf>
    <xf numFmtId="0" fontId="37" fillId="5" borderId="10" xfId="17" applyFont="1" applyFill="1" applyBorder="1" applyAlignment="1">
      <alignment horizontal="center"/>
    </xf>
    <xf numFmtId="0" fontId="36" fillId="5" borderId="0" xfId="17" applyFont="1" applyFill="1" applyAlignment="1">
      <alignment horizontal="center"/>
    </xf>
    <xf numFmtId="0" fontId="37" fillId="5" borderId="0" xfId="17" applyFont="1" applyFill="1"/>
    <xf numFmtId="0" fontId="36" fillId="5" borderId="0" xfId="17" applyFont="1" applyFill="1"/>
    <xf numFmtId="0" fontId="37" fillId="6" borderId="0" xfId="17" applyFont="1" applyFill="1"/>
    <xf numFmtId="0" fontId="36" fillId="6" borderId="8" xfId="17" applyFont="1" applyFill="1" applyBorder="1"/>
    <xf numFmtId="0" fontId="36" fillId="6" borderId="0" xfId="17" applyFont="1" applyFill="1"/>
    <xf numFmtId="0" fontId="36" fillId="6" borderId="0" xfId="17" applyFont="1" applyFill="1" applyBorder="1"/>
    <xf numFmtId="5" fontId="36" fillId="6" borderId="0" xfId="17" applyNumberFormat="1" applyFont="1" applyFill="1" applyBorder="1"/>
    <xf numFmtId="37" fontId="36" fillId="6" borderId="8" xfId="17" applyNumberFormat="1" applyFont="1" applyFill="1" applyBorder="1"/>
    <xf numFmtId="5" fontId="36" fillId="6" borderId="8" xfId="17" applyNumberFormat="1" applyFont="1" applyFill="1" applyBorder="1"/>
    <xf numFmtId="5" fontId="36" fillId="6" borderId="9" xfId="17" applyNumberFormat="1" applyFont="1" applyFill="1" applyBorder="1"/>
    <xf numFmtId="182" fontId="38" fillId="3" borderId="0" xfId="17" applyNumberFormat="1" applyFont="1" applyFill="1"/>
    <xf numFmtId="182" fontId="38" fillId="3" borderId="8" xfId="17" applyNumberFormat="1" applyFont="1" applyFill="1" applyBorder="1"/>
    <xf numFmtId="182" fontId="38" fillId="3" borderId="0" xfId="17" applyNumberFormat="1" applyFont="1" applyFill="1" applyBorder="1"/>
    <xf numFmtId="182" fontId="38" fillId="3" borderId="9" xfId="17" applyNumberFormat="1" applyFont="1" applyFill="1" applyBorder="1"/>
    <xf numFmtId="182" fontId="38" fillId="3" borderId="12" xfId="17" applyNumberFormat="1" applyFont="1" applyFill="1" applyBorder="1"/>
    <xf numFmtId="9" fontId="29" fillId="4" borderId="0" xfId="19" applyNumberFormat="1" applyFont="1" applyFill="1" applyBorder="1" applyAlignment="1" applyProtection="1">
      <alignment horizontal="left" indent="2"/>
      <protection locked="0"/>
    </xf>
    <xf numFmtId="176" fontId="29" fillId="4" borderId="8" xfId="17" applyNumberFormat="1" applyFont="1" applyFill="1" applyBorder="1"/>
    <xf numFmtId="176" fontId="29" fillId="4" borderId="0" xfId="17" applyNumberFormat="1" applyFont="1" applyFill="1" applyBorder="1"/>
    <xf numFmtId="176" fontId="29" fillId="4" borderId="9" xfId="17" applyNumberFormat="1" applyFont="1" applyFill="1" applyBorder="1"/>
    <xf numFmtId="0" fontId="36" fillId="4" borderId="0" xfId="17" applyFont="1" applyFill="1"/>
    <xf numFmtId="0" fontId="29" fillId="4" borderId="0" xfId="17" applyFont="1" applyFill="1"/>
    <xf numFmtId="0" fontId="29" fillId="4" borderId="0" xfId="0" applyFont="1" applyFill="1"/>
    <xf numFmtId="182" fontId="38" fillId="3" borderId="8" xfId="10" applyNumberFormat="1" applyFont="1" applyFill="1" applyBorder="1"/>
    <xf numFmtId="182" fontId="38" fillId="3" borderId="0" xfId="10" applyNumberFormat="1" applyFont="1" applyFill="1"/>
    <xf numFmtId="182" fontId="38" fillId="3" borderId="0" xfId="10" applyNumberFormat="1" applyFont="1" applyFill="1" applyBorder="1"/>
    <xf numFmtId="0" fontId="29" fillId="4" borderId="0" xfId="17" applyFont="1" applyFill="1" applyBorder="1"/>
    <xf numFmtId="0" fontId="36" fillId="4" borderId="0" xfId="17" applyFont="1" applyFill="1" applyBorder="1"/>
    <xf numFmtId="0" fontId="29" fillId="4" borderId="0" xfId="0" applyFont="1" applyFill="1" applyBorder="1"/>
    <xf numFmtId="0" fontId="29" fillId="0" borderId="0" xfId="17" applyFont="1" applyBorder="1"/>
    <xf numFmtId="165" fontId="31" fillId="0" borderId="8" xfId="10" applyNumberFormat="1" applyFont="1" applyBorder="1"/>
    <xf numFmtId="165" fontId="31" fillId="0" borderId="0" xfId="10" applyNumberFormat="1" applyFont="1" applyFill="1" applyBorder="1"/>
    <xf numFmtId="165" fontId="29" fillId="0" borderId="0" xfId="10" applyNumberFormat="1" applyFont="1" applyFill="1" applyBorder="1"/>
    <xf numFmtId="165" fontId="31" fillId="0" borderId="8" xfId="10" applyNumberFormat="1" applyFont="1" applyFill="1" applyBorder="1"/>
    <xf numFmtId="165" fontId="31" fillId="0" borderId="9" xfId="10" applyNumberFormat="1" applyFont="1" applyBorder="1"/>
    <xf numFmtId="165" fontId="31" fillId="0" borderId="0" xfId="10" applyNumberFormat="1" applyFont="1" applyBorder="1"/>
    <xf numFmtId="0" fontId="29" fillId="0" borderId="0" xfId="0" applyFont="1" applyBorder="1"/>
    <xf numFmtId="0" fontId="38" fillId="3" borderId="0" xfId="17" applyFont="1" applyFill="1"/>
    <xf numFmtId="5" fontId="38" fillId="3" borderId="8" xfId="17" applyNumberFormat="1" applyFont="1" applyFill="1" applyBorder="1"/>
    <xf numFmtId="5" fontId="38" fillId="3" borderId="0" xfId="17" applyNumberFormat="1" applyFont="1" applyFill="1" applyBorder="1"/>
    <xf numFmtId="5" fontId="38" fillId="3" borderId="9" xfId="17" applyNumberFormat="1" applyFont="1" applyFill="1" applyBorder="1"/>
    <xf numFmtId="0" fontId="29" fillId="0" borderId="0" xfId="0" applyFont="1"/>
    <xf numFmtId="0" fontId="29" fillId="0" borderId="0" xfId="17" applyFont="1"/>
    <xf numFmtId="0" fontId="29" fillId="0" borderId="8" xfId="17" applyFont="1" applyBorder="1"/>
    <xf numFmtId="0" fontId="29" fillId="0" borderId="9" xfId="17" applyFont="1" applyBorder="1"/>
    <xf numFmtId="5" fontId="29" fillId="0" borderId="0" xfId="17" applyNumberFormat="1" applyFont="1" applyFill="1" applyBorder="1"/>
    <xf numFmtId="5" fontId="29" fillId="0" borderId="8" xfId="17" applyNumberFormat="1" applyFont="1" applyBorder="1"/>
    <xf numFmtId="5" fontId="29" fillId="0" borderId="9" xfId="17" applyNumberFormat="1" applyFont="1" applyBorder="1"/>
    <xf numFmtId="5" fontId="29" fillId="0" borderId="0" xfId="17" applyNumberFormat="1" applyFont="1" applyBorder="1"/>
    <xf numFmtId="165" fontId="31" fillId="0" borderId="0" xfId="10" applyNumberFormat="1" applyFont="1" applyFill="1"/>
    <xf numFmtId="165" fontId="29" fillId="0" borderId="8" xfId="10" applyNumberFormat="1" applyFont="1" applyBorder="1"/>
    <xf numFmtId="165" fontId="29" fillId="0" borderId="9" xfId="10" applyNumberFormat="1" applyFont="1" applyBorder="1"/>
    <xf numFmtId="165" fontId="29" fillId="0" borderId="0" xfId="10" applyNumberFormat="1" applyFont="1" applyBorder="1"/>
    <xf numFmtId="165" fontId="31" fillId="0" borderId="9" xfId="10" applyNumberFormat="1" applyFont="1" applyFill="1" applyBorder="1"/>
    <xf numFmtId="176" fontId="29" fillId="0" borderId="8" xfId="17" applyNumberFormat="1" applyFont="1" applyBorder="1"/>
    <xf numFmtId="176" fontId="29" fillId="0" borderId="0" xfId="17" applyNumberFormat="1" applyFont="1" applyBorder="1"/>
    <xf numFmtId="165" fontId="31" fillId="0" borderId="0" xfId="10" applyNumberFormat="1" applyFont="1"/>
    <xf numFmtId="5" fontId="29" fillId="0" borderId="0" xfId="17" applyNumberFormat="1" applyFont="1"/>
    <xf numFmtId="176" fontId="29" fillId="0" borderId="0" xfId="17" applyNumberFormat="1" applyFont="1"/>
    <xf numFmtId="165" fontId="29" fillId="0" borderId="8" xfId="10" applyNumberFormat="1" applyFont="1" applyFill="1" applyBorder="1"/>
    <xf numFmtId="176" fontId="29" fillId="0" borderId="9" xfId="17" applyNumberFormat="1" applyFont="1" applyBorder="1"/>
    <xf numFmtId="0" fontId="29" fillId="5" borderId="8" xfId="17" applyFont="1" applyFill="1" applyBorder="1"/>
    <xf numFmtId="0" fontId="29" fillId="5" borderId="0" xfId="17" applyFont="1" applyFill="1"/>
    <xf numFmtId="0" fontId="29" fillId="5" borderId="0" xfId="17" applyFont="1" applyFill="1" applyBorder="1"/>
    <xf numFmtId="0" fontId="29" fillId="5" borderId="9" xfId="17" applyFont="1" applyFill="1" applyBorder="1"/>
    <xf numFmtId="0" fontId="29" fillId="5" borderId="0" xfId="0" applyFont="1" applyFill="1"/>
    <xf numFmtId="5" fontId="29" fillId="0" borderId="0" xfId="17" applyNumberFormat="1" applyFont="1" applyFill="1"/>
    <xf numFmtId="165" fontId="29" fillId="0" borderId="9" xfId="10" applyNumberFormat="1" applyFont="1" applyFill="1" applyBorder="1"/>
    <xf numFmtId="165" fontId="29" fillId="0" borderId="0" xfId="10" applyNumberFormat="1" applyFont="1"/>
    <xf numFmtId="165" fontId="29" fillId="0" borderId="0" xfId="10" applyNumberFormat="1" applyFont="1" applyFill="1"/>
    <xf numFmtId="0" fontId="29" fillId="0" borderId="8" xfId="17" applyFont="1" applyFill="1" applyBorder="1"/>
    <xf numFmtId="178" fontId="29" fillId="0" borderId="0" xfId="10" applyNumberFormat="1" applyFont="1" applyBorder="1"/>
    <xf numFmtId="37" fontId="29" fillId="0" borderId="8" xfId="17" applyNumberFormat="1" applyFont="1" applyFill="1" applyBorder="1"/>
    <xf numFmtId="39" fontId="29" fillId="0" borderId="8" xfId="17" applyNumberFormat="1" applyFont="1" applyBorder="1"/>
    <xf numFmtId="39" fontId="29" fillId="0" borderId="9" xfId="17" applyNumberFormat="1" applyFont="1" applyBorder="1"/>
    <xf numFmtId="39" fontId="29" fillId="0" borderId="0" xfId="17" applyNumberFormat="1" applyFont="1" applyBorder="1"/>
    <xf numFmtId="0" fontId="40" fillId="7" borderId="0" xfId="17" applyFont="1" applyFill="1"/>
    <xf numFmtId="0" fontId="39" fillId="7" borderId="8" xfId="17" applyFont="1" applyFill="1" applyBorder="1"/>
    <xf numFmtId="0" fontId="39" fillId="7" borderId="0" xfId="17" applyFont="1" applyFill="1"/>
    <xf numFmtId="0" fontId="39" fillId="7" borderId="0" xfId="17" applyFont="1" applyFill="1" applyBorder="1"/>
    <xf numFmtId="0" fontId="39" fillId="7" borderId="9" xfId="17" applyFont="1" applyFill="1" applyBorder="1"/>
    <xf numFmtId="165" fontId="29" fillId="4" borderId="0" xfId="10" applyNumberFormat="1" applyFont="1" applyFill="1" applyBorder="1"/>
    <xf numFmtId="5" fontId="29" fillId="4" borderId="0" xfId="17" applyNumberFormat="1" applyFont="1" applyFill="1" applyBorder="1"/>
    <xf numFmtId="165" fontId="31" fillId="4" borderId="0" xfId="10" applyNumberFormat="1" applyFont="1" applyFill="1" applyBorder="1"/>
    <xf numFmtId="0" fontId="29" fillId="3" borderId="0" xfId="0" applyFont="1" applyFill="1"/>
    <xf numFmtId="0" fontId="29" fillId="4" borderId="8" xfId="17" applyFont="1" applyFill="1" applyBorder="1"/>
    <xf numFmtId="0" fontId="32" fillId="4" borderId="0" xfId="17" applyFont="1" applyFill="1"/>
    <xf numFmtId="0" fontId="32" fillId="4" borderId="0" xfId="17" applyFont="1" applyFill="1" applyBorder="1"/>
    <xf numFmtId="0" fontId="29" fillId="4" borderId="9" xfId="17" applyFont="1" applyFill="1" applyBorder="1"/>
    <xf numFmtId="5" fontId="29" fillId="0" borderId="6" xfId="17" applyNumberFormat="1" applyFont="1" applyBorder="1"/>
    <xf numFmtId="5" fontId="29" fillId="0" borderId="4" xfId="17" applyNumberFormat="1" applyFont="1" applyBorder="1"/>
    <xf numFmtId="37" fontId="29" fillId="3" borderId="0" xfId="17" applyNumberFormat="1" applyFont="1" applyFill="1" applyBorder="1"/>
    <xf numFmtId="0" fontId="29" fillId="0" borderId="8" xfId="0" applyFont="1" applyBorder="1"/>
    <xf numFmtId="0" fontId="29" fillId="0" borderId="9" xfId="0" applyFont="1" applyBorder="1"/>
    <xf numFmtId="0" fontId="19" fillId="3" borderId="0" xfId="17" applyFont="1" applyFill="1" applyBorder="1"/>
    <xf numFmtId="176" fontId="19" fillId="3" borderId="8" xfId="17" applyNumberFormat="1" applyFont="1" applyFill="1" applyBorder="1"/>
    <xf numFmtId="176" fontId="19" fillId="3" borderId="0" xfId="17" applyNumberFormat="1" applyFont="1" applyFill="1" applyBorder="1"/>
    <xf numFmtId="176" fontId="19" fillId="3" borderId="9" xfId="17" applyNumberFormat="1" applyFont="1" applyFill="1" applyBorder="1"/>
    <xf numFmtId="0" fontId="19" fillId="3" borderId="0" xfId="17" applyFont="1" applyFill="1"/>
    <xf numFmtId="176" fontId="19" fillId="4" borderId="8" xfId="17" applyNumberFormat="1" applyFont="1" applyFill="1" applyBorder="1"/>
    <xf numFmtId="176" fontId="19" fillId="4" borderId="0" xfId="17" applyNumberFormat="1" applyFont="1" applyFill="1" applyBorder="1"/>
    <xf numFmtId="176" fontId="19" fillId="4" borderId="9" xfId="17" applyNumberFormat="1" applyFont="1" applyFill="1" applyBorder="1"/>
    <xf numFmtId="0" fontId="19" fillId="4" borderId="0" xfId="17" applyFont="1" applyFill="1"/>
    <xf numFmtId="0" fontId="19" fillId="4" borderId="0" xfId="0" applyFont="1" applyFill="1"/>
    <xf numFmtId="169" fontId="4" fillId="4" borderId="0" xfId="19" applyNumberFormat="1" applyFont="1" applyFill="1" applyBorder="1" applyAlignment="1" applyProtection="1">
      <alignment horizontal="left" indent="2"/>
      <protection locked="0"/>
    </xf>
    <xf numFmtId="179" fontId="23" fillId="4" borderId="0" xfId="27" applyNumberFormat="1" applyFont="1" applyFill="1" applyBorder="1" applyAlignment="1">
      <alignment horizontal="left" indent="1"/>
    </xf>
    <xf numFmtId="182" fontId="38" fillId="4" borderId="0" xfId="17" applyNumberFormat="1" applyFont="1" applyFill="1"/>
    <xf numFmtId="182" fontId="38" fillId="4" borderId="8" xfId="10" applyNumberFormat="1" applyFont="1" applyFill="1" applyBorder="1"/>
    <xf numFmtId="182" fontId="38" fillId="4" borderId="0" xfId="10" applyNumberFormat="1" applyFont="1" applyFill="1"/>
    <xf numFmtId="182" fontId="38" fillId="4" borderId="0" xfId="10" applyNumberFormat="1" applyFont="1" applyFill="1" applyBorder="1"/>
    <xf numFmtId="182" fontId="38" fillId="4" borderId="9" xfId="10" applyNumberFormat="1" applyFont="1" applyFill="1" applyBorder="1"/>
    <xf numFmtId="182" fontId="38" fillId="4" borderId="0" xfId="0" applyNumberFormat="1" applyFont="1" applyFill="1"/>
    <xf numFmtId="5" fontId="19" fillId="4" borderId="0" xfId="27" applyNumberFormat="1" applyFont="1" applyFill="1" applyBorder="1" applyAlignment="1">
      <alignment horizontal="left" indent="1"/>
    </xf>
    <xf numFmtId="5" fontId="38" fillId="4" borderId="8" xfId="17" applyNumberFormat="1" applyFont="1" applyFill="1" applyBorder="1"/>
    <xf numFmtId="5" fontId="38" fillId="4" borderId="0" xfId="17" applyNumberFormat="1" applyFont="1" applyFill="1" applyBorder="1"/>
    <xf numFmtId="5" fontId="38" fillId="4" borderId="9" xfId="17" applyNumberFormat="1" applyFont="1" applyFill="1" applyBorder="1"/>
    <xf numFmtId="182" fontId="19" fillId="4" borderId="0" xfId="27" applyNumberFormat="1" applyFont="1" applyFill="1" applyBorder="1" applyAlignment="1">
      <alignment horizontal="left" indent="1"/>
    </xf>
    <xf numFmtId="182" fontId="38" fillId="4" borderId="8" xfId="17" applyNumberFormat="1" applyFont="1" applyFill="1" applyBorder="1"/>
    <xf numFmtId="182" fontId="38" fillId="4" borderId="0" xfId="17" applyNumberFormat="1" applyFont="1" applyFill="1" applyBorder="1"/>
    <xf numFmtId="182" fontId="38" fillId="4" borderId="9" xfId="17" applyNumberFormat="1" applyFont="1" applyFill="1" applyBorder="1"/>
    <xf numFmtId="182" fontId="36" fillId="4" borderId="0" xfId="17" applyNumberFormat="1" applyFont="1" applyFill="1"/>
    <xf numFmtId="182" fontId="29" fillId="4" borderId="0" xfId="17" applyNumberFormat="1" applyFont="1" applyFill="1"/>
    <xf numFmtId="182" fontId="29" fillId="4" borderId="0" xfId="17" applyNumberFormat="1" applyFont="1" applyFill="1" applyBorder="1"/>
    <xf numFmtId="182" fontId="29" fillId="4" borderId="0" xfId="0" applyNumberFormat="1" applyFont="1" applyFill="1"/>
    <xf numFmtId="9" fontId="4" fillId="4" borderId="0" xfId="19" applyNumberFormat="1" applyFont="1" applyFill="1" applyBorder="1" applyAlignment="1" applyProtection="1">
      <alignment horizontal="left" indent="3"/>
      <protection locked="0"/>
    </xf>
    <xf numFmtId="9" fontId="4" fillId="4" borderId="0" xfId="19" applyNumberFormat="1" applyFont="1" applyFill="1" applyBorder="1" applyAlignment="1" applyProtection="1">
      <alignment horizontal="left" indent="4"/>
      <protection locked="0"/>
    </xf>
    <xf numFmtId="182" fontId="19" fillId="0" borderId="0" xfId="27" applyNumberFormat="1" applyFont="1" applyBorder="1" applyAlignment="1">
      <alignment horizontal="left" indent="2"/>
    </xf>
    <xf numFmtId="182" fontId="19" fillId="4" borderId="8" xfId="17" applyNumberFormat="1" applyFont="1" applyFill="1" applyBorder="1"/>
    <xf numFmtId="182" fontId="19" fillId="4" borderId="0" xfId="17" applyNumberFormat="1" applyFont="1" applyFill="1" applyBorder="1"/>
    <xf numFmtId="182" fontId="19" fillId="4" borderId="9" xfId="17" applyNumberFormat="1" applyFont="1" applyFill="1" applyBorder="1"/>
    <xf numFmtId="182" fontId="22" fillId="4" borderId="0" xfId="17" applyNumberFormat="1" applyFont="1" applyFill="1" applyBorder="1"/>
    <xf numFmtId="182" fontId="19" fillId="4" borderId="0" xfId="0" applyNumberFormat="1" applyFont="1" applyFill="1" applyBorder="1"/>
    <xf numFmtId="9" fontId="4" fillId="4" borderId="0" xfId="19" applyNumberFormat="1" applyFont="1" applyFill="1" applyBorder="1" applyAlignment="1" applyProtection="1">
      <alignment horizontal="left" indent="5"/>
      <protection locked="0"/>
    </xf>
    <xf numFmtId="179" fontId="4" fillId="4" borderId="0" xfId="19" applyNumberFormat="1" applyFont="1" applyFill="1" applyBorder="1" applyAlignment="1" applyProtection="1">
      <alignment horizontal="left" indent="5"/>
      <protection locked="0"/>
    </xf>
    <xf numFmtId="5" fontId="19" fillId="4" borderId="8" xfId="17" applyNumberFormat="1" applyFont="1" applyFill="1" applyBorder="1"/>
    <xf numFmtId="5" fontId="19" fillId="4" borderId="0" xfId="17" applyNumberFormat="1" applyFont="1" applyFill="1"/>
    <xf numFmtId="5" fontId="19" fillId="4" borderId="0" xfId="17" applyNumberFormat="1" applyFont="1" applyFill="1" applyBorder="1"/>
    <xf numFmtId="5" fontId="19" fillId="4" borderId="9" xfId="17" applyNumberFormat="1" applyFont="1" applyFill="1" applyBorder="1"/>
    <xf numFmtId="0" fontId="22" fillId="4" borderId="0" xfId="17" applyFont="1" applyFill="1"/>
    <xf numFmtId="9" fontId="4" fillId="0" borderId="0" xfId="27" applyNumberFormat="1" applyFont="1" applyBorder="1" applyAlignment="1">
      <alignment horizontal="left" indent="2"/>
    </xf>
    <xf numFmtId="179" fontId="4" fillId="4" borderId="0" xfId="18" applyNumberFormat="1" applyFont="1" applyFill="1" applyBorder="1" applyAlignment="1">
      <alignment horizontal="left" vertical="center" indent="1"/>
    </xf>
    <xf numFmtId="5" fontId="4" fillId="4" borderId="0" xfId="27" applyNumberFormat="1" applyFont="1" applyFill="1" applyBorder="1" applyAlignment="1">
      <alignment horizontal="left" vertical="center" indent="1"/>
    </xf>
    <xf numFmtId="0" fontId="38" fillId="4" borderId="0" xfId="17" applyFont="1" applyFill="1" applyBorder="1"/>
    <xf numFmtId="5" fontId="33" fillId="4" borderId="0" xfId="17" applyNumberFormat="1" applyFont="1" applyFill="1" applyBorder="1"/>
    <xf numFmtId="5" fontId="33" fillId="4" borderId="8" xfId="17" applyNumberFormat="1" applyFont="1" applyFill="1" applyBorder="1"/>
    <xf numFmtId="5" fontId="33" fillId="4" borderId="9" xfId="17" applyNumberFormat="1" applyFont="1" applyFill="1" applyBorder="1"/>
    <xf numFmtId="176" fontId="31" fillId="4" borderId="8" xfId="17" applyNumberFormat="1" applyFont="1" applyFill="1" applyBorder="1"/>
    <xf numFmtId="176" fontId="31" fillId="4" borderId="9" xfId="17" applyNumberFormat="1" applyFont="1" applyFill="1" applyBorder="1"/>
    <xf numFmtId="176" fontId="31" fillId="4" borderId="0" xfId="17" applyNumberFormat="1" applyFont="1" applyFill="1" applyBorder="1"/>
    <xf numFmtId="0" fontId="38" fillId="4" borderId="0" xfId="17" applyFont="1" applyFill="1"/>
    <xf numFmtId="0" fontId="38" fillId="4" borderId="4" xfId="17" applyFont="1" applyFill="1" applyBorder="1"/>
    <xf numFmtId="7" fontId="38" fillId="4" borderId="6" xfId="17" applyNumberFormat="1" applyFont="1" applyFill="1" applyBorder="1"/>
    <xf numFmtId="7" fontId="38" fillId="4" borderId="4" xfId="17" applyNumberFormat="1" applyFont="1" applyFill="1" applyBorder="1"/>
    <xf numFmtId="7" fontId="38" fillId="4" borderId="12" xfId="17" applyNumberFormat="1" applyFont="1" applyFill="1" applyBorder="1"/>
    <xf numFmtId="0" fontId="34" fillId="4" borderId="0" xfId="17" applyFont="1" applyFill="1"/>
    <xf numFmtId="176" fontId="29" fillId="3" borderId="8" xfId="17" applyNumberFormat="1" applyFont="1" applyFill="1" applyBorder="1"/>
    <xf numFmtId="176" fontId="29" fillId="3" borderId="0" xfId="17" applyNumberFormat="1" applyFont="1" applyFill="1" applyBorder="1"/>
    <xf numFmtId="176" fontId="29" fillId="3" borderId="9" xfId="17" applyNumberFormat="1" applyFont="1" applyFill="1" applyBorder="1"/>
    <xf numFmtId="0" fontId="19" fillId="4" borderId="0" xfId="27" applyFont="1" applyFill="1" applyBorder="1"/>
    <xf numFmtId="9" fontId="4" fillId="4" borderId="0" xfId="19" applyNumberFormat="1" applyFont="1" applyFill="1" applyBorder="1" applyAlignment="1" applyProtection="1">
      <alignment horizontal="left" indent="2"/>
      <protection locked="0"/>
    </xf>
    <xf numFmtId="182" fontId="29" fillId="0" borderId="0" xfId="17" applyNumberFormat="1" applyFont="1"/>
    <xf numFmtId="182" fontId="29" fillId="0" borderId="8" xfId="17" applyNumberFormat="1" applyFont="1" applyFill="1" applyBorder="1"/>
    <xf numFmtId="182" fontId="29" fillId="0" borderId="0" xfId="17" applyNumberFormat="1" applyFont="1" applyFill="1"/>
    <xf numFmtId="182" fontId="29" fillId="0" borderId="0" xfId="17" applyNumberFormat="1" applyFont="1" applyBorder="1"/>
    <xf numFmtId="182" fontId="29" fillId="0" borderId="0" xfId="17" applyNumberFormat="1" applyFont="1" applyFill="1" applyBorder="1"/>
    <xf numFmtId="182" fontId="29" fillId="0" borderId="9" xfId="17" applyNumberFormat="1" applyFont="1" applyFill="1" applyBorder="1"/>
    <xf numFmtId="182" fontId="29" fillId="0" borderId="0" xfId="10" applyNumberFormat="1" applyFont="1" applyFill="1" applyBorder="1" applyAlignment="1">
      <alignment horizontal="right"/>
    </xf>
    <xf numFmtId="182" fontId="29" fillId="0" borderId="0" xfId="10" applyNumberFormat="1" applyFont="1" applyBorder="1"/>
    <xf numFmtId="182" fontId="29" fillId="0" borderId="8" xfId="10" applyNumberFormat="1" applyFont="1" applyFill="1" applyBorder="1"/>
    <xf numFmtId="182" fontId="32" fillId="0" borderId="0" xfId="10" applyNumberFormat="1" applyFont="1" applyFill="1" applyBorder="1"/>
    <xf numFmtId="182" fontId="29" fillId="0" borderId="9" xfId="10" applyNumberFormat="1" applyFont="1" applyFill="1" applyBorder="1"/>
    <xf numFmtId="182" fontId="29" fillId="0" borderId="0" xfId="10" applyNumberFormat="1" applyFont="1" applyFill="1" applyBorder="1"/>
    <xf numFmtId="182" fontId="29" fillId="0" borderId="0" xfId="10" applyNumberFormat="1" applyFont="1" applyFill="1" applyAlignment="1">
      <alignment horizontal="right"/>
    </xf>
    <xf numFmtId="182" fontId="29" fillId="0" borderId="8" xfId="17" applyNumberFormat="1" applyFont="1" applyBorder="1"/>
    <xf numFmtId="182" fontId="29" fillId="0" borderId="0" xfId="10" applyNumberFormat="1" applyFont="1"/>
    <xf numFmtId="182" fontId="29" fillId="0" borderId="9" xfId="17" applyNumberFormat="1" applyFont="1" applyBorder="1"/>
    <xf numFmtId="182" fontId="32" fillId="0" borderId="8" xfId="10" applyNumberFormat="1" applyFont="1" applyFill="1" applyBorder="1"/>
    <xf numFmtId="182" fontId="32" fillId="0" borderId="9" xfId="10" applyNumberFormat="1" applyFont="1" applyFill="1" applyBorder="1"/>
    <xf numFmtId="182" fontId="29" fillId="0" borderId="8" xfId="10" applyNumberFormat="1" applyFont="1" applyBorder="1"/>
    <xf numFmtId="182" fontId="29" fillId="0" borderId="0" xfId="10" applyNumberFormat="1" applyFont="1" applyFill="1"/>
    <xf numFmtId="182" fontId="29" fillId="0" borderId="9" xfId="10" applyNumberFormat="1" applyFont="1" applyBorder="1"/>
    <xf numFmtId="176" fontId="4" fillId="4" borderId="8" xfId="17" applyNumberFormat="1" applyFont="1" applyFill="1" applyBorder="1"/>
    <xf numFmtId="176" fontId="4" fillId="4" borderId="0" xfId="17" applyNumberFormat="1" applyFont="1" applyFill="1" applyBorder="1"/>
    <xf numFmtId="176" fontId="4" fillId="4" borderId="9" xfId="17" applyNumberFormat="1" applyFont="1" applyFill="1" applyBorder="1"/>
    <xf numFmtId="0" fontId="21" fillId="4" borderId="0" xfId="17" applyFont="1" applyFill="1"/>
    <xf numFmtId="0" fontId="4" fillId="4" borderId="0" xfId="17" applyFont="1" applyFill="1"/>
    <xf numFmtId="0" fontId="4" fillId="4" borderId="0" xfId="0" applyFont="1" applyFill="1"/>
    <xf numFmtId="192" fontId="4" fillId="4" borderId="8" xfId="17" applyNumberFormat="1" applyFont="1" applyFill="1" applyBorder="1"/>
    <xf numFmtId="192" fontId="4" fillId="4" borderId="0" xfId="17" applyNumberFormat="1" applyFont="1" applyFill="1" applyBorder="1"/>
    <xf numFmtId="176" fontId="23" fillId="4" borderId="8" xfId="17" applyNumberFormat="1" applyFont="1" applyFill="1" applyBorder="1"/>
    <xf numFmtId="176" fontId="23" fillId="4" borderId="0" xfId="17" applyNumberFormat="1" applyFont="1" applyFill="1" applyBorder="1"/>
    <xf numFmtId="176" fontId="23" fillId="4" borderId="9" xfId="17" applyNumberFormat="1" applyFont="1" applyFill="1" applyBorder="1"/>
    <xf numFmtId="0" fontId="23" fillId="4" borderId="0" xfId="17" applyFont="1" applyFill="1"/>
    <xf numFmtId="0" fontId="23" fillId="4" borderId="0" xfId="0" applyFont="1" applyFill="1"/>
    <xf numFmtId="176" fontId="45" fillId="3" borderId="8" xfId="17" applyNumberFormat="1" applyFont="1" applyFill="1" applyBorder="1"/>
    <xf numFmtId="176" fontId="45" fillId="3" borderId="9" xfId="17" applyNumberFormat="1" applyFont="1" applyFill="1" applyBorder="1"/>
    <xf numFmtId="176" fontId="45" fillId="3" borderId="0" xfId="17" applyNumberFormat="1" applyFont="1" applyFill="1" applyBorder="1"/>
    <xf numFmtId="7" fontId="45" fillId="0" borderId="8" xfId="17" applyNumberFormat="1" applyFont="1" applyFill="1" applyBorder="1"/>
    <xf numFmtId="7" fontId="45" fillId="0" borderId="0" xfId="17" applyNumberFormat="1" applyFont="1" applyFill="1" applyBorder="1"/>
    <xf numFmtId="7" fontId="41" fillId="0" borderId="8" xfId="17" applyNumberFormat="1" applyFont="1" applyFill="1" applyBorder="1"/>
    <xf numFmtId="7" fontId="45" fillId="0" borderId="9" xfId="17" applyNumberFormat="1" applyFont="1" applyFill="1" applyBorder="1"/>
    <xf numFmtId="0" fontId="41" fillId="0" borderId="0" xfId="17" applyFont="1" applyBorder="1"/>
    <xf numFmtId="7" fontId="41" fillId="0" borderId="8" xfId="17" applyNumberFormat="1" applyFont="1" applyBorder="1"/>
    <xf numFmtId="7" fontId="41" fillId="0" borderId="13" xfId="17" applyNumberFormat="1" applyFont="1" applyFill="1" applyBorder="1"/>
    <xf numFmtId="7" fontId="41" fillId="0" borderId="14" xfId="17" applyNumberFormat="1" applyFont="1" applyFill="1" applyBorder="1"/>
    <xf numFmtId="7" fontId="41" fillId="0" borderId="0" xfId="17" applyNumberFormat="1" applyFont="1" applyFill="1" applyBorder="1"/>
    <xf numFmtId="7" fontId="41" fillId="0" borderId="8" xfId="10" applyNumberFormat="1" applyFont="1" applyFill="1" applyBorder="1"/>
    <xf numFmtId="182" fontId="29" fillId="4" borderId="8" xfId="17" applyNumberFormat="1" applyFont="1" applyFill="1" applyBorder="1"/>
    <xf numFmtId="182" fontId="29" fillId="4" borderId="9" xfId="17" applyNumberFormat="1" applyFont="1" applyFill="1" applyBorder="1"/>
    <xf numFmtId="182" fontId="36" fillId="4" borderId="0" xfId="17" applyNumberFormat="1" applyFont="1" applyFill="1" applyBorder="1"/>
    <xf numFmtId="182" fontId="29" fillId="4" borderId="0" xfId="0" applyNumberFormat="1" applyFont="1" applyFill="1" applyBorder="1"/>
    <xf numFmtId="192" fontId="4" fillId="4" borderId="9" xfId="17" applyNumberFormat="1" applyFont="1" applyFill="1" applyBorder="1"/>
    <xf numFmtId="0" fontId="41" fillId="4" borderId="0" xfId="17" applyFont="1" applyFill="1"/>
    <xf numFmtId="0" fontId="39" fillId="4" borderId="0" xfId="17" applyFont="1" applyFill="1"/>
    <xf numFmtId="37" fontId="36" fillId="4" borderId="0" xfId="17" applyNumberFormat="1" applyFont="1" applyFill="1"/>
    <xf numFmtId="0" fontId="37" fillId="4" borderId="0" xfId="17" applyFont="1" applyFill="1"/>
    <xf numFmtId="5" fontId="36" fillId="4" borderId="0" xfId="17" applyNumberFormat="1" applyFont="1" applyFill="1"/>
    <xf numFmtId="0" fontId="4" fillId="5" borderId="0" xfId="17" applyFont="1" applyFill="1"/>
    <xf numFmtId="182" fontId="29" fillId="5" borderId="0" xfId="17" applyNumberFormat="1" applyFont="1" applyFill="1"/>
    <xf numFmtId="0" fontId="19" fillId="5" borderId="0" xfId="17" applyFont="1" applyFill="1"/>
    <xf numFmtId="0" fontId="41" fillId="5" borderId="0" xfId="17" applyFont="1" applyFill="1"/>
    <xf numFmtId="182" fontId="29" fillId="5" borderId="0" xfId="17" applyNumberFormat="1" applyFont="1" applyFill="1" applyBorder="1"/>
    <xf numFmtId="0" fontId="39" fillId="5" borderId="0" xfId="17" applyFont="1" applyFill="1"/>
    <xf numFmtId="0" fontId="38" fillId="5" borderId="0" xfId="17" applyFont="1" applyFill="1"/>
    <xf numFmtId="0" fontId="36" fillId="5" borderId="0" xfId="17" applyFont="1" applyFill="1" applyAlignment="1">
      <alignment horizontal="right"/>
    </xf>
    <xf numFmtId="182" fontId="38" fillId="5" borderId="0" xfId="17" applyNumberFormat="1" applyFont="1" applyFill="1"/>
    <xf numFmtId="0" fontId="21" fillId="5" borderId="0" xfId="17" applyFont="1" applyFill="1"/>
    <xf numFmtId="0" fontId="23" fillId="5" borderId="0" xfId="17" applyFont="1" applyFill="1"/>
    <xf numFmtId="182" fontId="36" fillId="5" borderId="0" xfId="17" applyNumberFormat="1" applyFont="1" applyFill="1"/>
    <xf numFmtId="182" fontId="22" fillId="5" borderId="0" xfId="17" applyNumberFormat="1" applyFont="1" applyFill="1" applyBorder="1"/>
    <xf numFmtId="182" fontId="36" fillId="5" borderId="0" xfId="17" applyNumberFormat="1" applyFont="1" applyFill="1" applyBorder="1"/>
    <xf numFmtId="0" fontId="22" fillId="5" borderId="0" xfId="17" applyFont="1" applyFill="1"/>
    <xf numFmtId="0" fontId="34" fillId="5" borderId="0" xfId="17" applyFont="1" applyFill="1"/>
    <xf numFmtId="37" fontId="36" fillId="5" borderId="0" xfId="17" applyNumberFormat="1" applyFont="1" applyFill="1"/>
    <xf numFmtId="5" fontId="36" fillId="5" borderId="0" xfId="17" applyNumberFormat="1" applyFont="1" applyFill="1"/>
    <xf numFmtId="0" fontId="22" fillId="5" borderId="0" xfId="17" applyFont="1" applyFill="1" applyAlignment="1">
      <alignment horizontal="left"/>
    </xf>
    <xf numFmtId="0" fontId="4" fillId="3" borderId="0" xfId="17" applyFont="1" applyFill="1"/>
    <xf numFmtId="0" fontId="4" fillId="3" borderId="0" xfId="17" applyFont="1" applyFill="1" applyAlignment="1">
      <alignment horizontal="right"/>
    </xf>
    <xf numFmtId="0" fontId="23" fillId="3" borderId="0" xfId="17" applyFont="1" applyFill="1" applyAlignment="1">
      <alignment horizontal="right"/>
    </xf>
    <xf numFmtId="0" fontId="23" fillId="3" borderId="0" xfId="17" applyFont="1" applyFill="1"/>
    <xf numFmtId="182" fontId="29" fillId="3" borderId="0" xfId="17" applyNumberFormat="1" applyFont="1" applyFill="1"/>
    <xf numFmtId="182" fontId="29" fillId="3" borderId="0" xfId="17" applyNumberFormat="1" applyFont="1" applyFill="1" applyBorder="1"/>
    <xf numFmtId="0" fontId="29" fillId="3" borderId="0" xfId="0" applyFont="1" applyFill="1" applyAlignment="1">
      <alignment horizontal="right"/>
    </xf>
    <xf numFmtId="182" fontId="19" fillId="5" borderId="0" xfId="17" applyNumberFormat="1" applyFont="1" applyFill="1" applyBorder="1"/>
    <xf numFmtId="0" fontId="36" fillId="4" borderId="0" xfId="17" applyFont="1" applyFill="1" applyAlignment="1">
      <alignment horizontal="center"/>
    </xf>
    <xf numFmtId="0" fontId="36" fillId="4" borderId="0" xfId="0" applyFont="1" applyFill="1" applyAlignment="1">
      <alignment horizontal="center"/>
    </xf>
    <xf numFmtId="0" fontId="36" fillId="4" borderId="0" xfId="0" applyFont="1" applyFill="1"/>
    <xf numFmtId="0" fontId="41" fillId="4" borderId="0" xfId="0" applyFont="1" applyFill="1"/>
    <xf numFmtId="0" fontId="39" fillId="4" borderId="0" xfId="0" applyFont="1" applyFill="1"/>
    <xf numFmtId="182" fontId="29" fillId="4" borderId="0" xfId="10" applyNumberFormat="1" applyFont="1" applyFill="1"/>
    <xf numFmtId="182" fontId="29" fillId="4" borderId="0" xfId="10" applyNumberFormat="1" applyFont="1" applyFill="1" applyBorder="1"/>
    <xf numFmtId="182" fontId="29" fillId="4" borderId="8" xfId="10" applyNumberFormat="1" applyFont="1" applyFill="1" applyBorder="1"/>
    <xf numFmtId="182" fontId="29" fillId="4" borderId="9" xfId="10" applyNumberFormat="1" applyFont="1" applyFill="1" applyBorder="1"/>
    <xf numFmtId="182" fontId="29" fillId="3" borderId="8" xfId="17" applyNumberFormat="1" applyFont="1" applyFill="1" applyBorder="1"/>
    <xf numFmtId="182" fontId="29" fillId="3" borderId="9" xfId="17" applyNumberFormat="1" applyFont="1" applyFill="1" applyBorder="1"/>
    <xf numFmtId="182" fontId="19" fillId="3" borderId="0" xfId="17" applyNumberFormat="1" applyFont="1" applyFill="1"/>
    <xf numFmtId="5" fontId="4" fillId="6" borderId="15" xfId="27" applyNumberFormat="1" applyFont="1" applyFill="1" applyBorder="1"/>
    <xf numFmtId="0" fontId="4" fillId="6" borderId="15" xfId="27" applyFont="1" applyFill="1" applyBorder="1"/>
    <xf numFmtId="169" fontId="4" fillId="4" borderId="0" xfId="19" applyNumberFormat="1" applyFont="1" applyFill="1" applyBorder="1" applyAlignment="1" applyProtection="1">
      <alignment horizontal="left" indent="4"/>
      <protection locked="0"/>
    </xf>
    <xf numFmtId="0" fontId="22" fillId="6" borderId="7" xfId="13" applyFont="1" applyFill="1" applyBorder="1" applyAlignment="1">
      <alignment vertical="center"/>
    </xf>
    <xf numFmtId="5" fontId="4" fillId="6" borderId="16" xfId="27" applyNumberFormat="1" applyFont="1" applyFill="1" applyBorder="1"/>
    <xf numFmtId="5" fontId="4" fillId="6" borderId="7" xfId="27" applyNumberFormat="1" applyFont="1" applyFill="1" applyBorder="1"/>
    <xf numFmtId="4" fontId="4" fillId="6" borderId="7" xfId="27" applyNumberFormat="1" applyFont="1" applyFill="1" applyBorder="1"/>
    <xf numFmtId="7" fontId="4" fillId="6" borderId="15" xfId="27" applyNumberFormat="1" applyFont="1" applyFill="1" applyBorder="1"/>
    <xf numFmtId="7" fontId="4" fillId="6" borderId="16" xfId="27" applyNumberFormat="1" applyFont="1" applyFill="1" applyBorder="1"/>
    <xf numFmtId="7" fontId="4" fillId="6" borderId="7" xfId="27" applyNumberFormat="1" applyFont="1" applyFill="1" applyBorder="1"/>
    <xf numFmtId="0" fontId="4" fillId="4" borderId="7" xfId="27" applyFont="1" applyFill="1" applyBorder="1"/>
    <xf numFmtId="182" fontId="29" fillId="0" borderId="17" xfId="17" applyNumberFormat="1" applyFont="1" applyBorder="1"/>
    <xf numFmtId="182" fontId="29" fillId="0" borderId="18" xfId="10" applyNumberFormat="1" applyFont="1" applyBorder="1"/>
    <xf numFmtId="182" fontId="29" fillId="0" borderId="17" xfId="10" applyNumberFormat="1" applyFont="1" applyBorder="1"/>
    <xf numFmtId="182" fontId="29" fillId="0" borderId="17" xfId="10" applyNumberFormat="1" applyFont="1" applyFill="1" applyBorder="1"/>
    <xf numFmtId="182" fontId="29" fillId="0" borderId="18" xfId="10" applyNumberFormat="1" applyFont="1" applyFill="1" applyBorder="1"/>
    <xf numFmtId="182" fontId="29" fillId="4" borderId="17" xfId="0" applyNumberFormat="1" applyFont="1" applyFill="1" applyBorder="1"/>
    <xf numFmtId="182" fontId="29" fillId="0" borderId="17" xfId="17" applyNumberFormat="1" applyFont="1" applyFill="1" applyBorder="1"/>
    <xf numFmtId="182" fontId="29" fillId="4" borderId="0" xfId="17" applyNumberFormat="1" applyFont="1" applyFill="1" applyAlignment="1">
      <alignment horizontal="left" indent="1"/>
    </xf>
    <xf numFmtId="182" fontId="4" fillId="4" borderId="0" xfId="27" applyNumberFormat="1" applyFont="1" applyFill="1" applyAlignment="1">
      <alignment horizontal="left" indent="3"/>
    </xf>
    <xf numFmtId="169" fontId="19" fillId="0" borderId="0" xfId="17" applyNumberFormat="1" applyFont="1"/>
    <xf numFmtId="169" fontId="19" fillId="0" borderId="8" xfId="10" applyNumberFormat="1" applyFont="1" applyBorder="1"/>
    <xf numFmtId="169" fontId="19" fillId="0" borderId="0" xfId="10" applyNumberFormat="1" applyFont="1"/>
    <xf numFmtId="169" fontId="19" fillId="0" borderId="0" xfId="10" applyNumberFormat="1" applyFont="1" applyBorder="1"/>
    <xf numFmtId="169" fontId="19" fillId="0" borderId="0" xfId="10" applyNumberFormat="1" applyFont="1" applyFill="1"/>
    <xf numFmtId="169" fontId="19" fillId="0" borderId="0" xfId="10" applyNumberFormat="1" applyFont="1" applyFill="1" applyBorder="1"/>
    <xf numFmtId="169" fontId="19" fillId="0" borderId="8" xfId="10" applyNumberFormat="1" applyFont="1" applyFill="1" applyBorder="1"/>
    <xf numFmtId="169" fontId="19" fillId="0" borderId="9" xfId="10" applyNumberFormat="1" applyFont="1" applyFill="1" applyBorder="1"/>
    <xf numFmtId="169" fontId="19" fillId="4" borderId="0" xfId="17" applyNumberFormat="1" applyFont="1" applyFill="1"/>
    <xf numFmtId="169" fontId="19" fillId="5" borderId="0" xfId="17" applyNumberFormat="1" applyFont="1" applyFill="1"/>
    <xf numFmtId="169" fontId="19" fillId="4" borderId="0" xfId="0" applyNumberFormat="1" applyFont="1" applyFill="1"/>
    <xf numFmtId="169" fontId="4" fillId="0" borderId="8" xfId="10" applyNumberFormat="1" applyFont="1" applyBorder="1"/>
    <xf numFmtId="169" fontId="4" fillId="0" borderId="0" xfId="10" applyNumberFormat="1" applyFont="1"/>
    <xf numFmtId="169" fontId="4" fillId="0" borderId="0" xfId="10" applyNumberFormat="1" applyFont="1" applyBorder="1"/>
    <xf numFmtId="169" fontId="4" fillId="0" borderId="0" xfId="10" applyNumberFormat="1" applyFont="1" applyFill="1"/>
    <xf numFmtId="169" fontId="4" fillId="0" borderId="0" xfId="10" applyNumberFormat="1" applyFont="1" applyFill="1" applyBorder="1"/>
    <xf numFmtId="169" fontId="4" fillId="0" borderId="8" xfId="10" applyNumberFormat="1" applyFont="1" applyFill="1" applyBorder="1"/>
    <xf numFmtId="169" fontId="4" fillId="0" borderId="9" xfId="10" applyNumberFormat="1" applyFont="1" applyFill="1" applyBorder="1"/>
    <xf numFmtId="169" fontId="4" fillId="4" borderId="0" xfId="17" applyNumberFormat="1" applyFont="1" applyFill="1"/>
    <xf numFmtId="169" fontId="4" fillId="5" borderId="0" xfId="17" applyNumberFormat="1" applyFont="1" applyFill="1"/>
    <xf numFmtId="169" fontId="4" fillId="4" borderId="0" xfId="0" applyNumberFormat="1" applyFont="1" applyFill="1"/>
    <xf numFmtId="182" fontId="38" fillId="3" borderId="4" xfId="17" applyNumberFormat="1" applyFont="1" applyFill="1" applyBorder="1"/>
    <xf numFmtId="182" fontId="38" fillId="3" borderId="6" xfId="17" applyNumberFormat="1" applyFont="1" applyFill="1" applyBorder="1"/>
    <xf numFmtId="182" fontId="29" fillId="0" borderId="0" xfId="17" applyNumberFormat="1" applyFont="1" applyBorder="1" applyAlignment="1">
      <alignment horizontal="left" indent="1"/>
    </xf>
    <xf numFmtId="182" fontId="4" fillId="4" borderId="0" xfId="17" applyNumberFormat="1" applyFont="1" applyFill="1" applyBorder="1" applyAlignment="1">
      <alignment horizontal="left" indent="1"/>
    </xf>
    <xf numFmtId="5" fontId="19" fillId="3" borderId="0" xfId="27" applyNumberFormat="1" applyFont="1" applyFill="1" applyBorder="1"/>
    <xf numFmtId="182" fontId="29" fillId="0" borderId="8" xfId="10" applyNumberFormat="1" applyFont="1" applyFill="1" applyBorder="1" applyAlignment="1">
      <alignment horizontal="right"/>
    </xf>
    <xf numFmtId="182" fontId="29" fillId="0" borderId="8" xfId="10" applyNumberFormat="1" applyFont="1" applyBorder="1" applyAlignment="1">
      <alignment horizontal="right"/>
    </xf>
    <xf numFmtId="179" fontId="29" fillId="4" borderId="8" xfId="17" applyNumberFormat="1" applyFont="1" applyFill="1" applyBorder="1"/>
    <xf numFmtId="179" fontId="29" fillId="4" borderId="0" xfId="17" applyNumberFormat="1" applyFont="1" applyFill="1" applyBorder="1"/>
    <xf numFmtId="9" fontId="4" fillId="0" borderId="8" xfId="17" applyNumberFormat="1" applyFont="1" applyFill="1" applyBorder="1"/>
    <xf numFmtId="179" fontId="36" fillId="4" borderId="0" xfId="17" applyNumberFormat="1" applyFont="1" applyFill="1" applyBorder="1"/>
    <xf numFmtId="179" fontId="36" fillId="5" borderId="0" xfId="17" applyNumberFormat="1" applyFont="1" applyFill="1" applyBorder="1"/>
    <xf numFmtId="179" fontId="29" fillId="5" borderId="0" xfId="17" applyNumberFormat="1" applyFont="1" applyFill="1" applyBorder="1"/>
    <xf numFmtId="179" fontId="29" fillId="4" borderId="0" xfId="0" applyNumberFormat="1" applyFont="1" applyFill="1" applyBorder="1"/>
    <xf numFmtId="179" fontId="31" fillId="4" borderId="0" xfId="17" applyNumberFormat="1" applyFont="1" applyFill="1" applyBorder="1"/>
    <xf numFmtId="179" fontId="31" fillId="4" borderId="8" xfId="17" applyNumberFormat="1" applyFont="1" applyFill="1" applyBorder="1"/>
    <xf numFmtId="179" fontId="31" fillId="4" borderId="9" xfId="17" applyNumberFormat="1" applyFont="1" applyFill="1" applyBorder="1"/>
    <xf numFmtId="192" fontId="4" fillId="0" borderId="8" xfId="27" applyNumberFormat="1" applyFont="1" applyBorder="1"/>
    <xf numFmtId="192" fontId="4" fillId="4" borderId="0" xfId="27" applyNumberFormat="1" applyFont="1" applyFill="1" applyBorder="1"/>
    <xf numFmtId="192" fontId="29" fillId="4" borderId="8" xfId="17" applyNumberFormat="1" applyFont="1" applyFill="1" applyBorder="1"/>
    <xf numFmtId="192" fontId="29" fillId="4" borderId="0" xfId="17" applyNumberFormat="1" applyFont="1" applyFill="1" applyBorder="1"/>
    <xf numFmtId="192" fontId="4" fillId="0" borderId="8" xfId="10" applyNumberFormat="1" applyFont="1" applyBorder="1"/>
    <xf numFmtId="192" fontId="29" fillId="4" borderId="9" xfId="17" applyNumberFormat="1" applyFont="1" applyFill="1" applyBorder="1"/>
    <xf numFmtId="192" fontId="36" fillId="4" borderId="0" xfId="17" applyNumberFormat="1" applyFont="1" applyFill="1" applyBorder="1"/>
    <xf numFmtId="192" fontId="36" fillId="5" borderId="0" xfId="17" applyNumberFormat="1" applyFont="1" applyFill="1" applyBorder="1"/>
    <xf numFmtId="192" fontId="29" fillId="5" borderId="0" xfId="17" applyNumberFormat="1" applyFont="1" applyFill="1" applyBorder="1"/>
    <xf numFmtId="192" fontId="29" fillId="4" borderId="0" xfId="17" applyNumberFormat="1" applyFont="1" applyFill="1"/>
    <xf numFmtId="192" fontId="29" fillId="4" borderId="0" xfId="0" applyNumberFormat="1" applyFont="1" applyFill="1"/>
    <xf numFmtId="192" fontId="29" fillId="4" borderId="0" xfId="0" applyNumberFormat="1" applyFont="1" applyFill="1" applyBorder="1"/>
    <xf numFmtId="192" fontId="31" fillId="4" borderId="0" xfId="17" applyNumberFormat="1" applyFont="1" applyFill="1" applyBorder="1"/>
    <xf numFmtId="192" fontId="31" fillId="4" borderId="9" xfId="17" applyNumberFormat="1" applyFont="1" applyFill="1" applyBorder="1"/>
    <xf numFmtId="180" fontId="19" fillId="0" borderId="8" xfId="10" applyNumberFormat="1" applyFont="1" applyBorder="1"/>
    <xf numFmtId="169" fontId="4" fillId="4" borderId="0" xfId="10" applyNumberFormat="1" applyFont="1" applyFill="1"/>
    <xf numFmtId="169" fontId="4" fillId="4" borderId="0" xfId="10" applyNumberFormat="1" applyFont="1" applyFill="1" applyBorder="1"/>
    <xf numFmtId="169" fontId="4" fillId="4" borderId="8" xfId="10" applyNumberFormat="1" applyFont="1" applyFill="1" applyBorder="1"/>
    <xf numFmtId="192" fontId="4" fillId="4" borderId="0" xfId="12" applyNumberFormat="1" applyFont="1" applyFill="1" applyBorder="1" applyAlignment="1" applyProtection="1">
      <alignment horizontal="left" indent="1"/>
      <protection locked="0"/>
    </xf>
    <xf numFmtId="179" fontId="4" fillId="4" borderId="0" xfId="21" applyNumberFormat="1" applyFont="1" applyFill="1" applyBorder="1" applyAlignment="1">
      <alignment horizontal="left" indent="1"/>
    </xf>
    <xf numFmtId="182" fontId="29" fillId="0" borderId="0" xfId="17" applyNumberFormat="1" applyFont="1" applyAlignment="1">
      <alignment horizontal="left" indent="1"/>
    </xf>
    <xf numFmtId="182" fontId="29" fillId="0" borderId="0" xfId="17" applyNumberFormat="1" applyFont="1" applyFill="1" applyBorder="1" applyAlignment="1">
      <alignment horizontal="left" indent="1"/>
    </xf>
    <xf numFmtId="182" fontId="29" fillId="0" borderId="0" xfId="27" applyNumberFormat="1" applyFont="1" applyFill="1" applyBorder="1" applyAlignment="1">
      <alignment horizontal="left" indent="1"/>
    </xf>
    <xf numFmtId="182" fontId="19" fillId="0" borderId="19" xfId="17" applyNumberFormat="1" applyFont="1" applyBorder="1"/>
    <xf numFmtId="182" fontId="19" fillId="0" borderId="20" xfId="17" applyNumberFormat="1" applyFont="1" applyBorder="1"/>
    <xf numFmtId="182" fontId="19" fillId="0" borderId="20" xfId="17" applyNumberFormat="1" applyFont="1" applyFill="1" applyBorder="1"/>
    <xf numFmtId="182" fontId="19" fillId="0" borderId="19" xfId="17" applyNumberFormat="1" applyFont="1" applyFill="1" applyBorder="1"/>
    <xf numFmtId="182" fontId="19" fillId="0" borderId="21" xfId="17" applyNumberFormat="1" applyFont="1" applyBorder="1"/>
    <xf numFmtId="9" fontId="29" fillId="0" borderId="8" xfId="17" applyNumberFormat="1" applyFont="1" applyBorder="1"/>
    <xf numFmtId="9" fontId="29" fillId="0" borderId="0" xfId="17" applyNumberFormat="1" applyFont="1" applyBorder="1"/>
    <xf numFmtId="9" fontId="29" fillId="0" borderId="8" xfId="17" applyNumberFormat="1" applyFont="1" applyFill="1" applyBorder="1"/>
    <xf numFmtId="9" fontId="29" fillId="0" borderId="0" xfId="17" applyNumberFormat="1" applyFont="1" applyFill="1" applyBorder="1"/>
    <xf numFmtId="9" fontId="29" fillId="0" borderId="9" xfId="17" applyNumberFormat="1" applyFont="1" applyBorder="1"/>
    <xf numFmtId="9" fontId="36" fillId="4" borderId="0" xfId="17" applyNumberFormat="1" applyFont="1" applyFill="1" applyBorder="1"/>
    <xf numFmtId="9" fontId="36" fillId="5" borderId="0" xfId="17" applyNumberFormat="1" applyFont="1" applyFill="1" applyBorder="1"/>
    <xf numFmtId="9" fontId="29" fillId="5" borderId="0" xfId="17" applyNumberFormat="1" applyFont="1" applyFill="1" applyBorder="1"/>
    <xf numFmtId="9" fontId="29" fillId="4" borderId="0" xfId="17" applyNumberFormat="1" applyFont="1" applyFill="1" applyBorder="1"/>
    <xf numFmtId="9" fontId="29" fillId="4" borderId="0" xfId="0" applyNumberFormat="1" applyFont="1" applyFill="1" applyBorder="1"/>
    <xf numFmtId="182" fontId="31" fillId="0" borderId="9" xfId="17" applyNumberFormat="1" applyFont="1" applyBorder="1"/>
    <xf numFmtId="182" fontId="31" fillId="0" borderId="0" xfId="17" applyNumberFormat="1" applyFont="1" applyBorder="1"/>
    <xf numFmtId="182" fontId="31" fillId="0" borderId="0" xfId="10" applyNumberFormat="1" applyFont="1" applyFill="1" applyBorder="1"/>
    <xf numFmtId="182" fontId="31" fillId="0" borderId="8" xfId="10" applyNumberFormat="1" applyFont="1" applyFill="1" applyBorder="1"/>
    <xf numFmtId="182" fontId="31" fillId="0" borderId="9" xfId="10" applyNumberFormat="1" applyFont="1" applyFill="1" applyBorder="1"/>
    <xf numFmtId="193" fontId="19" fillId="3" borderId="0" xfId="27" applyNumberFormat="1" applyFont="1" applyFill="1" applyAlignment="1"/>
    <xf numFmtId="182" fontId="31" fillId="0" borderId="17" xfId="10" applyNumberFormat="1" applyFont="1" applyFill="1" applyBorder="1"/>
    <xf numFmtId="182" fontId="31" fillId="0" borderId="18" xfId="10" applyNumberFormat="1" applyFont="1" applyFill="1" applyBorder="1"/>
    <xf numFmtId="182" fontId="31" fillId="0" borderId="22" xfId="10" applyNumberFormat="1" applyFont="1" applyFill="1" applyBorder="1"/>
    <xf numFmtId="179" fontId="29" fillId="0" borderId="0" xfId="21" applyNumberFormat="1" applyFont="1" applyFill="1"/>
    <xf numFmtId="179" fontId="31" fillId="0" borderId="8" xfId="21" applyNumberFormat="1" applyFont="1" applyFill="1" applyBorder="1"/>
    <xf numFmtId="3" fontId="43" fillId="4" borderId="0" xfId="18" applyNumberFormat="1" applyFont="1" applyFill="1" applyBorder="1" applyAlignment="1">
      <alignment horizontal="left" vertical="center" indent="1"/>
    </xf>
    <xf numFmtId="3" fontId="43" fillId="0" borderId="8" xfId="10" applyNumberFormat="1" applyFont="1" applyBorder="1"/>
    <xf numFmtId="3" fontId="43" fillId="0" borderId="0" xfId="10" applyNumberFormat="1" applyFont="1"/>
    <xf numFmtId="3" fontId="43" fillId="0" borderId="0" xfId="10" applyNumberFormat="1" applyFont="1" applyFill="1"/>
    <xf numFmtId="3" fontId="43" fillId="0" borderId="0" xfId="10" applyNumberFormat="1" applyFont="1" applyFill="1" applyBorder="1"/>
    <xf numFmtId="3" fontId="43" fillId="0" borderId="8" xfId="10" applyNumberFormat="1" applyFont="1" applyFill="1" applyBorder="1"/>
    <xf numFmtId="3" fontId="43" fillId="0" borderId="9" xfId="10" applyNumberFormat="1" applyFont="1" applyFill="1" applyBorder="1"/>
    <xf numFmtId="3" fontId="43" fillId="4" borderId="0" xfId="17" applyNumberFormat="1" applyFont="1" applyFill="1" applyBorder="1"/>
    <xf numFmtId="3" fontId="43" fillId="5" borderId="0" xfId="17" applyNumberFormat="1" applyFont="1" applyFill="1" applyBorder="1"/>
    <xf numFmtId="3" fontId="43" fillId="4" borderId="0" xfId="0" applyNumberFormat="1" applyFont="1" applyFill="1"/>
    <xf numFmtId="182" fontId="31" fillId="4" borderId="8" xfId="10" applyNumberFormat="1" applyFont="1" applyFill="1" applyBorder="1"/>
    <xf numFmtId="182" fontId="31" fillId="4" borderId="0" xfId="10" applyNumberFormat="1" applyFont="1" applyFill="1" applyBorder="1"/>
    <xf numFmtId="182" fontId="31" fillId="4" borderId="9" xfId="10" applyNumberFormat="1" applyFont="1" applyFill="1" applyBorder="1"/>
    <xf numFmtId="182" fontId="32" fillId="4" borderId="8" xfId="10" applyNumberFormat="1" applyFont="1" applyFill="1" applyBorder="1"/>
    <xf numFmtId="182" fontId="32" fillId="4" borderId="0" xfId="10" applyNumberFormat="1" applyFont="1" applyFill="1" applyBorder="1"/>
    <xf numFmtId="167" fontId="46" fillId="0" borderId="0" xfId="10" applyNumberFormat="1" applyFont="1"/>
    <xf numFmtId="167" fontId="46" fillId="0" borderId="8" xfId="10" applyNumberFormat="1" applyFont="1" applyFill="1" applyBorder="1"/>
    <xf numFmtId="167" fontId="46" fillId="0" borderId="8" xfId="10" applyNumberFormat="1" applyFont="1" applyBorder="1"/>
    <xf numFmtId="167" fontId="46" fillId="0" borderId="0" xfId="10" applyNumberFormat="1" applyFont="1" applyBorder="1"/>
    <xf numFmtId="167" fontId="46" fillId="0" borderId="9" xfId="10" applyNumberFormat="1" applyFont="1" applyBorder="1"/>
    <xf numFmtId="182" fontId="29" fillId="4" borderId="0" xfId="17" applyNumberFormat="1" applyFont="1" applyFill="1" applyBorder="1" applyAlignment="1">
      <alignment horizontal="left" indent="1"/>
    </xf>
    <xf numFmtId="5" fontId="4" fillId="0" borderId="8" xfId="17" applyNumberFormat="1" applyFont="1" applyFill="1" applyBorder="1"/>
    <xf numFmtId="167" fontId="28" fillId="4" borderId="0" xfId="27" applyNumberFormat="1" applyFont="1" applyFill="1" applyBorder="1"/>
    <xf numFmtId="7" fontId="4" fillId="4" borderId="8" xfId="17" applyNumberFormat="1" applyFont="1" applyFill="1" applyBorder="1"/>
    <xf numFmtId="7" fontId="4" fillId="4" borderId="0" xfId="17" applyNumberFormat="1" applyFont="1" applyFill="1" applyBorder="1"/>
    <xf numFmtId="182" fontId="32" fillId="4" borderId="0" xfId="17" applyNumberFormat="1" applyFont="1" applyFill="1" applyBorder="1"/>
    <xf numFmtId="167" fontId="29" fillId="4" borderId="8" xfId="17" applyNumberFormat="1" applyFont="1" applyFill="1" applyBorder="1"/>
    <xf numFmtId="167" fontId="29" fillId="4" borderId="0" xfId="17" applyNumberFormat="1" applyFont="1" applyFill="1" applyBorder="1"/>
    <xf numFmtId="167" fontId="29" fillId="4" borderId="9" xfId="17" applyNumberFormat="1" applyFont="1" applyFill="1" applyBorder="1"/>
    <xf numFmtId="167" fontId="36" fillId="5" borderId="0" xfId="17" applyNumberFormat="1" applyFont="1" applyFill="1" applyBorder="1"/>
    <xf numFmtId="167" fontId="29" fillId="3" borderId="0" xfId="17" applyNumberFormat="1" applyFont="1" applyFill="1" applyBorder="1"/>
    <xf numFmtId="167" fontId="29" fillId="5" borderId="0" xfId="17" applyNumberFormat="1" applyFont="1" applyFill="1" applyBorder="1"/>
    <xf numFmtId="167" fontId="29" fillId="4" borderId="0" xfId="0" applyNumberFormat="1" applyFont="1" applyFill="1" applyBorder="1"/>
    <xf numFmtId="167" fontId="4" fillId="4" borderId="0" xfId="27" applyNumberFormat="1" applyFont="1" applyFill="1" applyBorder="1" applyAlignment="1"/>
    <xf numFmtId="9" fontId="24" fillId="0" borderId="0" xfId="21" applyFont="1" applyFill="1" applyBorder="1" applyAlignment="1">
      <alignment horizontal="left" indent="2"/>
    </xf>
    <xf numFmtId="9" fontId="24" fillId="0" borderId="8" xfId="21" applyFont="1" applyBorder="1"/>
    <xf numFmtId="9" fontId="24" fillId="0" borderId="0" xfId="21" applyFont="1" applyBorder="1"/>
    <xf numFmtId="9" fontId="24" fillId="0" borderId="8" xfId="21" applyFont="1" applyFill="1" applyBorder="1"/>
    <xf numFmtId="9" fontId="24" fillId="0" borderId="0" xfId="21" applyFont="1" applyFill="1" applyBorder="1"/>
    <xf numFmtId="9" fontId="24" fillId="0" borderId="9" xfId="21" applyFont="1" applyBorder="1"/>
    <xf numFmtId="9" fontId="47" fillId="4" borderId="0" xfId="21" applyFont="1" applyFill="1" applyBorder="1"/>
    <xf numFmtId="9" fontId="47" fillId="5" borderId="0" xfId="21" applyFont="1" applyFill="1" applyBorder="1"/>
    <xf numFmtId="9" fontId="24" fillId="5" borderId="0" xfId="21" applyFont="1" applyFill="1" applyBorder="1"/>
    <xf numFmtId="9" fontId="24" fillId="4" borderId="0" xfId="21" applyFont="1" applyFill="1" applyBorder="1"/>
    <xf numFmtId="182" fontId="31" fillId="0" borderId="9" xfId="10" applyNumberFormat="1" applyFont="1" applyBorder="1"/>
    <xf numFmtId="182" fontId="31" fillId="0" borderId="0" xfId="10" applyNumberFormat="1" applyFont="1" applyBorder="1"/>
    <xf numFmtId="167" fontId="29" fillId="3" borderId="8" xfId="17" applyNumberFormat="1" applyFont="1" applyFill="1" applyBorder="1"/>
    <xf numFmtId="167" fontId="29" fillId="3" borderId="9" xfId="17" applyNumberFormat="1" applyFont="1" applyFill="1" applyBorder="1"/>
    <xf numFmtId="182" fontId="29" fillId="4" borderId="17" xfId="10" applyNumberFormat="1" applyFont="1" applyFill="1" applyBorder="1"/>
    <xf numFmtId="182" fontId="29" fillId="4" borderId="18" xfId="10" applyNumberFormat="1" applyFont="1" applyFill="1" applyBorder="1"/>
    <xf numFmtId="167" fontId="41" fillId="4" borderId="4" xfId="27" applyNumberFormat="1" applyFont="1" applyFill="1" applyBorder="1"/>
    <xf numFmtId="5" fontId="38" fillId="4" borderId="12" xfId="17" applyNumberFormat="1" applyFont="1" applyFill="1" applyBorder="1"/>
    <xf numFmtId="5" fontId="38" fillId="4" borderId="4" xfId="17" applyNumberFormat="1" applyFont="1" applyFill="1" applyBorder="1"/>
    <xf numFmtId="182" fontId="32" fillId="0" borderId="8" xfId="10" applyNumberFormat="1" applyFont="1" applyBorder="1"/>
    <xf numFmtId="182" fontId="32" fillId="0" borderId="0" xfId="10" applyNumberFormat="1" applyFont="1" applyBorder="1"/>
    <xf numFmtId="182" fontId="32" fillId="0" borderId="9" xfId="10" applyNumberFormat="1" applyFont="1" applyBorder="1"/>
    <xf numFmtId="182" fontId="32" fillId="4" borderId="0" xfId="17" applyNumberFormat="1" applyFont="1" applyFill="1"/>
    <xf numFmtId="182" fontId="32" fillId="5" borderId="0" xfId="17" applyNumberFormat="1" applyFont="1" applyFill="1"/>
    <xf numFmtId="182" fontId="32" fillId="4" borderId="0" xfId="0" applyNumberFormat="1" applyFont="1" applyFill="1"/>
    <xf numFmtId="182" fontId="32" fillId="0" borderId="8" xfId="17" applyNumberFormat="1" applyFont="1" applyBorder="1"/>
    <xf numFmtId="182" fontId="32" fillId="0" borderId="0" xfId="17" applyNumberFormat="1" applyFont="1" applyBorder="1"/>
    <xf numFmtId="182" fontId="32" fillId="0" borderId="9" xfId="17" applyNumberFormat="1" applyFont="1" applyBorder="1"/>
    <xf numFmtId="182" fontId="4" fillId="4" borderId="8" xfId="17" applyNumberFormat="1" applyFont="1" applyFill="1" applyBorder="1"/>
    <xf numFmtId="182" fontId="4" fillId="4" borderId="0" xfId="17" applyNumberFormat="1" applyFont="1" applyFill="1" applyBorder="1"/>
    <xf numFmtId="0" fontId="4" fillId="3" borderId="0" xfId="17" applyFont="1" applyFill="1" applyBorder="1"/>
    <xf numFmtId="0" fontId="4" fillId="3" borderId="0" xfId="0" applyFont="1" applyFill="1"/>
    <xf numFmtId="0" fontId="4" fillId="3" borderId="0" xfId="17" applyFont="1" applyFill="1" applyAlignment="1">
      <alignment horizontal="center"/>
    </xf>
    <xf numFmtId="0" fontId="4" fillId="3" borderId="0" xfId="0" applyFont="1" applyFill="1" applyAlignment="1">
      <alignment horizontal="right"/>
    </xf>
    <xf numFmtId="9" fontId="4" fillId="0" borderId="0" xfId="19" applyNumberFormat="1" applyFont="1" applyFill="1" applyBorder="1" applyAlignment="1" applyProtection="1">
      <alignment horizontal="left" indent="3"/>
      <protection locked="0"/>
    </xf>
    <xf numFmtId="5" fontId="19" fillId="0" borderId="17" xfId="17" applyNumberFormat="1" applyFont="1" applyBorder="1"/>
    <xf numFmtId="5" fontId="19" fillId="0" borderId="18" xfId="17" applyNumberFormat="1" applyFont="1" applyBorder="1"/>
    <xf numFmtId="5" fontId="19" fillId="0" borderId="17" xfId="17" applyNumberFormat="1" applyFont="1" applyFill="1" applyBorder="1"/>
    <xf numFmtId="5" fontId="19" fillId="0" borderId="22" xfId="17" applyNumberFormat="1" applyFont="1" applyBorder="1"/>
    <xf numFmtId="5" fontId="4" fillId="0" borderId="8" xfId="17" applyNumberFormat="1" applyFont="1" applyBorder="1"/>
    <xf numFmtId="5" fontId="4" fillId="0" borderId="0" xfId="17" applyNumberFormat="1" applyFont="1" applyBorder="1"/>
    <xf numFmtId="5" fontId="4" fillId="0" borderId="0" xfId="17" applyNumberFormat="1" applyFont="1" applyFill="1" applyBorder="1"/>
    <xf numFmtId="5" fontId="4" fillId="0" borderId="9" xfId="17" applyNumberFormat="1" applyFont="1" applyBorder="1"/>
    <xf numFmtId="0" fontId="4" fillId="0" borderId="0" xfId="0" applyFont="1" applyBorder="1" applyAlignment="1">
      <alignment horizontal="left" indent="3"/>
    </xf>
    <xf numFmtId="5" fontId="4" fillId="0" borderId="5" xfId="17" applyNumberFormat="1" applyFont="1" applyBorder="1"/>
    <xf numFmtId="0" fontId="37" fillId="6" borderId="0" xfId="17" applyFont="1" applyFill="1" applyBorder="1"/>
    <xf numFmtId="0" fontId="36" fillId="4" borderId="0" xfId="0" applyFont="1" applyFill="1" applyBorder="1"/>
    <xf numFmtId="0" fontId="19" fillId="0" borderId="17" xfId="0" applyFont="1" applyBorder="1" applyAlignment="1">
      <alignment horizontal="left" indent="1"/>
    </xf>
    <xf numFmtId="9" fontId="4" fillId="0" borderId="0" xfId="19" applyNumberFormat="1" applyFont="1" applyFill="1" applyBorder="1" applyAlignment="1" applyProtection="1">
      <alignment horizontal="left" indent="5"/>
      <protection locked="0"/>
    </xf>
    <xf numFmtId="182" fontId="4" fillId="0" borderId="8" xfId="17" applyNumberFormat="1" applyFont="1" applyBorder="1"/>
    <xf numFmtId="182" fontId="4" fillId="0" borderId="0" xfId="17" applyNumberFormat="1" applyFont="1" applyBorder="1"/>
    <xf numFmtId="9" fontId="4" fillId="0" borderId="5" xfId="19" applyNumberFormat="1" applyFont="1" applyFill="1" applyBorder="1" applyAlignment="1" applyProtection="1">
      <alignment horizontal="left" indent="6"/>
      <protection locked="0"/>
    </xf>
    <xf numFmtId="9" fontId="4" fillId="0" borderId="8" xfId="17" applyNumberFormat="1" applyFont="1" applyBorder="1"/>
    <xf numFmtId="9" fontId="4" fillId="0" borderId="0" xfId="17" applyNumberFormat="1" applyFont="1" applyBorder="1"/>
    <xf numFmtId="9" fontId="4" fillId="0" borderId="9" xfId="17" applyNumberFormat="1" applyFont="1" applyBorder="1"/>
    <xf numFmtId="9" fontId="21" fillId="4" borderId="0" xfId="17" applyNumberFormat="1" applyFont="1" applyFill="1"/>
    <xf numFmtId="9" fontId="21" fillId="5" borderId="0" xfId="17" applyNumberFormat="1" applyFont="1" applyFill="1"/>
    <xf numFmtId="9" fontId="4" fillId="5" borderId="0" xfId="17" applyNumberFormat="1" applyFont="1" applyFill="1"/>
    <xf numFmtId="9" fontId="4" fillId="4" borderId="0" xfId="17" applyNumberFormat="1" applyFont="1" applyFill="1"/>
    <xf numFmtId="9" fontId="4" fillId="4" borderId="0" xfId="0" applyNumberFormat="1" applyFont="1" applyFill="1"/>
    <xf numFmtId="9" fontId="4" fillId="4" borderId="5" xfId="19" applyNumberFormat="1" applyFont="1" applyFill="1" applyBorder="1" applyAlignment="1" applyProtection="1">
      <alignment horizontal="left" indent="4"/>
      <protection locked="0"/>
    </xf>
    <xf numFmtId="182" fontId="4" fillId="0" borderId="0" xfId="19" applyNumberFormat="1" applyFont="1" applyFill="1" applyBorder="1" applyAlignment="1" applyProtection="1">
      <alignment horizontal="left" indent="4"/>
      <protection locked="0"/>
    </xf>
    <xf numFmtId="182" fontId="4" fillId="4" borderId="9" xfId="17" applyNumberFormat="1" applyFont="1" applyFill="1" applyBorder="1"/>
    <xf numFmtId="182" fontId="21" fillId="4" borderId="0" xfId="17" applyNumberFormat="1" applyFont="1" applyFill="1"/>
    <xf numFmtId="182" fontId="21" fillId="5" borderId="0" xfId="17" applyNumberFormat="1" applyFont="1" applyFill="1"/>
    <xf numFmtId="182" fontId="4" fillId="5" borderId="0" xfId="17" applyNumberFormat="1" applyFont="1" applyFill="1"/>
    <xf numFmtId="182" fontId="4" fillId="4" borderId="0" xfId="17" applyNumberFormat="1" applyFont="1" applyFill="1"/>
    <xf numFmtId="182" fontId="4" fillId="4" borderId="0" xfId="0" applyNumberFormat="1" applyFont="1" applyFill="1"/>
    <xf numFmtId="182" fontId="32" fillId="0" borderId="0" xfId="17" applyNumberFormat="1" applyFont="1" applyFill="1" applyBorder="1" applyAlignment="1">
      <alignment horizontal="left" indent="3"/>
    </xf>
    <xf numFmtId="182" fontId="31" fillId="0" borderId="8" xfId="10" applyNumberFormat="1" applyFont="1" applyBorder="1"/>
    <xf numFmtId="182" fontId="31" fillId="0" borderId="0" xfId="17" applyNumberFormat="1" applyFont="1" applyFill="1" applyBorder="1"/>
    <xf numFmtId="182" fontId="31" fillId="0" borderId="8" xfId="17" applyNumberFormat="1" applyFont="1" applyFill="1" applyBorder="1"/>
    <xf numFmtId="182" fontId="31" fillId="0" borderId="9" xfId="17" applyNumberFormat="1" applyFont="1" applyFill="1" applyBorder="1"/>
    <xf numFmtId="5" fontId="29" fillId="4" borderId="8" xfId="17" applyNumberFormat="1" applyFont="1" applyFill="1" applyBorder="1"/>
    <xf numFmtId="5" fontId="29" fillId="4" borderId="9" xfId="17" applyNumberFormat="1" applyFont="1" applyFill="1" applyBorder="1"/>
    <xf numFmtId="5" fontId="29" fillId="5" borderId="0" xfId="17" applyNumberFormat="1" applyFont="1" applyFill="1"/>
    <xf numFmtId="5" fontId="29" fillId="4" borderId="0" xfId="17" applyNumberFormat="1" applyFont="1" applyFill="1"/>
    <xf numFmtId="5" fontId="29" fillId="4" borderId="0" xfId="0" applyNumberFormat="1" applyFont="1" applyFill="1"/>
    <xf numFmtId="9" fontId="29" fillId="4" borderId="0" xfId="19" applyNumberFormat="1" applyFont="1" applyFill="1" applyBorder="1" applyAlignment="1" applyProtection="1">
      <alignment horizontal="left" indent="1"/>
      <protection locked="0"/>
    </xf>
    <xf numFmtId="37" fontId="29" fillId="4" borderId="0" xfId="17" applyNumberFormat="1" applyFont="1" applyFill="1" applyBorder="1"/>
    <xf numFmtId="37" fontId="29" fillId="4" borderId="8" xfId="17" applyNumberFormat="1" applyFont="1" applyFill="1" applyBorder="1"/>
    <xf numFmtId="9" fontId="29" fillId="4" borderId="8" xfId="17" applyNumberFormat="1" applyFont="1" applyFill="1" applyBorder="1"/>
    <xf numFmtId="37" fontId="29" fillId="5" borderId="0" xfId="17" applyNumberFormat="1" applyFont="1" applyFill="1"/>
    <xf numFmtId="37" fontId="29" fillId="4" borderId="0" xfId="17" applyNumberFormat="1" applyFont="1" applyFill="1"/>
    <xf numFmtId="37" fontId="29" fillId="4" borderId="0" xfId="0" applyNumberFormat="1" applyFont="1" applyFill="1"/>
    <xf numFmtId="5" fontId="29" fillId="4" borderId="6" xfId="17" applyNumberFormat="1" applyFont="1" applyFill="1" applyBorder="1"/>
    <xf numFmtId="9" fontId="36" fillId="4" borderId="0" xfId="17" applyNumberFormat="1" applyFont="1" applyFill="1"/>
    <xf numFmtId="9" fontId="36" fillId="5" borderId="0" xfId="17" applyNumberFormat="1" applyFont="1" applyFill="1"/>
    <xf numFmtId="9" fontId="29" fillId="5" borderId="0" xfId="17" applyNumberFormat="1" applyFont="1" applyFill="1"/>
    <xf numFmtId="9" fontId="29" fillId="4" borderId="0" xfId="17" applyNumberFormat="1" applyFont="1" applyFill="1"/>
    <xf numFmtId="9" fontId="29" fillId="4" borderId="0" xfId="0" applyNumberFormat="1" applyFont="1" applyFill="1"/>
    <xf numFmtId="37" fontId="29" fillId="4" borderId="18" xfId="17" applyNumberFormat="1" applyFont="1" applyFill="1" applyBorder="1"/>
    <xf numFmtId="37" fontId="29" fillId="4" borderId="17" xfId="17" applyNumberFormat="1" applyFont="1" applyFill="1" applyBorder="1"/>
    <xf numFmtId="37" fontId="29" fillId="4" borderId="22" xfId="17" applyNumberFormat="1" applyFont="1" applyFill="1" applyBorder="1"/>
    <xf numFmtId="37" fontId="29" fillId="4" borderId="9" xfId="17" applyNumberFormat="1" applyFont="1" applyFill="1" applyBorder="1"/>
    <xf numFmtId="5" fontId="29" fillId="4" borderId="4" xfId="17" applyNumberFormat="1" applyFont="1" applyFill="1" applyBorder="1"/>
    <xf numFmtId="5" fontId="29" fillId="4" borderId="12" xfId="17" applyNumberFormat="1" applyFont="1" applyFill="1" applyBorder="1"/>
    <xf numFmtId="5" fontId="19" fillId="4" borderId="17" xfId="19" applyNumberFormat="1" applyFont="1" applyFill="1" applyBorder="1" applyAlignment="1" applyProtection="1">
      <alignment horizontal="left"/>
      <protection locked="0"/>
    </xf>
    <xf numFmtId="5" fontId="29" fillId="4" borderId="18" xfId="17" applyNumberFormat="1" applyFont="1" applyFill="1" applyBorder="1"/>
    <xf numFmtId="5" fontId="29" fillId="4" borderId="17" xfId="17" applyNumberFormat="1" applyFont="1" applyFill="1" applyBorder="1"/>
    <xf numFmtId="5" fontId="29" fillId="4" borderId="22" xfId="17" applyNumberFormat="1" applyFont="1" applyFill="1" applyBorder="1"/>
    <xf numFmtId="169" fontId="29" fillId="4" borderId="0" xfId="17" applyNumberFormat="1" applyFont="1" applyFill="1" applyBorder="1"/>
    <xf numFmtId="176" fontId="4" fillId="4" borderId="23" xfId="17" applyNumberFormat="1" applyFont="1" applyFill="1" applyBorder="1"/>
    <xf numFmtId="5" fontId="4" fillId="0" borderId="0" xfId="19" applyNumberFormat="1" applyFont="1" applyFill="1" applyBorder="1" applyAlignment="1" applyProtection="1">
      <alignment horizontal="left" indent="4"/>
      <protection locked="0"/>
    </xf>
    <xf numFmtId="5" fontId="4" fillId="4" borderId="8" xfId="17" applyNumberFormat="1" applyFont="1" applyFill="1" applyBorder="1"/>
    <xf numFmtId="5" fontId="4" fillId="4" borderId="0" xfId="17" applyNumberFormat="1" applyFont="1" applyFill="1" applyBorder="1"/>
    <xf numFmtId="5" fontId="4" fillId="4" borderId="9" xfId="17" applyNumberFormat="1" applyFont="1" applyFill="1" applyBorder="1"/>
    <xf numFmtId="5" fontId="21" fillId="4" borderId="0" xfId="17" applyNumberFormat="1" applyFont="1" applyFill="1"/>
    <xf numFmtId="5" fontId="21" fillId="5" borderId="0" xfId="17" applyNumberFormat="1" applyFont="1" applyFill="1"/>
    <xf numFmtId="5" fontId="4" fillId="5" borderId="0" xfId="17" applyNumberFormat="1" applyFont="1" applyFill="1"/>
    <xf numFmtId="5" fontId="4" fillId="4" borderId="0" xfId="17" applyNumberFormat="1" applyFont="1" applyFill="1"/>
    <xf numFmtId="5" fontId="4" fillId="4" borderId="0" xfId="0" applyNumberFormat="1" applyFont="1" applyFill="1"/>
    <xf numFmtId="9" fontId="4" fillId="0" borderId="5" xfId="19" applyNumberFormat="1" applyFont="1" applyFill="1" applyBorder="1" applyAlignment="1" applyProtection="1">
      <alignment horizontal="left" indent="5"/>
      <protection locked="0"/>
    </xf>
    <xf numFmtId="9" fontId="4" fillId="4" borderId="8" xfId="17" applyNumberFormat="1" applyFont="1" applyFill="1" applyBorder="1"/>
    <xf numFmtId="9" fontId="4" fillId="4" borderId="0" xfId="17" applyNumberFormat="1" applyFont="1" applyFill="1" applyBorder="1"/>
    <xf numFmtId="5" fontId="4" fillId="0" borderId="9" xfId="17" applyNumberFormat="1" applyFont="1" applyFill="1" applyBorder="1"/>
    <xf numFmtId="176" fontId="4" fillId="0" borderId="8" xfId="17" applyNumberFormat="1" applyFont="1" applyFill="1" applyBorder="1"/>
    <xf numFmtId="176" fontId="4" fillId="0" borderId="9" xfId="17" applyNumberFormat="1" applyFont="1" applyFill="1" applyBorder="1"/>
    <xf numFmtId="176" fontId="4" fillId="0" borderId="0" xfId="17" applyNumberFormat="1" applyFont="1" applyFill="1" applyBorder="1"/>
    <xf numFmtId="9" fontId="31" fillId="4" borderId="8" xfId="17" applyNumberFormat="1" applyFont="1" applyFill="1" applyBorder="1"/>
    <xf numFmtId="9" fontId="31" fillId="4" borderId="0" xfId="17" applyNumberFormat="1" applyFont="1" applyFill="1" applyBorder="1"/>
    <xf numFmtId="9" fontId="31" fillId="4" borderId="9" xfId="17" applyNumberFormat="1" applyFont="1" applyFill="1" applyBorder="1"/>
    <xf numFmtId="5" fontId="4" fillId="0" borderId="0" xfId="19" applyNumberFormat="1" applyFont="1" applyFill="1" applyBorder="1" applyAlignment="1" applyProtection="1">
      <alignment horizontal="left" indent="3"/>
      <protection locked="0"/>
    </xf>
    <xf numFmtId="9" fontId="4" fillId="0" borderId="5" xfId="19" applyNumberFormat="1" applyFont="1" applyFill="1" applyBorder="1" applyAlignment="1" applyProtection="1">
      <alignment horizontal="left" indent="4"/>
      <protection locked="0"/>
    </xf>
    <xf numFmtId="9" fontId="29" fillId="4" borderId="9" xfId="17" applyNumberFormat="1" applyFont="1" applyFill="1" applyBorder="1"/>
    <xf numFmtId="0" fontId="19" fillId="3" borderId="24" xfId="17" applyFont="1" applyFill="1" applyBorder="1"/>
    <xf numFmtId="176" fontId="19" fillId="3" borderId="5" xfId="17" applyNumberFormat="1" applyFont="1" applyFill="1" applyBorder="1"/>
    <xf numFmtId="176" fontId="24" fillId="4" borderId="0" xfId="17" applyNumberFormat="1" applyFont="1" applyFill="1" applyBorder="1"/>
    <xf numFmtId="0" fontId="4" fillId="5" borderId="0" xfId="17" applyFont="1" applyFill="1" applyBorder="1"/>
    <xf numFmtId="0" fontId="4" fillId="4" borderId="0" xfId="17" applyFont="1" applyFill="1" applyBorder="1"/>
    <xf numFmtId="0" fontId="4" fillId="4" borderId="0" xfId="0" applyFont="1" applyFill="1" applyBorder="1"/>
    <xf numFmtId="192" fontId="4" fillId="4" borderId="0" xfId="27" applyNumberFormat="1" applyFont="1" applyFill="1" applyBorder="1" applyAlignment="1">
      <alignment horizontal="left" indent="2"/>
    </xf>
    <xf numFmtId="192" fontId="4" fillId="4" borderId="5" xfId="17" applyNumberFormat="1" applyFont="1" applyFill="1" applyBorder="1"/>
    <xf numFmtId="192" fontId="23" fillId="4" borderId="0" xfId="17" applyNumberFormat="1" applyFont="1" applyFill="1" applyBorder="1"/>
    <xf numFmtId="192" fontId="4" fillId="5" borderId="0" xfId="17" applyNumberFormat="1" applyFont="1" applyFill="1" applyBorder="1"/>
    <xf numFmtId="192" fontId="4" fillId="4" borderId="0" xfId="0" applyNumberFormat="1" applyFont="1" applyFill="1" applyBorder="1"/>
    <xf numFmtId="0" fontId="19" fillId="4" borderId="0" xfId="17" applyFont="1" applyFill="1" applyBorder="1"/>
    <xf numFmtId="5" fontId="19" fillId="4" borderId="5" xfId="17" applyNumberFormat="1" applyFont="1" applyFill="1" applyBorder="1"/>
    <xf numFmtId="177" fontId="4" fillId="4" borderId="0" xfId="17" applyNumberFormat="1" applyFont="1" applyFill="1" applyBorder="1"/>
    <xf numFmtId="176" fontId="4" fillId="4" borderId="5" xfId="17" applyNumberFormat="1" applyFont="1" applyFill="1" applyBorder="1"/>
    <xf numFmtId="5" fontId="4" fillId="3" borderId="0" xfId="17" applyNumberFormat="1" applyFont="1" applyFill="1" applyBorder="1"/>
    <xf numFmtId="5" fontId="23" fillId="4" borderId="0" xfId="17" applyNumberFormat="1" applyFont="1" applyFill="1" applyBorder="1"/>
    <xf numFmtId="5" fontId="4" fillId="5" borderId="0" xfId="17" applyNumberFormat="1" applyFont="1" applyFill="1" applyBorder="1"/>
    <xf numFmtId="5" fontId="4" fillId="4" borderId="0" xfId="0" applyNumberFormat="1" applyFont="1" applyFill="1" applyBorder="1"/>
    <xf numFmtId="182" fontId="43" fillId="0" borderId="0" xfId="10" applyNumberFormat="1" applyFont="1" applyFill="1"/>
    <xf numFmtId="0" fontId="2" fillId="3" borderId="0" xfId="17" applyFont="1" applyFill="1" applyAlignment="1">
      <alignment horizontal="left"/>
    </xf>
    <xf numFmtId="0" fontId="2" fillId="5" borderId="0" xfId="17" applyFont="1" applyFill="1"/>
    <xf numFmtId="0" fontId="2" fillId="4" borderId="0" xfId="17" applyFont="1" applyFill="1"/>
    <xf numFmtId="0" fontId="2" fillId="4" borderId="0" xfId="0" applyFont="1" applyFill="1"/>
    <xf numFmtId="2" fontId="29" fillId="3" borderId="8" xfId="17" applyNumberFormat="1" applyFont="1" applyFill="1" applyBorder="1"/>
    <xf numFmtId="2" fontId="29" fillId="3" borderId="0" xfId="17" applyNumberFormat="1" applyFont="1" applyFill="1" applyBorder="1"/>
    <xf numFmtId="5" fontId="4" fillId="0" borderId="0" xfId="27" applyNumberFormat="1" applyFont="1" applyFill="1" applyAlignment="1"/>
    <xf numFmtId="5" fontId="31" fillId="0" borderId="0" xfId="17" applyNumberFormat="1" applyFont="1" applyFill="1" applyBorder="1"/>
    <xf numFmtId="5" fontId="36" fillId="0" borderId="9" xfId="17" applyNumberFormat="1" applyFont="1" applyFill="1" applyBorder="1"/>
    <xf numFmtId="5" fontId="36" fillId="5" borderId="0" xfId="17" applyNumberFormat="1" applyFont="1" applyFill="1" applyBorder="1"/>
    <xf numFmtId="5" fontId="29" fillId="5" borderId="0" xfId="17" applyNumberFormat="1" applyFont="1" applyFill="1" applyBorder="1"/>
    <xf numFmtId="5" fontId="29" fillId="0" borderId="0" xfId="0" applyNumberFormat="1" applyFont="1" applyFill="1" applyBorder="1"/>
    <xf numFmtId="7" fontId="19" fillId="0" borderId="0" xfId="17" applyNumberFormat="1" applyFont="1" applyFill="1" applyBorder="1"/>
    <xf numFmtId="0" fontId="0" fillId="0" borderId="0" xfId="0" applyFill="1"/>
    <xf numFmtId="9" fontId="32" fillId="4" borderId="0" xfId="17" applyNumberFormat="1" applyFont="1" applyFill="1"/>
    <xf numFmtId="0" fontId="19" fillId="3" borderId="0" xfId="17" applyFont="1" applyFill="1" applyAlignment="1">
      <alignment horizontal="left"/>
    </xf>
    <xf numFmtId="182" fontId="19" fillId="3" borderId="0" xfId="17" applyNumberFormat="1" applyFont="1" applyFill="1" applyAlignment="1">
      <alignment horizontal="left"/>
    </xf>
    <xf numFmtId="0" fontId="19" fillId="3" borderId="0" xfId="17" applyFont="1" applyFill="1" applyBorder="1" applyAlignment="1">
      <alignment horizontal="left"/>
    </xf>
    <xf numFmtId="182" fontId="19" fillId="3" borderId="0" xfId="17" applyNumberFormat="1" applyFont="1" applyFill="1" applyBorder="1" applyAlignment="1">
      <alignment horizontal="left"/>
    </xf>
    <xf numFmtId="5" fontId="41" fillId="4" borderId="17" xfId="27" applyNumberFormat="1" applyFont="1" applyFill="1" applyBorder="1" applyAlignment="1">
      <alignment horizontal="left"/>
    </xf>
    <xf numFmtId="182" fontId="23" fillId="4" borderId="0" xfId="21" applyNumberFormat="1" applyFont="1" applyFill="1" applyBorder="1"/>
    <xf numFmtId="182" fontId="31" fillId="0" borderId="8" xfId="10" applyNumberFormat="1" applyFont="1" applyBorder="1" applyAlignment="1">
      <alignment horizontal="right"/>
    </xf>
    <xf numFmtId="182" fontId="38" fillId="3" borderId="11" xfId="17" applyNumberFormat="1" applyFont="1" applyFill="1" applyBorder="1"/>
    <xf numFmtId="192" fontId="31" fillId="0" borderId="8" xfId="10" applyNumberFormat="1" applyFont="1" applyBorder="1"/>
    <xf numFmtId="192" fontId="20" fillId="0" borderId="8" xfId="10" applyNumberFormat="1" applyFont="1" applyBorder="1"/>
    <xf numFmtId="192" fontId="20" fillId="4" borderId="9" xfId="17" applyNumberFormat="1" applyFont="1" applyFill="1" applyBorder="1"/>
    <xf numFmtId="192" fontId="20" fillId="4" borderId="0" xfId="17" applyNumberFormat="1" applyFont="1" applyFill="1" applyBorder="1"/>
    <xf numFmtId="179" fontId="4" fillId="4" borderId="0" xfId="21" applyNumberFormat="1" applyFont="1" applyFill="1" applyBorder="1" applyAlignment="1" applyProtection="1">
      <alignment horizontal="left" indent="1"/>
      <protection locked="0"/>
    </xf>
    <xf numFmtId="179" fontId="29" fillId="0" borderId="0" xfId="21" applyNumberFormat="1" applyFont="1" applyFill="1" applyBorder="1"/>
    <xf numFmtId="179" fontId="31" fillId="0" borderId="9" xfId="10" applyNumberFormat="1" applyFont="1" applyBorder="1"/>
    <xf numFmtId="179" fontId="31" fillId="0" borderId="0" xfId="10" applyNumberFormat="1" applyFont="1" applyBorder="1"/>
    <xf numFmtId="179" fontId="29" fillId="0" borderId="8" xfId="21" applyNumberFormat="1" applyFont="1" applyBorder="1"/>
    <xf numFmtId="179" fontId="29" fillId="0" borderId="0" xfId="21" applyNumberFormat="1" applyFont="1" applyBorder="1"/>
    <xf numFmtId="179" fontId="4" fillId="0" borderId="0" xfId="21" applyNumberFormat="1" applyFont="1" applyBorder="1"/>
    <xf numFmtId="179" fontId="4" fillId="0" borderId="8" xfId="21" applyNumberFormat="1" applyFont="1" applyBorder="1"/>
    <xf numFmtId="179" fontId="20" fillId="0" borderId="8" xfId="21" applyNumberFormat="1" applyFont="1" applyBorder="1"/>
    <xf numFmtId="179" fontId="20" fillId="0" borderId="9" xfId="21" applyNumberFormat="1" applyFont="1" applyBorder="1"/>
    <xf numFmtId="179" fontId="20" fillId="0" borderId="0" xfId="21" applyNumberFormat="1" applyFont="1" applyBorder="1"/>
    <xf numFmtId="179" fontId="36" fillId="5" borderId="0" xfId="21" applyNumberFormat="1" applyFont="1" applyFill="1" applyBorder="1"/>
    <xf numFmtId="179" fontId="29" fillId="5" borderId="0" xfId="21" applyNumberFormat="1" applyFont="1" applyFill="1" applyBorder="1"/>
    <xf numFmtId="179" fontId="29" fillId="4" borderId="0" xfId="21" applyNumberFormat="1" applyFont="1" applyFill="1" applyBorder="1"/>
    <xf numFmtId="179" fontId="4" fillId="0" borderId="9" xfId="21" applyNumberFormat="1" applyFont="1" applyBorder="1"/>
    <xf numFmtId="192" fontId="4" fillId="4" borderId="0" xfId="27" applyNumberFormat="1" applyFont="1" applyFill="1" applyBorder="1" applyAlignment="1">
      <alignment horizontal="left" indent="1"/>
    </xf>
    <xf numFmtId="192" fontId="29" fillId="0" borderId="8" xfId="10" applyNumberFormat="1" applyFont="1" applyFill="1" applyBorder="1"/>
    <xf numFmtId="192" fontId="29" fillId="0" borderId="0" xfId="10" applyNumberFormat="1" applyFont="1" applyBorder="1"/>
    <xf numFmtId="192" fontId="31" fillId="0" borderId="9" xfId="10" applyNumberFormat="1" applyFont="1" applyFill="1" applyBorder="1"/>
    <xf numFmtId="192" fontId="31" fillId="0" borderId="0" xfId="10" applyNumberFormat="1" applyFont="1" applyFill="1" applyBorder="1"/>
    <xf numFmtId="192" fontId="31" fillId="0" borderId="8" xfId="10" applyNumberFormat="1" applyFont="1" applyFill="1" applyBorder="1"/>
    <xf numFmtId="192" fontId="36" fillId="4" borderId="0" xfId="17" applyNumberFormat="1" applyFont="1" applyFill="1"/>
    <xf numFmtId="192" fontId="36" fillId="5" borderId="0" xfId="17" applyNumberFormat="1" applyFont="1" applyFill="1"/>
    <xf numFmtId="192" fontId="29" fillId="5" borderId="0" xfId="17" applyNumberFormat="1" applyFont="1" applyFill="1"/>
    <xf numFmtId="192" fontId="4" fillId="4" borderId="0" xfId="17" applyNumberFormat="1" applyFont="1" applyFill="1" applyBorder="1" applyAlignment="1">
      <alignment horizontal="left" indent="1"/>
    </xf>
    <xf numFmtId="192" fontId="29" fillId="0" borderId="0" xfId="10" applyNumberFormat="1" applyFont="1" applyFill="1" applyBorder="1"/>
    <xf numFmtId="182" fontId="38" fillId="3" borderId="3" xfId="17" applyNumberFormat="1" applyFont="1" applyFill="1" applyBorder="1"/>
    <xf numFmtId="192" fontId="29" fillId="0" borderId="8" xfId="10" applyNumberFormat="1" applyFont="1" applyBorder="1"/>
    <xf numFmtId="192" fontId="31" fillId="0" borderId="9" xfId="10" applyNumberFormat="1" applyFont="1" applyBorder="1"/>
    <xf numFmtId="192" fontId="31" fillId="0" borderId="0" xfId="10" applyNumberFormat="1" applyFont="1" applyBorder="1"/>
    <xf numFmtId="169" fontId="29" fillId="4" borderId="0" xfId="17" applyNumberFormat="1" applyFont="1" applyFill="1" applyBorder="1" applyAlignment="1">
      <alignment horizontal="left" indent="1"/>
    </xf>
    <xf numFmtId="169" fontId="29" fillId="0" borderId="8" xfId="10" applyNumberFormat="1" applyFont="1" applyFill="1" applyBorder="1"/>
    <xf numFmtId="169" fontId="29" fillId="0" borderId="0" xfId="10" applyNumberFormat="1" applyFont="1" applyFill="1" applyBorder="1"/>
    <xf numFmtId="169" fontId="29" fillId="0" borderId="8" xfId="10" applyNumberFormat="1" applyFont="1" applyBorder="1"/>
    <xf numFmtId="169" fontId="31" fillId="0" borderId="8" xfId="10" applyNumberFormat="1" applyFont="1" applyFill="1" applyBorder="1"/>
    <xf numFmtId="169" fontId="31" fillId="0" borderId="9" xfId="10" applyNumberFormat="1" applyFont="1" applyFill="1" applyBorder="1"/>
    <xf numFmtId="169" fontId="31" fillId="0" borderId="0" xfId="10" applyNumberFormat="1" applyFont="1" applyFill="1" applyBorder="1"/>
    <xf numFmtId="169" fontId="36" fillId="4" borderId="0" xfId="17" applyNumberFormat="1" applyFont="1" applyFill="1" applyBorder="1"/>
    <xf numFmtId="169" fontId="36" fillId="5" borderId="0" xfId="17" applyNumberFormat="1" applyFont="1" applyFill="1" applyBorder="1"/>
    <xf numFmtId="169" fontId="29" fillId="5" borderId="0" xfId="17" applyNumberFormat="1" applyFont="1" applyFill="1" applyBorder="1"/>
    <xf numFmtId="169" fontId="29" fillId="4" borderId="0" xfId="0" applyNumberFormat="1" applyFont="1" applyFill="1" applyBorder="1"/>
    <xf numFmtId="182" fontId="4" fillId="3" borderId="0" xfId="17" applyNumberFormat="1" applyFont="1" applyFill="1" applyAlignment="1">
      <alignment horizontal="left"/>
    </xf>
    <xf numFmtId="3" fontId="29" fillId="0" borderId="8" xfId="17" applyNumberFormat="1" applyFont="1" applyBorder="1"/>
    <xf numFmtId="192" fontId="31" fillId="4" borderId="8" xfId="17" applyNumberFormat="1" applyFont="1" applyFill="1" applyBorder="1"/>
    <xf numFmtId="10" fontId="29" fillId="0" borderId="0" xfId="17" applyNumberFormat="1" applyFont="1" applyBorder="1" applyAlignment="1">
      <alignment horizontal="left" indent="1"/>
    </xf>
    <xf numFmtId="10" fontId="29" fillId="0" borderId="8" xfId="10" applyNumberFormat="1" applyFont="1" applyBorder="1"/>
    <xf numFmtId="10" fontId="29" fillId="0" borderId="0" xfId="10" applyNumberFormat="1" applyFont="1" applyFill="1" applyBorder="1"/>
    <xf numFmtId="10" fontId="29" fillId="0" borderId="8" xfId="10" applyNumberFormat="1" applyFont="1" applyFill="1" applyBorder="1"/>
    <xf numFmtId="10" fontId="31" fillId="0" borderId="0" xfId="10" applyNumberFormat="1" applyFont="1" applyFill="1" applyBorder="1"/>
    <xf numFmtId="10" fontId="31" fillId="0" borderId="8" xfId="10" applyNumberFormat="1" applyFont="1" applyFill="1" applyBorder="1"/>
    <xf numFmtId="10" fontId="31" fillId="0" borderId="9" xfId="10" applyNumberFormat="1" applyFont="1" applyFill="1" applyBorder="1"/>
    <xf numFmtId="10" fontId="29" fillId="4" borderId="0" xfId="17" applyNumberFormat="1" applyFont="1" applyFill="1" applyBorder="1"/>
    <xf numFmtId="10" fontId="29" fillId="5" borderId="0" xfId="17" applyNumberFormat="1" applyFont="1" applyFill="1" applyBorder="1"/>
    <xf numFmtId="10" fontId="29" fillId="4" borderId="0" xfId="0" applyNumberFormat="1" applyFont="1" applyFill="1" applyBorder="1"/>
    <xf numFmtId="5" fontId="19" fillId="0" borderId="29" xfId="17" applyNumberFormat="1" applyFont="1" applyBorder="1"/>
    <xf numFmtId="182" fontId="38" fillId="0" borderId="0" xfId="10" applyNumberFormat="1" applyFont="1" applyFill="1" applyBorder="1"/>
    <xf numFmtId="0" fontId="4" fillId="6" borderId="7" xfId="27" applyFont="1" applyFill="1" applyBorder="1"/>
    <xf numFmtId="182" fontId="38" fillId="0" borderId="8" xfId="10" applyNumberFormat="1" applyFont="1" applyFill="1" applyBorder="1"/>
    <xf numFmtId="169" fontId="19" fillId="4" borderId="8" xfId="10" applyNumberFormat="1" applyFont="1" applyFill="1" applyBorder="1"/>
    <xf numFmtId="7" fontId="38" fillId="0" borderId="6" xfId="17" applyNumberFormat="1" applyFont="1" applyFill="1" applyBorder="1"/>
    <xf numFmtId="182" fontId="4" fillId="0" borderId="0" xfId="17" applyNumberFormat="1" applyFont="1" applyFill="1" applyBorder="1"/>
    <xf numFmtId="182" fontId="32" fillId="4" borderId="8" xfId="17" applyNumberFormat="1" applyFont="1" applyFill="1" applyBorder="1"/>
    <xf numFmtId="165" fontId="31" fillId="4" borderId="9" xfId="10" applyNumberFormat="1" applyFont="1" applyFill="1" applyBorder="1"/>
    <xf numFmtId="179" fontId="31" fillId="4" borderId="8" xfId="21" applyNumberFormat="1" applyFont="1" applyFill="1" applyBorder="1"/>
    <xf numFmtId="200" fontId="29" fillId="0" borderId="9" xfId="17" applyNumberFormat="1" applyFont="1" applyBorder="1"/>
    <xf numFmtId="169" fontId="19" fillId="4" borderId="0" xfId="10" applyNumberFormat="1" applyFont="1" applyFill="1"/>
    <xf numFmtId="169" fontId="19" fillId="4" borderId="0" xfId="10" applyNumberFormat="1" applyFont="1" applyFill="1" applyBorder="1"/>
    <xf numFmtId="9" fontId="4" fillId="4" borderId="0" xfId="21" applyNumberFormat="1" applyFont="1" applyFill="1" applyBorder="1" applyAlignment="1" applyProtection="1">
      <alignment horizontal="left" indent="1"/>
      <protection locked="0"/>
    </xf>
    <xf numFmtId="9" fontId="29" fillId="0" borderId="8" xfId="10" applyNumberFormat="1" applyFont="1" applyFill="1" applyBorder="1"/>
    <xf numFmtId="9" fontId="29" fillId="0" borderId="0" xfId="10" applyNumberFormat="1" applyFont="1" applyFill="1" applyBorder="1"/>
    <xf numFmtId="9" fontId="31" fillId="0" borderId="0" xfId="10" applyNumberFormat="1" applyFont="1" applyFill="1" applyBorder="1"/>
    <xf numFmtId="9" fontId="31" fillId="0" borderId="8" xfId="10" applyNumberFormat="1" applyFont="1" applyFill="1" applyBorder="1"/>
    <xf numFmtId="9" fontId="31" fillId="0" borderId="9" xfId="10" applyNumberFormat="1" applyFont="1" applyFill="1" applyBorder="1"/>
    <xf numFmtId="5" fontId="4" fillId="3" borderId="0" xfId="17" applyNumberFormat="1" applyFont="1" applyFill="1" applyAlignment="1">
      <alignment horizontal="left"/>
    </xf>
    <xf numFmtId="5" fontId="19" fillId="4" borderId="4" xfId="19" applyNumberFormat="1" applyFont="1" applyFill="1" applyBorder="1" applyAlignment="1" applyProtection="1">
      <alignment horizontal="left"/>
      <protection locked="0"/>
    </xf>
    <xf numFmtId="5" fontId="31" fillId="4" borderId="4" xfId="17" applyNumberFormat="1" applyFont="1" applyFill="1" applyBorder="1"/>
    <xf numFmtId="179" fontId="29" fillId="4" borderId="9" xfId="17" applyNumberFormat="1" applyFont="1" applyFill="1" applyBorder="1"/>
    <xf numFmtId="9" fontId="29" fillId="4" borderId="0" xfId="17" applyNumberFormat="1" applyFont="1" applyFill="1" applyAlignment="1">
      <alignment horizontal="left" indent="1"/>
    </xf>
    <xf numFmtId="9" fontId="32" fillId="4" borderId="0" xfId="17" applyNumberFormat="1" applyFont="1" applyFill="1" applyBorder="1"/>
    <xf numFmtId="9" fontId="32" fillId="4" borderId="8" xfId="17" applyNumberFormat="1" applyFont="1" applyFill="1" applyBorder="1"/>
    <xf numFmtId="0" fontId="4" fillId="3" borderId="0" xfId="17" applyFont="1" applyFill="1" applyAlignment="1">
      <alignment horizontal="left"/>
    </xf>
    <xf numFmtId="182" fontId="38" fillId="4" borderId="5" xfId="17" applyNumberFormat="1" applyFont="1" applyFill="1" applyBorder="1"/>
    <xf numFmtId="182" fontId="29" fillId="0" borderId="5" xfId="17" applyNumberFormat="1" applyFont="1" applyFill="1" applyBorder="1"/>
    <xf numFmtId="182" fontId="32" fillId="0" borderId="5" xfId="10" applyNumberFormat="1" applyFont="1" applyBorder="1"/>
    <xf numFmtId="182" fontId="29" fillId="3" borderId="5" xfId="17" applyNumberFormat="1" applyFont="1" applyFill="1" applyBorder="1"/>
    <xf numFmtId="182" fontId="32" fillId="0" borderId="5" xfId="10" applyNumberFormat="1" applyFont="1" applyFill="1" applyBorder="1"/>
    <xf numFmtId="182" fontId="29" fillId="0" borderId="5" xfId="10" applyNumberFormat="1" applyFont="1" applyBorder="1"/>
    <xf numFmtId="182" fontId="29" fillId="0" borderId="5" xfId="10" applyNumberFormat="1" applyFont="1" applyFill="1" applyBorder="1"/>
    <xf numFmtId="37" fontId="29" fillId="4" borderId="0" xfId="19" applyNumberFormat="1" applyFont="1" applyFill="1" applyBorder="1" applyAlignment="1" applyProtection="1">
      <alignment horizontal="left" indent="2"/>
      <protection locked="0"/>
    </xf>
    <xf numFmtId="9" fontId="19" fillId="4" borderId="0" xfId="19" applyNumberFormat="1" applyFont="1" applyFill="1" applyBorder="1" applyAlignment="1" applyProtection="1">
      <alignment horizontal="left"/>
      <protection locked="0"/>
    </xf>
    <xf numFmtId="37" fontId="4" fillId="4" borderId="17" xfId="19" applyNumberFormat="1" applyFont="1" applyFill="1" applyBorder="1" applyAlignment="1" applyProtection="1">
      <alignment horizontal="left" indent="1"/>
      <protection locked="0"/>
    </xf>
    <xf numFmtId="179" fontId="29" fillId="4" borderId="0" xfId="19" applyNumberFormat="1" applyFont="1" applyFill="1" applyBorder="1" applyAlignment="1" applyProtection="1">
      <alignment horizontal="left" indent="1"/>
      <protection locked="0"/>
    </xf>
    <xf numFmtId="179" fontId="36" fillId="4" borderId="0" xfId="17" applyNumberFormat="1" applyFont="1" applyFill="1"/>
    <xf numFmtId="179" fontId="36" fillId="5" borderId="0" xfId="17" applyNumberFormat="1" applyFont="1" applyFill="1"/>
    <xf numFmtId="179" fontId="29" fillId="5" borderId="0" xfId="17" applyNumberFormat="1" applyFont="1" applyFill="1"/>
    <xf numFmtId="179" fontId="29" fillId="4" borderId="0" xfId="17" applyNumberFormat="1" applyFont="1" applyFill="1"/>
    <xf numFmtId="179" fontId="29" fillId="4" borderId="0" xfId="0" applyNumberFormat="1" applyFont="1" applyFill="1"/>
    <xf numFmtId="182" fontId="4" fillId="0" borderId="0" xfId="19" applyNumberFormat="1" applyFont="1" applyFill="1" applyBorder="1" applyAlignment="1" applyProtection="1">
      <alignment horizontal="left" indent="3"/>
      <protection locked="0"/>
    </xf>
    <xf numFmtId="179" fontId="4" fillId="4" borderId="8" xfId="17" applyNumberFormat="1" applyFont="1" applyFill="1" applyBorder="1"/>
    <xf numFmtId="179" fontId="4" fillId="4" borderId="0" xfId="17" applyNumberFormat="1" applyFont="1" applyFill="1" applyBorder="1"/>
    <xf numFmtId="182" fontId="19" fillId="0" borderId="0" xfId="19" applyNumberFormat="1" applyFont="1" applyFill="1" applyBorder="1" applyAlignment="1" applyProtection="1">
      <alignment horizontal="left" indent="1"/>
      <protection locked="0"/>
    </xf>
    <xf numFmtId="5" fontId="19" fillId="0" borderId="0" xfId="19" applyNumberFormat="1" applyFont="1" applyFill="1" applyBorder="1" applyAlignment="1" applyProtection="1">
      <alignment horizontal="left" indent="1"/>
      <protection locked="0"/>
    </xf>
    <xf numFmtId="5" fontId="22" fillId="4" borderId="0" xfId="17" applyNumberFormat="1" applyFont="1" applyFill="1" applyBorder="1"/>
    <xf numFmtId="5" fontId="22" fillId="5" borderId="0" xfId="17" applyNumberFormat="1" applyFont="1" applyFill="1" applyBorder="1"/>
    <xf numFmtId="5" fontId="19" fillId="5" borderId="0" xfId="17" applyNumberFormat="1" applyFont="1" applyFill="1" applyBorder="1"/>
    <xf numFmtId="5" fontId="19" fillId="4" borderId="0" xfId="0" applyNumberFormat="1" applyFont="1" applyFill="1" applyBorder="1"/>
    <xf numFmtId="176" fontId="23" fillId="0" borderId="0" xfId="17" applyNumberFormat="1" applyFont="1" applyFill="1" applyBorder="1"/>
    <xf numFmtId="0" fontId="4" fillId="0" borderId="0" xfId="17" applyFont="1" applyFill="1" applyBorder="1"/>
    <xf numFmtId="176" fontId="48" fillId="0" borderId="8" xfId="17" applyNumberFormat="1" applyFont="1" applyBorder="1"/>
    <xf numFmtId="176" fontId="23" fillId="0" borderId="0" xfId="17" applyNumberFormat="1" applyFont="1" applyBorder="1"/>
    <xf numFmtId="176" fontId="48" fillId="0" borderId="0" xfId="17" applyNumberFormat="1" applyFont="1" applyBorder="1"/>
    <xf numFmtId="176" fontId="48" fillId="0" borderId="0" xfId="17" applyNumberFormat="1" applyFont="1" applyFill="1" applyBorder="1"/>
    <xf numFmtId="176" fontId="23" fillId="0" borderId="8" xfId="17" applyNumberFormat="1" applyFont="1" applyFill="1" applyBorder="1"/>
    <xf numFmtId="176" fontId="49" fillId="0" borderId="0" xfId="17" applyNumberFormat="1" applyFont="1" applyFill="1" applyBorder="1"/>
    <xf numFmtId="176" fontId="49" fillId="0" borderId="5" xfId="17" applyNumberFormat="1" applyFont="1" applyFill="1" applyBorder="1"/>
    <xf numFmtId="0" fontId="23" fillId="4" borderId="9" xfId="17" applyFont="1" applyFill="1" applyBorder="1"/>
    <xf numFmtId="0" fontId="50" fillId="5" borderId="0" xfId="17" applyFont="1" applyFill="1" applyBorder="1"/>
    <xf numFmtId="0" fontId="23" fillId="3" borderId="0" xfId="17" applyFont="1" applyFill="1" applyBorder="1"/>
    <xf numFmtId="182" fontId="23" fillId="3" borderId="0" xfId="17" applyNumberFormat="1" applyFont="1" applyFill="1" applyBorder="1"/>
    <xf numFmtId="0" fontId="23" fillId="5" borderId="0" xfId="17" applyFont="1" applyFill="1" applyBorder="1"/>
    <xf numFmtId="0" fontId="23" fillId="4" borderId="0" xfId="17" applyFont="1" applyFill="1" applyBorder="1"/>
    <xf numFmtId="0" fontId="23" fillId="4" borderId="0" xfId="27" applyFont="1" applyFill="1" applyBorder="1"/>
    <xf numFmtId="182" fontId="4" fillId="3" borderId="0" xfId="17" applyNumberFormat="1" applyFont="1" applyFill="1" applyBorder="1" applyAlignment="1">
      <alignment horizontal="left"/>
    </xf>
    <xf numFmtId="37" fontId="4" fillId="3" borderId="0" xfId="0" applyNumberFormat="1" applyFont="1" applyFill="1"/>
    <xf numFmtId="180" fontId="19" fillId="0" borderId="0" xfId="10" applyNumberFormat="1" applyFont="1" applyFill="1"/>
    <xf numFmtId="167" fontId="29" fillId="0" borderId="0" xfId="17" applyNumberFormat="1" applyFont="1" applyFill="1" applyBorder="1"/>
    <xf numFmtId="9" fontId="4" fillId="3" borderId="0" xfId="21" applyFont="1" applyFill="1" applyBorder="1" applyAlignment="1">
      <alignment horizontal="left"/>
    </xf>
    <xf numFmtId="5" fontId="19" fillId="4" borderId="17" xfId="27" applyNumberFormat="1" applyFont="1" applyFill="1" applyBorder="1" applyAlignment="1">
      <alignment horizontal="left" indent="1"/>
    </xf>
    <xf numFmtId="5" fontId="38" fillId="4" borderId="18" xfId="17" applyNumberFormat="1" applyFont="1" applyFill="1" applyBorder="1"/>
    <xf numFmtId="5" fontId="38" fillId="4" borderId="17" xfId="17" applyNumberFormat="1" applyFont="1" applyFill="1" applyBorder="1"/>
    <xf numFmtId="5" fontId="38" fillId="4" borderId="22" xfId="17" applyNumberFormat="1" applyFont="1" applyFill="1" applyBorder="1"/>
    <xf numFmtId="202" fontId="4" fillId="0" borderId="0" xfId="0" applyNumberFormat="1" applyFont="1" applyBorder="1" applyAlignment="1">
      <alignment horizontal="left" indent="3"/>
    </xf>
    <xf numFmtId="202" fontId="4" fillId="0" borderId="8" xfId="17" applyNumberFormat="1" applyFont="1" applyBorder="1"/>
    <xf numFmtId="202" fontId="4" fillId="0" borderId="9" xfId="17" applyNumberFormat="1" applyFont="1" applyBorder="1"/>
    <xf numFmtId="202" fontId="4" fillId="0" borderId="0" xfId="17" applyNumberFormat="1" applyFont="1" applyBorder="1"/>
    <xf numFmtId="202" fontId="4" fillId="4" borderId="0" xfId="17" applyNumberFormat="1" applyFont="1" applyFill="1"/>
    <xf numFmtId="202" fontId="4" fillId="5" borderId="0" xfId="17" applyNumberFormat="1" applyFont="1" applyFill="1"/>
    <xf numFmtId="202" fontId="4" fillId="4" borderId="0" xfId="0" applyNumberFormat="1" applyFont="1" applyFill="1"/>
    <xf numFmtId="202" fontId="4" fillId="0" borderId="5" xfId="17" applyNumberFormat="1" applyFont="1" applyBorder="1"/>
    <xf numFmtId="202" fontId="21" fillId="4" borderId="0" xfId="17" applyNumberFormat="1" applyFont="1" applyFill="1"/>
    <xf numFmtId="202" fontId="21" fillId="5" borderId="0" xfId="17" applyNumberFormat="1" applyFont="1" applyFill="1"/>
    <xf numFmtId="5" fontId="19" fillId="4" borderId="17" xfId="17" applyNumberFormat="1" applyFont="1" applyFill="1" applyBorder="1"/>
    <xf numFmtId="37" fontId="29" fillId="0" borderId="0" xfId="17" applyNumberFormat="1" applyFont="1" applyFill="1" applyBorder="1"/>
    <xf numFmtId="37" fontId="29" fillId="0" borderId="17" xfId="17" applyNumberFormat="1" applyFont="1" applyFill="1" applyBorder="1"/>
    <xf numFmtId="37" fontId="29" fillId="8" borderId="17" xfId="17" applyNumberFormat="1" applyFont="1" applyFill="1" applyBorder="1"/>
    <xf numFmtId="37" fontId="29" fillId="8" borderId="0" xfId="17" applyNumberFormat="1" applyFont="1" applyFill="1" applyBorder="1"/>
    <xf numFmtId="182" fontId="19" fillId="0" borderId="0" xfId="17" applyNumberFormat="1" applyFont="1" applyFill="1" applyBorder="1"/>
    <xf numFmtId="192" fontId="29" fillId="0" borderId="0" xfId="17" applyNumberFormat="1" applyFont="1" applyFill="1" applyBorder="1"/>
    <xf numFmtId="182" fontId="4" fillId="0" borderId="0" xfId="10" applyNumberFormat="1" applyFont="1" applyFill="1" applyBorder="1"/>
    <xf numFmtId="182" fontId="4" fillId="0" borderId="0" xfId="10" applyNumberFormat="1" applyFont="1" applyBorder="1"/>
    <xf numFmtId="9" fontId="4" fillId="3" borderId="0" xfId="17" applyNumberFormat="1" applyFont="1" applyFill="1" applyAlignment="1">
      <alignment horizontal="left"/>
    </xf>
    <xf numFmtId="169" fontId="4" fillId="3" borderId="0" xfId="17" applyNumberFormat="1" applyFont="1" applyFill="1" applyAlignment="1">
      <alignment horizontal="left"/>
    </xf>
    <xf numFmtId="0" fontId="4" fillId="3" borderId="0" xfId="0" applyFont="1" applyFill="1" applyBorder="1" applyAlignment="1">
      <alignment horizontal="left"/>
    </xf>
    <xf numFmtId="0" fontId="4" fillId="3" borderId="0" xfId="17" applyFont="1" applyFill="1" applyBorder="1" applyAlignment="1">
      <alignment horizontal="left"/>
    </xf>
    <xf numFmtId="0" fontId="22" fillId="5" borderId="11" xfId="17" applyFont="1" applyFill="1" applyBorder="1" applyAlignment="1">
      <alignment horizontal="center"/>
    </xf>
    <xf numFmtId="0" fontId="22" fillId="5" borderId="3" xfId="17" applyFont="1" applyFill="1" applyBorder="1" applyAlignment="1">
      <alignment horizontal="center"/>
    </xf>
    <xf numFmtId="182" fontId="4" fillId="0" borderId="9" xfId="10" applyNumberFormat="1" applyFont="1" applyFill="1" applyBorder="1"/>
    <xf numFmtId="169" fontId="4" fillId="0" borderId="0" xfId="17" applyNumberFormat="1" applyFont="1" applyFill="1" applyBorder="1"/>
    <xf numFmtId="182" fontId="29" fillId="0" borderId="3" xfId="17" applyNumberFormat="1" applyFont="1" applyFill="1" applyBorder="1"/>
    <xf numFmtId="182" fontId="29" fillId="0" borderId="28" xfId="17" applyNumberFormat="1" applyFont="1" applyFill="1" applyBorder="1"/>
    <xf numFmtId="182" fontId="29" fillId="0" borderId="10" xfId="10" applyNumberFormat="1" applyFont="1" applyBorder="1" applyAlignment="1">
      <alignment horizontal="right"/>
    </xf>
    <xf numFmtId="5" fontId="19" fillId="0" borderId="0" xfId="17" applyNumberFormat="1" applyFont="1" applyFill="1" applyBorder="1"/>
    <xf numFmtId="5" fontId="4" fillId="4" borderId="4" xfId="17" applyNumberFormat="1" applyFont="1" applyFill="1" applyBorder="1"/>
    <xf numFmtId="202" fontId="4" fillId="0" borderId="8" xfId="17" applyNumberFormat="1" applyFont="1" applyFill="1" applyBorder="1"/>
    <xf numFmtId="202" fontId="4" fillId="0" borderId="9" xfId="17" applyNumberFormat="1" applyFont="1" applyFill="1" applyBorder="1"/>
    <xf numFmtId="202" fontId="4" fillId="0" borderId="0" xfId="17" applyNumberFormat="1" applyFont="1" applyFill="1" applyBorder="1"/>
    <xf numFmtId="202" fontId="4" fillId="0" borderId="0" xfId="17" applyNumberFormat="1" applyFont="1" applyFill="1"/>
    <xf numFmtId="182" fontId="38" fillId="0" borderId="0" xfId="17" applyNumberFormat="1" applyFont="1" applyFill="1"/>
    <xf numFmtId="176" fontId="31" fillId="0" borderId="9" xfId="17" applyNumberFormat="1" applyFont="1" applyFill="1" applyBorder="1"/>
    <xf numFmtId="176" fontId="31" fillId="0" borderId="0" xfId="17" applyNumberFormat="1" applyFont="1" applyFill="1" applyBorder="1"/>
    <xf numFmtId="176" fontId="31" fillId="0" borderId="8" xfId="17" applyNumberFormat="1" applyFont="1" applyFill="1" applyBorder="1"/>
    <xf numFmtId="0" fontId="36" fillId="0" borderId="0" xfId="17" applyFont="1" applyFill="1"/>
    <xf numFmtId="182" fontId="38" fillId="9" borderId="8" xfId="17" applyNumberFormat="1" applyFont="1" applyFill="1" applyBorder="1"/>
    <xf numFmtId="182" fontId="38" fillId="9" borderId="9" xfId="17" applyNumberFormat="1" applyFont="1" applyFill="1" applyBorder="1"/>
    <xf numFmtId="182" fontId="38" fillId="9" borderId="0" xfId="17" applyNumberFormat="1" applyFont="1" applyFill="1" applyBorder="1"/>
    <xf numFmtId="0" fontId="22" fillId="5" borderId="10" xfId="17" applyFont="1" applyFill="1" applyBorder="1" applyAlignment="1">
      <alignment horizontal="center"/>
    </xf>
    <xf numFmtId="5" fontId="19" fillId="8" borderId="17" xfId="17" applyNumberFormat="1" applyFont="1" applyFill="1" applyBorder="1"/>
    <xf numFmtId="5" fontId="38" fillId="8" borderId="17" xfId="17" applyNumberFormat="1" applyFont="1" applyFill="1" applyBorder="1"/>
    <xf numFmtId="0" fontId="22" fillId="5" borderId="0" xfId="0" applyFont="1" applyFill="1" applyAlignment="1">
      <alignment horizontal="center"/>
    </xf>
    <xf numFmtId="167" fontId="29" fillId="8" borderId="0" xfId="17" applyNumberFormat="1" applyFont="1" applyFill="1" applyBorder="1"/>
    <xf numFmtId="5" fontId="4" fillId="8" borderId="0" xfId="17" applyNumberFormat="1" applyFont="1" applyFill="1" applyBorder="1"/>
    <xf numFmtId="5" fontId="29" fillId="8" borderId="6" xfId="17" applyNumberFormat="1" applyFont="1" applyFill="1" applyBorder="1"/>
    <xf numFmtId="9" fontId="4" fillId="8" borderId="9" xfId="17" applyNumberFormat="1" applyFont="1" applyFill="1" applyBorder="1"/>
    <xf numFmtId="9" fontId="4" fillId="8" borderId="0" xfId="17" applyNumberFormat="1" applyFont="1" applyFill="1" applyBorder="1"/>
    <xf numFmtId="179" fontId="29" fillId="8" borderId="8" xfId="17" applyNumberFormat="1" applyFont="1" applyFill="1" applyBorder="1"/>
    <xf numFmtId="5" fontId="29" fillId="8" borderId="18" xfId="17" applyNumberFormat="1" applyFont="1" applyFill="1" applyBorder="1"/>
    <xf numFmtId="9" fontId="4" fillId="8" borderId="8" xfId="17" applyNumberFormat="1" applyFont="1" applyFill="1" applyBorder="1"/>
    <xf numFmtId="182" fontId="29" fillId="8" borderId="0" xfId="10" applyNumberFormat="1" applyFont="1" applyFill="1" applyBorder="1"/>
    <xf numFmtId="5" fontId="19" fillId="8" borderId="8" xfId="17" applyNumberFormat="1" applyFont="1" applyFill="1" applyBorder="1"/>
    <xf numFmtId="182" fontId="29" fillId="8" borderId="0" xfId="17" applyNumberFormat="1" applyFont="1" applyFill="1" applyBorder="1"/>
    <xf numFmtId="182" fontId="32" fillId="8" borderId="8" xfId="17" applyNumberFormat="1" applyFont="1" applyFill="1" applyBorder="1"/>
    <xf numFmtId="169" fontId="4" fillId="8" borderId="0" xfId="10" applyNumberFormat="1" applyFont="1" applyFill="1"/>
    <xf numFmtId="7" fontId="19" fillId="8" borderId="0" xfId="17" applyNumberFormat="1" applyFont="1" applyFill="1" applyBorder="1"/>
    <xf numFmtId="192" fontId="29" fillId="8" borderId="0" xfId="17" applyNumberFormat="1" applyFont="1" applyFill="1" applyBorder="1"/>
    <xf numFmtId="176" fontId="4" fillId="8" borderId="8" xfId="17" applyNumberFormat="1" applyFont="1" applyFill="1" applyBorder="1"/>
    <xf numFmtId="5" fontId="4" fillId="8" borderId="9" xfId="17" applyNumberFormat="1" applyFont="1" applyFill="1" applyBorder="1"/>
    <xf numFmtId="5" fontId="19" fillId="8" borderId="9" xfId="17" applyNumberFormat="1" applyFont="1" applyFill="1" applyBorder="1"/>
    <xf numFmtId="169" fontId="4" fillId="8" borderId="0" xfId="17" applyNumberFormat="1" applyFont="1" applyFill="1" applyBorder="1"/>
    <xf numFmtId="180" fontId="19" fillId="8" borderId="0" xfId="10" applyNumberFormat="1" applyFont="1" applyFill="1"/>
    <xf numFmtId="7" fontId="19" fillId="8" borderId="9" xfId="10" applyNumberFormat="1" applyFont="1" applyFill="1" applyBorder="1"/>
    <xf numFmtId="182" fontId="4" fillId="0" borderId="9" xfId="17" applyNumberFormat="1" applyFont="1" applyFill="1" applyBorder="1"/>
    <xf numFmtId="182" fontId="4" fillId="0" borderId="3" xfId="17" applyNumberFormat="1" applyFont="1" applyFill="1" applyBorder="1"/>
    <xf numFmtId="182" fontId="19" fillId="3" borderId="12" xfId="17" applyNumberFormat="1" applyFont="1" applyFill="1" applyBorder="1"/>
    <xf numFmtId="182" fontId="4" fillId="0" borderId="9" xfId="17" applyNumberFormat="1" applyFont="1" applyBorder="1"/>
    <xf numFmtId="182" fontId="4" fillId="0" borderId="9" xfId="10" applyNumberFormat="1" applyFont="1" applyBorder="1"/>
    <xf numFmtId="182" fontId="19" fillId="8" borderId="0" xfId="17" applyNumberFormat="1" applyFont="1" applyFill="1" applyBorder="1"/>
    <xf numFmtId="7" fontId="41" fillId="8" borderId="0" xfId="17" applyNumberFormat="1" applyFont="1" applyFill="1" applyBorder="1"/>
    <xf numFmtId="0" fontId="4" fillId="3" borderId="0" xfId="17" quotePrefix="1" applyFont="1" applyFill="1" applyAlignment="1">
      <alignment horizontal="left"/>
    </xf>
    <xf numFmtId="182" fontId="4" fillId="0" borderId="8" xfId="17" applyNumberFormat="1" applyFont="1" applyFill="1" applyBorder="1"/>
    <xf numFmtId="182" fontId="4" fillId="0" borderId="8" xfId="10" applyNumberFormat="1" applyFont="1" applyFill="1" applyBorder="1"/>
    <xf numFmtId="182" fontId="4" fillId="0" borderId="8" xfId="10" applyNumberFormat="1" applyFont="1" applyBorder="1" applyAlignment="1">
      <alignment horizontal="right"/>
    </xf>
    <xf numFmtId="182" fontId="4" fillId="0" borderId="8" xfId="10" applyNumberFormat="1" applyFont="1" applyBorder="1"/>
    <xf numFmtId="9" fontId="29" fillId="0" borderId="5" xfId="17" applyNumberFormat="1" applyFont="1" applyFill="1" applyBorder="1"/>
    <xf numFmtId="9" fontId="29" fillId="0" borderId="5" xfId="10" applyNumberFormat="1" applyFont="1" applyFill="1" applyBorder="1"/>
    <xf numFmtId="9" fontId="29" fillId="0" borderId="9" xfId="10" applyNumberFormat="1" applyFont="1" applyFill="1" applyBorder="1"/>
    <xf numFmtId="169" fontId="29" fillId="0" borderId="9" xfId="10" applyNumberFormat="1" applyFont="1" applyFill="1" applyBorder="1"/>
    <xf numFmtId="192" fontId="29" fillId="0" borderId="9" xfId="10" applyNumberFormat="1" applyFont="1" applyBorder="1"/>
    <xf numFmtId="182" fontId="4" fillId="0" borderId="22" xfId="10" applyNumberFormat="1" applyFont="1" applyFill="1" applyBorder="1"/>
    <xf numFmtId="182" fontId="19" fillId="3" borderId="4" xfId="17" applyNumberFormat="1" applyFont="1" applyFill="1" applyBorder="1"/>
    <xf numFmtId="182" fontId="4" fillId="0" borderId="17" xfId="10" applyNumberFormat="1" applyFont="1" applyFill="1" applyBorder="1"/>
    <xf numFmtId="0" fontId="14" fillId="10" borderId="0" xfId="4" applyFont="1" applyFill="1"/>
    <xf numFmtId="0" fontId="42" fillId="10" borderId="0" xfId="16" applyFill="1"/>
    <xf numFmtId="0" fontId="51" fillId="10" borderId="0" xfId="4" applyFont="1" applyFill="1"/>
    <xf numFmtId="0" fontId="52" fillId="10" borderId="0" xfId="4" applyFont="1" applyFill="1"/>
    <xf numFmtId="8" fontId="52" fillId="10" borderId="0" xfId="4" applyNumberFormat="1" applyFont="1" applyFill="1" applyAlignment="1">
      <alignment horizontal="left"/>
    </xf>
    <xf numFmtId="14" fontId="52" fillId="10" borderId="0" xfId="4" applyNumberFormat="1" applyFont="1" applyFill="1" applyAlignment="1">
      <alignment horizontal="left"/>
    </xf>
    <xf numFmtId="0" fontId="0" fillId="4" borderId="0" xfId="4" applyFont="1" applyFill="1"/>
    <xf numFmtId="0" fontId="53" fillId="4" borderId="0" xfId="4" applyFont="1" applyFill="1"/>
    <xf numFmtId="0" fontId="42" fillId="0" borderId="0" xfId="16"/>
    <xf numFmtId="0" fontId="60" fillId="4" borderId="0" xfId="4" applyFont="1" applyFill="1"/>
    <xf numFmtId="0" fontId="61" fillId="4" borderId="0" xfId="4" applyFont="1" applyFill="1"/>
    <xf numFmtId="0" fontId="62" fillId="4" borderId="0" xfId="4" applyFont="1" applyFill="1"/>
    <xf numFmtId="0" fontId="63" fillId="4" borderId="0" xfId="4" applyFont="1" applyFill="1"/>
    <xf numFmtId="0" fontId="60" fillId="0" borderId="0" xfId="16" applyFont="1"/>
    <xf numFmtId="0" fontId="54" fillId="4" borderId="0" xfId="4" applyFont="1" applyFill="1"/>
    <xf numFmtId="0" fontId="5" fillId="4" borderId="0" xfId="4" applyFont="1" applyFill="1"/>
    <xf numFmtId="0" fontId="55" fillId="4" borderId="0" xfId="4" applyFont="1" applyFill="1"/>
    <xf numFmtId="203" fontId="56" fillId="10" borderId="0" xfId="4" applyNumberFormat="1" applyFont="1" applyFill="1"/>
    <xf numFmtId="203" fontId="57" fillId="10" borderId="0" xfId="4" applyNumberFormat="1" applyFont="1" applyFill="1"/>
    <xf numFmtId="0" fontId="57" fillId="10" borderId="0" xfId="4" applyNumberFormat="1" applyFont="1" applyFill="1"/>
    <xf numFmtId="0" fontId="3" fillId="10" borderId="0" xfId="16" applyFont="1" applyFill="1"/>
    <xf numFmtId="0" fontId="3" fillId="10" borderId="0" xfId="4" applyFont="1" applyFill="1"/>
    <xf numFmtId="203" fontId="58" fillId="10" borderId="0" xfId="4" applyNumberFormat="1" applyFont="1" applyFill="1"/>
    <xf numFmtId="203" fontId="52" fillId="10" borderId="0" xfId="4" applyNumberFormat="1" applyFont="1" applyFill="1"/>
    <xf numFmtId="203" fontId="54" fillId="10" borderId="0" xfId="4" applyNumberFormat="1" applyFont="1" applyFill="1"/>
    <xf numFmtId="203" fontId="59" fillId="10" borderId="0" xfId="4" applyNumberFormat="1" applyFont="1" applyFill="1"/>
    <xf numFmtId="203" fontId="53" fillId="10" borderId="0" xfId="4" applyNumberFormat="1" applyFont="1" applyFill="1"/>
    <xf numFmtId="0" fontId="53" fillId="10" borderId="0" xfId="4" applyNumberFormat="1" applyFont="1" applyFill="1"/>
    <xf numFmtId="0" fontId="3" fillId="0" borderId="0" xfId="16" applyFont="1" applyFill="1"/>
    <xf numFmtId="0" fontId="3" fillId="0" borderId="0" xfId="16" applyNumberFormat="1" applyFont="1" applyFill="1"/>
    <xf numFmtId="0" fontId="3" fillId="0" borderId="0" xfId="16" applyFont="1"/>
    <xf numFmtId="0" fontId="64" fillId="10" borderId="0" xfId="16" applyFont="1" applyFill="1"/>
    <xf numFmtId="0" fontId="65" fillId="10" borderId="0" xfId="16" applyFont="1" applyFill="1"/>
    <xf numFmtId="0" fontId="63" fillId="0" borderId="0" xfId="4" applyFont="1" applyAlignment="1">
      <alignment horizontal="right"/>
    </xf>
    <xf numFmtId="0" fontId="63" fillId="0" borderId="0" xfId="4" applyNumberFormat="1" applyFont="1" applyAlignment="1">
      <alignment horizontal="right"/>
    </xf>
    <xf numFmtId="204" fontId="63" fillId="0" borderId="0" xfId="16" applyNumberFormat="1" applyFont="1"/>
    <xf numFmtId="205" fontId="3" fillId="0" borderId="0" xfId="16" applyNumberFormat="1" applyFont="1"/>
    <xf numFmtId="0" fontId="3" fillId="0" borderId="0" xfId="16" applyNumberFormat="1" applyFont="1"/>
    <xf numFmtId="0" fontId="66" fillId="0" borderId="0" xfId="16" applyFont="1"/>
    <xf numFmtId="0" fontId="5" fillId="11" borderId="12" xfId="16" applyFont="1" applyFill="1" applyBorder="1"/>
    <xf numFmtId="0" fontId="3" fillId="11" borderId="4" xfId="16" applyFont="1" applyFill="1" applyBorder="1"/>
    <xf numFmtId="165" fontId="3" fillId="0" borderId="0" xfId="11" applyNumberFormat="1" applyFont="1"/>
    <xf numFmtId="8" fontId="3" fillId="0" borderId="0" xfId="16" applyNumberFormat="1" applyFont="1"/>
    <xf numFmtId="8" fontId="67" fillId="0" borderId="0" xfId="16" applyNumberFormat="1" applyFont="1"/>
    <xf numFmtId="0" fontId="17" fillId="0" borderId="0" xfId="16" applyFont="1"/>
    <xf numFmtId="9" fontId="17" fillId="0" borderId="0" xfId="16" applyNumberFormat="1" applyFont="1"/>
    <xf numFmtId="0" fontId="17" fillId="0" borderId="26" xfId="16" applyFont="1" applyBorder="1"/>
    <xf numFmtId="0" fontId="17" fillId="0" borderId="2" xfId="16" applyFont="1" applyBorder="1"/>
    <xf numFmtId="181" fontId="17" fillId="0" borderId="2" xfId="16" applyNumberFormat="1" applyFont="1" applyBorder="1" applyAlignment="1">
      <alignment horizontal="right"/>
    </xf>
    <xf numFmtId="181" fontId="17" fillId="0" borderId="27" xfId="16" applyNumberFormat="1" applyFont="1" applyBorder="1" applyAlignment="1">
      <alignment horizontal="right"/>
    </xf>
    <xf numFmtId="0" fontId="5" fillId="0" borderId="0" xfId="16" applyFont="1"/>
    <xf numFmtId="165" fontId="5" fillId="0" borderId="0" xfId="11" applyNumberFormat="1" applyFont="1" applyFill="1"/>
    <xf numFmtId="0" fontId="17" fillId="0" borderId="9" xfId="16" applyFont="1" applyFill="1" applyBorder="1"/>
    <xf numFmtId="0" fontId="17" fillId="0" borderId="0" xfId="16" applyFont="1" applyFill="1" applyBorder="1"/>
    <xf numFmtId="181" fontId="17" fillId="0" borderId="0" xfId="16" applyNumberFormat="1" applyFont="1" applyFill="1" applyBorder="1" applyAlignment="1">
      <alignment horizontal="right"/>
    </xf>
    <xf numFmtId="181" fontId="17" fillId="0" borderId="5" xfId="16" applyNumberFormat="1" applyFont="1" applyFill="1" applyBorder="1" applyAlignment="1">
      <alignment horizontal="right"/>
    </xf>
    <xf numFmtId="9" fontId="3" fillId="0" borderId="0" xfId="11" applyNumberFormat="1" applyFont="1"/>
    <xf numFmtId="0" fontId="17" fillId="0" borderId="11" xfId="16" applyFont="1" applyBorder="1"/>
    <xf numFmtId="0" fontId="17" fillId="0" borderId="3" xfId="16" applyFont="1" applyBorder="1"/>
    <xf numFmtId="179" fontId="17" fillId="0" borderId="3" xfId="16" applyNumberFormat="1" applyFont="1" applyBorder="1"/>
    <xf numFmtId="179" fontId="17" fillId="0" borderId="3" xfId="16" applyNumberFormat="1" applyFont="1" applyBorder="1" applyAlignment="1">
      <alignment horizontal="right"/>
    </xf>
    <xf numFmtId="165" fontId="5" fillId="0" borderId="0" xfId="11" applyNumberFormat="1" applyFont="1"/>
    <xf numFmtId="0" fontId="17" fillId="0" borderId="0" xfId="16" applyFont="1" applyFill="1"/>
    <xf numFmtId="0" fontId="5" fillId="0" borderId="0" xfId="16" applyFont="1" applyFill="1"/>
    <xf numFmtId="181" fontId="67" fillId="0" borderId="0" xfId="16" applyNumberFormat="1" applyFont="1" applyFill="1" applyAlignment="1">
      <alignment horizontal="right"/>
    </xf>
    <xf numFmtId="0" fontId="5" fillId="0" borderId="12" xfId="16" applyFont="1" applyFill="1" applyBorder="1"/>
    <xf numFmtId="0" fontId="3" fillId="0" borderId="4" xfId="16" applyFont="1" applyFill="1" applyBorder="1"/>
    <xf numFmtId="0" fontId="0" fillId="0" borderId="0" xfId="16" applyFont="1"/>
    <xf numFmtId="165" fontId="3" fillId="0" borderId="0" xfId="16" applyNumberFormat="1" applyFont="1"/>
    <xf numFmtId="165" fontId="69" fillId="0" borderId="0" xfId="11" applyNumberFormat="1" applyFont="1" applyFill="1"/>
    <xf numFmtId="43" fontId="3" fillId="0" borderId="0" xfId="16" applyNumberFormat="1" applyFont="1"/>
    <xf numFmtId="9" fontId="67" fillId="0" borderId="0" xfId="16" applyNumberFormat="1" applyFont="1" applyFill="1"/>
    <xf numFmtId="9" fontId="3" fillId="0" borderId="0" xfId="16" applyNumberFormat="1" applyFont="1" applyFill="1"/>
    <xf numFmtId="165" fontId="3" fillId="0" borderId="0" xfId="11" applyNumberFormat="1" applyFont="1" applyFill="1"/>
    <xf numFmtId="165" fontId="17" fillId="0" borderId="0" xfId="16" applyNumberFormat="1" applyFont="1" applyFill="1"/>
    <xf numFmtId="165" fontId="17" fillId="0" borderId="0" xfId="11" applyNumberFormat="1" applyFont="1" applyFill="1"/>
    <xf numFmtId="179" fontId="3" fillId="0" borderId="0" xfId="16" applyNumberFormat="1" applyFont="1"/>
    <xf numFmtId="9" fontId="3" fillId="0" borderId="0" xfId="16" applyNumberFormat="1" applyFont="1"/>
    <xf numFmtId="165" fontId="5" fillId="0" borderId="0" xfId="16" applyNumberFormat="1" applyFont="1"/>
    <xf numFmtId="8" fontId="5" fillId="0" borderId="0" xfId="11" applyNumberFormat="1" applyFont="1" applyFill="1"/>
    <xf numFmtId="9" fontId="5" fillId="0" borderId="0" xfId="16" applyNumberFormat="1" applyFont="1" applyFill="1"/>
    <xf numFmtId="179" fontId="3" fillId="0" borderId="0" xfId="16" applyNumberFormat="1" applyFont="1" applyFill="1"/>
    <xf numFmtId="179" fontId="5" fillId="0" borderId="0" xfId="16" applyNumberFormat="1" applyFont="1" applyFill="1"/>
    <xf numFmtId="0" fontId="0" fillId="0" borderId="0" xfId="16" applyFont="1" applyFill="1"/>
    <xf numFmtId="181" fontId="3" fillId="0" borderId="0" xfId="16" applyNumberFormat="1" applyFont="1" applyFill="1" applyAlignment="1">
      <alignment horizontal="right"/>
    </xf>
    <xf numFmtId="0" fontId="17" fillId="0" borderId="12" xfId="16" applyFont="1" applyBorder="1"/>
    <xf numFmtId="0" fontId="17" fillId="0" borderId="4" xfId="16" applyFont="1" applyBorder="1"/>
    <xf numFmtId="165" fontId="17" fillId="0" borderId="4" xfId="16" applyNumberFormat="1" applyFont="1" applyBorder="1"/>
    <xf numFmtId="165" fontId="17" fillId="0" borderId="25" xfId="16" applyNumberFormat="1" applyFont="1" applyBorder="1"/>
    <xf numFmtId="0" fontId="17" fillId="0" borderId="0" xfId="16" applyFont="1" applyBorder="1"/>
    <xf numFmtId="9" fontId="17" fillId="0" borderId="0" xfId="16" applyNumberFormat="1" applyFont="1" applyBorder="1"/>
    <xf numFmtId="8" fontId="17" fillId="0" borderId="0" xfId="16" applyNumberFormat="1" applyFont="1"/>
    <xf numFmtId="0" fontId="65" fillId="0" borderId="0" xfId="16" applyFont="1"/>
    <xf numFmtId="181" fontId="3" fillId="0" borderId="0" xfId="16" applyNumberFormat="1" applyFont="1" applyAlignment="1">
      <alignment horizontal="right"/>
    </xf>
    <xf numFmtId="8" fontId="67" fillId="0" borderId="0" xfId="16" applyNumberFormat="1" applyFont="1" applyAlignment="1">
      <alignment horizontal="right"/>
    </xf>
    <xf numFmtId="169" fontId="4" fillId="0" borderId="5" xfId="10" applyNumberFormat="1" applyFont="1" applyFill="1" applyBorder="1"/>
    <xf numFmtId="192" fontId="31" fillId="4" borderId="5" xfId="17" applyNumberFormat="1" applyFont="1" applyFill="1" applyBorder="1"/>
    <xf numFmtId="180" fontId="19" fillId="0" borderId="5" xfId="10" applyNumberFormat="1" applyFont="1" applyBorder="1"/>
    <xf numFmtId="192" fontId="20" fillId="4" borderId="5" xfId="17" applyNumberFormat="1" applyFont="1" applyFill="1" applyBorder="1"/>
    <xf numFmtId="169" fontId="19" fillId="0" borderId="5" xfId="10" applyNumberFormat="1" applyFont="1" applyFill="1" applyBorder="1"/>
    <xf numFmtId="167" fontId="29" fillId="8" borderId="0" xfId="17" applyNumberFormat="1" applyFont="1" applyFill="1" applyBorder="1" applyAlignment="1">
      <alignment horizontal="right"/>
    </xf>
    <xf numFmtId="167" fontId="29" fillId="0" borderId="0" xfId="17" applyNumberFormat="1" applyFont="1" applyFill="1" applyBorder="1" applyAlignment="1">
      <alignment horizontal="right"/>
    </xf>
    <xf numFmtId="5" fontId="19" fillId="0" borderId="0" xfId="17" applyNumberFormat="1" applyFont="1" applyBorder="1"/>
    <xf numFmtId="182" fontId="19" fillId="0" borderId="0" xfId="17" applyNumberFormat="1" applyFont="1" applyBorder="1"/>
    <xf numFmtId="182" fontId="19" fillId="4" borderId="0" xfId="19" applyNumberFormat="1" applyFont="1" applyFill="1" applyBorder="1" applyAlignment="1" applyProtection="1">
      <alignment horizontal="left" indent="1"/>
      <protection locked="0"/>
    </xf>
    <xf numFmtId="5" fontId="19" fillId="8" borderId="0" xfId="17" applyNumberFormat="1" applyFont="1" applyFill="1" applyBorder="1"/>
    <xf numFmtId="179" fontId="4" fillId="4" borderId="0" xfId="19" applyNumberFormat="1" applyFont="1" applyFill="1" applyBorder="1" applyAlignment="1" applyProtection="1">
      <alignment horizontal="left" indent="3"/>
      <protection locked="0"/>
    </xf>
    <xf numFmtId="5" fontId="4" fillId="4" borderId="7" xfId="27" applyNumberFormat="1" applyFont="1" applyFill="1" applyBorder="1" applyAlignment="1">
      <alignment horizontal="left" indent="3"/>
    </xf>
    <xf numFmtId="5" fontId="4" fillId="4" borderId="16" xfId="17" applyNumberFormat="1" applyFont="1" applyFill="1" applyBorder="1"/>
    <xf numFmtId="5" fontId="4" fillId="4" borderId="7" xfId="17" applyNumberFormat="1" applyFont="1" applyFill="1" applyBorder="1"/>
    <xf numFmtId="5" fontId="4" fillId="8" borderId="7" xfId="17" applyNumberFormat="1" applyFont="1" applyFill="1" applyBorder="1"/>
    <xf numFmtId="5" fontId="4" fillId="4" borderId="15" xfId="17" applyNumberFormat="1" applyFont="1" applyFill="1" applyBorder="1"/>
    <xf numFmtId="0" fontId="21" fillId="4" borderId="0" xfId="17" applyFont="1" applyFill="1" applyBorder="1"/>
    <xf numFmtId="0" fontId="21" fillId="5" borderId="0" xfId="17" applyFont="1" applyFill="1" applyBorder="1"/>
    <xf numFmtId="179" fontId="4" fillId="4" borderId="16" xfId="21" applyNumberFormat="1" applyFont="1" applyFill="1" applyBorder="1"/>
    <xf numFmtId="182" fontId="19" fillId="0" borderId="8" xfId="17" applyNumberFormat="1" applyFont="1" applyBorder="1"/>
    <xf numFmtId="5" fontId="19" fillId="0" borderId="9" xfId="17" applyNumberFormat="1" applyFont="1" applyBorder="1"/>
    <xf numFmtId="182" fontId="19" fillId="4" borderId="17" xfId="19" applyNumberFormat="1" applyFont="1" applyFill="1" applyBorder="1" applyAlignment="1" applyProtection="1">
      <alignment horizontal="left"/>
      <protection locked="0"/>
    </xf>
    <xf numFmtId="182" fontId="29" fillId="4" borderId="18" xfId="17" applyNumberFormat="1" applyFont="1" applyFill="1" applyBorder="1"/>
    <xf numFmtId="182" fontId="29" fillId="4" borderId="17" xfId="17" applyNumberFormat="1" applyFont="1" applyFill="1" applyBorder="1"/>
    <xf numFmtId="182" fontId="31" fillId="4" borderId="17" xfId="17" applyNumberFormat="1" applyFont="1" applyFill="1" applyBorder="1"/>
    <xf numFmtId="182" fontId="29" fillId="4" borderId="22" xfId="17" applyNumberFormat="1" applyFont="1" applyFill="1" applyBorder="1"/>
    <xf numFmtId="182" fontId="29" fillId="8" borderId="18" xfId="17" applyNumberFormat="1" applyFont="1" applyFill="1" applyBorder="1"/>
    <xf numFmtId="182" fontId="41" fillId="4" borderId="17" xfId="27" applyNumberFormat="1" applyFont="1" applyFill="1" applyBorder="1" applyAlignment="1">
      <alignment horizontal="left"/>
    </xf>
    <xf numFmtId="179" fontId="4" fillId="4" borderId="7" xfId="21" applyNumberFormat="1" applyFont="1" applyFill="1" applyBorder="1"/>
    <xf numFmtId="179" fontId="4" fillId="8" borderId="7" xfId="21" applyNumberFormat="1" applyFont="1" applyFill="1" applyBorder="1"/>
    <xf numFmtId="182" fontId="4" fillId="8" borderId="3" xfId="17" applyNumberFormat="1" applyFont="1" applyFill="1" applyBorder="1"/>
    <xf numFmtId="182" fontId="4" fillId="8" borderId="0" xfId="17" applyNumberFormat="1" applyFont="1" applyFill="1" applyBorder="1"/>
    <xf numFmtId="7" fontId="19" fillId="8" borderId="0" xfId="10" applyNumberFormat="1" applyFont="1" applyFill="1" applyBorder="1"/>
    <xf numFmtId="0" fontId="22" fillId="12" borderId="8" xfId="19" applyFont="1" applyFill="1" applyBorder="1" applyAlignment="1" applyProtection="1">
      <alignment horizontal="center"/>
    </xf>
    <xf numFmtId="182" fontId="29" fillId="8" borderId="8" xfId="17" applyNumberFormat="1" applyFont="1" applyFill="1" applyBorder="1"/>
    <xf numFmtId="169" fontId="4" fillId="8" borderId="5" xfId="10" applyNumberFormat="1" applyFont="1" applyFill="1" applyBorder="1"/>
    <xf numFmtId="182" fontId="19" fillId="4" borderId="9" xfId="10" applyNumberFormat="1" applyFont="1" applyFill="1" applyBorder="1"/>
    <xf numFmtId="182" fontId="4" fillId="8" borderId="9" xfId="17" applyNumberFormat="1" applyFont="1" applyFill="1" applyBorder="1"/>
    <xf numFmtId="182" fontId="4" fillId="8" borderId="9" xfId="10" applyNumberFormat="1" applyFont="1" applyFill="1" applyBorder="1"/>
    <xf numFmtId="192" fontId="31" fillId="0" borderId="5" xfId="10" applyNumberFormat="1" applyFont="1" applyFill="1" applyBorder="1"/>
    <xf numFmtId="179" fontId="20" fillId="0" borderId="5" xfId="21" applyNumberFormat="1" applyFont="1" applyBorder="1"/>
    <xf numFmtId="192" fontId="31" fillId="0" borderId="5" xfId="10" applyNumberFormat="1" applyFont="1" applyBorder="1"/>
    <xf numFmtId="169" fontId="31" fillId="0" borderId="5" xfId="10" applyNumberFormat="1" applyFont="1" applyFill="1" applyBorder="1"/>
    <xf numFmtId="9" fontId="31" fillId="0" borderId="5" xfId="10" applyNumberFormat="1" applyFont="1" applyFill="1" applyBorder="1"/>
    <xf numFmtId="167" fontId="19" fillId="3" borderId="0" xfId="17" applyNumberFormat="1" applyFont="1" applyFill="1" applyBorder="1" applyAlignment="1">
      <alignment horizontal="left"/>
    </xf>
    <xf numFmtId="7" fontId="19" fillId="3" borderId="0" xfId="17" applyNumberFormat="1" applyFont="1" applyFill="1" applyAlignment="1">
      <alignment horizontal="left"/>
    </xf>
    <xf numFmtId="182" fontId="4" fillId="3" borderId="0" xfId="10" applyNumberFormat="1" applyFont="1" applyFill="1" applyBorder="1" applyAlignment="1">
      <alignment horizontal="left"/>
    </xf>
    <xf numFmtId="179" fontId="3" fillId="0" borderId="0" xfId="21" applyNumberFormat="1" applyFont="1"/>
    <xf numFmtId="5" fontId="17" fillId="0" borderId="0" xfId="11" applyNumberFormat="1" applyFont="1"/>
    <xf numFmtId="5" fontId="68" fillId="0" borderId="0" xfId="11" applyNumberFormat="1" applyFont="1"/>
    <xf numFmtId="6" fontId="68" fillId="0" borderId="0" xfId="11" applyNumberFormat="1" applyFont="1"/>
    <xf numFmtId="6" fontId="5" fillId="0" borderId="0" xfId="11" applyNumberFormat="1" applyFont="1"/>
    <xf numFmtId="6" fontId="5" fillId="0" borderId="4" xfId="16" applyNumberFormat="1" applyFont="1" applyFill="1" applyBorder="1"/>
    <xf numFmtId="6" fontId="5" fillId="0" borderId="25" xfId="16" applyNumberFormat="1" applyFont="1" applyFill="1" applyBorder="1"/>
    <xf numFmtId="43" fontId="3" fillId="0" borderId="0" xfId="11" applyNumberFormat="1" applyFont="1"/>
    <xf numFmtId="165" fontId="4" fillId="4" borderId="17" xfId="10" applyNumberFormat="1" applyFont="1" applyFill="1" applyBorder="1"/>
    <xf numFmtId="165" fontId="72" fillId="4" borderId="8" xfId="10" applyNumberFormat="1" applyFont="1" applyFill="1" applyBorder="1"/>
    <xf numFmtId="6" fontId="29" fillId="4" borderId="9" xfId="17" applyNumberFormat="1" applyFont="1" applyFill="1" applyBorder="1"/>
    <xf numFmtId="6" fontId="29" fillId="4" borderId="0" xfId="17" applyNumberFormat="1" applyFont="1" applyFill="1" applyBorder="1"/>
    <xf numFmtId="6" fontId="4" fillId="4" borderId="8" xfId="17" applyNumberFormat="1" applyFont="1" applyFill="1" applyBorder="1"/>
    <xf numFmtId="6" fontId="5" fillId="11" borderId="4" xfId="16" applyNumberFormat="1" applyFont="1" applyFill="1" applyBorder="1"/>
    <xf numFmtId="6" fontId="5" fillId="11" borderId="25" xfId="16" applyNumberFormat="1" applyFont="1" applyFill="1" applyBorder="1"/>
    <xf numFmtId="6" fontId="3" fillId="0" borderId="0" xfId="16" applyNumberFormat="1" applyFont="1"/>
    <xf numFmtId="6" fontId="67" fillId="0" borderId="0" xfId="16" applyNumberFormat="1" applyFont="1"/>
    <xf numFmtId="179" fontId="17" fillId="0" borderId="28" xfId="21" applyNumberFormat="1" applyFont="1" applyBorder="1" applyAlignment="1">
      <alignment horizontal="right"/>
    </xf>
    <xf numFmtId="165" fontId="67" fillId="0" borderId="0" xfId="10" applyNumberFormat="1" applyFont="1"/>
    <xf numFmtId="179" fontId="17" fillId="0" borderId="0" xfId="16" applyNumberFormat="1" applyFont="1"/>
    <xf numFmtId="43" fontId="36" fillId="6" borderId="8" xfId="10" applyFont="1" applyFill="1" applyBorder="1"/>
    <xf numFmtId="10" fontId="3" fillId="0" borderId="0" xfId="16" applyNumberFormat="1" applyFont="1"/>
    <xf numFmtId="182" fontId="29" fillId="0" borderId="0" xfId="0" applyNumberFormat="1" applyFont="1"/>
    <xf numFmtId="0" fontId="4" fillId="0" borderId="0" xfId="0" applyFont="1"/>
    <xf numFmtId="0" fontId="19" fillId="0" borderId="0" xfId="0" applyFont="1"/>
    <xf numFmtId="0" fontId="19" fillId="0" borderId="8" xfId="0" applyFont="1" applyBorder="1"/>
    <xf numFmtId="182" fontId="19" fillId="0" borderId="8" xfId="10" applyNumberFormat="1" applyFont="1" applyFill="1" applyBorder="1"/>
    <xf numFmtId="1" fontId="3" fillId="0" borderId="0" xfId="16" applyNumberFormat="1" applyFont="1" applyFill="1"/>
    <xf numFmtId="179" fontId="3" fillId="0" borderId="0" xfId="21" applyNumberFormat="1" applyFont="1" applyFill="1"/>
    <xf numFmtId="9" fontId="3" fillId="0" borderId="0" xfId="21" applyFont="1"/>
    <xf numFmtId="0" fontId="2" fillId="0" borderId="0" xfId="16" applyFont="1"/>
    <xf numFmtId="10" fontId="5" fillId="0" borderId="0" xfId="21" applyNumberFormat="1" applyFont="1"/>
    <xf numFmtId="40" fontId="3" fillId="0" borderId="0" xfId="16" applyNumberFormat="1" applyFont="1"/>
    <xf numFmtId="38" fontId="3" fillId="0" borderId="0" xfId="16" applyNumberFormat="1" applyFont="1"/>
    <xf numFmtId="38" fontId="5" fillId="0" borderId="0" xfId="16" applyNumberFormat="1" applyFont="1"/>
    <xf numFmtId="0" fontId="5" fillId="0" borderId="0" xfId="16" applyNumberFormat="1" applyFont="1"/>
    <xf numFmtId="0" fontId="2" fillId="0" borderId="0" xfId="75"/>
    <xf numFmtId="165" fontId="4" fillId="4" borderId="0" xfId="10" applyNumberFormat="1" applyFont="1" applyFill="1" applyBorder="1"/>
    <xf numFmtId="179" fontId="4" fillId="4" borderId="9" xfId="17" applyNumberFormat="1" applyFont="1" applyFill="1" applyBorder="1"/>
    <xf numFmtId="5" fontId="4" fillId="4" borderId="12" xfId="17" applyNumberFormat="1" applyFont="1" applyFill="1" applyBorder="1"/>
    <xf numFmtId="182" fontId="4" fillId="4" borderId="22" xfId="17" applyNumberFormat="1" applyFont="1" applyFill="1" applyBorder="1"/>
    <xf numFmtId="182" fontId="4" fillId="4" borderId="17" xfId="17" applyNumberFormat="1" applyFont="1" applyFill="1" applyBorder="1"/>
    <xf numFmtId="10" fontId="4" fillId="0" borderId="0" xfId="10" applyNumberFormat="1" applyFont="1" applyFill="1" applyBorder="1"/>
    <xf numFmtId="167" fontId="29" fillId="4" borderId="0" xfId="17" applyNumberFormat="1" applyFont="1" applyFill="1" applyBorder="1" applyAlignment="1">
      <alignment horizontal="right"/>
    </xf>
    <xf numFmtId="182" fontId="4" fillId="8" borderId="0" xfId="10" applyNumberFormat="1" applyFont="1" applyFill="1" applyBorder="1"/>
    <xf numFmtId="192" fontId="4" fillId="0" borderId="0" xfId="10" applyNumberFormat="1" applyFont="1" applyFill="1" applyBorder="1"/>
    <xf numFmtId="179" fontId="4" fillId="0" borderId="0" xfId="21" applyNumberFormat="1" applyFont="1" applyFill="1" applyBorder="1"/>
    <xf numFmtId="192" fontId="4" fillId="0" borderId="0" xfId="10" applyNumberFormat="1" applyFont="1" applyBorder="1"/>
    <xf numFmtId="9" fontId="4" fillId="0" borderId="0" xfId="10" applyNumberFormat="1" applyFont="1" applyFill="1" applyBorder="1"/>
    <xf numFmtId="5" fontId="4" fillId="4" borderId="17" xfId="17" applyNumberFormat="1" applyFont="1" applyFill="1" applyBorder="1"/>
    <xf numFmtId="9" fontId="2" fillId="0" borderId="0" xfId="16" applyNumberFormat="1" applyFont="1"/>
    <xf numFmtId="180" fontId="4" fillId="3" borderId="0" xfId="17" applyNumberFormat="1" applyFont="1" applyFill="1" applyAlignment="1">
      <alignment horizontal="left"/>
    </xf>
    <xf numFmtId="7" fontId="19" fillId="3" borderId="0" xfId="17" applyNumberFormat="1" applyFont="1" applyFill="1" applyBorder="1" applyAlignment="1">
      <alignment horizontal="left"/>
    </xf>
    <xf numFmtId="37" fontId="4" fillId="3" borderId="0" xfId="17" applyNumberFormat="1" applyFont="1" applyFill="1" applyAlignment="1">
      <alignment horizontal="left"/>
    </xf>
    <xf numFmtId="37" fontId="4" fillId="3" borderId="0" xfId="17" quotePrefix="1" applyNumberFormat="1" applyFont="1" applyFill="1" applyAlignment="1">
      <alignment horizontal="left"/>
    </xf>
    <xf numFmtId="182" fontId="4" fillId="3" borderId="0" xfId="0" applyNumberFormat="1" applyFont="1" applyFill="1"/>
    <xf numFmtId="169" fontId="4" fillId="3" borderId="0" xfId="0" applyNumberFormat="1" applyFont="1" applyFill="1"/>
    <xf numFmtId="5" fontId="4" fillId="3" borderId="0" xfId="17" quotePrefix="1" applyNumberFormat="1" applyFont="1" applyFill="1" applyAlignment="1">
      <alignment horizontal="left"/>
    </xf>
    <xf numFmtId="167" fontId="4" fillId="3" borderId="0" xfId="17" applyNumberFormat="1" applyFont="1" applyFill="1" applyAlignment="1">
      <alignment horizontal="left"/>
    </xf>
    <xf numFmtId="9" fontId="4" fillId="3" borderId="0" xfId="21" applyFont="1" applyFill="1" applyAlignment="1">
      <alignment horizontal="left"/>
    </xf>
    <xf numFmtId="202" fontId="4" fillId="3" borderId="0" xfId="17" applyNumberFormat="1" applyFont="1" applyFill="1" applyAlignment="1">
      <alignment horizontal="left"/>
    </xf>
    <xf numFmtId="182" fontId="4" fillId="3" borderId="0" xfId="0" applyNumberFormat="1" applyFont="1" applyFill="1" applyBorder="1" applyAlignment="1">
      <alignment horizontal="left"/>
    </xf>
    <xf numFmtId="179" fontId="4" fillId="3" borderId="0" xfId="17" applyNumberFormat="1" applyFont="1" applyFill="1" applyAlignment="1">
      <alignment horizontal="left"/>
    </xf>
    <xf numFmtId="179" fontId="4" fillId="3" borderId="0" xfId="17" quotePrefix="1" applyNumberFormat="1" applyFont="1" applyFill="1" applyAlignment="1">
      <alignment horizontal="left"/>
    </xf>
    <xf numFmtId="179" fontId="4" fillId="3" borderId="0" xfId="17" applyNumberFormat="1" applyFont="1" applyFill="1" applyBorder="1" applyAlignment="1">
      <alignment horizontal="left"/>
    </xf>
    <xf numFmtId="0" fontId="4" fillId="3" borderId="0" xfId="0" applyFont="1" applyFill="1" applyAlignment="1">
      <alignment horizontal="left"/>
    </xf>
    <xf numFmtId="9" fontId="4" fillId="3" borderId="0" xfId="17" quotePrefix="1" applyNumberFormat="1" applyFont="1" applyFill="1" applyAlignment="1">
      <alignment horizontal="left"/>
    </xf>
    <xf numFmtId="179" fontId="4" fillId="3" borderId="0" xfId="21" applyNumberFormat="1" applyFont="1" applyFill="1" applyAlignment="1">
      <alignment horizontal="left"/>
    </xf>
    <xf numFmtId="0" fontId="23" fillId="3" borderId="0" xfId="17" applyFont="1" applyFill="1" applyAlignment="1">
      <alignment horizontal="left"/>
    </xf>
    <xf numFmtId="182" fontId="4" fillId="3" borderId="0" xfId="17" quotePrefix="1" applyNumberFormat="1" applyFont="1" applyFill="1" applyAlignment="1">
      <alignment horizontal="left"/>
    </xf>
    <xf numFmtId="10" fontId="4" fillId="3" borderId="0" xfId="0" applyNumberFormat="1" applyFont="1" applyFill="1" applyBorder="1" applyAlignment="1">
      <alignment horizontal="left"/>
    </xf>
    <xf numFmtId="10" fontId="4" fillId="3" borderId="0" xfId="17" applyNumberFormat="1" applyFont="1" applyFill="1" applyBorder="1" applyAlignment="1">
      <alignment horizontal="left"/>
    </xf>
    <xf numFmtId="192" fontId="4" fillId="3" borderId="0" xfId="17" applyNumberFormat="1" applyFont="1" applyFill="1" applyBorder="1"/>
    <xf numFmtId="206" fontId="4" fillId="3" borderId="0" xfId="17" applyNumberFormat="1" applyFont="1" applyFill="1" applyBorder="1"/>
    <xf numFmtId="3" fontId="4" fillId="3" borderId="0" xfId="0" applyNumberFormat="1" applyFont="1" applyFill="1" applyBorder="1" applyAlignment="1">
      <alignment horizontal="left"/>
    </xf>
    <xf numFmtId="3" fontId="4" fillId="3" borderId="0" xfId="17" applyNumberFormat="1" applyFont="1" applyFill="1" applyBorder="1" applyAlignment="1">
      <alignment horizontal="left"/>
    </xf>
    <xf numFmtId="0" fontId="2" fillId="3" borderId="0" xfId="17" applyNumberFormat="1" applyFont="1" applyFill="1" applyAlignment="1">
      <alignment horizontal="left"/>
    </xf>
    <xf numFmtId="5" fontId="4" fillId="3" borderId="0" xfId="0" applyNumberFormat="1" applyFont="1" applyFill="1" applyBorder="1" applyAlignment="1">
      <alignment horizontal="left"/>
    </xf>
    <xf numFmtId="5" fontId="4" fillId="3" borderId="0" xfId="17" applyNumberFormat="1" applyFont="1" applyFill="1" applyBorder="1" applyAlignment="1">
      <alignment horizontal="left"/>
    </xf>
    <xf numFmtId="165" fontId="4" fillId="0" borderId="0" xfId="10" applyNumberFormat="1" applyFont="1" applyFill="1" applyBorder="1"/>
    <xf numFmtId="9" fontId="4" fillId="0" borderId="0" xfId="17" applyNumberFormat="1" applyFont="1" applyFill="1" applyBorder="1"/>
    <xf numFmtId="0" fontId="29" fillId="0" borderId="5" xfId="0" applyFont="1" applyBorder="1"/>
    <xf numFmtId="182" fontId="19" fillId="0" borderId="9" xfId="10" applyNumberFormat="1" applyFont="1" applyFill="1" applyBorder="1"/>
    <xf numFmtId="182" fontId="19" fillId="0" borderId="0" xfId="10" applyNumberFormat="1" applyFont="1" applyFill="1" applyBorder="1"/>
    <xf numFmtId="182" fontId="19" fillId="0" borderId="5" xfId="10" applyNumberFormat="1" applyFont="1" applyFill="1" applyBorder="1"/>
    <xf numFmtId="192" fontId="4" fillId="0" borderId="0" xfId="17" applyNumberFormat="1" applyFont="1" applyFill="1" applyBorder="1"/>
    <xf numFmtId="179" fontId="4" fillId="0" borderId="0" xfId="17" applyNumberFormat="1" applyFont="1" applyFill="1" applyBorder="1"/>
    <xf numFmtId="176" fontId="29" fillId="0" borderId="0" xfId="17" applyNumberFormat="1" applyFont="1" applyFill="1" applyBorder="1"/>
    <xf numFmtId="37" fontId="19" fillId="4" borderId="17" xfId="19" applyNumberFormat="1" applyFont="1" applyFill="1" applyBorder="1" applyAlignment="1" applyProtection="1">
      <alignment horizontal="left"/>
      <protection locked="0"/>
    </xf>
    <xf numFmtId="37" fontId="29" fillId="4" borderId="0" xfId="19" applyNumberFormat="1" applyFont="1" applyFill="1" applyBorder="1" applyAlignment="1" applyProtection="1">
      <alignment horizontal="left" indent="1"/>
      <protection locked="0"/>
    </xf>
    <xf numFmtId="9" fontId="4" fillId="4" borderId="9" xfId="17" applyNumberFormat="1" applyFont="1" applyFill="1" applyBorder="1"/>
    <xf numFmtId="169" fontId="4" fillId="3" borderId="0" xfId="17" applyNumberFormat="1" applyFont="1" applyFill="1" applyBorder="1" applyAlignment="1">
      <alignment horizontal="left"/>
    </xf>
    <xf numFmtId="176" fontId="29" fillId="4" borderId="39" xfId="17" applyNumberFormat="1" applyFont="1" applyFill="1" applyBorder="1"/>
    <xf numFmtId="179" fontId="29" fillId="4" borderId="39" xfId="17" applyNumberFormat="1" applyFont="1" applyFill="1" applyBorder="1"/>
    <xf numFmtId="6" fontId="29" fillId="4" borderId="39" xfId="17" applyNumberFormat="1" applyFont="1" applyFill="1" applyBorder="1"/>
    <xf numFmtId="165" fontId="4" fillId="4" borderId="39" xfId="10" applyNumberFormat="1" applyFont="1" applyFill="1" applyBorder="1"/>
    <xf numFmtId="37" fontId="29" fillId="4" borderId="39" xfId="17" applyNumberFormat="1" applyFont="1" applyFill="1" applyBorder="1"/>
    <xf numFmtId="176" fontId="4" fillId="4" borderId="39" xfId="17" applyNumberFormat="1" applyFont="1" applyFill="1" applyBorder="1"/>
    <xf numFmtId="5" fontId="4" fillId="4" borderId="39" xfId="17" applyNumberFormat="1" applyFont="1" applyFill="1" applyBorder="1"/>
    <xf numFmtId="5" fontId="4" fillId="0" borderId="39" xfId="17" applyNumberFormat="1" applyFont="1" applyBorder="1"/>
    <xf numFmtId="202" fontId="4" fillId="0" borderId="39" xfId="17" applyNumberFormat="1" applyFont="1" applyBorder="1"/>
    <xf numFmtId="202" fontId="4" fillId="0" borderId="39" xfId="17" applyNumberFormat="1" applyFont="1" applyFill="1" applyBorder="1"/>
    <xf numFmtId="182" fontId="38" fillId="9" borderId="39" xfId="17" applyNumberFormat="1" applyFont="1" applyFill="1" applyBorder="1"/>
    <xf numFmtId="9" fontId="29" fillId="4" borderId="39" xfId="17" applyNumberFormat="1" applyFont="1" applyFill="1" applyBorder="1"/>
    <xf numFmtId="182" fontId="38" fillId="3" borderId="39" xfId="17" applyNumberFormat="1" applyFont="1" applyFill="1" applyBorder="1"/>
    <xf numFmtId="5" fontId="38" fillId="3" borderId="39" xfId="17" applyNumberFormat="1" applyFont="1" applyFill="1" applyBorder="1"/>
    <xf numFmtId="182" fontId="19" fillId="4" borderId="39" xfId="17" applyNumberFormat="1" applyFont="1" applyFill="1" applyBorder="1"/>
    <xf numFmtId="9" fontId="4" fillId="4" borderId="39" xfId="17" applyNumberFormat="1" applyFont="1" applyFill="1" applyBorder="1"/>
    <xf numFmtId="5" fontId="36" fillId="6" borderId="39" xfId="17" applyNumberFormat="1" applyFont="1" applyFill="1" applyBorder="1"/>
    <xf numFmtId="176" fontId="19" fillId="3" borderId="39" xfId="17" applyNumberFormat="1" applyFont="1" applyFill="1" applyBorder="1"/>
    <xf numFmtId="192" fontId="4" fillId="4" borderId="39" xfId="17" applyNumberFormat="1" applyFont="1" applyFill="1" applyBorder="1"/>
    <xf numFmtId="176" fontId="23" fillId="4" borderId="39" xfId="17" applyNumberFormat="1" applyFont="1" applyFill="1" applyBorder="1"/>
    <xf numFmtId="182" fontId="38" fillId="4" borderId="39" xfId="10" applyNumberFormat="1" applyFont="1" applyFill="1" applyBorder="1"/>
    <xf numFmtId="182" fontId="29" fillId="0" borderId="39" xfId="10" applyNumberFormat="1" applyFont="1" applyFill="1" applyBorder="1"/>
    <xf numFmtId="10" fontId="29" fillId="0" borderId="39" xfId="10" applyNumberFormat="1" applyFont="1" applyFill="1" applyBorder="1"/>
    <xf numFmtId="5" fontId="19" fillId="4" borderId="39" xfId="17" applyNumberFormat="1" applyFont="1" applyFill="1" applyBorder="1"/>
    <xf numFmtId="182" fontId="38" fillId="4" borderId="39" xfId="17" applyNumberFormat="1" applyFont="1" applyFill="1" applyBorder="1"/>
    <xf numFmtId="182" fontId="29" fillId="4" borderId="39" xfId="17" applyNumberFormat="1" applyFont="1" applyFill="1" applyBorder="1"/>
    <xf numFmtId="176" fontId="29" fillId="0" borderId="39" xfId="17" applyNumberFormat="1" applyFont="1" applyBorder="1"/>
    <xf numFmtId="165" fontId="29" fillId="0" borderId="39" xfId="10" applyNumberFormat="1" applyFont="1" applyFill="1" applyBorder="1"/>
    <xf numFmtId="182" fontId="29" fillId="4" borderId="39" xfId="10" applyNumberFormat="1" applyFont="1" applyFill="1" applyBorder="1"/>
    <xf numFmtId="5" fontId="38" fillId="4" borderId="39" xfId="17" applyNumberFormat="1" applyFont="1" applyFill="1" applyBorder="1"/>
    <xf numFmtId="169" fontId="4" fillId="0" borderId="39" xfId="10" applyNumberFormat="1" applyFont="1" applyFill="1" applyBorder="1"/>
    <xf numFmtId="192" fontId="4" fillId="0" borderId="39" xfId="10" applyNumberFormat="1" applyFont="1" applyBorder="1"/>
    <xf numFmtId="169" fontId="19" fillId="0" borderId="39" xfId="10" applyNumberFormat="1" applyFont="1" applyFill="1" applyBorder="1"/>
    <xf numFmtId="167" fontId="29" fillId="4" borderId="39" xfId="17" applyNumberFormat="1" applyFont="1" applyFill="1" applyBorder="1"/>
    <xf numFmtId="7" fontId="19" fillId="0" borderId="39" xfId="17" applyNumberFormat="1" applyFont="1" applyFill="1" applyBorder="1"/>
    <xf numFmtId="176" fontId="19" fillId="4" borderId="39" xfId="17" applyNumberFormat="1" applyFont="1" applyFill="1" applyBorder="1"/>
    <xf numFmtId="0" fontId="29" fillId="5" borderId="39" xfId="17" applyFont="1" applyFill="1" applyBorder="1"/>
    <xf numFmtId="182" fontId="29" fillId="0" borderId="39" xfId="17" applyNumberFormat="1" applyFont="1" applyFill="1" applyBorder="1"/>
    <xf numFmtId="182" fontId="4" fillId="0" borderId="39" xfId="17" applyNumberFormat="1" applyFont="1" applyFill="1" applyBorder="1"/>
    <xf numFmtId="9" fontId="29" fillId="0" borderId="39" xfId="17" applyNumberFormat="1" applyFont="1" applyBorder="1"/>
    <xf numFmtId="9" fontId="24" fillId="0" borderId="39" xfId="21" applyFont="1" applyBorder="1"/>
    <xf numFmtId="182" fontId="4" fillId="0" borderId="39" xfId="10" applyNumberFormat="1" applyFont="1" applyFill="1" applyBorder="1"/>
    <xf numFmtId="182" fontId="4" fillId="0" borderId="39" xfId="10" applyNumberFormat="1" applyFont="1" applyBorder="1"/>
    <xf numFmtId="182" fontId="29" fillId="0" borderId="39" xfId="17" applyNumberFormat="1" applyFont="1" applyBorder="1"/>
    <xf numFmtId="167" fontId="29" fillId="3" borderId="39" xfId="17" applyNumberFormat="1" applyFont="1" applyFill="1" applyBorder="1"/>
    <xf numFmtId="192" fontId="29" fillId="0" borderId="39" xfId="10" applyNumberFormat="1" applyFont="1" applyFill="1" applyBorder="1"/>
    <xf numFmtId="192" fontId="31" fillId="0" borderId="39" xfId="10" applyNumberFormat="1" applyFont="1" applyFill="1" applyBorder="1"/>
    <xf numFmtId="182" fontId="29" fillId="0" borderId="39" xfId="10" applyNumberFormat="1" applyFont="1" applyBorder="1"/>
    <xf numFmtId="179" fontId="29" fillId="0" borderId="39" xfId="21" applyNumberFormat="1" applyFont="1" applyFill="1" applyBorder="1"/>
    <xf numFmtId="179" fontId="4" fillId="0" borderId="39" xfId="21" applyNumberFormat="1" applyFont="1" applyBorder="1"/>
    <xf numFmtId="182" fontId="29" fillId="3" borderId="39" xfId="17" applyNumberFormat="1" applyFont="1" applyFill="1" applyBorder="1"/>
    <xf numFmtId="192" fontId="29" fillId="0" borderId="39" xfId="10" applyNumberFormat="1" applyFont="1" applyBorder="1"/>
    <xf numFmtId="169" fontId="29" fillId="0" borderId="39" xfId="10" applyNumberFormat="1" applyFont="1" applyBorder="1"/>
    <xf numFmtId="9" fontId="29" fillId="0" borderId="39" xfId="17" applyNumberFormat="1" applyFont="1" applyFill="1" applyBorder="1"/>
    <xf numFmtId="182" fontId="32" fillId="0" borderId="39" xfId="10" applyNumberFormat="1" applyFont="1" applyFill="1" applyBorder="1"/>
    <xf numFmtId="167" fontId="46" fillId="0" borderId="39" xfId="10" applyNumberFormat="1" applyFont="1" applyBorder="1"/>
    <xf numFmtId="39" fontId="29" fillId="0" borderId="39" xfId="17" applyNumberFormat="1" applyFont="1" applyBorder="1"/>
    <xf numFmtId="0" fontId="39" fillId="7" borderId="39" xfId="17" applyFont="1" applyFill="1" applyBorder="1"/>
    <xf numFmtId="165" fontId="29" fillId="0" borderId="39" xfId="10" applyNumberFormat="1" applyFont="1" applyBorder="1"/>
    <xf numFmtId="5" fontId="29" fillId="0" borderId="39" xfId="17" applyNumberFormat="1" applyFont="1" applyBorder="1"/>
    <xf numFmtId="165" fontId="31" fillId="0" borderId="39" xfId="10" applyNumberFormat="1" applyFont="1" applyBorder="1"/>
    <xf numFmtId="0" fontId="29" fillId="0" borderId="39" xfId="17" applyFont="1" applyBorder="1"/>
    <xf numFmtId="0" fontId="29" fillId="4" borderId="39" xfId="17" applyFont="1" applyFill="1" applyBorder="1"/>
    <xf numFmtId="0" fontId="29" fillId="0" borderId="39" xfId="0" applyFont="1" applyBorder="1"/>
    <xf numFmtId="182" fontId="19" fillId="0" borderId="39" xfId="10" applyNumberFormat="1" applyFont="1" applyFill="1" applyBorder="1"/>
    <xf numFmtId="0" fontId="22" fillId="5" borderId="28" xfId="17" applyFont="1" applyFill="1" applyBorder="1" applyAlignment="1">
      <alignment horizontal="center"/>
    </xf>
    <xf numFmtId="0" fontId="36" fillId="5" borderId="5" xfId="17" applyFont="1" applyFill="1" applyBorder="1"/>
    <xf numFmtId="5" fontId="36" fillId="6" borderId="5" xfId="17" applyNumberFormat="1" applyFont="1" applyFill="1" applyBorder="1"/>
    <xf numFmtId="182" fontId="38" fillId="3" borderId="5" xfId="17" applyNumberFormat="1" applyFont="1" applyFill="1" applyBorder="1"/>
    <xf numFmtId="176" fontId="31" fillId="4" borderId="5" xfId="17" applyNumberFormat="1" applyFont="1" applyFill="1" applyBorder="1"/>
    <xf numFmtId="176" fontId="29" fillId="4" borderId="5" xfId="17" applyNumberFormat="1" applyFont="1" applyFill="1" applyBorder="1"/>
    <xf numFmtId="5" fontId="29" fillId="4" borderId="25" xfId="17" applyNumberFormat="1" applyFont="1" applyFill="1" applyBorder="1"/>
    <xf numFmtId="9" fontId="29" fillId="4" borderId="5" xfId="17" applyNumberFormat="1" applyFont="1" applyFill="1" applyBorder="1"/>
    <xf numFmtId="9" fontId="31" fillId="4" borderId="5" xfId="17" applyNumberFormat="1" applyFont="1" applyFill="1" applyBorder="1"/>
    <xf numFmtId="37" fontId="29" fillId="4" borderId="29" xfId="17" applyNumberFormat="1" applyFont="1" applyFill="1" applyBorder="1"/>
    <xf numFmtId="37" fontId="29" fillId="4" borderId="5" xfId="17" applyNumberFormat="1" applyFont="1" applyFill="1" applyBorder="1"/>
    <xf numFmtId="5" fontId="4" fillId="4" borderId="5" xfId="17" applyNumberFormat="1" applyFont="1" applyFill="1" applyBorder="1"/>
    <xf numFmtId="182" fontId="4" fillId="4" borderId="5" xfId="17" applyNumberFormat="1" applyFont="1" applyFill="1" applyBorder="1"/>
    <xf numFmtId="202" fontId="4" fillId="0" borderId="5" xfId="17" applyNumberFormat="1" applyFont="1" applyFill="1" applyBorder="1"/>
    <xf numFmtId="182" fontId="38" fillId="9" borderId="5" xfId="17" applyNumberFormat="1" applyFont="1" applyFill="1" applyBorder="1"/>
    <xf numFmtId="182" fontId="29" fillId="4" borderId="29" xfId="17" applyNumberFormat="1" applyFont="1" applyFill="1" applyBorder="1"/>
    <xf numFmtId="5" fontId="38" fillId="3" borderId="5" xfId="17" applyNumberFormat="1" applyFont="1" applyFill="1" applyBorder="1"/>
    <xf numFmtId="5" fontId="19" fillId="0" borderId="5" xfId="17" applyNumberFormat="1" applyFont="1" applyBorder="1"/>
    <xf numFmtId="5" fontId="4" fillId="4" borderId="40" xfId="17" applyNumberFormat="1" applyFont="1" applyFill="1" applyBorder="1"/>
    <xf numFmtId="182" fontId="19" fillId="4" borderId="5" xfId="17" applyNumberFormat="1" applyFont="1" applyFill="1" applyBorder="1"/>
    <xf numFmtId="9" fontId="4" fillId="4" borderId="5" xfId="17" applyNumberFormat="1" applyFont="1" applyFill="1" applyBorder="1"/>
    <xf numFmtId="5" fontId="38" fillId="4" borderId="29" xfId="17" applyNumberFormat="1" applyFont="1" applyFill="1" applyBorder="1"/>
    <xf numFmtId="9" fontId="4" fillId="0" borderId="5" xfId="17" applyNumberFormat="1" applyFont="1" applyBorder="1"/>
    <xf numFmtId="176" fontId="45" fillId="3" borderId="5" xfId="17" applyNumberFormat="1" applyFont="1" applyFill="1" applyBorder="1"/>
    <xf numFmtId="176" fontId="23" fillId="4" borderId="5" xfId="17" applyNumberFormat="1" applyFont="1" applyFill="1" applyBorder="1"/>
    <xf numFmtId="182" fontId="38" fillId="4" borderId="5" xfId="10" applyNumberFormat="1" applyFont="1" applyFill="1" applyBorder="1"/>
    <xf numFmtId="10" fontId="31" fillId="0" borderId="5" xfId="10" applyNumberFormat="1" applyFont="1" applyFill="1" applyBorder="1"/>
    <xf numFmtId="176" fontId="49" fillId="0" borderId="9" xfId="17" applyNumberFormat="1" applyFont="1" applyFill="1" applyBorder="1"/>
    <xf numFmtId="5" fontId="29" fillId="4" borderId="5" xfId="17" applyNumberFormat="1" applyFont="1" applyFill="1" applyBorder="1"/>
    <xf numFmtId="182" fontId="29" fillId="4" borderId="5" xfId="17" applyNumberFormat="1" applyFont="1" applyFill="1" applyBorder="1"/>
    <xf numFmtId="182" fontId="32" fillId="0" borderId="5" xfId="17" applyNumberFormat="1" applyFont="1" applyBorder="1"/>
    <xf numFmtId="176" fontId="29" fillId="0" borderId="5" xfId="17" applyNumberFormat="1" applyFont="1" applyBorder="1"/>
    <xf numFmtId="7" fontId="4" fillId="6" borderId="40" xfId="27" applyNumberFormat="1" applyFont="1" applyFill="1" applyBorder="1"/>
    <xf numFmtId="182" fontId="31" fillId="0" borderId="29" xfId="10" applyNumberFormat="1" applyFont="1" applyFill="1" applyBorder="1"/>
    <xf numFmtId="165" fontId="31" fillId="0" borderId="5" xfId="10" applyNumberFormat="1" applyFont="1" applyFill="1" applyBorder="1"/>
    <xf numFmtId="165" fontId="31" fillId="4" borderId="5" xfId="10" applyNumberFormat="1" applyFont="1" applyFill="1" applyBorder="1"/>
    <xf numFmtId="3" fontId="43" fillId="0" borderId="5" xfId="10" applyNumberFormat="1" applyFont="1" applyFill="1" applyBorder="1"/>
    <xf numFmtId="5" fontId="33" fillId="4" borderId="5" xfId="17" applyNumberFormat="1" applyFont="1" applyFill="1" applyBorder="1"/>
    <xf numFmtId="182" fontId="29" fillId="4" borderId="5" xfId="10" applyNumberFormat="1" applyFont="1" applyFill="1" applyBorder="1"/>
    <xf numFmtId="5" fontId="38" fillId="4" borderId="5" xfId="17" applyNumberFormat="1" applyFont="1" applyFill="1" applyBorder="1"/>
    <xf numFmtId="7" fontId="38" fillId="4" borderId="25" xfId="17" applyNumberFormat="1" applyFont="1" applyFill="1" applyBorder="1"/>
    <xf numFmtId="176" fontId="29" fillId="3" borderId="5" xfId="17" applyNumberFormat="1" applyFont="1" applyFill="1" applyBorder="1"/>
    <xf numFmtId="182" fontId="31" fillId="4" borderId="5" xfId="10" applyNumberFormat="1" applyFont="1" applyFill="1" applyBorder="1"/>
    <xf numFmtId="192" fontId="29" fillId="4" borderId="5" xfId="17" applyNumberFormat="1" applyFont="1" applyFill="1" applyBorder="1"/>
    <xf numFmtId="179" fontId="31" fillId="4" borderId="5" xfId="17" applyNumberFormat="1" applyFont="1" applyFill="1" applyBorder="1"/>
    <xf numFmtId="167" fontId="29" fillId="4" borderId="5" xfId="17" applyNumberFormat="1" applyFont="1" applyFill="1" applyBorder="1"/>
    <xf numFmtId="7" fontId="45" fillId="0" borderId="5" xfId="17" applyNumberFormat="1" applyFont="1" applyFill="1" applyBorder="1"/>
    <xf numFmtId="176" fontId="19" fillId="4" borderId="5" xfId="17" applyNumberFormat="1" applyFont="1" applyFill="1" applyBorder="1"/>
    <xf numFmtId="0" fontId="29" fillId="5" borderId="5" xfId="17" applyFont="1" applyFill="1" applyBorder="1"/>
    <xf numFmtId="182" fontId="31" fillId="0" borderId="5" xfId="17" applyNumberFormat="1" applyFont="1" applyFill="1" applyBorder="1"/>
    <xf numFmtId="182" fontId="31" fillId="0" borderId="5" xfId="10" applyNumberFormat="1" applyFont="1" applyFill="1" applyBorder="1"/>
    <xf numFmtId="182" fontId="38" fillId="3" borderId="25" xfId="17" applyNumberFormat="1" applyFont="1" applyFill="1" applyBorder="1"/>
    <xf numFmtId="9" fontId="29" fillId="0" borderId="5" xfId="17" applyNumberFormat="1" applyFont="1" applyBorder="1"/>
    <xf numFmtId="182" fontId="19" fillId="0" borderId="41" xfId="17" applyNumberFormat="1" applyFont="1" applyBorder="1"/>
    <xf numFmtId="9" fontId="24" fillId="0" borderId="5" xfId="21" applyFont="1" applyBorder="1"/>
    <xf numFmtId="182" fontId="31" fillId="0" borderId="5" xfId="10" applyNumberFormat="1" applyFont="1" applyBorder="1"/>
    <xf numFmtId="182" fontId="29" fillId="0" borderId="5" xfId="17" applyNumberFormat="1" applyFont="1" applyBorder="1"/>
    <xf numFmtId="167" fontId="29" fillId="3" borderId="5" xfId="17" applyNumberFormat="1" applyFont="1" applyFill="1" applyBorder="1"/>
    <xf numFmtId="179" fontId="31" fillId="0" borderId="5" xfId="10" applyNumberFormat="1" applyFont="1" applyBorder="1"/>
    <xf numFmtId="167" fontId="46" fillId="0" borderId="5" xfId="10" applyNumberFormat="1" applyFont="1" applyBorder="1"/>
    <xf numFmtId="39" fontId="29" fillId="0" borderId="5" xfId="17" applyNumberFormat="1" applyFont="1" applyBorder="1"/>
    <xf numFmtId="0" fontId="39" fillId="7" borderId="5" xfId="17" applyFont="1" applyFill="1" applyBorder="1"/>
    <xf numFmtId="165" fontId="29" fillId="0" borderId="5" xfId="10" applyNumberFormat="1" applyFont="1" applyBorder="1"/>
    <xf numFmtId="165" fontId="29" fillId="0" borderId="5" xfId="10" applyNumberFormat="1" applyFont="1" applyFill="1" applyBorder="1"/>
    <xf numFmtId="5" fontId="29" fillId="0" borderId="5" xfId="17" applyNumberFormat="1" applyFont="1" applyBorder="1"/>
    <xf numFmtId="165" fontId="31" fillId="0" borderId="5" xfId="10" applyNumberFormat="1" applyFont="1" applyBorder="1"/>
    <xf numFmtId="0" fontId="29" fillId="0" borderId="5" xfId="17" applyFont="1" applyBorder="1"/>
    <xf numFmtId="0" fontId="29" fillId="4" borderId="5" xfId="17" applyFont="1" applyFill="1" applyBorder="1"/>
    <xf numFmtId="6" fontId="29" fillId="4" borderId="5" xfId="17" applyNumberFormat="1" applyFont="1" applyFill="1" applyBorder="1"/>
    <xf numFmtId="37" fontId="72" fillId="4" borderId="9" xfId="17" applyNumberFormat="1" applyFont="1" applyFill="1" applyBorder="1"/>
    <xf numFmtId="37" fontId="72" fillId="4" borderId="0" xfId="17" applyNumberFormat="1" applyFont="1" applyFill="1" applyBorder="1"/>
    <xf numFmtId="37" fontId="72" fillId="4" borderId="5" xfId="17" applyNumberFormat="1" applyFont="1" applyFill="1" applyBorder="1"/>
    <xf numFmtId="9" fontId="72" fillId="4" borderId="9" xfId="17" applyNumberFormat="1" applyFont="1" applyFill="1" applyBorder="1"/>
    <xf numFmtId="9" fontId="72" fillId="4" borderId="0" xfId="17" applyNumberFormat="1" applyFont="1" applyFill="1" applyBorder="1"/>
    <xf numFmtId="9" fontId="72" fillId="4" borderId="5" xfId="17" applyNumberFormat="1" applyFont="1" applyFill="1" applyBorder="1"/>
    <xf numFmtId="176" fontId="4" fillId="0" borderId="5" xfId="17" applyNumberFormat="1" applyFont="1" applyFill="1" applyBorder="1"/>
    <xf numFmtId="179" fontId="72" fillId="4" borderId="9" xfId="17" applyNumberFormat="1" applyFont="1" applyFill="1" applyBorder="1"/>
    <xf numFmtId="179" fontId="72" fillId="4" borderId="0" xfId="17" applyNumberFormat="1" applyFont="1" applyFill="1" applyBorder="1"/>
    <xf numFmtId="179" fontId="72" fillId="4" borderId="5" xfId="17" applyNumberFormat="1" applyFont="1" applyFill="1" applyBorder="1"/>
    <xf numFmtId="179" fontId="4" fillId="4" borderId="39" xfId="17" applyNumberFormat="1" applyFont="1" applyFill="1" applyBorder="1"/>
    <xf numFmtId="182" fontId="19" fillId="3" borderId="9" xfId="17" applyNumberFormat="1" applyFont="1" applyFill="1" applyBorder="1"/>
    <xf numFmtId="182" fontId="19" fillId="3" borderId="0" xfId="17" applyNumberFormat="1" applyFont="1" applyFill="1" applyBorder="1"/>
    <xf numFmtId="182" fontId="19" fillId="3" borderId="5" xfId="17" applyNumberFormat="1" applyFont="1" applyFill="1" applyBorder="1"/>
    <xf numFmtId="182" fontId="19" fillId="3" borderId="39" xfId="17" applyNumberFormat="1" applyFont="1" applyFill="1" applyBorder="1"/>
    <xf numFmtId="44" fontId="29" fillId="0" borderId="9" xfId="78" applyFont="1" applyBorder="1"/>
    <xf numFmtId="182" fontId="4" fillId="0" borderId="5" xfId="10" applyNumberFormat="1" applyFont="1" applyFill="1" applyBorder="1"/>
    <xf numFmtId="182" fontId="19" fillId="0" borderId="9" xfId="17" applyNumberFormat="1" applyFont="1" applyFill="1" applyBorder="1"/>
    <xf numFmtId="192" fontId="4" fillId="3" borderId="0" xfId="0" applyNumberFormat="1" applyFont="1" applyFill="1" applyBorder="1" applyAlignment="1">
      <alignment horizontal="left"/>
    </xf>
    <xf numFmtId="0" fontId="92" fillId="3" borderId="0" xfId="17" applyFont="1" applyFill="1" applyBorder="1" applyAlignment="1">
      <alignment horizontal="right"/>
    </xf>
    <xf numFmtId="8" fontId="2" fillId="3" borderId="0" xfId="17" applyNumberFormat="1" applyFont="1" applyFill="1" applyAlignment="1">
      <alignment horizontal="left"/>
    </xf>
    <xf numFmtId="179" fontId="29" fillId="0" borderId="8" xfId="17" applyNumberFormat="1" applyFont="1" applyBorder="1"/>
    <xf numFmtId="179" fontId="29" fillId="0" borderId="9" xfId="17" applyNumberFormat="1" applyFont="1" applyBorder="1"/>
    <xf numFmtId="179" fontId="29" fillId="0" borderId="0" xfId="17" applyNumberFormat="1" applyFont="1" applyBorder="1"/>
    <xf numFmtId="179" fontId="20" fillId="4" borderId="9" xfId="17" applyNumberFormat="1" applyFont="1" applyFill="1" applyBorder="1"/>
    <xf numFmtId="9" fontId="20" fillId="4" borderId="0" xfId="17" applyNumberFormat="1" applyFont="1" applyFill="1" applyBorder="1"/>
    <xf numFmtId="8" fontId="4" fillId="3" borderId="0" xfId="17" applyNumberFormat="1" applyFont="1" applyFill="1" applyAlignment="1">
      <alignment horizontal="left"/>
    </xf>
    <xf numFmtId="179" fontId="4" fillId="3" borderId="0" xfId="21" applyNumberFormat="1" applyFont="1" applyFill="1" applyBorder="1" applyAlignment="1">
      <alignment horizontal="left"/>
    </xf>
    <xf numFmtId="179" fontId="19" fillId="3" borderId="0" xfId="21" applyNumberFormat="1" applyFont="1" applyFill="1" applyBorder="1" applyAlignment="1">
      <alignment horizontal="left"/>
    </xf>
    <xf numFmtId="9" fontId="19" fillId="3" borderId="0" xfId="17" applyNumberFormat="1" applyFont="1" applyFill="1" applyAlignment="1">
      <alignment horizontal="left"/>
    </xf>
    <xf numFmtId="0" fontId="93" fillId="0" borderId="0" xfId="16" applyFont="1" applyAlignment="1">
      <alignment horizontal="center"/>
    </xf>
    <xf numFmtId="208" fontId="93" fillId="0" borderId="0" xfId="78" applyNumberFormat="1" applyFont="1" applyAlignment="1">
      <alignment horizontal="center"/>
    </xf>
    <xf numFmtId="9" fontId="93" fillId="0" borderId="0" xfId="21" applyFont="1" applyAlignment="1">
      <alignment horizontal="center"/>
    </xf>
    <xf numFmtId="9" fontId="67" fillId="0" borderId="0" xfId="21" applyFont="1"/>
    <xf numFmtId="9" fontId="17" fillId="0" borderId="0" xfId="21" applyFont="1"/>
    <xf numFmtId="7" fontId="19" fillId="0" borderId="0" xfId="10" applyNumberFormat="1" applyFont="1" applyFill="1" applyBorder="1"/>
    <xf numFmtId="176" fontId="4" fillId="0" borderId="39" xfId="17" applyNumberFormat="1" applyFont="1" applyFill="1" applyBorder="1"/>
    <xf numFmtId="169" fontId="4" fillId="8" borderId="42" xfId="10" applyNumberFormat="1" applyFont="1" applyFill="1" applyBorder="1"/>
    <xf numFmtId="192" fontId="29" fillId="4" borderId="42" xfId="17" applyNumberFormat="1" applyFont="1" applyFill="1" applyBorder="1"/>
    <xf numFmtId="180" fontId="19" fillId="0" borderId="42" xfId="10" applyNumberFormat="1" applyFont="1" applyBorder="1"/>
    <xf numFmtId="179" fontId="29" fillId="4" borderId="42" xfId="17" applyNumberFormat="1" applyFont="1" applyFill="1" applyBorder="1"/>
    <xf numFmtId="167" fontId="29" fillId="4" borderId="42" xfId="17" applyNumberFormat="1" applyFont="1" applyFill="1" applyBorder="1"/>
    <xf numFmtId="176" fontId="29" fillId="4" borderId="42" xfId="17" applyNumberFormat="1" applyFont="1" applyFill="1" applyBorder="1"/>
    <xf numFmtId="176" fontId="29" fillId="3" borderId="42" xfId="17" applyNumberFormat="1" applyFont="1" applyFill="1" applyBorder="1"/>
    <xf numFmtId="192" fontId="4" fillId="0" borderId="42" xfId="17" applyNumberFormat="1" applyFont="1" applyFill="1" applyBorder="1"/>
    <xf numFmtId="169" fontId="19" fillId="0" borderId="42" xfId="10" applyNumberFormat="1" applyFont="1" applyFill="1" applyBorder="1"/>
    <xf numFmtId="179" fontId="4" fillId="0" borderId="42" xfId="17" applyNumberFormat="1" applyFont="1" applyFill="1" applyBorder="1"/>
    <xf numFmtId="167" fontId="29" fillId="0" borderId="42" xfId="17" applyNumberFormat="1" applyFont="1" applyFill="1" applyBorder="1" applyAlignment="1">
      <alignment horizontal="right"/>
    </xf>
    <xf numFmtId="176" fontId="29" fillId="0" borderId="42" xfId="17" applyNumberFormat="1" applyFont="1" applyFill="1" applyBorder="1"/>
    <xf numFmtId="0" fontId="3" fillId="0" borderId="0" xfId="16" applyFont="1" applyAlignment="1">
      <alignment horizontal="right"/>
    </xf>
    <xf numFmtId="5" fontId="4" fillId="0" borderId="4" xfId="17" applyNumberFormat="1" applyFont="1" applyFill="1" applyBorder="1"/>
    <xf numFmtId="5" fontId="4" fillId="0" borderId="43" xfId="17" applyNumberFormat="1" applyFont="1" applyBorder="1"/>
    <xf numFmtId="176" fontId="4" fillId="4" borderId="43" xfId="17" applyNumberFormat="1" applyFont="1" applyFill="1" applyBorder="1"/>
    <xf numFmtId="202" fontId="4" fillId="0" borderId="43" xfId="17" applyNumberFormat="1" applyFont="1" applyBorder="1"/>
    <xf numFmtId="182" fontId="4" fillId="0" borderId="17" xfId="17" applyNumberFormat="1" applyFont="1" applyFill="1" applyBorder="1"/>
    <xf numFmtId="5" fontId="4" fillId="0" borderId="17" xfId="17" applyNumberFormat="1" applyFont="1" applyFill="1" applyBorder="1"/>
    <xf numFmtId="169" fontId="4" fillId="0" borderId="42" xfId="10" applyNumberFormat="1" applyFont="1" applyFill="1" applyBorder="1"/>
    <xf numFmtId="7" fontId="4" fillId="3" borderId="0" xfId="17" applyNumberFormat="1" applyFont="1" applyFill="1" applyAlignment="1">
      <alignment horizontal="left"/>
    </xf>
    <xf numFmtId="208" fontId="4" fillId="3" borderId="0" xfId="78" applyNumberFormat="1" applyFont="1" applyFill="1" applyAlignment="1">
      <alignment horizontal="left"/>
    </xf>
    <xf numFmtId="0" fontId="19" fillId="3" borderId="0" xfId="17" applyFont="1" applyFill="1" applyAlignment="1">
      <alignment horizontal="right"/>
    </xf>
    <xf numFmtId="179" fontId="19" fillId="3" borderId="0" xfId="21" applyNumberFormat="1" applyFont="1" applyFill="1" applyAlignment="1">
      <alignment horizontal="left"/>
    </xf>
    <xf numFmtId="192" fontId="4" fillId="0" borderId="5" xfId="17" applyNumberFormat="1" applyFont="1" applyFill="1" applyBorder="1"/>
    <xf numFmtId="5" fontId="38" fillId="0" borderId="0" xfId="17" applyNumberFormat="1" applyFont="1" applyFill="1" applyBorder="1"/>
    <xf numFmtId="9" fontId="29" fillId="0" borderId="0" xfId="17" applyNumberFormat="1" applyFont="1" applyFill="1"/>
    <xf numFmtId="7" fontId="30" fillId="0" borderId="4" xfId="17" applyNumberFormat="1" applyFont="1" applyFill="1" applyBorder="1"/>
    <xf numFmtId="7" fontId="38" fillId="0" borderId="4" xfId="17" applyNumberFormat="1" applyFont="1" applyFill="1" applyBorder="1"/>
    <xf numFmtId="7" fontId="4" fillId="0" borderId="0" xfId="17" applyNumberFormat="1" applyFont="1" applyFill="1" applyBorder="1"/>
    <xf numFmtId="9" fontId="4" fillId="0" borderId="0" xfId="17" applyNumberFormat="1" applyFont="1" applyFill="1"/>
    <xf numFmtId="5" fontId="38" fillId="0" borderId="8" xfId="17" applyNumberFormat="1" applyFont="1" applyFill="1" applyBorder="1"/>
    <xf numFmtId="7" fontId="30" fillId="0" borderId="6" xfId="17" applyNumberFormat="1" applyFont="1" applyFill="1" applyBorder="1"/>
    <xf numFmtId="176" fontId="29" fillId="0" borderId="8" xfId="17" applyNumberFormat="1" applyFont="1" applyFill="1" applyBorder="1"/>
    <xf numFmtId="7" fontId="4" fillId="0" borderId="8" xfId="17" applyNumberFormat="1" applyFont="1" applyFill="1" applyBorder="1"/>
    <xf numFmtId="0" fontId="30" fillId="0" borderId="4" xfId="17" applyFont="1" applyFill="1" applyBorder="1"/>
    <xf numFmtId="7" fontId="30" fillId="0" borderId="12" xfId="17" applyNumberFormat="1" applyFont="1" applyFill="1" applyBorder="1"/>
    <xf numFmtId="7" fontId="30" fillId="0" borderId="25" xfId="17" applyNumberFormat="1" applyFont="1" applyFill="1" applyBorder="1"/>
    <xf numFmtId="6" fontId="29" fillId="0" borderId="9" xfId="17" applyNumberFormat="1" applyFont="1" applyFill="1" applyBorder="1"/>
    <xf numFmtId="5" fontId="4" fillId="0" borderId="25" xfId="17" applyNumberFormat="1" applyFont="1" applyFill="1" applyBorder="1"/>
    <xf numFmtId="182" fontId="29" fillId="0" borderId="29" xfId="17" applyNumberFormat="1" applyFont="1" applyFill="1" applyBorder="1"/>
    <xf numFmtId="37" fontId="72" fillId="4" borderId="8" xfId="17" applyNumberFormat="1" applyFont="1" applyFill="1" applyBorder="1"/>
    <xf numFmtId="179" fontId="4" fillId="4" borderId="43" xfId="17" applyNumberFormat="1" applyFont="1" applyFill="1" applyBorder="1"/>
    <xf numFmtId="6" fontId="29" fillId="4" borderId="43" xfId="17" applyNumberFormat="1" applyFont="1" applyFill="1" applyBorder="1"/>
    <xf numFmtId="179" fontId="29" fillId="4" borderId="43" xfId="17" applyNumberFormat="1" applyFont="1" applyFill="1" applyBorder="1"/>
    <xf numFmtId="165" fontId="4" fillId="4" borderId="43" xfId="10" applyNumberFormat="1" applyFont="1" applyFill="1" applyBorder="1"/>
    <xf numFmtId="9" fontId="4" fillId="3" borderId="0" xfId="10" applyNumberFormat="1" applyFont="1" applyFill="1" applyBorder="1" applyAlignment="1">
      <alignment horizontal="left"/>
    </xf>
    <xf numFmtId="182" fontId="4" fillId="0" borderId="39" xfId="17" applyNumberFormat="1" applyFont="1" applyBorder="1"/>
    <xf numFmtId="192" fontId="4" fillId="0" borderId="5" xfId="10" applyNumberFormat="1" applyFont="1" applyFill="1" applyBorder="1"/>
    <xf numFmtId="179" fontId="4" fillId="0" borderId="5" xfId="21" applyNumberFormat="1" applyFont="1" applyFill="1" applyBorder="1"/>
    <xf numFmtId="179" fontId="4" fillId="0" borderId="5" xfId="21" applyNumberFormat="1" applyFont="1" applyBorder="1"/>
    <xf numFmtId="192" fontId="4" fillId="0" borderId="5" xfId="10" applyNumberFormat="1" applyFont="1" applyBorder="1"/>
    <xf numFmtId="9" fontId="4" fillId="0" borderId="5" xfId="10" applyNumberFormat="1" applyFont="1" applyFill="1" applyBorder="1"/>
    <xf numFmtId="167" fontId="4" fillId="3" borderId="0" xfId="17" applyNumberFormat="1" applyFont="1" applyFill="1" applyBorder="1" applyAlignment="1">
      <alignment horizontal="left"/>
    </xf>
    <xf numFmtId="201" fontId="4" fillId="3" borderId="0" xfId="17" applyNumberFormat="1" applyFont="1" applyFill="1" applyAlignment="1">
      <alignment horizontal="left"/>
    </xf>
    <xf numFmtId="9" fontId="4" fillId="3" borderId="0" xfId="21" applyFont="1" applyFill="1" applyAlignment="1">
      <alignment horizontal="right"/>
    </xf>
    <xf numFmtId="192" fontId="4" fillId="3" borderId="0" xfId="17" applyNumberFormat="1" applyFont="1" applyFill="1" applyBorder="1" applyAlignment="1">
      <alignment horizontal="left"/>
    </xf>
    <xf numFmtId="192" fontId="19" fillId="3" borderId="0" xfId="0" applyNumberFormat="1" applyFont="1" applyFill="1" applyBorder="1" applyAlignment="1">
      <alignment horizontal="left"/>
    </xf>
    <xf numFmtId="169" fontId="19" fillId="3" borderId="0" xfId="17" applyNumberFormat="1" applyFont="1" applyFill="1" applyAlignment="1">
      <alignment horizontal="left"/>
    </xf>
    <xf numFmtId="179" fontId="4" fillId="3" borderId="0" xfId="0" applyNumberFormat="1" applyFont="1" applyFill="1" applyBorder="1" applyAlignment="1">
      <alignment horizontal="left"/>
    </xf>
    <xf numFmtId="167" fontId="4" fillId="3" borderId="0" xfId="0" applyNumberFormat="1" applyFont="1" applyFill="1" applyBorder="1" applyAlignment="1">
      <alignment horizontal="left"/>
    </xf>
    <xf numFmtId="9" fontId="4" fillId="3" borderId="0" xfId="17" applyNumberFormat="1" applyFont="1" applyFill="1" applyBorder="1" applyAlignment="1">
      <alignment horizontal="left"/>
    </xf>
    <xf numFmtId="182" fontId="4" fillId="3" borderId="0" xfId="10" applyNumberFormat="1" applyFont="1" applyFill="1" applyAlignment="1">
      <alignment horizontal="left"/>
    </xf>
    <xf numFmtId="9" fontId="23" fillId="3" borderId="0" xfId="21" applyFont="1" applyFill="1" applyBorder="1" applyAlignment="1">
      <alignment horizontal="left"/>
    </xf>
    <xf numFmtId="182" fontId="4" fillId="3" borderId="0" xfId="17" applyNumberFormat="1" applyFont="1" applyFill="1" applyAlignment="1">
      <alignment horizontal="center"/>
    </xf>
    <xf numFmtId="207" fontId="4" fillId="3" borderId="0" xfId="10" applyNumberFormat="1" applyFont="1" applyFill="1" applyBorder="1" applyAlignment="1">
      <alignment horizontal="left"/>
    </xf>
    <xf numFmtId="192" fontId="4" fillId="3" borderId="0" xfId="17" applyNumberFormat="1" applyFont="1" applyFill="1" applyAlignment="1">
      <alignment horizontal="left"/>
    </xf>
    <xf numFmtId="0" fontId="4" fillId="3" borderId="0" xfId="17" applyFont="1" applyFill="1" applyBorder="1" applyAlignment="1">
      <alignment horizontal="right"/>
    </xf>
    <xf numFmtId="9" fontId="72" fillId="0" borderId="9" xfId="17" applyNumberFormat="1" applyFont="1" applyBorder="1"/>
    <xf numFmtId="9" fontId="72" fillId="0" borderId="0" xfId="17" applyNumberFormat="1" applyFont="1" applyBorder="1"/>
    <xf numFmtId="9" fontId="72" fillId="0" borderId="5" xfId="17" applyNumberFormat="1" applyFont="1" applyBorder="1"/>
    <xf numFmtId="182" fontId="94" fillId="0" borderId="9" xfId="17" applyNumberFormat="1" applyFont="1" applyFill="1" applyBorder="1"/>
    <xf numFmtId="182" fontId="94" fillId="0" borderId="0" xfId="17" applyNumberFormat="1" applyFont="1" applyFill="1" applyBorder="1"/>
    <xf numFmtId="182" fontId="94" fillId="0" borderId="5" xfId="17" applyNumberFormat="1" applyFont="1" applyFill="1" applyBorder="1"/>
    <xf numFmtId="182" fontId="94" fillId="0" borderId="8" xfId="17" applyNumberFormat="1" applyFont="1" applyBorder="1"/>
    <xf numFmtId="179" fontId="72" fillId="0" borderId="8" xfId="17" applyNumberFormat="1" applyFont="1" applyBorder="1"/>
    <xf numFmtId="202" fontId="4" fillId="0" borderId="42" xfId="17" applyNumberFormat="1" applyFont="1" applyBorder="1"/>
    <xf numFmtId="176" fontId="29" fillId="4" borderId="43" xfId="17" applyNumberFormat="1" applyFont="1" applyFill="1" applyBorder="1"/>
    <xf numFmtId="0" fontId="19" fillId="0" borderId="19" xfId="0" applyFont="1" applyBorder="1" applyAlignment="1">
      <alignment horizontal="left" indent="1"/>
    </xf>
    <xf numFmtId="202" fontId="4" fillId="0" borderId="20" xfId="17" applyNumberFormat="1" applyFont="1" applyBorder="1"/>
    <xf numFmtId="202" fontId="4" fillId="0" borderId="19" xfId="17" applyNumberFormat="1" applyFont="1" applyBorder="1"/>
    <xf numFmtId="202" fontId="4" fillId="0" borderId="21" xfId="17" applyNumberFormat="1" applyFont="1" applyBorder="1"/>
    <xf numFmtId="202" fontId="4" fillId="0" borderId="41" xfId="17" applyNumberFormat="1" applyFont="1" applyBorder="1"/>
    <xf numFmtId="182" fontId="95" fillId="3" borderId="0" xfId="17" applyNumberFormat="1" applyFont="1" applyFill="1" applyBorder="1"/>
    <xf numFmtId="182" fontId="95" fillId="3" borderId="5" xfId="17" applyNumberFormat="1" applyFont="1" applyFill="1" applyBorder="1"/>
    <xf numFmtId="182" fontId="95" fillId="3" borderId="9" xfId="17" applyNumberFormat="1" applyFont="1" applyFill="1" applyBorder="1"/>
    <xf numFmtId="182" fontId="19" fillId="4" borderId="0" xfId="17" applyNumberFormat="1" applyFont="1" applyFill="1"/>
    <xf numFmtId="182" fontId="29" fillId="0" borderId="42" xfId="10" applyNumberFormat="1" applyFont="1" applyFill="1" applyBorder="1"/>
    <xf numFmtId="182" fontId="19" fillId="0" borderId="42" xfId="10" applyNumberFormat="1" applyFont="1" applyFill="1" applyBorder="1"/>
    <xf numFmtId="0" fontId="29" fillId="0" borderId="42" xfId="0" applyFont="1" applyBorder="1"/>
    <xf numFmtId="182" fontId="19" fillId="9" borderId="0" xfId="17" applyNumberFormat="1" applyFont="1" applyFill="1" applyBorder="1"/>
    <xf numFmtId="182" fontId="19" fillId="9" borderId="8" xfId="10" applyNumberFormat="1" applyFont="1" applyFill="1" applyBorder="1"/>
    <xf numFmtId="182" fontId="19" fillId="9" borderId="0" xfId="10" applyNumberFormat="1" applyFont="1" applyFill="1" applyBorder="1"/>
    <xf numFmtId="182" fontId="19" fillId="9" borderId="9" xfId="10" applyNumberFormat="1" applyFont="1" applyFill="1" applyBorder="1"/>
    <xf numFmtId="182" fontId="19" fillId="9" borderId="5" xfId="10" applyNumberFormat="1" applyFont="1" applyFill="1" applyBorder="1"/>
    <xf numFmtId="182" fontId="19" fillId="9" borderId="39" xfId="10" applyNumberFormat="1" applyFont="1" applyFill="1" applyBorder="1"/>
    <xf numFmtId="192" fontId="29" fillId="0" borderId="43" xfId="10" applyNumberFormat="1" applyFont="1" applyFill="1" applyBorder="1"/>
    <xf numFmtId="182" fontId="29" fillId="0" borderId="43" xfId="10" applyNumberFormat="1" applyFont="1" applyFill="1" applyBorder="1"/>
    <xf numFmtId="182" fontId="72" fillId="0" borderId="18" xfId="10" applyNumberFormat="1" applyFont="1" applyFill="1" applyBorder="1"/>
    <xf numFmtId="182" fontId="4" fillId="0" borderId="29" xfId="10" applyNumberFormat="1" applyFont="1" applyFill="1" applyBorder="1"/>
    <xf numFmtId="170" fontId="96" fillId="3" borderId="0" xfId="17" applyNumberFormat="1" applyFont="1" applyFill="1" applyAlignment="1">
      <alignment horizontal="center"/>
    </xf>
    <xf numFmtId="5" fontId="4" fillId="3" borderId="0" xfId="78" applyNumberFormat="1" applyFont="1" applyFill="1" applyAlignment="1">
      <alignment horizontal="center"/>
    </xf>
    <xf numFmtId="37" fontId="4" fillId="3" borderId="0" xfId="17" applyNumberFormat="1" applyFont="1" applyFill="1" applyBorder="1" applyAlignment="1">
      <alignment horizontal="left"/>
    </xf>
    <xf numFmtId="10" fontId="4" fillId="3" borderId="0" xfId="21" applyNumberFormat="1" applyFont="1" applyFill="1" applyAlignment="1">
      <alignment horizontal="left"/>
    </xf>
    <xf numFmtId="37" fontId="4" fillId="3" borderId="0" xfId="17" applyNumberFormat="1" applyFont="1" applyFill="1" applyBorder="1" applyAlignment="1">
      <alignment horizontal="center"/>
    </xf>
    <xf numFmtId="179" fontId="4" fillId="3" borderId="0" xfId="21" applyNumberFormat="1" applyFont="1" applyFill="1" applyBorder="1" applyAlignment="1">
      <alignment horizontal="center"/>
    </xf>
    <xf numFmtId="5" fontId="29" fillId="0" borderId="0" xfId="0" applyNumberFormat="1" applyFont="1" applyBorder="1"/>
    <xf numFmtId="5" fontId="19" fillId="4" borderId="43" xfId="17" applyNumberFormat="1" applyFont="1" applyFill="1" applyBorder="1"/>
    <xf numFmtId="182" fontId="38" fillId="4" borderId="43" xfId="10" applyNumberFormat="1" applyFont="1" applyFill="1" applyBorder="1"/>
    <xf numFmtId="182" fontId="38" fillId="0" borderId="0" xfId="17" applyNumberFormat="1" applyFont="1" applyFill="1" applyBorder="1"/>
    <xf numFmtId="176" fontId="29" fillId="3" borderId="43" xfId="17" applyNumberFormat="1" applyFont="1" applyFill="1" applyBorder="1"/>
    <xf numFmtId="182" fontId="29" fillId="4" borderId="43" xfId="10" applyNumberFormat="1" applyFont="1" applyFill="1" applyBorder="1"/>
    <xf numFmtId="5" fontId="38" fillId="4" borderId="43" xfId="17" applyNumberFormat="1" applyFont="1" applyFill="1" applyBorder="1"/>
    <xf numFmtId="209" fontId="4" fillId="3" borderId="0" xfId="10" applyNumberFormat="1" applyFont="1" applyFill="1" applyBorder="1" applyAlignment="1">
      <alignment horizontal="center"/>
    </xf>
    <xf numFmtId="209" fontId="4" fillId="5" borderId="0" xfId="10" applyNumberFormat="1" applyFont="1" applyFill="1" applyBorder="1" applyAlignment="1">
      <alignment horizontal="center"/>
    </xf>
    <xf numFmtId="0" fontId="29" fillId="5" borderId="0" xfId="17" applyNumberFormat="1" applyFont="1" applyFill="1" applyBorder="1" applyAlignment="1">
      <alignment horizontal="center"/>
    </xf>
    <xf numFmtId="0" fontId="19" fillId="3" borderId="0" xfId="10" applyNumberFormat="1" applyFont="1" applyFill="1" applyBorder="1" applyAlignment="1">
      <alignment horizontal="center"/>
    </xf>
    <xf numFmtId="192" fontId="4" fillId="3" borderId="0" xfId="17" applyNumberFormat="1" applyFont="1" applyFill="1" applyBorder="1" applyAlignment="1">
      <alignment horizontal="center"/>
    </xf>
    <xf numFmtId="167" fontId="4" fillId="3" borderId="0" xfId="17" applyNumberFormat="1" applyFont="1" applyFill="1" applyAlignment="1">
      <alignment horizontal="right"/>
    </xf>
    <xf numFmtId="182" fontId="20" fillId="0" borderId="8" xfId="10" applyNumberFormat="1" applyFont="1" applyFill="1" applyBorder="1"/>
    <xf numFmtId="9" fontId="2" fillId="0" borderId="0" xfId="16" applyNumberFormat="1" applyFont="1" applyFill="1" applyAlignment="1">
      <alignment horizontal="right"/>
    </xf>
    <xf numFmtId="165" fontId="17" fillId="0" borderId="0" xfId="16" applyNumberFormat="1" applyFont="1"/>
    <xf numFmtId="182" fontId="72" fillId="4" borderId="0" xfId="10" applyNumberFormat="1" applyFont="1" applyFill="1" applyBorder="1"/>
    <xf numFmtId="182" fontId="72" fillId="4" borderId="5" xfId="10" applyNumberFormat="1" applyFont="1" applyFill="1" applyBorder="1"/>
    <xf numFmtId="182" fontId="4" fillId="4" borderId="39" xfId="10" applyNumberFormat="1" applyFont="1" applyFill="1" applyBorder="1"/>
    <xf numFmtId="182" fontId="4" fillId="4" borderId="9" xfId="10" applyNumberFormat="1" applyFont="1" applyFill="1" applyBorder="1"/>
    <xf numFmtId="182" fontId="4" fillId="4" borderId="0" xfId="10" applyNumberFormat="1" applyFont="1" applyFill="1" applyBorder="1"/>
    <xf numFmtId="182" fontId="72" fillId="4" borderId="8" xfId="10" applyNumberFormat="1" applyFont="1" applyFill="1" applyBorder="1"/>
    <xf numFmtId="182" fontId="72" fillId="4" borderId="43" xfId="10" applyNumberFormat="1" applyFont="1" applyFill="1" applyBorder="1"/>
    <xf numFmtId="182" fontId="4" fillId="4" borderId="8" xfId="10" applyNumberFormat="1" applyFont="1" applyFill="1" applyBorder="1"/>
    <xf numFmtId="182" fontId="4" fillId="4" borderId="0" xfId="10" applyNumberFormat="1" applyFont="1" applyFill="1"/>
    <xf numFmtId="182" fontId="4" fillId="4" borderId="5" xfId="10" applyNumberFormat="1" applyFont="1" applyFill="1" applyBorder="1"/>
    <xf numFmtId="9" fontId="2" fillId="0" borderId="0" xfId="16" applyNumberFormat="1" applyFont="1" applyFill="1"/>
    <xf numFmtId="0" fontId="4" fillId="3" borderId="0" xfId="17" applyFont="1" applyFill="1" applyBorder="1" applyAlignment="1">
      <alignment horizontal="center"/>
    </xf>
    <xf numFmtId="0" fontId="96" fillId="3" borderId="0" xfId="17" applyNumberFormat="1" applyFont="1" applyFill="1" applyBorder="1" applyAlignment="1">
      <alignment horizontal="center"/>
    </xf>
    <xf numFmtId="192" fontId="4" fillId="3" borderId="0" xfId="17" applyNumberFormat="1" applyFont="1" applyFill="1" applyBorder="1" applyAlignment="1">
      <alignment horizontal="right"/>
    </xf>
    <xf numFmtId="0" fontId="19" fillId="3" borderId="0" xfId="17" applyFont="1" applyFill="1" applyBorder="1" applyAlignment="1">
      <alignment horizontal="right"/>
    </xf>
    <xf numFmtId="182" fontId="19" fillId="3" borderId="0" xfId="17" applyNumberFormat="1" applyFont="1" applyFill="1" applyBorder="1" applyAlignment="1">
      <alignment horizontal="center"/>
    </xf>
    <xf numFmtId="0" fontId="4" fillId="3" borderId="3" xfId="17" applyFont="1" applyFill="1" applyBorder="1" applyAlignment="1">
      <alignment horizontal="right"/>
    </xf>
    <xf numFmtId="182" fontId="4" fillId="3" borderId="3" xfId="17" applyNumberFormat="1" applyFont="1" applyFill="1" applyBorder="1" applyAlignment="1">
      <alignment horizontal="center"/>
    </xf>
    <xf numFmtId="9" fontId="19" fillId="3" borderId="0" xfId="21" applyFont="1" applyFill="1" applyBorder="1" applyAlignment="1">
      <alignment horizontal="right"/>
    </xf>
    <xf numFmtId="182" fontId="4" fillId="3" borderId="0" xfId="17" applyNumberFormat="1" applyFont="1" applyFill="1" applyBorder="1" applyAlignment="1">
      <alignment horizontal="right"/>
    </xf>
    <xf numFmtId="165" fontId="2" fillId="0" borderId="0" xfId="11" applyNumberFormat="1" applyFont="1"/>
    <xf numFmtId="0" fontId="2" fillId="0" borderId="0" xfId="16" applyNumberFormat="1" applyFont="1"/>
    <xf numFmtId="165" fontId="2" fillId="0" borderId="0" xfId="16" applyNumberFormat="1" applyFont="1"/>
    <xf numFmtId="181" fontId="2" fillId="0" borderId="0" xfId="16" applyNumberFormat="1" applyFont="1" applyAlignment="1">
      <alignment horizontal="right"/>
    </xf>
    <xf numFmtId="8" fontId="38" fillId="4" borderId="12" xfId="17" applyNumberFormat="1" applyFont="1" applyFill="1" applyBorder="1"/>
    <xf numFmtId="8" fontId="38" fillId="4" borderId="4" xfId="17" applyNumberFormat="1" applyFont="1" applyFill="1" applyBorder="1"/>
    <xf numFmtId="8" fontId="38" fillId="4" borderId="25" xfId="17" applyNumberFormat="1" applyFont="1" applyFill="1" applyBorder="1"/>
    <xf numFmtId="8" fontId="67" fillId="0" borderId="0" xfId="21" applyNumberFormat="1" applyFont="1"/>
    <xf numFmtId="0" fontId="2" fillId="0" borderId="0" xfId="16" applyFont="1" applyFill="1"/>
    <xf numFmtId="9" fontId="3" fillId="0" borderId="0" xfId="16" applyNumberFormat="1" applyFont="1" applyFill="1" applyAlignment="1">
      <alignment horizontal="right"/>
    </xf>
    <xf numFmtId="0" fontId="2" fillId="45" borderId="0" xfId="79" applyFont="1" applyFill="1" applyAlignment="1">
      <alignment vertical="top"/>
    </xf>
    <xf numFmtId="0" fontId="2" fillId="45" borderId="0" xfId="75" applyFill="1" applyAlignment="1">
      <alignment vertical="top"/>
    </xf>
    <xf numFmtId="0" fontId="2" fillId="45" borderId="0" xfId="75" applyFill="1"/>
    <xf numFmtId="0" fontId="18" fillId="45" borderId="0" xfId="79" applyFont="1" applyFill="1" applyAlignment="1">
      <alignment horizontal="left" vertical="top"/>
    </xf>
    <xf numFmtId="0" fontId="2" fillId="45" borderId="0" xfId="75" applyFont="1" applyFill="1" applyAlignment="1">
      <alignment vertical="top"/>
    </xf>
    <xf numFmtId="0" fontId="17" fillId="45" borderId="0" xfId="79" applyFont="1" applyFill="1" applyAlignment="1">
      <alignment vertical="top"/>
    </xf>
    <xf numFmtId="0" fontId="0" fillId="45" borderId="0" xfId="0" applyFill="1" applyAlignment="1">
      <alignment vertical="top"/>
    </xf>
    <xf numFmtId="0" fontId="97" fillId="45" borderId="0" xfId="0" applyFont="1" applyFill="1" applyAlignment="1">
      <alignment vertical="top"/>
    </xf>
    <xf numFmtId="0" fontId="98" fillId="45" borderId="0" xfId="0" applyFont="1" applyFill="1" applyAlignment="1">
      <alignment vertical="top"/>
    </xf>
    <xf numFmtId="0" fontId="98" fillId="45" borderId="0" xfId="0" applyFont="1" applyFill="1" applyAlignment="1">
      <alignment vertical="top"/>
    </xf>
    <xf numFmtId="0" fontId="97" fillId="45" borderId="0" xfId="0" applyFont="1" applyFill="1" applyAlignment="1">
      <alignment vertical="top"/>
    </xf>
    <xf numFmtId="0" fontId="0" fillId="45" borderId="0" xfId="0" applyFill="1" applyAlignment="1">
      <alignment vertical="top"/>
    </xf>
    <xf numFmtId="0" fontId="0" fillId="45" borderId="48" xfId="0" applyFill="1" applyBorder="1" applyAlignment="1">
      <alignment vertical="top"/>
    </xf>
    <xf numFmtId="0" fontId="97" fillId="45" borderId="44" xfId="0" applyFont="1" applyFill="1" applyBorder="1" applyAlignment="1">
      <alignment vertical="top"/>
    </xf>
    <xf numFmtId="0" fontId="97" fillId="45" borderId="45" xfId="0" applyFont="1" applyFill="1" applyBorder="1" applyAlignment="1">
      <alignment vertical="top"/>
    </xf>
    <xf numFmtId="0" fontId="97" fillId="45" borderId="46" xfId="0" applyFont="1" applyFill="1" applyBorder="1" applyAlignment="1">
      <alignment vertical="top"/>
    </xf>
    <xf numFmtId="0" fontId="97" fillId="45" borderId="47" xfId="0" applyFont="1" applyFill="1" applyBorder="1" applyAlignment="1">
      <alignment vertical="top"/>
    </xf>
    <xf numFmtId="9" fontId="97" fillId="45" borderId="44" xfId="0" applyNumberFormat="1" applyFont="1" applyFill="1" applyBorder="1" applyAlignment="1">
      <alignment vertical="top"/>
    </xf>
    <xf numFmtId="3" fontId="97" fillId="45" borderId="44" xfId="0" applyNumberFormat="1" applyFont="1" applyFill="1" applyBorder="1" applyAlignment="1">
      <alignment vertical="top"/>
    </xf>
    <xf numFmtId="0" fontId="0" fillId="45" borderId="49" xfId="0" applyFill="1" applyBorder="1" applyAlignment="1">
      <alignment vertical="top"/>
    </xf>
    <xf numFmtId="2" fontId="2" fillId="0" borderId="0" xfId="75" applyNumberFormat="1" applyAlignment="1">
      <alignment horizontal="left"/>
    </xf>
    <xf numFmtId="0" fontId="2" fillId="0" borderId="0" xfId="75" applyNumberFormat="1" applyAlignment="1">
      <alignment horizontal="left"/>
    </xf>
    <xf numFmtId="1" fontId="2" fillId="0" borderId="0" xfId="75" applyNumberFormat="1" applyAlignment="1">
      <alignment horizontal="left"/>
    </xf>
    <xf numFmtId="0" fontId="2" fillId="0" borderId="0" xfId="75" applyFont="1"/>
    <xf numFmtId="215" fontId="2" fillId="0" borderId="0" xfId="75" applyNumberFormat="1" applyAlignment="1">
      <alignment horizontal="left"/>
    </xf>
    <xf numFmtId="49" fontId="2" fillId="0" borderId="0" xfId="75" applyNumberFormat="1"/>
  </cellXfs>
  <cellStyles count="80">
    <cellStyle name=" 1" xfId="1"/>
    <cellStyle name=" 2" xfId="2"/>
    <cellStyle name=" 3" xfId="3"/>
    <cellStyle name="****************************************** 2" xfId="4"/>
    <cellStyle name="_GD Pension Analyzer" xfId="5"/>
    <cellStyle name="_SUMMARY " xfId="6"/>
    <cellStyle name="0_Capex &amp; Depreciation " xfId="7"/>
    <cellStyle name="0_Valuing BP " xfId="8"/>
    <cellStyle name="20% - Accent1" xfId="47" builtinId="30" customBuiltin="1"/>
    <cellStyle name="20% - Accent2" xfId="51" builtinId="34" customBuiltin="1"/>
    <cellStyle name="20% - Accent3" xfId="55" builtinId="38" customBuiltin="1"/>
    <cellStyle name="20% - Accent4" xfId="59" builtinId="42" customBuiltin="1"/>
    <cellStyle name="20% - Accent5" xfId="63" builtinId="46" customBuiltin="1"/>
    <cellStyle name="20% - Accent6" xfId="67" builtinId="50" customBuiltin="1"/>
    <cellStyle name="40% - Accent1" xfId="48" builtinId="31" customBuiltin="1"/>
    <cellStyle name="40% - Accent2" xfId="52" builtinId="35" customBuiltin="1"/>
    <cellStyle name="40% - Accent3" xfId="56" builtinId="39" customBuiltin="1"/>
    <cellStyle name="40% - Accent4" xfId="60" builtinId="43" customBuiltin="1"/>
    <cellStyle name="40% - Accent5" xfId="64" builtinId="47" customBuiltin="1"/>
    <cellStyle name="40% - Accent6" xfId="68" builtinId="51" customBuiltin="1"/>
    <cellStyle name="60% - Accent1" xfId="49" builtinId="32" customBuiltin="1"/>
    <cellStyle name="60% - Accent2" xfId="53" builtinId="36" customBuiltin="1"/>
    <cellStyle name="60% - Accent3" xfId="57" builtinId="40" customBuiltin="1"/>
    <cellStyle name="60% - Accent4" xfId="61" builtinId="44" customBuiltin="1"/>
    <cellStyle name="60% - Accent5" xfId="65" builtinId="48" customBuiltin="1"/>
    <cellStyle name="60% - Accent6" xfId="69" builtinId="52" customBuiltin="1"/>
    <cellStyle name="Accent1" xfId="46" builtinId="29" customBuiltin="1"/>
    <cellStyle name="Accent2" xfId="50" builtinId="33" customBuiltin="1"/>
    <cellStyle name="Accent3" xfId="54" builtinId="37" customBuiltin="1"/>
    <cellStyle name="Accent4" xfId="58" builtinId="41" customBuiltin="1"/>
    <cellStyle name="Accent5" xfId="62" builtinId="45" customBuiltin="1"/>
    <cellStyle name="Accent6" xfId="66" builtinId="49" customBuiltin="1"/>
    <cellStyle name="Bad" xfId="36" builtinId="27" customBuiltin="1"/>
    <cellStyle name="blp_column_header" xfId="70"/>
    <cellStyle name="c_HardInc " xfId="9"/>
    <cellStyle name="Calculation" xfId="40" builtinId="22" customBuiltin="1"/>
    <cellStyle name="Check Cell" xfId="42" builtinId="23" customBuiltin="1"/>
    <cellStyle name="Comma" xfId="10" builtinId="3"/>
    <cellStyle name="Comma 2 2" xfId="11"/>
    <cellStyle name="Comma_JBHTqq" xfId="12"/>
    <cellStyle name="Currency" xfId="78" builtinId="4"/>
    <cellStyle name="Currency 2" xfId="77"/>
    <cellStyle name="Explanatory Text" xfId="44" builtinId="53" customBuiltin="1"/>
    <cellStyle name="f‰H_x0010_‹Ëf‰h,ÿt$_x0018_è¸Wÿÿé&gt;Ëÿÿ÷Ç_x0001__PCP.Abel.new" xfId="13"/>
    <cellStyle name="Followed Hyperlink" xfId="74" builtinId="9" customBuiltin="1"/>
    <cellStyle name="Good" xfId="35"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2" xfId="73"/>
    <cellStyle name="Input" xfId="38" builtinId="20" customBuiltin="1"/>
    <cellStyle name="Linked Cell" xfId="41" builtinId="24" customBuiltin="1"/>
    <cellStyle name="Neutral" xfId="37" builtinId="28" customBuiltin="1"/>
    <cellStyle name="Normal" xfId="0" builtinId="0"/>
    <cellStyle name="Normal 2" xfId="14"/>
    <cellStyle name="Normal 3" xfId="15"/>
    <cellStyle name="Normal 3 2" xfId="16"/>
    <cellStyle name="Normal 4" xfId="71"/>
    <cellStyle name="Normal 5" xfId="75"/>
    <cellStyle name="Normal_DisclaimerSheet Samples" xfId="79"/>
    <cellStyle name="Normal_GRx" xfId="17"/>
    <cellStyle name="Normal_Inc Statement" xfId="18"/>
    <cellStyle name="Normal_JBHTqq" xfId="19"/>
    <cellStyle name="Note 2" xfId="72"/>
    <cellStyle name="Output" xfId="39" builtinId="21" customBuiltin="1"/>
    <cellStyle name="p " xfId="20"/>
    <cellStyle name="Percent" xfId="21" builtinId="5"/>
    <cellStyle name="RRSInstruction" xfId="22"/>
    <cellStyle name="RRSInstruction 2" xfId="23"/>
    <cellStyle name="RRSInstruction 3" xfId="76"/>
    <cellStyle name="s_HardInc " xfId="24"/>
    <cellStyle name="s_Valuation " xfId="25"/>
    <cellStyle name="ssp " xfId="26"/>
    <cellStyle name="Style 1" xfId="27"/>
    <cellStyle name="Title" xfId="30" builtinId="15" customBuiltin="1"/>
    <cellStyle name="Total" xfId="45" builtinId="25" customBuiltin="1"/>
    <cellStyle name="Warning Text" xfId="43" builtinId="11" customBuiltin="1"/>
    <cellStyle name="콤마 [0]_#3이설 견적_준공내역총괄표 " xfId="28"/>
    <cellStyle name="콤마_#3이설 견적_준공내역총괄표 " xfId="29"/>
  </cellStyles>
  <dxfs count="13">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1.xml" Type="http://schemas.openxmlformats.org/officeDocument/2006/relationships/externalLink"/>
<Relationship Id="rId11" Target="externalLinks/externalLink2.xml" Type="http://schemas.openxmlformats.org/officeDocument/2006/relationships/externalLink"/>
<Relationship Id="rId12" Target="externalLinks/externalLink3.xml" Type="http://schemas.openxmlformats.org/officeDocument/2006/relationships/externalLink"/>
<Relationship Id="rId13" Target="externalLinks/externalLink4.xml" Type="http://schemas.openxmlformats.org/officeDocument/2006/relationships/externalLink"/>
<Relationship Id="rId14" Target="externalLinks/externalLink5.xml" Type="http://schemas.openxmlformats.org/officeDocument/2006/relationships/externalLink"/>
<Relationship Id="rId15" Target="externalLinks/externalLink6.xml" Type="http://schemas.openxmlformats.org/officeDocument/2006/relationships/externalLink"/>
<Relationship Id="rId16" Target="externalLinks/externalLink7.xml" Type="http://schemas.openxmlformats.org/officeDocument/2006/relationships/externalLink"/>
<Relationship Id="rId17" Target="externalLinks/externalLink8.xml" Type="http://schemas.openxmlformats.org/officeDocument/2006/relationships/externalLink"/>
<Relationship Id="rId18" Target="externalLinks/externalLink9.xml" Type="http://schemas.openxmlformats.org/officeDocument/2006/relationships/externalLink"/>
<Relationship Id="rId19" Target="externalLinks/externalLink10.xml" Type="http://schemas.openxmlformats.org/officeDocument/2006/relationships/externalLink"/>
<Relationship Id="rId2" Target="worksheets/sheet2.xml" Type="http://schemas.openxmlformats.org/officeDocument/2006/relationships/worksheet"/>
<Relationship Id="rId20" Target="externalLinks/externalLink11.xml" Type="http://schemas.openxmlformats.org/officeDocument/2006/relationships/externalLink"/>
<Relationship Id="rId21" Target="externalLinks/externalLink12.xml" Type="http://schemas.openxmlformats.org/officeDocument/2006/relationships/externalLink"/>
<Relationship Id="rId22" Target="externalLinks/externalLink13.xml" Type="http://schemas.openxmlformats.org/officeDocument/2006/relationships/externalLink"/>
<Relationship Id="rId23" Target="externalLinks/externalLink14.xml" Type="http://schemas.openxmlformats.org/officeDocument/2006/relationships/externalLink"/>
<Relationship Id="rId24" Target="externalLinks/externalLink15.xml" Type="http://schemas.openxmlformats.org/officeDocument/2006/relationships/externalLink"/>
<Relationship Id="rId25" Target="externalLinks/externalLink16.xml" Type="http://schemas.openxmlformats.org/officeDocument/2006/relationships/externalLink"/>
<Relationship Id="rId26" Target="externalLinks/externalLink17.xml" Type="http://schemas.openxmlformats.org/officeDocument/2006/relationships/externalLink"/>
<Relationship Id="rId27" Target="externalLinks/externalLink18.xml" Type="http://schemas.openxmlformats.org/officeDocument/2006/relationships/externalLink"/>
<Relationship Id="rId28" Target="externalLinks/externalLink19.xml" Type="http://schemas.openxmlformats.org/officeDocument/2006/relationships/externalLink"/>
<Relationship Id="rId29" Target="externalLinks/externalLink20.xml" Type="http://schemas.openxmlformats.org/officeDocument/2006/relationships/externalLink"/>
<Relationship Id="rId3" Target="worksheets/sheet3.xml" Type="http://schemas.openxmlformats.org/officeDocument/2006/relationships/worksheet"/>
<Relationship Id="rId30" Target="externalLinks/externalLink21.xml" Type="http://schemas.openxmlformats.org/officeDocument/2006/relationships/externalLink"/>
<Relationship Id="rId31" Target="externalLinks/externalLink22.xml" Type="http://schemas.openxmlformats.org/officeDocument/2006/relationships/externalLink"/>
<Relationship Id="rId32" Target="externalLinks/externalLink23.xml" Type="http://schemas.openxmlformats.org/officeDocument/2006/relationships/externalLink"/>
<Relationship Id="rId33" Target="externalLinks/externalLink24.xml" Type="http://schemas.openxmlformats.org/officeDocument/2006/relationships/externalLink"/>
<Relationship Id="rId34" Target="externalLinks/externalLink25.xml" Type="http://schemas.openxmlformats.org/officeDocument/2006/relationships/externalLink"/>
<Relationship Id="rId35" Target="theme/theme1.xml" Type="http://schemas.openxmlformats.org/officeDocument/2006/relationships/theme"/>
<Relationship Id="rId36" Target="styles.xml" Type="http://schemas.openxmlformats.org/officeDocument/2006/relationships/styles"/>
<Relationship Id="rId37" Target="sharedStrings.xml" Type="http://schemas.openxmlformats.org/officeDocument/2006/relationships/sharedStrings"/>
<Relationship Id="rId38" Target="calcChain.xml" Type="http://schemas.openxmlformats.org/officeDocument/2006/relationships/calcChain"/>
<Relationship Id="rId39" Target="../customXml/item1.xml" Type="http://schemas.openxmlformats.org/officeDocument/2006/relationships/customXml"/>
<Relationship Id="rId4" Target="worksheets/sheet4.xml" Type="http://schemas.openxmlformats.org/officeDocument/2006/relationships/worksheet"/>
<Relationship Id="rId40" Target="../customXml/item2.xml" Type="http://schemas.openxmlformats.org/officeDocument/2006/relationships/customXml"/>
<Relationship Id="rId41"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7</xdr:col>
      <xdr:colOff>390525</xdr:colOff>
      <xdr:row>190</xdr:row>
      <xdr:rowOff>104775</xdr:rowOff>
    </xdr:to>
    <xdr:pic>
      <xdr:nvPicPr>
        <xdr:cNvPr id="863233" name="Picture 1" descr="C:\Users\sharpmat\AppData\Local\Temp\MercuryPriceRatingHistoryChart\GD.N_2018_04_11_12_20_4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6698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AERO/Wood/Models/GD.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AERO/Companies/GD/GD.model%20Abel.Marco.xls" TargetMode="External" Type="http://schemas.microsoft.com/office/2006/relationships/xlExternalLinkPath/xlAlternateStartup"/>
</Relationships>

</file>

<file path=xl/externalLinks/_rels/externalLink4.xml.rels><?xml version="1.0" encoding="UTF-8" standalone="yes"?>
<Relationships xmlns="http://schemas.openxmlformats.org/package/2006/relationships">
<Relationship Id="rId1" Target="AERO/Wood/Models/GD.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Documents%20and%20Settings/sanclaur/Local%20Settings/Temporary%20Internet%20Files/OLK8A2/MS_Rolls-Royce_PUBLIC_WIP%20(2).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AERO/Companies/BEAV/BEAV.jdg.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AERO/Wood/Industry/Aerospace/Global%20Fleet%20Boeing%20&amp;%20Airbus/World%20Fleet.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AERO/AD/Industry/Aero/Storage/ACSTORx.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Documents%20and%20Settings/warjohn/Local%20Settings/Temporary%20Internet%20Files/OLK1DA/Funded%20status%20Chart.xls"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NA/NY/LIB/ER/AERO/AD/Models/COL/COLx.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DOCUME~1/giuseppi/LOCALS~1/Application%20Data/Research/ModelPublishing/SubmittedModels/LMT.N.txt"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AERO/Industry/Aero/Aero%20Data%20Pack.xls" TargetMode="External" Type="http://schemas.microsoft.com/office/2006/relationships/xlExternalLinkPath/xlAlternateStartup"/>
</Relationships>

</file>

<file path=xl/externalLinks/_rels/externalLink14.xml.rels><?xml version="1.0" encoding="UTF-8" standalone="yes"?>
<Relationships xmlns="http://schemas.openxmlformats.org/package/2006/relationships">
<Relationship Id="rId1" Target="AERO/AD/Models/VSAT/VSAT.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AERO/Wood/Models/txt.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AERO/AD/Industry/Aero/Commercial%20Traffic.xls" TargetMode="External" Type="http://schemas.microsoft.com/office/2006/relationships/xlExternalLinkPath/xlAlternateStartup"/>
</Relationships>

</file>

<file path=xl/externalLinks/_rels/externalLink17.xml.rels><?xml version="1.0" encoding="UTF-8" standalone="yes"?>
<Relationships xmlns="http://schemas.openxmlformats.org/package/2006/relationships">
<Relationship Id="rId1" Target="AERO/AD/Industry/Aero/Biz%20Jets%20Data.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_rels/externalLink19.xml.rels><?xml version="1.0" encoding="UTF-8" standalone="yes"?>
<Relationships xmlns="http://schemas.openxmlformats.org/package/2006/relationships">
<Relationship Id="rId1" Target="AERO/Wood/Industry/Aerospace/Airord.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AERO/AD/Models/GD/GDx.xls" TargetMode="External" Type="http://schemas.microsoft.com/office/2006/relationships/xlExternalLinkPath/xlAlternateStartup"/>
</Relationships>

</file>

<file path=xl/externalLinks/_rels/externalLink21.xml.rels><?xml version="1.0" encoding="UTF-8" standalone="yes"?>
<Relationships xmlns="http://schemas.openxmlformats.org/package/2006/relationships">
<Relationship Id="rId1" Target="AERO/Industry/Aero/Biz%20Jets%20Data.xls" TargetMode="External" Type="http://schemas.microsoft.com/office/2006/relationships/xlExternalLinkPath/xlAlternateStartup"/>
</Relationships>

</file>

<file path=xl/externalLinks/_rels/externalLink22.xml.rels><?xml version="1.0" encoding="UTF-8" standalone="yes"?>
<Relationships xmlns="http://schemas.openxmlformats.org/package/2006/relationships">
<Relationship Id="rId1" Target="Documents%20and%20Settings/catheloh/Local%20Settings/Temporary%20Internet%20Files/OLK30/Deferred%20tax%20analysis4.xls" TargetMode="External" Type="http://schemas.microsoft.com/office/2006/relationships/xlExternalLinkPath/xlAlternateStartup"/>
</Relationships>

</file>

<file path=xl/externalLinks/_rels/externalLink23.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24.xml.rels><?xml version="1.0" encoding="UTF-8" standalone="yes"?>
<Relationships xmlns="http://schemas.openxmlformats.org/package/2006/relationships">
<Relationship Id="rId1" Target="Documents%20and%20Settings/pscavo/Local%20Settings/Temporary%20Internet%20Files/OLK33/OIT%20Screening.xls" TargetMode="External" Type="http://schemas.microsoft.com/office/2006/relationships/xlExternalLinkPath/xlStartup"/>
</Relationships>

</file>

<file path=xl/externalLinks/_rels/externalLink25.xml.rels><?xml version="1.0" encoding="UTF-8" standalone="yes"?>
<Relationships xmlns="http://schemas.openxmlformats.org/package/2006/relationships">
<Relationship Id="rId1" Target="TEMP/TOS.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ain"/>
      <sheetName val="Quarterly"/>
      <sheetName val="Variance Analysis"/>
      <sheetName val="Sum of Parts"/>
      <sheetName val="Aerospace"/>
      <sheetName val="Aerospacemodel"/>
      <sheetName val="Marine"/>
      <sheetName val="Combatmodel"/>
      <sheetName val="ISTmodel"/>
      <sheetName val="Tables"/>
      <sheetName val="DCF"/>
      <sheetName val="Scenario Analysis Assumptions"/>
      <sheetName val="MWA RR"/>
      <sheetName val="Acquisitions"/>
      <sheetName val="Historical"/>
      <sheetName val="Resources"/>
      <sheetName val="Gulf Backlog"/>
      <sheetName val="Gulf Del By Cust"/>
      <sheetName val="DCF Old"/>
      <sheetName val="Gulf AC In Oper"/>
      <sheetName val="MW-Cache"/>
      <sheetName val="MWA Pension"/>
      <sheetName val="MWA OPEB"/>
      <sheetName val="Combat Sys"/>
      <sheetName val="Pension (old)"/>
      <sheetName val="OPEB (old)"/>
      <sheetName val="mwareDates"/>
      <sheetName val="mwareSettings"/>
      <sheetName val="MainCode"/>
      <sheetName val="Valuation"/>
      <sheetName val="Pension"/>
      <sheetName val="OPEB"/>
      <sheetName val="Model_Template"/>
      <sheetName val="PensionOld"/>
      <sheetName val="OPEBOld"/>
      <sheetName val="ImportantDisclosures"/>
      <sheetName val="Menu"/>
      <sheetName val="DCF New"/>
      <sheetName val="mwareTaxoPres"/>
      <sheetName val="mwareValPrintout"/>
      <sheetName val="NY UPLOAD"/>
      <sheetName val="NY UPLOAD shadow"/>
      <sheetName val="ValuationParts"/>
      <sheetName val="ValuationDCF"/>
      <sheetName val="Parts"/>
      <sheetName val="Scenario"/>
    </sheetNames>
    <sheetDataSet>
      <sheetData sheetId="0" refreshError="1"/>
      <sheetData sheetId="1">
        <row r="1">
          <cell r="A1" t="str">
            <v>last updated 10/09</v>
          </cell>
        </row>
      </sheetData>
      <sheetData sheetId="2" refreshError="1"/>
      <sheetData sheetId="3" refreshError="1"/>
      <sheetData sheetId="4" refreshError="1"/>
      <sheetData sheetId="5" refreshError="1">
        <row r="1">
          <cell r="G1" t="str">
            <v>last updated 4/07</v>
          </cell>
        </row>
        <row r="342">
          <cell r="A342" t="str">
            <v xml:space="preserve">  - prior GAC owner</v>
          </cell>
          <cell r="L342">
            <v>2</v>
          </cell>
          <cell r="AD342">
            <v>2</v>
          </cell>
          <cell r="AI342">
            <v>1.99</v>
          </cell>
          <cell r="AJ342">
            <v>1</v>
          </cell>
          <cell r="AK342">
            <v>1</v>
          </cell>
          <cell r="AL342">
            <v>1</v>
          </cell>
        </row>
        <row r="343">
          <cell r="A343">
            <v>1968</v>
          </cell>
          <cell r="L343">
            <v>35</v>
          </cell>
          <cell r="AD343">
            <v>37</v>
          </cell>
          <cell r="AI343">
            <v>36.814999999999998</v>
          </cell>
          <cell r="AJ343">
            <v>2</v>
          </cell>
          <cell r="AK343">
            <v>11</v>
          </cell>
          <cell r="AL343">
            <v>2</v>
          </cell>
        </row>
        <row r="344">
          <cell r="A344">
            <v>1969</v>
          </cell>
          <cell r="L344">
            <v>37</v>
          </cell>
          <cell r="AD344">
            <v>74</v>
          </cell>
          <cell r="AI344">
            <v>73.63</v>
          </cell>
          <cell r="AJ344">
            <v>3</v>
          </cell>
          <cell r="AK344">
            <v>37</v>
          </cell>
          <cell r="AL344">
            <v>3</v>
          </cell>
        </row>
        <row r="345">
          <cell r="A345">
            <v>1970</v>
          </cell>
          <cell r="L345">
            <v>16</v>
          </cell>
          <cell r="AD345">
            <v>90</v>
          </cell>
          <cell r="AI345">
            <v>89.55</v>
          </cell>
          <cell r="AJ345">
            <v>4</v>
          </cell>
          <cell r="AK345">
            <v>86</v>
          </cell>
          <cell r="AL345">
            <v>4</v>
          </cell>
        </row>
        <row r="346">
          <cell r="A346">
            <v>1971</v>
          </cell>
          <cell r="L346">
            <v>12</v>
          </cell>
          <cell r="AD346">
            <v>102</v>
          </cell>
          <cell r="AI346">
            <v>101.49</v>
          </cell>
          <cell r="AJ346">
            <v>5</v>
          </cell>
          <cell r="AK346">
            <v>124</v>
          </cell>
          <cell r="AL346">
            <v>5</v>
          </cell>
        </row>
        <row r="347">
          <cell r="A347">
            <v>1972</v>
          </cell>
          <cell r="L347">
            <v>16</v>
          </cell>
          <cell r="AD347">
            <v>118</v>
          </cell>
          <cell r="AI347">
            <v>117.41</v>
          </cell>
          <cell r="AJ347">
            <v>6</v>
          </cell>
          <cell r="AK347">
            <v>155</v>
          </cell>
          <cell r="AL347">
            <v>6</v>
          </cell>
        </row>
        <row r="348">
          <cell r="A348">
            <v>1973</v>
          </cell>
          <cell r="L348">
            <v>17</v>
          </cell>
          <cell r="AD348">
            <v>135</v>
          </cell>
          <cell r="AI348">
            <v>134.32499999999999</v>
          </cell>
          <cell r="AJ348">
            <v>7</v>
          </cell>
          <cell r="AK348">
            <v>184</v>
          </cell>
          <cell r="AL348">
            <v>7</v>
          </cell>
        </row>
        <row r="349">
          <cell r="A349">
            <v>1974</v>
          </cell>
          <cell r="L349">
            <v>17</v>
          </cell>
          <cell r="AD349">
            <v>152</v>
          </cell>
          <cell r="AI349">
            <v>151.24</v>
          </cell>
          <cell r="AJ349">
            <v>8</v>
          </cell>
          <cell r="AK349">
            <v>209</v>
          </cell>
          <cell r="AL349">
            <v>8</v>
          </cell>
        </row>
        <row r="350">
          <cell r="A350">
            <v>1975</v>
          </cell>
          <cell r="L350">
            <v>14</v>
          </cell>
          <cell r="AD350">
            <v>166</v>
          </cell>
          <cell r="AI350">
            <v>165.17</v>
          </cell>
          <cell r="AJ350">
            <v>9</v>
          </cell>
          <cell r="AK350">
            <v>235</v>
          </cell>
          <cell r="AL350">
            <v>9</v>
          </cell>
        </row>
        <row r="351">
          <cell r="A351" t="str">
            <v>Gulfstream Product  Lifecycle</v>
          </cell>
          <cell r="L351">
            <v>23</v>
          </cell>
          <cell r="AD351">
            <v>189</v>
          </cell>
          <cell r="AI351">
            <v>188.05500000000001</v>
          </cell>
          <cell r="AJ351">
            <v>10</v>
          </cell>
          <cell r="AK351">
            <v>257</v>
          </cell>
          <cell r="AL351">
            <v>10</v>
          </cell>
        </row>
        <row r="352">
          <cell r="A352">
            <v>1977</v>
          </cell>
          <cell r="L352">
            <v>16</v>
          </cell>
          <cell r="AD352">
            <v>205</v>
          </cell>
          <cell r="AI352">
            <v>203.97499999999999</v>
          </cell>
          <cell r="AJ352">
            <v>11</v>
          </cell>
          <cell r="AK352">
            <v>283</v>
          </cell>
          <cell r="AL352">
            <v>11</v>
          </cell>
        </row>
        <row r="353">
          <cell r="A353">
            <v>1978</v>
          </cell>
          <cell r="L353" t="str">
            <v>G500</v>
          </cell>
          <cell r="R353" t="str">
            <v>GIII</v>
          </cell>
          <cell r="AD353" t="str">
            <v>YEAR</v>
          </cell>
          <cell r="AI353" t="str">
            <v>GIV/SP</v>
          </cell>
          <cell r="AJ353" t="str">
            <v>GV</v>
          </cell>
          <cell r="AK353" t="str">
            <v>GVSP</v>
          </cell>
          <cell r="AL353" t="str">
            <v>G100</v>
          </cell>
        </row>
        <row r="354">
          <cell r="A354">
            <v>1967</v>
          </cell>
          <cell r="L354">
            <v>19</v>
          </cell>
          <cell r="AD354">
            <v>1</v>
          </cell>
          <cell r="AI354">
            <v>1</v>
          </cell>
          <cell r="AJ354">
            <v>3</v>
          </cell>
          <cell r="AK354">
            <v>1</v>
          </cell>
          <cell r="AL354">
            <v>5</v>
          </cell>
        </row>
        <row r="355">
          <cell r="A355">
            <v>1968</v>
          </cell>
          <cell r="L355">
            <v>27</v>
          </cell>
          <cell r="AD355">
            <v>2</v>
          </cell>
          <cell r="AI355">
            <v>11</v>
          </cell>
          <cell r="AJ355">
            <v>32</v>
          </cell>
          <cell r="AK355">
            <v>29</v>
          </cell>
          <cell r="AL355">
            <v>14</v>
          </cell>
        </row>
        <row r="356">
          <cell r="A356">
            <v>1969</v>
          </cell>
          <cell r="L356">
            <v>25</v>
          </cell>
          <cell r="R356">
            <v>58</v>
          </cell>
          <cell r="AD356">
            <v>3</v>
          </cell>
        </row>
        <row r="357">
          <cell r="A357">
            <v>1970</v>
          </cell>
          <cell r="L357">
            <v>36</v>
          </cell>
          <cell r="R357">
            <v>37</v>
          </cell>
          <cell r="AD357">
            <v>4</v>
          </cell>
        </row>
        <row r="358">
          <cell r="A358">
            <v>1971</v>
          </cell>
          <cell r="L358">
            <v>36</v>
          </cell>
          <cell r="R358">
            <v>55</v>
          </cell>
          <cell r="AD358">
            <v>5</v>
          </cell>
        </row>
        <row r="359">
          <cell r="A359">
            <v>1972</v>
          </cell>
          <cell r="L359">
            <v>36</v>
          </cell>
          <cell r="R359">
            <v>79</v>
          </cell>
          <cell r="AD359">
            <v>6</v>
          </cell>
        </row>
        <row r="360">
          <cell r="A360">
            <v>1973</v>
          </cell>
          <cell r="L360">
            <v>25</v>
          </cell>
          <cell r="R360">
            <v>72</v>
          </cell>
          <cell r="AD360">
            <v>7</v>
          </cell>
        </row>
        <row r="361">
          <cell r="A361">
            <v>1974</v>
          </cell>
          <cell r="L361">
            <v>26</v>
          </cell>
          <cell r="R361">
            <v>68</v>
          </cell>
          <cell r="AD361">
            <v>8</v>
          </cell>
        </row>
        <row r="362">
          <cell r="A362">
            <v>1975</v>
          </cell>
          <cell r="L362">
            <v>32</v>
          </cell>
          <cell r="R362">
            <v>63</v>
          </cell>
          <cell r="AD362">
            <v>9</v>
          </cell>
        </row>
        <row r="363">
          <cell r="A363">
            <v>1976</v>
          </cell>
          <cell r="L363">
            <v>51</v>
          </cell>
          <cell r="R363">
            <v>24</v>
          </cell>
          <cell r="AD363">
            <v>10</v>
          </cell>
        </row>
        <row r="364">
          <cell r="A364">
            <v>1977</v>
          </cell>
          <cell r="L364">
            <v>38</v>
          </cell>
          <cell r="R364">
            <v>13</v>
          </cell>
          <cell r="AD364">
            <v>11</v>
          </cell>
        </row>
        <row r="365">
          <cell r="A365">
            <v>1978</v>
          </cell>
          <cell r="L365">
            <v>31</v>
          </cell>
          <cell r="R365">
            <v>2</v>
          </cell>
          <cell r="AD365">
            <v>12</v>
          </cell>
        </row>
        <row r="366">
          <cell r="A366">
            <v>1979</v>
          </cell>
          <cell r="L366">
            <v>29</v>
          </cell>
          <cell r="R366">
            <v>1</v>
          </cell>
          <cell r="AD366">
            <v>13</v>
          </cell>
        </row>
        <row r="367">
          <cell r="A367">
            <v>1980</v>
          </cell>
          <cell r="L367">
            <v>25</v>
          </cell>
          <cell r="R367">
            <v>20</v>
          </cell>
          <cell r="AD367">
            <v>14</v>
          </cell>
        </row>
        <row r="368">
          <cell r="A368">
            <v>1981</v>
          </cell>
          <cell r="L368">
            <v>26</v>
          </cell>
          <cell r="R368">
            <v>45</v>
          </cell>
          <cell r="AD368">
            <v>15</v>
          </cell>
        </row>
        <row r="369">
          <cell r="A369">
            <v>1982</v>
          </cell>
          <cell r="L369">
            <v>22</v>
          </cell>
          <cell r="R369">
            <v>81</v>
          </cell>
          <cell r="AD369">
            <v>16</v>
          </cell>
        </row>
        <row r="370">
          <cell r="A370">
            <v>1983</v>
          </cell>
          <cell r="L370">
            <v>26</v>
          </cell>
          <cell r="R370">
            <v>117</v>
          </cell>
          <cell r="AD370">
            <v>17</v>
          </cell>
        </row>
        <row r="371">
          <cell r="A371">
            <v>1984</v>
          </cell>
          <cell r="L371">
            <v>27</v>
          </cell>
          <cell r="R371">
            <v>153</v>
          </cell>
          <cell r="AD371">
            <v>18</v>
          </cell>
        </row>
        <row r="372">
          <cell r="A372">
            <v>1985</v>
          </cell>
          <cell r="L372">
            <v>51</v>
          </cell>
          <cell r="R372">
            <v>177</v>
          </cell>
          <cell r="AD372">
            <v>19</v>
          </cell>
        </row>
        <row r="373">
          <cell r="A373">
            <v>1986</v>
          </cell>
          <cell r="L373">
            <v>61</v>
          </cell>
          <cell r="R373">
            <v>193</v>
          </cell>
          <cell r="AD373">
            <v>20</v>
          </cell>
        </row>
        <row r="374">
          <cell r="A374">
            <v>1987</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4">
          <cell r="AO4" t="str">
            <v>$ Val deals</v>
          </cell>
          <cell r="AP4">
            <v>300</v>
          </cell>
          <cell r="AR4">
            <v>505</v>
          </cell>
          <cell r="AS4">
            <v>505</v>
          </cell>
          <cell r="AT4">
            <v>900</v>
          </cell>
          <cell r="AU4">
            <v>415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sheetData sheetId="44"/>
      <sheetData sheetId="45"/>
      <sheetData sheetId="4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xclusion List"/>
      <sheetName val="EARNMOD"/>
      <sheetName val="Good 12-00 (2)"/>
      <sheetName val="Good 11-36"/>
      <sheetName val="Good 11-50"/>
      <sheetName val="Sheet3 (5)"/>
      <sheetName val="IS Quarterly"/>
      <sheetName val="Sheet1 (2)"/>
      <sheetName val="1Q11 Preview"/>
      <sheetName val="2Q11 Preview"/>
      <sheetName val="exh 11"/>
      <sheetName val="exh 14"/>
      <sheetName val="exh 12"/>
      <sheetName val="exh 10"/>
      <sheetName val="exh 1 and 5"/>
      <sheetName val="exh 15"/>
      <sheetName val="exh 3"/>
      <sheetName val="exh 9"/>
      <sheetName val="Operating Leases tagged"/>
      <sheetName val="WACC"/>
      <sheetName val="Sheet1"/>
      <sheetName val="Fixed Line Mkt"/>
      <sheetName val="Cash Flow"/>
      <sheetName val="upside_downside"/>
      <sheetName val="Income Statement"/>
      <sheetName val="Balance Sheet"/>
      <sheetName val="Valsum"/>
      <sheetName val="Total_Production"/>
      <sheetName val="RFS"/>
      <sheetName val="Corn_Uses"/>
      <sheetName val="US_Production"/>
      <sheetName val="DCF"/>
      <sheetName val="OP"/>
      <sheetName val="Inputs"/>
      <sheetName val="MWA RR"/>
      <sheetName val="Summary"/>
      <sheetName val="IS"/>
      <sheetName val="Risk-Reward_View_Chart"/>
      <sheetName val="variables"/>
      <sheetName val="Model"/>
      <sheetName val="Intrinsic Value"/>
      <sheetName val="Rev by Geo"/>
      <sheetName val="fin"/>
      <sheetName val="Report template"/>
      <sheetName val="Model (WIP)"/>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MW-Cache"/>
      <sheetName val="mStartup"/>
      <sheetName val="AFOSHEET"/>
      <sheetName val="Model"/>
      <sheetName val="__FDSCACHE__"/>
      <sheetName val="4Q11SegCons"/>
      <sheetName val="NOC Shipping"/>
      <sheetName val="Guidance"/>
      <sheetName val="VA Class"/>
      <sheetName val="Pension"/>
      <sheetName val="OPEB"/>
      <sheetName val="Cons 2013"/>
      <sheetName val="Cons 2014"/>
      <sheetName val="Cons 2015"/>
      <sheetName val="10-K"/>
      <sheetName val="10-Q"/>
      <sheetName val="MWA RR"/>
      <sheetName val="mwareDates"/>
      <sheetName val="TOC"/>
      <sheetName val="TR Convert"/>
      <sheetName val="mwareSettings"/>
      <sheetName val="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riance Analysis"/>
      <sheetName val="Main"/>
      <sheetName val="Quarterly"/>
      <sheetName val="Sum of Parts"/>
      <sheetName val="Aerospace"/>
      <sheetName val="Aerospacemodel"/>
      <sheetName val="Marine"/>
      <sheetName val="Combatmodel"/>
      <sheetName val="ISTmodel"/>
      <sheetName val="Tables"/>
      <sheetName val="DCF"/>
      <sheetName val="Scenario"/>
      <sheetName val="MWA RR"/>
      <sheetName val="Acquisitions"/>
      <sheetName val="Historical"/>
      <sheetName val="Resources"/>
      <sheetName val="Gulf Backlog"/>
      <sheetName val="Gulf Del By Cust"/>
      <sheetName val="DCF Old"/>
      <sheetName val="Gulf AC In Oper"/>
      <sheetName val="MW-Cache"/>
      <sheetName val="MWA Pension"/>
      <sheetName val="MWA OPEB"/>
      <sheetName val="Combat Sys"/>
      <sheetName val="Pension (old)"/>
      <sheetName val="OPEB (old)"/>
      <sheetName val="mwareDates"/>
      <sheetName val="mwareSettings"/>
      <sheetName val="MainCode"/>
    </sheetNames>
    <sheetDataSet>
      <sheetData sheetId="0"/>
      <sheetData sheetId="1">
        <row r="1">
          <cell r="CD1">
            <v>2007</v>
          </cell>
          <cell r="DR1">
            <v>2006</v>
          </cell>
          <cell r="FA1">
            <v>2005</v>
          </cell>
          <cell r="GJ1">
            <v>2004</v>
          </cell>
        </row>
        <row r="3">
          <cell r="A3" t="str">
            <v>GD Variance Analysis</v>
          </cell>
        </row>
        <row r="5">
          <cell r="DK5" t="str">
            <v>General Dynamics</v>
          </cell>
          <cell r="DT5" t="str">
            <v>General Dynamics</v>
          </cell>
          <cell r="EC5" t="str">
            <v>General Dynamics</v>
          </cell>
          <cell r="EL5" t="str">
            <v>General Dynamics</v>
          </cell>
          <cell r="EU5" t="str">
            <v>General Dynamics</v>
          </cell>
          <cell r="FC5" t="str">
            <v>General Dynamics</v>
          </cell>
          <cell r="FK5" t="str">
            <v>GD 3Q05 Actual vs. Expected</v>
          </cell>
          <cell r="FT5" t="str">
            <v>GD 2Q05 Actual vs. Expected</v>
          </cell>
          <cell r="GC5" t="str">
            <v>GD 1Q05 Actual vs. Expected</v>
          </cell>
          <cell r="GL5" t="str">
            <v>GD 2004 Actual vs. Expected</v>
          </cell>
        </row>
        <row r="6">
          <cell r="C6" t="str">
            <v>General Dynamics</v>
          </cell>
          <cell r="R6" t="str">
            <v>General Dynamics</v>
          </cell>
          <cell r="AE6" t="str">
            <v>General Dynamics</v>
          </cell>
          <cell r="AR6" t="str">
            <v>General Dynamics</v>
          </cell>
          <cell r="BE6" t="str">
            <v>General Dynamics</v>
          </cell>
          <cell r="BR6" t="str">
            <v>General Dynamics</v>
          </cell>
          <cell r="CF6" t="str">
            <v>General Dynamics</v>
          </cell>
          <cell r="CT6" t="str">
            <v>General Dynamics</v>
          </cell>
          <cell r="DC6" t="str">
            <v>General Dynamics</v>
          </cell>
          <cell r="DK6" t="str">
            <v>1Q07 Variance Analysis</v>
          </cell>
          <cell r="DT6" t="str">
            <v>2006 Variance Analysis</v>
          </cell>
          <cell r="EC6" t="str">
            <v>3Q06 Variance Analysis</v>
          </cell>
          <cell r="EL6" t="str">
            <v>2Q06 Variance Analysis</v>
          </cell>
          <cell r="EU6" t="str">
            <v>1Q06 Variance Analysis</v>
          </cell>
          <cell r="FC6" t="str">
            <v>2005 Variance Analysis</v>
          </cell>
        </row>
        <row r="7">
          <cell r="C7" t="str">
            <v>2Q09 Variance Analysis</v>
          </cell>
          <cell r="R7" t="str">
            <v>2008 Variance Analysis</v>
          </cell>
          <cell r="AE7" t="str">
            <v>4Q08 Variance Analysis</v>
          </cell>
          <cell r="AR7" t="str">
            <v>3Q08 Variance Analysis</v>
          </cell>
          <cell r="BE7" t="str">
            <v>2Q08 Variance Analysis</v>
          </cell>
          <cell r="BR7" t="str">
            <v>1Q08 Variance Analysis</v>
          </cell>
          <cell r="CF7" t="str">
            <v>4Q07 Variance Analysis</v>
          </cell>
          <cell r="CT7" t="str">
            <v>3Q07 Variance Analysis</v>
          </cell>
          <cell r="DC7" t="str">
            <v>2Q07 Variance Analysis</v>
          </cell>
          <cell r="DO7" t="str">
            <v>Variance</v>
          </cell>
          <cell r="DX7" t="str">
            <v>Variance</v>
          </cell>
          <cell r="EG7" t="str">
            <v>Variance</v>
          </cell>
          <cell r="EP7" t="str">
            <v>Variance</v>
          </cell>
          <cell r="EX7" t="str">
            <v>Variance</v>
          </cell>
          <cell r="FG7" t="str">
            <v>Variance</v>
          </cell>
          <cell r="FO7" t="str">
            <v>Change</v>
          </cell>
          <cell r="FT7" t="str">
            <v>($USD in Millions)</v>
          </cell>
          <cell r="FU7" t="str">
            <v>2Q05A</v>
          </cell>
          <cell r="FV7" t="str">
            <v>2Q05E</v>
          </cell>
          <cell r="FW7" t="str">
            <v>2Q04A</v>
          </cell>
          <cell r="FX7" t="str">
            <v>Change</v>
          </cell>
          <cell r="GC7" t="str">
            <v>($USD in Millions)</v>
          </cell>
          <cell r="GD7" t="str">
            <v>1Q05A</v>
          </cell>
          <cell r="GE7" t="str">
            <v>1Q05E</v>
          </cell>
          <cell r="GF7" t="str">
            <v>1Q04A</v>
          </cell>
          <cell r="GG7" t="str">
            <v>Change</v>
          </cell>
          <cell r="GL7" t="str">
            <v>($USD in Millions)</v>
          </cell>
          <cell r="GM7" t="str">
            <v>2004A</v>
          </cell>
          <cell r="GN7" t="str">
            <v>2004E</v>
          </cell>
          <cell r="GO7" t="str">
            <v>2003A</v>
          </cell>
          <cell r="GP7" t="str">
            <v>Change</v>
          </cell>
        </row>
        <row r="8">
          <cell r="H8" t="str">
            <v>Y/Y Variance</v>
          </cell>
          <cell r="J8" t="str">
            <v>A vs E Variance</v>
          </cell>
          <cell r="L8" t="str">
            <v>A. vs Con. Variance</v>
          </cell>
          <cell r="W8" t="str">
            <v>Y/Y Variance</v>
          </cell>
          <cell r="Y8" t="str">
            <v>A vs E Variance</v>
          </cell>
          <cell r="AA8" t="str">
            <v>A. vs Con. Variance</v>
          </cell>
          <cell r="AJ8" t="str">
            <v>Y/Y Variance</v>
          </cell>
          <cell r="AL8" t="str">
            <v>A vs E Variance</v>
          </cell>
          <cell r="AN8" t="str">
            <v>A. vs Con. Variance</v>
          </cell>
          <cell r="AW8" t="str">
            <v>Variance</v>
          </cell>
          <cell r="AY8" t="str">
            <v>A vs E Variance</v>
          </cell>
          <cell r="BA8" t="str">
            <v>A. vs Con. Variance</v>
          </cell>
          <cell r="BJ8" t="str">
            <v>Variance</v>
          </cell>
          <cell r="BL8" t="str">
            <v>A vs E Variance</v>
          </cell>
          <cell r="BN8" t="str">
            <v>A. vs Con. Variance</v>
          </cell>
          <cell r="BW8" t="str">
            <v>Variance</v>
          </cell>
          <cell r="BY8" t="str">
            <v>A vs E Variance</v>
          </cell>
          <cell r="CA8" t="str">
            <v>A. vs Con. Variance</v>
          </cell>
          <cell r="CK8" t="str">
            <v>Variance</v>
          </cell>
          <cell r="CM8" t="str">
            <v>A vs E Variance</v>
          </cell>
          <cell r="CO8" t="str">
            <v>A vs Con. Variance</v>
          </cell>
          <cell r="CX8" t="str">
            <v>Variance</v>
          </cell>
          <cell r="DF8" t="str">
            <v>Variance</v>
          </cell>
          <cell r="DK8" t="str">
            <v>($USD in Millions)</v>
          </cell>
          <cell r="DL8" t="str">
            <v xml:space="preserve">1Q07A </v>
          </cell>
          <cell r="DM8" t="str">
            <v xml:space="preserve">1Q07E </v>
          </cell>
          <cell r="DN8" t="str">
            <v xml:space="preserve">1Q06A </v>
          </cell>
          <cell r="DO8" t="str">
            <v xml:space="preserve">YoY </v>
          </cell>
          <cell r="DP8" t="str">
            <v xml:space="preserve">% </v>
          </cell>
          <cell r="DT8" t="str">
            <v>($USD in Millions)</v>
          </cell>
          <cell r="DU8" t="str">
            <v xml:space="preserve">2006A </v>
          </cell>
          <cell r="DV8" t="str">
            <v xml:space="preserve">2006E </v>
          </cell>
          <cell r="DW8" t="str">
            <v xml:space="preserve">2005A </v>
          </cell>
          <cell r="DX8" t="str">
            <v xml:space="preserve">YoY </v>
          </cell>
          <cell r="DY8" t="str">
            <v xml:space="preserve">% </v>
          </cell>
          <cell r="EC8" t="str">
            <v>($USD in Millions)</v>
          </cell>
          <cell r="ED8" t="str">
            <v xml:space="preserve">3Q06A </v>
          </cell>
          <cell r="EE8" t="str">
            <v xml:space="preserve">3Q06E </v>
          </cell>
          <cell r="EF8" t="str">
            <v xml:space="preserve">3Q05A </v>
          </cell>
          <cell r="EG8" t="str">
            <v xml:space="preserve">YoY </v>
          </cell>
          <cell r="EH8" t="str">
            <v xml:space="preserve">% </v>
          </cell>
          <cell r="EL8" t="str">
            <v>($USD in Millions)</v>
          </cell>
          <cell r="EM8" t="str">
            <v xml:space="preserve">2Q06A </v>
          </cell>
          <cell r="EN8" t="str">
            <v xml:space="preserve">2Q06E </v>
          </cell>
          <cell r="EO8" t="str">
            <v xml:space="preserve">2Q05A </v>
          </cell>
          <cell r="EP8" t="str">
            <v xml:space="preserve">YoY </v>
          </cell>
          <cell r="EQ8" t="str">
            <v xml:space="preserve">% </v>
          </cell>
          <cell r="EU8" t="str">
            <v>($USD in Millions)</v>
          </cell>
          <cell r="EV8" t="str">
            <v xml:space="preserve">1Q06A </v>
          </cell>
          <cell r="EW8" t="str">
            <v xml:space="preserve">1Q05A </v>
          </cell>
          <cell r="EX8" t="str">
            <v xml:space="preserve">YoY </v>
          </cell>
          <cell r="EY8" t="str">
            <v xml:space="preserve">% </v>
          </cell>
          <cell r="FC8" t="str">
            <v>($USD in Millions)</v>
          </cell>
          <cell r="FD8" t="str">
            <v xml:space="preserve">2005A </v>
          </cell>
          <cell r="FE8" t="str">
            <v xml:space="preserve">2005E </v>
          </cell>
          <cell r="FF8" t="str">
            <v xml:space="preserve">2004A </v>
          </cell>
          <cell r="FG8" t="str">
            <v xml:space="preserve">YoY </v>
          </cell>
          <cell r="FH8" t="str">
            <v xml:space="preserve">% </v>
          </cell>
          <cell r="FK8" t="str">
            <v>($USD in Millions)</v>
          </cell>
          <cell r="FL8" t="str">
            <v xml:space="preserve">3Q05A </v>
          </cell>
          <cell r="FM8" t="str">
            <v xml:space="preserve">3Q05E </v>
          </cell>
          <cell r="FN8" t="str">
            <v xml:space="preserve">3Q04A </v>
          </cell>
          <cell r="FO8" t="str">
            <v xml:space="preserve">YoY </v>
          </cell>
          <cell r="FP8" t="str">
            <v xml:space="preserve">% </v>
          </cell>
          <cell r="FT8" t="str">
            <v>Revenues</v>
          </cell>
          <cell r="FX8" t="str">
            <v>YoY</v>
          </cell>
          <cell r="FY8" t="str">
            <v>%</v>
          </cell>
          <cell r="GC8" t="str">
            <v>Revenues</v>
          </cell>
          <cell r="GG8" t="str">
            <v>YoY</v>
          </cell>
          <cell r="GH8" t="str">
            <v>%</v>
          </cell>
          <cell r="GL8" t="str">
            <v>Revenues</v>
          </cell>
          <cell r="GP8" t="str">
            <v>YoY</v>
          </cell>
          <cell r="GQ8" t="str">
            <v>%</v>
          </cell>
        </row>
        <row r="9">
          <cell r="C9" t="str">
            <v>($USD in Millions)</v>
          </cell>
          <cell r="D9" t="str">
            <v>2Q09A</v>
          </cell>
          <cell r="E9" t="str">
            <v xml:space="preserve">2Q09E </v>
          </cell>
          <cell r="F9" t="str">
            <v>1Q09Con.</v>
          </cell>
          <cell r="G9" t="str">
            <v xml:space="preserve">2Q08A </v>
          </cell>
          <cell r="H9" t="str">
            <v xml:space="preserve">Ch. Y/Y </v>
          </cell>
          <cell r="I9" t="str">
            <v xml:space="preserve">% </v>
          </cell>
          <cell r="J9" t="str">
            <v>A. vs E.</v>
          </cell>
          <cell r="K9" t="str">
            <v xml:space="preserve">% </v>
          </cell>
          <cell r="L9" t="str">
            <v>A. vs. C.</v>
          </cell>
          <cell r="M9" t="str">
            <v xml:space="preserve">% </v>
          </cell>
          <cell r="R9" t="str">
            <v>($USD in Millions)</v>
          </cell>
          <cell r="S9" t="str">
            <v>2008A</v>
          </cell>
          <cell r="T9" t="str">
            <v xml:space="preserve">2008E </v>
          </cell>
          <cell r="U9" t="str">
            <v>2008Con.</v>
          </cell>
          <cell r="V9" t="str">
            <v xml:space="preserve">2007A </v>
          </cell>
          <cell r="W9" t="str">
            <v xml:space="preserve">Ch. Y/Y </v>
          </cell>
          <cell r="X9" t="str">
            <v xml:space="preserve">% </v>
          </cell>
          <cell r="Y9" t="str">
            <v>A. vs E.</v>
          </cell>
          <cell r="Z9" t="str">
            <v xml:space="preserve">% </v>
          </cell>
          <cell r="AA9" t="str">
            <v>A. vs. C.</v>
          </cell>
          <cell r="AB9" t="str">
            <v xml:space="preserve">% </v>
          </cell>
          <cell r="AE9" t="str">
            <v>($USD in Millions)</v>
          </cell>
          <cell r="AF9" t="str">
            <v>4Q08A</v>
          </cell>
          <cell r="AG9" t="str">
            <v xml:space="preserve">4Q08E </v>
          </cell>
          <cell r="AH9" t="str">
            <v>4Q08Con.</v>
          </cell>
          <cell r="AI9" t="str">
            <v xml:space="preserve">4Q07A </v>
          </cell>
          <cell r="AJ9" t="str">
            <v xml:space="preserve">Ch. Y/Y </v>
          </cell>
          <cell r="AK9" t="str">
            <v xml:space="preserve">% </v>
          </cell>
          <cell r="AL9" t="str">
            <v>A. vs E.</v>
          </cell>
          <cell r="AM9" t="str">
            <v xml:space="preserve">% </v>
          </cell>
          <cell r="AN9" t="str">
            <v>A. vs. C.</v>
          </cell>
          <cell r="AO9" t="str">
            <v xml:space="preserve">% </v>
          </cell>
          <cell r="AR9" t="str">
            <v>($USD in Millions)</v>
          </cell>
          <cell r="AS9" t="str">
            <v>3Q08A</v>
          </cell>
          <cell r="AT9" t="str">
            <v xml:space="preserve">3Q08E </v>
          </cell>
          <cell r="AU9" t="str">
            <v>3Q08Con.</v>
          </cell>
          <cell r="AV9" t="str">
            <v xml:space="preserve">3Q07A </v>
          </cell>
          <cell r="AW9" t="str">
            <v xml:space="preserve">Y/Y </v>
          </cell>
          <cell r="AX9" t="str">
            <v xml:space="preserve">% </v>
          </cell>
          <cell r="AY9" t="str">
            <v>A. vs E.</v>
          </cell>
          <cell r="AZ9" t="str">
            <v xml:space="preserve">% </v>
          </cell>
          <cell r="BA9" t="str">
            <v>A. vs. C.</v>
          </cell>
          <cell r="BB9" t="str">
            <v xml:space="preserve">% </v>
          </cell>
          <cell r="BE9" t="str">
            <v>($USD in Millions)</v>
          </cell>
          <cell r="BF9" t="str">
            <v>2Q08A</v>
          </cell>
          <cell r="BG9" t="str">
            <v xml:space="preserve">2Q08E </v>
          </cell>
          <cell r="BH9" t="str">
            <v>2Q08Cons</v>
          </cell>
          <cell r="BI9" t="str">
            <v xml:space="preserve">2Q07A </v>
          </cell>
          <cell r="BJ9" t="str">
            <v xml:space="preserve">YoY </v>
          </cell>
          <cell r="BK9" t="str">
            <v xml:space="preserve">% </v>
          </cell>
          <cell r="BL9" t="str">
            <v>A. vs E.</v>
          </cell>
          <cell r="BM9" t="str">
            <v xml:space="preserve">% </v>
          </cell>
          <cell r="BN9" t="str">
            <v>A vs. C.</v>
          </cell>
          <cell r="BO9" t="str">
            <v xml:space="preserve">% </v>
          </cell>
          <cell r="BR9" t="str">
            <v>($USD in Millions)</v>
          </cell>
          <cell r="BS9" t="str">
            <v>1Q08A</v>
          </cell>
          <cell r="BT9" t="str">
            <v xml:space="preserve">1Q08E </v>
          </cell>
          <cell r="BU9" t="str">
            <v>1Q08Cons</v>
          </cell>
          <cell r="BV9" t="str">
            <v xml:space="preserve">1Q07A </v>
          </cell>
          <cell r="BW9" t="str">
            <v xml:space="preserve">YoY </v>
          </cell>
          <cell r="BX9" t="str">
            <v xml:space="preserve">% </v>
          </cell>
          <cell r="BY9" t="str">
            <v>A. vs E.</v>
          </cell>
          <cell r="BZ9" t="str">
            <v xml:space="preserve">% </v>
          </cell>
          <cell r="CA9" t="str">
            <v>A vs. C.</v>
          </cell>
          <cell r="CB9" t="str">
            <v xml:space="preserve">% </v>
          </cell>
          <cell r="CF9" t="str">
            <v>($USD in Millions)</v>
          </cell>
          <cell r="CG9" t="str">
            <v xml:space="preserve">4Q07A </v>
          </cell>
          <cell r="CH9" t="str">
            <v xml:space="preserve">4Q07E </v>
          </cell>
          <cell r="CI9" t="str">
            <v>4Q07Cons</v>
          </cell>
          <cell r="CJ9" t="str">
            <v xml:space="preserve">4Q06A </v>
          </cell>
          <cell r="CK9" t="str">
            <v xml:space="preserve">YoY </v>
          </cell>
          <cell r="CL9" t="str">
            <v xml:space="preserve">% </v>
          </cell>
          <cell r="CM9" t="str">
            <v xml:space="preserve">YoY </v>
          </cell>
          <cell r="CN9" t="str">
            <v xml:space="preserve">% </v>
          </cell>
          <cell r="CO9" t="str">
            <v xml:space="preserve">YoY </v>
          </cell>
          <cell r="CP9" t="str">
            <v xml:space="preserve">% </v>
          </cell>
          <cell r="CT9" t="str">
            <v>($USD in Millions)</v>
          </cell>
          <cell r="CU9" t="str">
            <v xml:space="preserve">3Q07A </v>
          </cell>
          <cell r="CV9" t="str">
            <v xml:space="preserve">3Q07E </v>
          </cell>
          <cell r="CW9" t="str">
            <v xml:space="preserve">3Q06A </v>
          </cell>
          <cell r="CX9" t="str">
            <v xml:space="preserve">YoY </v>
          </cell>
          <cell r="CY9" t="str">
            <v xml:space="preserve">% </v>
          </cell>
          <cell r="DC9" t="str">
            <v>($USD in Millions)</v>
          </cell>
          <cell r="DD9" t="str">
            <v xml:space="preserve">2Q07A </v>
          </cell>
          <cell r="DE9" t="str">
            <v xml:space="preserve">2Q06A </v>
          </cell>
          <cell r="DF9" t="str">
            <v xml:space="preserve">YoY </v>
          </cell>
          <cell r="DG9" t="str">
            <v xml:space="preserve">% </v>
          </cell>
          <cell r="DK9" t="str">
            <v>Revenues</v>
          </cell>
          <cell r="DT9" t="str">
            <v>Revenues</v>
          </cell>
          <cell r="EC9" t="str">
            <v>Revenues</v>
          </cell>
          <cell r="EL9" t="str">
            <v>Revenues</v>
          </cell>
          <cell r="EU9" t="str">
            <v>Revenues</v>
          </cell>
          <cell r="FC9" t="str">
            <v>Revenues</v>
          </cell>
          <cell r="FK9" t="str">
            <v>Revenues</v>
          </cell>
          <cell r="FT9" t="str">
            <v>Marine Group</v>
          </cell>
          <cell r="FU9">
            <v>1178</v>
          </cell>
          <cell r="FV9">
            <v>1135</v>
          </cell>
          <cell r="FW9">
            <v>1177</v>
          </cell>
          <cell r="FX9">
            <v>1</v>
          </cell>
          <cell r="FY9">
            <v>8.4961767204760896E-4</v>
          </cell>
          <cell r="GC9" t="str">
            <v>Marine Group</v>
          </cell>
          <cell r="GD9">
            <v>1210</v>
          </cell>
          <cell r="GE9">
            <v>1200</v>
          </cell>
          <cell r="GF9">
            <v>1280</v>
          </cell>
          <cell r="GG9">
            <v>-70</v>
          </cell>
          <cell r="GH9">
            <v>-5.46875E-2</v>
          </cell>
          <cell r="GL9" t="str">
            <v>Marine Group</v>
          </cell>
          <cell r="GM9">
            <v>4726</v>
          </cell>
          <cell r="GN9">
            <v>4750</v>
          </cell>
          <cell r="GO9">
            <v>4271</v>
          </cell>
          <cell r="GP9">
            <v>455</v>
          </cell>
          <cell r="GQ9">
            <v>0.10653242800280971</v>
          </cell>
        </row>
        <row r="10">
          <cell r="C10" t="str">
            <v>Revenues</v>
          </cell>
          <cell r="R10" t="str">
            <v>Revenues</v>
          </cell>
          <cell r="AE10" t="str">
            <v>Revenues</v>
          </cell>
          <cell r="AR10" t="str">
            <v>Revenues</v>
          </cell>
          <cell r="BE10" t="str">
            <v>Revenues</v>
          </cell>
          <cell r="BR10" t="str">
            <v>Revenues</v>
          </cell>
          <cell r="CF10" t="str">
            <v>Revenues</v>
          </cell>
          <cell r="CT10" t="str">
            <v>Revenues</v>
          </cell>
          <cell r="DC10" t="str">
            <v>Revenues</v>
          </cell>
          <cell r="DK10" t="str">
            <v>Marine Group</v>
          </cell>
          <cell r="DL10">
            <v>1257</v>
          </cell>
          <cell r="DM10">
            <v>1275</v>
          </cell>
          <cell r="DN10">
            <v>1275</v>
          </cell>
          <cell r="DO10">
            <v>-18</v>
          </cell>
          <cell r="DP10">
            <v>-1.4117647058823568E-2</v>
          </cell>
          <cell r="DT10" t="str">
            <v>Marine Group</v>
          </cell>
          <cell r="DU10">
            <v>4940</v>
          </cell>
          <cell r="DV10">
            <v>4800</v>
          </cell>
          <cell r="DW10">
            <v>4695</v>
          </cell>
          <cell r="DX10">
            <v>245</v>
          </cell>
          <cell r="DY10">
            <v>5.2183173588924436E-2</v>
          </cell>
          <cell r="EC10" t="str">
            <v>Marine Group</v>
          </cell>
          <cell r="ED10">
            <v>1221</v>
          </cell>
          <cell r="EE10">
            <v>1145</v>
          </cell>
          <cell r="EF10">
            <v>1171</v>
          </cell>
          <cell r="EG10">
            <v>50</v>
          </cell>
          <cell r="EH10">
            <v>4.2698548249359591E-2</v>
          </cell>
          <cell r="EL10" t="str">
            <v>Marine Group</v>
          </cell>
          <cell r="EM10">
            <v>1266</v>
          </cell>
          <cell r="EN10">
            <v>1155</v>
          </cell>
          <cell r="EO10">
            <v>1178</v>
          </cell>
          <cell r="EP10">
            <v>88</v>
          </cell>
          <cell r="EQ10">
            <v>7.4702886247877798E-2</v>
          </cell>
          <cell r="EU10" t="str">
            <v>Marine Group</v>
          </cell>
          <cell r="EV10">
            <v>1275</v>
          </cell>
          <cell r="EW10">
            <v>1210</v>
          </cell>
          <cell r="EX10">
            <v>65</v>
          </cell>
          <cell r="EY10">
            <v>5.3719008264462742E-2</v>
          </cell>
          <cell r="FC10" t="str">
            <v>Marine Group</v>
          </cell>
          <cell r="FD10">
            <v>4695</v>
          </cell>
          <cell r="FE10">
            <v>4600</v>
          </cell>
          <cell r="FF10">
            <v>4726</v>
          </cell>
          <cell r="FG10">
            <v>-31</v>
          </cell>
          <cell r="FH10">
            <v>-6.5594583157003727E-3</v>
          </cell>
          <cell r="FK10" t="str">
            <v>Marine Group</v>
          </cell>
          <cell r="FL10">
            <v>1171</v>
          </cell>
          <cell r="FM10">
            <v>1100</v>
          </cell>
          <cell r="FN10">
            <v>1154</v>
          </cell>
          <cell r="FO10">
            <v>17</v>
          </cell>
          <cell r="FP10">
            <v>1.4731369150779994E-2</v>
          </cell>
          <cell r="FT10" t="str">
            <v>Combat Sys</v>
          </cell>
          <cell r="FU10">
            <v>1118</v>
          </cell>
          <cell r="FV10">
            <v>1170</v>
          </cell>
          <cell r="FW10">
            <v>998</v>
          </cell>
          <cell r="FX10">
            <v>120</v>
          </cell>
          <cell r="FY10">
            <v>0.12024048096192375</v>
          </cell>
          <cell r="GC10" t="str">
            <v>Combat Sys</v>
          </cell>
          <cell r="GD10">
            <v>1057</v>
          </cell>
          <cell r="GE10">
            <v>1315</v>
          </cell>
          <cell r="GF10">
            <v>1070</v>
          </cell>
          <cell r="GG10">
            <v>-13</v>
          </cell>
          <cell r="GH10">
            <v>-1.2149532710280408E-2</v>
          </cell>
          <cell r="GL10" t="str">
            <v>Combat Sys</v>
          </cell>
          <cell r="GM10">
            <v>4407</v>
          </cell>
          <cell r="GN10">
            <v>4600</v>
          </cell>
          <cell r="GO10">
            <v>4007</v>
          </cell>
          <cell r="GP10">
            <v>400</v>
          </cell>
          <cell r="GQ10">
            <v>9.9825305714998702E-2</v>
          </cell>
        </row>
        <row r="11">
          <cell r="C11" t="str">
            <v>Marine Group</v>
          </cell>
          <cell r="D11">
            <v>1625</v>
          </cell>
          <cell r="E11">
            <v>1550</v>
          </cell>
          <cell r="G11">
            <v>1394</v>
          </cell>
          <cell r="H11">
            <v>231</v>
          </cell>
          <cell r="I11">
            <v>0.1657101865136299</v>
          </cell>
          <cell r="J11">
            <v>75</v>
          </cell>
          <cell r="K11">
            <v>4.8387096774193505E-2</v>
          </cell>
          <cell r="R11" t="str">
            <v>Marine Group</v>
          </cell>
          <cell r="S11">
            <v>5556</v>
          </cell>
          <cell r="T11">
            <v>5400</v>
          </cell>
          <cell r="V11">
            <v>4993</v>
          </cell>
          <cell r="W11">
            <v>563</v>
          </cell>
          <cell r="X11">
            <v>0.11275786100540763</v>
          </cell>
          <cell r="Y11">
            <v>156</v>
          </cell>
          <cell r="Z11">
            <v>2.8888888888888964E-2</v>
          </cell>
          <cell r="AE11" t="str">
            <v>Marine Group</v>
          </cell>
          <cell r="AF11">
            <v>1380</v>
          </cell>
          <cell r="AG11">
            <v>1224</v>
          </cell>
          <cell r="AI11">
            <v>1218</v>
          </cell>
          <cell r="AJ11">
            <v>162</v>
          </cell>
          <cell r="AK11">
            <v>0.13300492610837433</v>
          </cell>
          <cell r="AL11">
            <v>156</v>
          </cell>
          <cell r="AM11">
            <v>0.12745098039215685</v>
          </cell>
          <cell r="AR11" t="str">
            <v>Marine Group</v>
          </cell>
          <cell r="AS11">
            <v>1404</v>
          </cell>
          <cell r="AT11">
            <v>1315</v>
          </cell>
          <cell r="AV11">
            <v>1246</v>
          </cell>
          <cell r="AW11">
            <v>158</v>
          </cell>
          <cell r="AX11">
            <v>0.12680577849117181</v>
          </cell>
          <cell r="AY11">
            <v>89</v>
          </cell>
          <cell r="AZ11">
            <v>6.768060836501899E-2</v>
          </cell>
          <cell r="BE11" t="str">
            <v>Marine Group</v>
          </cell>
          <cell r="BF11">
            <v>1394</v>
          </cell>
          <cell r="BG11">
            <v>1335</v>
          </cell>
          <cell r="BI11">
            <v>1272</v>
          </cell>
          <cell r="BJ11">
            <v>122</v>
          </cell>
          <cell r="BK11">
            <v>9.5911949685534514E-2</v>
          </cell>
          <cell r="BL11">
            <v>59</v>
          </cell>
          <cell r="BM11">
            <v>4.4194756554307046E-2</v>
          </cell>
          <cell r="BR11" t="str">
            <v>Marine Group</v>
          </cell>
          <cell r="BS11">
            <v>1378</v>
          </cell>
          <cell r="BT11">
            <v>1355</v>
          </cell>
          <cell r="BV11">
            <v>1257</v>
          </cell>
          <cell r="BW11">
            <v>121</v>
          </cell>
          <cell r="BX11">
            <v>9.6260938743038871E-2</v>
          </cell>
          <cell r="BY11">
            <v>23</v>
          </cell>
          <cell r="BZ11">
            <v>1.6974169741697409E-2</v>
          </cell>
          <cell r="CF11" t="str">
            <v>Marine Group</v>
          </cell>
          <cell r="CG11">
            <v>1218</v>
          </cell>
          <cell r="CH11">
            <v>1250</v>
          </cell>
          <cell r="CJ11">
            <v>1178</v>
          </cell>
          <cell r="CK11">
            <v>40</v>
          </cell>
          <cell r="CL11">
            <v>3.395585738539908E-2</v>
          </cell>
          <cell r="CM11">
            <v>-32</v>
          </cell>
          <cell r="CN11">
            <v>-2.5599999999999956E-2</v>
          </cell>
          <cell r="CT11" t="str">
            <v>Marine Group</v>
          </cell>
          <cell r="CU11">
            <v>1246</v>
          </cell>
          <cell r="CV11">
            <v>1220</v>
          </cell>
          <cell r="CW11">
            <v>1221</v>
          </cell>
          <cell r="CX11">
            <v>25</v>
          </cell>
          <cell r="CY11">
            <v>2.0475020475020367E-2</v>
          </cell>
          <cell r="DC11" t="str">
            <v>Marine Group</v>
          </cell>
          <cell r="DD11">
            <v>1272</v>
          </cell>
          <cell r="DE11">
            <v>1266</v>
          </cell>
          <cell r="DF11">
            <v>6</v>
          </cell>
          <cell r="DG11">
            <v>4.7393364928909332E-3</v>
          </cell>
          <cell r="DK11" t="str">
            <v>Combat Sys</v>
          </cell>
          <cell r="DL11">
            <v>1568</v>
          </cell>
          <cell r="DM11">
            <v>1475</v>
          </cell>
          <cell r="DN11">
            <v>1369</v>
          </cell>
          <cell r="DO11">
            <v>199</v>
          </cell>
          <cell r="DP11">
            <v>0.14536157779401027</v>
          </cell>
          <cell r="DT11" t="str">
            <v>Combat Sys</v>
          </cell>
          <cell r="DU11">
            <v>5983</v>
          </cell>
          <cell r="DV11">
            <v>5950</v>
          </cell>
          <cell r="DW11">
            <v>5021</v>
          </cell>
          <cell r="DX11">
            <v>962</v>
          </cell>
          <cell r="DY11">
            <v>0.19159529974108747</v>
          </cell>
          <cell r="EC11" t="str">
            <v>Combat Sys</v>
          </cell>
          <cell r="ED11">
            <v>1365</v>
          </cell>
          <cell r="EE11">
            <v>1450</v>
          </cell>
          <cell r="EF11">
            <v>1240</v>
          </cell>
          <cell r="EG11">
            <v>125</v>
          </cell>
          <cell r="EH11">
            <v>0.10080645161290325</v>
          </cell>
          <cell r="EL11" t="str">
            <v>Combat Sys</v>
          </cell>
          <cell r="EM11">
            <v>1444</v>
          </cell>
          <cell r="EN11">
            <v>1310</v>
          </cell>
          <cell r="EO11">
            <v>1118</v>
          </cell>
          <cell r="EP11">
            <v>326</v>
          </cell>
          <cell r="EQ11">
            <v>0.29159212880143115</v>
          </cell>
          <cell r="EU11" t="str">
            <v>Combat Sys</v>
          </cell>
          <cell r="EV11">
            <v>1369</v>
          </cell>
          <cell r="EW11">
            <v>1057</v>
          </cell>
          <cell r="EX11">
            <v>312</v>
          </cell>
          <cell r="EY11">
            <v>0.29517502365184489</v>
          </cell>
          <cell r="FC11" t="str">
            <v>Combat Sys</v>
          </cell>
          <cell r="FD11">
            <v>5021</v>
          </cell>
          <cell r="FE11">
            <v>5040</v>
          </cell>
          <cell r="FF11">
            <v>4407</v>
          </cell>
          <cell r="FG11">
            <v>614</v>
          </cell>
          <cell r="FH11">
            <v>0.1393238030406172</v>
          </cell>
          <cell r="FK11" t="str">
            <v>Combat Sys</v>
          </cell>
          <cell r="FL11">
            <v>1240</v>
          </cell>
          <cell r="FM11">
            <v>1240</v>
          </cell>
          <cell r="FN11">
            <v>1031</v>
          </cell>
          <cell r="FO11">
            <v>209</v>
          </cell>
          <cell r="FP11">
            <v>0.20271580989330751</v>
          </cell>
          <cell r="FT11" t="str">
            <v>Info Sys &amp; Tech</v>
          </cell>
          <cell r="FU11">
            <v>2013</v>
          </cell>
          <cell r="FV11">
            <v>1835</v>
          </cell>
          <cell r="FW11">
            <v>1641</v>
          </cell>
          <cell r="FX11">
            <v>372</v>
          </cell>
          <cell r="FY11">
            <v>0.2266910420475321</v>
          </cell>
          <cell r="GC11" t="str">
            <v>Info Sys &amp; Tech</v>
          </cell>
          <cell r="GD11">
            <v>1752</v>
          </cell>
          <cell r="GE11">
            <v>1850</v>
          </cell>
          <cell r="GF11">
            <v>1643</v>
          </cell>
          <cell r="GG11">
            <v>109</v>
          </cell>
          <cell r="GH11">
            <v>6.6342057212416261E-2</v>
          </cell>
          <cell r="GL11" t="str">
            <v>Info Sys &amp; Tech</v>
          </cell>
          <cell r="GM11">
            <v>6722</v>
          </cell>
          <cell r="GN11">
            <v>6780</v>
          </cell>
          <cell r="GO11">
            <v>4848</v>
          </cell>
          <cell r="GP11">
            <v>1874</v>
          </cell>
          <cell r="GQ11">
            <v>0.38655115511551164</v>
          </cell>
        </row>
        <row r="12">
          <cell r="C12" t="str">
            <v>Combat Sys</v>
          </cell>
          <cell r="D12">
            <v>2405</v>
          </cell>
          <cell r="E12">
            <v>2425</v>
          </cell>
          <cell r="G12">
            <v>2015</v>
          </cell>
          <cell r="H12">
            <v>390</v>
          </cell>
          <cell r="I12">
            <v>0.19354838709677424</v>
          </cell>
          <cell r="J12">
            <v>-20</v>
          </cell>
          <cell r="K12">
            <v>-8.2474226804123418E-3</v>
          </cell>
          <cell r="R12" t="str">
            <v>Combat Sys</v>
          </cell>
          <cell r="S12">
            <v>8194</v>
          </cell>
          <cell r="T12">
            <v>8250</v>
          </cell>
          <cell r="V12">
            <v>7797</v>
          </cell>
          <cell r="W12">
            <v>397</v>
          </cell>
          <cell r="X12">
            <v>5.0917019366423011E-2</v>
          </cell>
          <cell r="Y12">
            <v>-56</v>
          </cell>
          <cell r="Z12">
            <v>-6.7878787878787872E-3</v>
          </cell>
          <cell r="AE12" t="str">
            <v>Combat Sys</v>
          </cell>
          <cell r="AF12">
            <v>2332</v>
          </cell>
          <cell r="AG12">
            <v>2388</v>
          </cell>
          <cell r="AI12">
            <v>2645</v>
          </cell>
          <cell r="AJ12">
            <v>-313</v>
          </cell>
          <cell r="AK12">
            <v>-0.11833648393194707</v>
          </cell>
          <cell r="AL12">
            <v>-56</v>
          </cell>
          <cell r="AM12">
            <v>-2.345058626465657E-2</v>
          </cell>
          <cell r="AR12" t="str">
            <v>Combat Sys</v>
          </cell>
          <cell r="AS12">
            <v>1850</v>
          </cell>
          <cell r="AT12">
            <v>1980</v>
          </cell>
          <cell r="AV12">
            <v>1872</v>
          </cell>
          <cell r="AW12">
            <v>-22</v>
          </cell>
          <cell r="AX12">
            <v>-1.175213675213671E-2</v>
          </cell>
          <cell r="AY12">
            <v>-130</v>
          </cell>
          <cell r="AZ12">
            <v>-6.5656565656565635E-2</v>
          </cell>
          <cell r="BE12" t="str">
            <v>Combat Sys</v>
          </cell>
          <cell r="BF12">
            <v>2015</v>
          </cell>
          <cell r="BG12">
            <v>1900</v>
          </cell>
          <cell r="BI12">
            <v>1712</v>
          </cell>
          <cell r="BJ12">
            <v>303</v>
          </cell>
          <cell r="BK12">
            <v>0.17698598130841114</v>
          </cell>
          <cell r="BL12">
            <v>115</v>
          </cell>
          <cell r="BM12">
            <v>6.0526315789473761E-2</v>
          </cell>
          <cell r="BR12" t="str">
            <v>Combat Sys</v>
          </cell>
          <cell r="BS12">
            <v>1997</v>
          </cell>
          <cell r="BT12">
            <v>1680</v>
          </cell>
          <cell r="BV12">
            <v>1568</v>
          </cell>
          <cell r="BW12">
            <v>429</v>
          </cell>
          <cell r="BX12">
            <v>0.27359693877551017</v>
          </cell>
          <cell r="BY12">
            <v>317</v>
          </cell>
          <cell r="BZ12">
            <v>0.18869047619047619</v>
          </cell>
          <cell r="CF12" t="str">
            <v>Combat Sys</v>
          </cell>
          <cell r="CG12">
            <v>2645</v>
          </cell>
          <cell r="CH12">
            <v>2398</v>
          </cell>
          <cell r="CJ12">
            <v>1805</v>
          </cell>
          <cell r="CK12">
            <v>840</v>
          </cell>
          <cell r="CL12">
            <v>0.46537396121883656</v>
          </cell>
          <cell r="CM12">
            <v>247</v>
          </cell>
          <cell r="CN12">
            <v>0.10300250208507089</v>
          </cell>
          <cell r="CT12" t="str">
            <v>Combat Sys</v>
          </cell>
          <cell r="CU12">
            <v>1872</v>
          </cell>
          <cell r="CV12">
            <v>1850</v>
          </cell>
          <cell r="CW12">
            <v>1365</v>
          </cell>
          <cell r="CX12">
            <v>507</v>
          </cell>
          <cell r="CY12">
            <v>0.37142857142857144</v>
          </cell>
          <cell r="DC12" t="str">
            <v>Combat Sys</v>
          </cell>
          <cell r="DD12">
            <v>1712</v>
          </cell>
          <cell r="DE12">
            <v>1444</v>
          </cell>
          <cell r="DF12">
            <v>268</v>
          </cell>
          <cell r="DG12">
            <v>0.18559556786703602</v>
          </cell>
          <cell r="DK12" t="str">
            <v>Info Sys &amp; Tech</v>
          </cell>
          <cell r="DL12">
            <v>2381</v>
          </cell>
          <cell r="DM12">
            <v>2210</v>
          </cell>
          <cell r="DN12">
            <v>1973</v>
          </cell>
          <cell r="DO12">
            <v>408</v>
          </cell>
          <cell r="DP12">
            <v>0.20679168778509882</v>
          </cell>
          <cell r="DT12" t="str">
            <v>Info Sys &amp; Tech</v>
          </cell>
          <cell r="DU12">
            <v>9024</v>
          </cell>
          <cell r="DV12">
            <v>9350</v>
          </cell>
          <cell r="DW12">
            <v>7826</v>
          </cell>
          <cell r="DX12">
            <v>1198</v>
          </cell>
          <cell r="DY12">
            <v>0.15307947866087401</v>
          </cell>
          <cell r="EC12" t="str">
            <v>Info Sys &amp; Tech</v>
          </cell>
          <cell r="ED12">
            <v>2396</v>
          </cell>
          <cell r="EE12">
            <v>2480</v>
          </cell>
          <cell r="EF12">
            <v>1985</v>
          </cell>
          <cell r="EG12">
            <v>411</v>
          </cell>
          <cell r="EH12">
            <v>0.2070528967254408</v>
          </cell>
          <cell r="EL12" t="str">
            <v>Info Sys &amp; Tech</v>
          </cell>
          <cell r="EM12">
            <v>2157</v>
          </cell>
          <cell r="EN12">
            <v>2230</v>
          </cell>
          <cell r="EO12">
            <v>2013</v>
          </cell>
          <cell r="EP12">
            <v>144</v>
          </cell>
          <cell r="EQ12">
            <v>7.1535022354694444E-2</v>
          </cell>
          <cell r="EU12" t="str">
            <v>Info Sys &amp; Tech</v>
          </cell>
          <cell r="EV12">
            <v>1973</v>
          </cell>
          <cell r="EW12">
            <v>1752</v>
          </cell>
          <cell r="EX12">
            <v>221</v>
          </cell>
          <cell r="EY12">
            <v>0.12614155251141557</v>
          </cell>
          <cell r="FC12" t="str">
            <v>Info Sys &amp; Tech</v>
          </cell>
          <cell r="FD12">
            <v>7826</v>
          </cell>
          <cell r="FE12">
            <v>7804.9310000000005</v>
          </cell>
          <cell r="FF12">
            <v>6722</v>
          </cell>
          <cell r="FG12">
            <v>1104</v>
          </cell>
          <cell r="FH12">
            <v>0.16423683427551317</v>
          </cell>
          <cell r="FK12" t="str">
            <v>Info Sys &amp; Tech</v>
          </cell>
          <cell r="FL12">
            <v>1985</v>
          </cell>
          <cell r="FM12">
            <v>1750</v>
          </cell>
          <cell r="FN12">
            <v>1590</v>
          </cell>
          <cell r="FO12">
            <v>395</v>
          </cell>
          <cell r="FP12">
            <v>0.2484276729559749</v>
          </cell>
          <cell r="FT12" t="str">
            <v xml:space="preserve">Aerospace </v>
          </cell>
          <cell r="FU12">
            <v>828</v>
          </cell>
          <cell r="FV12">
            <v>830</v>
          </cell>
          <cell r="FW12">
            <v>771</v>
          </cell>
          <cell r="FX12">
            <v>57</v>
          </cell>
          <cell r="FY12">
            <v>7.3929961089494123E-2</v>
          </cell>
          <cell r="GC12" t="str">
            <v xml:space="preserve">Aerospace </v>
          </cell>
          <cell r="GD12">
            <v>753</v>
          </cell>
          <cell r="GE12">
            <v>645</v>
          </cell>
          <cell r="GF12">
            <v>606</v>
          </cell>
          <cell r="GG12">
            <v>147</v>
          </cell>
          <cell r="GH12">
            <v>0.24257425742574257</v>
          </cell>
          <cell r="GL12" t="str">
            <v xml:space="preserve">Aerospace </v>
          </cell>
          <cell r="GM12">
            <v>3012</v>
          </cell>
          <cell r="GN12">
            <v>3010</v>
          </cell>
          <cell r="GO12">
            <v>2946</v>
          </cell>
          <cell r="GP12">
            <v>66</v>
          </cell>
          <cell r="GQ12">
            <v>2.2403258655804503E-2</v>
          </cell>
        </row>
        <row r="13">
          <cell r="C13" t="str">
            <v>Info Sys &amp; Tech</v>
          </cell>
          <cell r="D13">
            <v>2655</v>
          </cell>
          <cell r="E13">
            <v>2700</v>
          </cell>
          <cell r="G13">
            <v>2565</v>
          </cell>
          <cell r="H13">
            <v>90</v>
          </cell>
          <cell r="I13">
            <v>3.5087719298245723E-2</v>
          </cell>
          <cell r="J13">
            <v>-45</v>
          </cell>
          <cell r="K13">
            <v>-1.6666666666666718E-2</v>
          </cell>
          <cell r="R13" t="str">
            <v>Info Sys &amp; Tech</v>
          </cell>
          <cell r="S13">
            <v>10038</v>
          </cell>
          <cell r="T13">
            <v>10000</v>
          </cell>
          <cell r="V13">
            <v>9622</v>
          </cell>
          <cell r="W13">
            <v>416</v>
          </cell>
          <cell r="X13">
            <v>4.3234254832675179E-2</v>
          </cell>
          <cell r="Y13">
            <v>38</v>
          </cell>
          <cell r="Z13">
            <v>3.8000000000000256E-3</v>
          </cell>
          <cell r="AE13" t="str">
            <v>Info Sys &amp; Tech</v>
          </cell>
          <cell r="AF13">
            <v>2608</v>
          </cell>
          <cell r="AG13">
            <v>2570</v>
          </cell>
          <cell r="AI13">
            <v>2441</v>
          </cell>
          <cell r="AJ13">
            <v>167</v>
          </cell>
          <cell r="AK13">
            <v>6.841458418680868E-2</v>
          </cell>
          <cell r="AL13">
            <v>38</v>
          </cell>
          <cell r="AM13">
            <v>1.478599221789878E-2</v>
          </cell>
          <cell r="AR13" t="str">
            <v>Info Sys &amp; Tech</v>
          </cell>
          <cell r="AS13">
            <v>2514</v>
          </cell>
          <cell r="AT13">
            <v>2530</v>
          </cell>
          <cell r="AV13">
            <v>2401</v>
          </cell>
          <cell r="AW13">
            <v>113</v>
          </cell>
          <cell r="AX13">
            <v>4.7063723448563133E-2</v>
          </cell>
          <cell r="AY13">
            <v>-16</v>
          </cell>
          <cell r="AZ13">
            <v>-6.3241106719367224E-3</v>
          </cell>
          <cell r="BE13" t="str">
            <v>Info Sys &amp; Tech</v>
          </cell>
          <cell r="BF13">
            <v>2565</v>
          </cell>
          <cell r="BG13">
            <v>2525</v>
          </cell>
          <cell r="BI13">
            <v>2399</v>
          </cell>
          <cell r="BJ13">
            <v>166</v>
          </cell>
          <cell r="BK13">
            <v>6.9195498124218435E-2</v>
          </cell>
          <cell r="BL13">
            <v>40</v>
          </cell>
          <cell r="BM13">
            <v>1.5841584158415856E-2</v>
          </cell>
          <cell r="BR13" t="str">
            <v>Info Sys &amp; Tech</v>
          </cell>
          <cell r="BS13">
            <v>2351</v>
          </cell>
          <cell r="BT13">
            <v>2500</v>
          </cell>
          <cell r="BV13">
            <v>2381</v>
          </cell>
          <cell r="BW13">
            <v>-30</v>
          </cell>
          <cell r="BX13">
            <v>-1.2599748005039935E-2</v>
          </cell>
          <cell r="BY13">
            <v>-149</v>
          </cell>
          <cell r="BZ13">
            <v>-5.9599999999999986E-2</v>
          </cell>
          <cell r="CF13" t="str">
            <v>Info Sys &amp; Tech</v>
          </cell>
          <cell r="CG13">
            <v>2441</v>
          </cell>
          <cell r="CH13">
            <v>2519</v>
          </cell>
          <cell r="CJ13">
            <v>2498</v>
          </cell>
          <cell r="CK13">
            <v>-57</v>
          </cell>
          <cell r="CL13">
            <v>-2.2818254603682919E-2</v>
          </cell>
          <cell r="CM13">
            <v>-78</v>
          </cell>
          <cell r="CN13">
            <v>-3.0964668519253724E-2</v>
          </cell>
          <cell r="CT13" t="str">
            <v>Info Sys &amp; Tech</v>
          </cell>
          <cell r="CU13">
            <v>2401</v>
          </cell>
          <cell r="CV13">
            <v>2500</v>
          </cell>
          <cell r="CW13">
            <v>2396</v>
          </cell>
          <cell r="CX13">
            <v>5</v>
          </cell>
          <cell r="CY13">
            <v>2.0868113522538589E-3</v>
          </cell>
          <cell r="DC13" t="str">
            <v>Info Sys &amp; Tech</v>
          </cell>
          <cell r="DD13">
            <v>2399</v>
          </cell>
          <cell r="DE13">
            <v>2157</v>
          </cell>
          <cell r="DF13">
            <v>242</v>
          </cell>
          <cell r="DG13">
            <v>0.11219286045433474</v>
          </cell>
          <cell r="DK13" t="str">
            <v xml:space="preserve">Aerospace </v>
          </cell>
          <cell r="DL13">
            <v>1094</v>
          </cell>
          <cell r="DM13">
            <v>1125</v>
          </cell>
          <cell r="DN13">
            <v>929</v>
          </cell>
          <cell r="DO13">
            <v>165</v>
          </cell>
          <cell r="DP13">
            <v>0.17761033369214219</v>
          </cell>
          <cell r="DT13" t="str">
            <v xml:space="preserve">Aerospace </v>
          </cell>
          <cell r="DU13">
            <v>4116</v>
          </cell>
          <cell r="DV13">
            <v>4017</v>
          </cell>
          <cell r="DW13">
            <v>3433</v>
          </cell>
          <cell r="DX13">
            <v>683</v>
          </cell>
          <cell r="DY13">
            <v>0.19895135450043688</v>
          </cell>
          <cell r="EC13" t="str">
            <v xml:space="preserve">Aerospace </v>
          </cell>
          <cell r="ED13">
            <v>1087</v>
          </cell>
          <cell r="EE13">
            <v>1040</v>
          </cell>
          <cell r="EF13">
            <v>906</v>
          </cell>
          <cell r="EG13">
            <v>181</v>
          </cell>
          <cell r="EH13">
            <v>0.19977924944812364</v>
          </cell>
          <cell r="EL13" t="str">
            <v xml:space="preserve">Aerospace </v>
          </cell>
          <cell r="EM13">
            <v>1067</v>
          </cell>
          <cell r="EN13">
            <v>980</v>
          </cell>
          <cell r="EO13">
            <v>828</v>
          </cell>
          <cell r="EP13">
            <v>239</v>
          </cell>
          <cell r="EQ13">
            <v>0.28864734299516903</v>
          </cell>
          <cell r="EU13" t="str">
            <v xml:space="preserve">Aerospace </v>
          </cell>
          <cell r="EV13">
            <v>929</v>
          </cell>
          <cell r="EW13">
            <v>753</v>
          </cell>
          <cell r="EX13">
            <v>176</v>
          </cell>
          <cell r="EY13">
            <v>0.23373173970783534</v>
          </cell>
          <cell r="FC13" t="str">
            <v xml:space="preserve">Aerospace </v>
          </cell>
          <cell r="FD13">
            <v>3433</v>
          </cell>
          <cell r="FE13">
            <v>3449.6435999999999</v>
          </cell>
          <cell r="FF13">
            <v>3012</v>
          </cell>
          <cell r="FG13">
            <v>421</v>
          </cell>
          <cell r="FH13">
            <v>0.1397742363877823</v>
          </cell>
          <cell r="FK13" t="str">
            <v xml:space="preserve">Aerospace </v>
          </cell>
          <cell r="FL13">
            <v>906</v>
          </cell>
          <cell r="FM13">
            <v>820</v>
          </cell>
          <cell r="FN13">
            <v>798</v>
          </cell>
          <cell r="FO13">
            <v>108</v>
          </cell>
          <cell r="FP13">
            <v>0.13533834586466176</v>
          </cell>
          <cell r="FT13" t="str">
            <v>Other</v>
          </cell>
          <cell r="FU13">
            <v>0</v>
          </cell>
          <cell r="FV13">
            <v>65</v>
          </cell>
          <cell r="FW13">
            <v>65</v>
          </cell>
          <cell r="FX13">
            <v>-65</v>
          </cell>
          <cell r="FY13">
            <v>-1</v>
          </cell>
          <cell r="GC13" t="str">
            <v>Other</v>
          </cell>
          <cell r="GD13">
            <v>0</v>
          </cell>
          <cell r="GE13">
            <v>45</v>
          </cell>
          <cell r="GF13">
            <v>47</v>
          </cell>
          <cell r="GG13">
            <v>-47</v>
          </cell>
          <cell r="GH13">
            <v>-1</v>
          </cell>
          <cell r="GL13" t="str">
            <v>Other</v>
          </cell>
          <cell r="GM13">
            <v>1</v>
          </cell>
          <cell r="GN13">
            <v>275</v>
          </cell>
          <cell r="GO13">
            <v>256</v>
          </cell>
          <cell r="GP13">
            <v>-255</v>
          </cell>
          <cell r="GQ13">
            <v>-0.99609375</v>
          </cell>
        </row>
        <row r="14">
          <cell r="C14" t="str">
            <v xml:space="preserve">Aerospace </v>
          </cell>
          <cell r="D14">
            <v>1415</v>
          </cell>
          <cell r="E14">
            <v>1550</v>
          </cell>
          <cell r="G14">
            <v>1329</v>
          </cell>
          <cell r="H14">
            <v>86</v>
          </cell>
          <cell r="I14">
            <v>6.4710308502633485E-2</v>
          </cell>
          <cell r="J14">
            <v>-135</v>
          </cell>
          <cell r="K14">
            <v>-8.7096774193548332E-2</v>
          </cell>
          <cell r="R14" t="str">
            <v xml:space="preserve">Aerospace </v>
          </cell>
          <cell r="S14">
            <v>5512</v>
          </cell>
          <cell r="T14">
            <v>5650</v>
          </cell>
          <cell r="V14">
            <v>4828</v>
          </cell>
          <cell r="W14">
            <v>684</v>
          </cell>
          <cell r="X14">
            <v>0.14167357083678533</v>
          </cell>
          <cell r="Y14">
            <v>-138</v>
          </cell>
          <cell r="Z14">
            <v>-2.4424778761061972E-2</v>
          </cell>
          <cell r="AE14" t="str">
            <v xml:space="preserve">Aerospace </v>
          </cell>
          <cell r="AF14">
            <v>1532</v>
          </cell>
          <cell r="AG14">
            <v>1670</v>
          </cell>
          <cell r="AI14">
            <v>1211</v>
          </cell>
          <cell r="AJ14">
            <v>321</v>
          </cell>
          <cell r="AK14">
            <v>0.26507018992568132</v>
          </cell>
          <cell r="AL14">
            <v>-138</v>
          </cell>
          <cell r="AM14">
            <v>-8.2634730538922119E-2</v>
          </cell>
          <cell r="AR14" t="str">
            <v xml:space="preserve">Aerospace </v>
          </cell>
          <cell r="AS14">
            <v>1372</v>
          </cell>
          <cell r="AT14">
            <v>1450</v>
          </cell>
          <cell r="AV14">
            <v>1315</v>
          </cell>
          <cell r="AW14">
            <v>57</v>
          </cell>
          <cell r="AX14">
            <v>4.3346007604562642E-2</v>
          </cell>
          <cell r="AY14">
            <v>-78</v>
          </cell>
          <cell r="AZ14">
            <v>-5.3793103448275814E-2</v>
          </cell>
          <cell r="BE14" t="str">
            <v xml:space="preserve">Aerospace </v>
          </cell>
          <cell r="BF14">
            <v>1329</v>
          </cell>
          <cell r="BG14">
            <v>1400</v>
          </cell>
          <cell r="BI14">
            <v>1208</v>
          </cell>
          <cell r="BJ14">
            <v>121</v>
          </cell>
          <cell r="BK14">
            <v>0.10016556291390732</v>
          </cell>
          <cell r="BL14">
            <v>-71</v>
          </cell>
          <cell r="BM14">
            <v>-5.0714285714285712E-2</v>
          </cell>
          <cell r="BR14" t="str">
            <v xml:space="preserve">Aerospace </v>
          </cell>
          <cell r="BS14">
            <v>1279</v>
          </cell>
          <cell r="BT14">
            <v>1260</v>
          </cell>
          <cell r="BV14">
            <v>1094</v>
          </cell>
          <cell r="BW14">
            <v>185</v>
          </cell>
          <cell r="BX14">
            <v>0.16910420475319921</v>
          </cell>
          <cell r="BY14">
            <v>19</v>
          </cell>
          <cell r="BZ14">
            <v>1.5079365079365026E-2</v>
          </cell>
          <cell r="CF14" t="str">
            <v xml:space="preserve">Aerospace </v>
          </cell>
          <cell r="CG14">
            <v>1211</v>
          </cell>
          <cell r="CH14">
            <v>1343</v>
          </cell>
          <cell r="CJ14">
            <v>1033</v>
          </cell>
          <cell r="CK14">
            <v>178</v>
          </cell>
          <cell r="CL14">
            <v>0.17231364956437556</v>
          </cell>
          <cell r="CM14">
            <v>-132</v>
          </cell>
          <cell r="CN14">
            <v>-9.8287416232315739E-2</v>
          </cell>
          <cell r="CT14" t="str">
            <v xml:space="preserve">Aerospace </v>
          </cell>
          <cell r="CU14">
            <v>1315</v>
          </cell>
          <cell r="CV14">
            <v>1300</v>
          </cell>
          <cell r="CW14">
            <v>1087</v>
          </cell>
          <cell r="CX14">
            <v>228</v>
          </cell>
          <cell r="CY14">
            <v>0.20975160993560249</v>
          </cell>
          <cell r="DC14" t="str">
            <v xml:space="preserve">Aerospace </v>
          </cell>
          <cell r="DD14">
            <v>1208</v>
          </cell>
          <cell r="DE14">
            <v>1067</v>
          </cell>
          <cell r="DF14">
            <v>141</v>
          </cell>
          <cell r="DG14">
            <v>0.13214620431115276</v>
          </cell>
          <cell r="DK14" t="str">
            <v>Other</v>
          </cell>
          <cell r="DL14">
            <v>0</v>
          </cell>
          <cell r="DM14">
            <v>25</v>
          </cell>
          <cell r="DN14">
            <v>0</v>
          </cell>
          <cell r="DT14" t="str">
            <v>Other</v>
          </cell>
          <cell r="DU14">
            <v>0</v>
          </cell>
          <cell r="DV14">
            <v>33</v>
          </cell>
          <cell r="DW14">
            <v>0</v>
          </cell>
          <cell r="EC14" t="str">
            <v>Other</v>
          </cell>
          <cell r="ED14">
            <v>0</v>
          </cell>
          <cell r="EE14">
            <v>5</v>
          </cell>
          <cell r="EF14">
            <v>0</v>
          </cell>
          <cell r="EG14">
            <v>0</v>
          </cell>
          <cell r="EH14" t="str">
            <v>NA</v>
          </cell>
          <cell r="EL14" t="str">
            <v>Other</v>
          </cell>
          <cell r="EM14">
            <v>0</v>
          </cell>
          <cell r="EN14">
            <v>65</v>
          </cell>
          <cell r="EO14">
            <v>0</v>
          </cell>
          <cell r="EP14">
            <v>0</v>
          </cell>
          <cell r="EQ14" t="str">
            <v>NA</v>
          </cell>
          <cell r="EU14" t="str">
            <v>Other</v>
          </cell>
          <cell r="EV14">
            <v>0</v>
          </cell>
          <cell r="EW14">
            <v>0</v>
          </cell>
          <cell r="EX14">
            <v>0</v>
          </cell>
          <cell r="EY14" t="str">
            <v>NA</v>
          </cell>
          <cell r="FC14" t="str">
            <v>Other</v>
          </cell>
          <cell r="FD14">
            <v>0</v>
          </cell>
          <cell r="FE14">
            <v>254.52</v>
          </cell>
          <cell r="FF14">
            <v>1</v>
          </cell>
          <cell r="FG14">
            <v>-1</v>
          </cell>
          <cell r="FH14">
            <v>-1</v>
          </cell>
          <cell r="FK14" t="str">
            <v>Other</v>
          </cell>
          <cell r="FL14">
            <v>0</v>
          </cell>
          <cell r="FM14">
            <v>75</v>
          </cell>
          <cell r="FN14">
            <v>74</v>
          </cell>
          <cell r="FO14">
            <v>-74</v>
          </cell>
          <cell r="FP14">
            <v>-1</v>
          </cell>
          <cell r="FT14" t="str">
            <v xml:space="preserve"> Total Revs.</v>
          </cell>
          <cell r="FU14">
            <v>5137</v>
          </cell>
          <cell r="FV14">
            <v>5035</v>
          </cell>
          <cell r="FW14">
            <v>4652</v>
          </cell>
          <cell r="FX14">
            <v>485</v>
          </cell>
          <cell r="FY14">
            <v>0.10425623387790206</v>
          </cell>
          <cell r="GC14" t="str">
            <v xml:space="preserve"> Total Revs.</v>
          </cell>
          <cell r="GD14">
            <v>4772</v>
          </cell>
          <cell r="GE14">
            <v>5055</v>
          </cell>
          <cell r="GF14">
            <v>4646</v>
          </cell>
          <cell r="GG14">
            <v>126</v>
          </cell>
          <cell r="GH14">
            <v>2.7120103314679289E-2</v>
          </cell>
          <cell r="GL14" t="str">
            <v xml:space="preserve"> Total Revs.</v>
          </cell>
          <cell r="GM14">
            <v>18868</v>
          </cell>
          <cell r="GN14">
            <v>19415</v>
          </cell>
          <cell r="GO14">
            <v>16328</v>
          </cell>
          <cell r="GP14">
            <v>2540</v>
          </cell>
          <cell r="GQ14">
            <v>0.15556099951004421</v>
          </cell>
        </row>
        <row r="15">
          <cell r="C15" t="str">
            <v>Corporate</v>
          </cell>
          <cell r="D15">
            <v>0</v>
          </cell>
          <cell r="E15">
            <v>0</v>
          </cell>
          <cell r="G15">
            <v>0</v>
          </cell>
          <cell r="R15" t="str">
            <v>Corporate</v>
          </cell>
          <cell r="S15">
            <v>0</v>
          </cell>
          <cell r="T15">
            <v>0</v>
          </cell>
          <cell r="V15">
            <v>0</v>
          </cell>
          <cell r="W15">
            <v>0</v>
          </cell>
          <cell r="Y15">
            <v>0</v>
          </cell>
          <cell r="AE15" t="str">
            <v>Corporate</v>
          </cell>
          <cell r="AF15">
            <v>0</v>
          </cell>
          <cell r="AG15">
            <v>0</v>
          </cell>
          <cell r="AI15">
            <v>0</v>
          </cell>
          <cell r="AJ15">
            <v>0</v>
          </cell>
          <cell r="AL15">
            <v>0</v>
          </cell>
          <cell r="AR15" t="str">
            <v>Corporate</v>
          </cell>
          <cell r="AS15">
            <v>0</v>
          </cell>
          <cell r="AT15">
            <v>0</v>
          </cell>
          <cell r="AV15">
            <v>0</v>
          </cell>
          <cell r="AW15">
            <v>0</v>
          </cell>
          <cell r="AX15" t="str">
            <v>NA</v>
          </cell>
          <cell r="AY15">
            <v>0</v>
          </cell>
          <cell r="AZ15" t="str">
            <v>NA</v>
          </cell>
          <cell r="BE15" t="str">
            <v>Corporate</v>
          </cell>
          <cell r="BF15">
            <v>0</v>
          </cell>
          <cell r="BG15">
            <v>0</v>
          </cell>
          <cell r="BI15">
            <v>0</v>
          </cell>
          <cell r="BJ15">
            <v>0</v>
          </cell>
          <cell r="BL15">
            <v>0</v>
          </cell>
          <cell r="BM15" t="str">
            <v>N/A</v>
          </cell>
          <cell r="BR15" t="str">
            <v>Corporate</v>
          </cell>
          <cell r="BS15">
            <v>0</v>
          </cell>
          <cell r="BT15">
            <v>0</v>
          </cell>
          <cell r="BV15">
            <v>0</v>
          </cell>
          <cell r="BW15">
            <v>0</v>
          </cell>
          <cell r="BY15">
            <v>0</v>
          </cell>
          <cell r="BZ15" t="str">
            <v>N/A</v>
          </cell>
          <cell r="CF15" t="str">
            <v>Corporate</v>
          </cell>
          <cell r="CG15">
            <v>0</v>
          </cell>
          <cell r="CH15">
            <v>0</v>
          </cell>
          <cell r="CJ15">
            <v>0</v>
          </cell>
          <cell r="CK15">
            <v>0</v>
          </cell>
          <cell r="CM15">
            <v>0</v>
          </cell>
          <cell r="CN15" t="str">
            <v>N/A</v>
          </cell>
          <cell r="CT15" t="str">
            <v>Corporate</v>
          </cell>
          <cell r="CU15">
            <v>0</v>
          </cell>
          <cell r="CV15">
            <v>0</v>
          </cell>
          <cell r="CW15">
            <v>0</v>
          </cell>
          <cell r="CX15">
            <v>0</v>
          </cell>
          <cell r="DC15" t="str">
            <v>Other</v>
          </cell>
          <cell r="DD15">
            <v>0</v>
          </cell>
          <cell r="DE15">
            <v>0</v>
          </cell>
          <cell r="DK15" t="str">
            <v>Total Revenues</v>
          </cell>
          <cell r="DL15">
            <v>6300</v>
          </cell>
          <cell r="DM15">
            <v>6110</v>
          </cell>
          <cell r="DN15">
            <v>5546</v>
          </cell>
          <cell r="DO15">
            <v>754</v>
          </cell>
          <cell r="DP15">
            <v>0.13595384060584204</v>
          </cell>
          <cell r="DT15" t="str">
            <v>Total Revenues</v>
          </cell>
          <cell r="DU15">
            <v>24063</v>
          </cell>
          <cell r="DV15">
            <v>24150</v>
          </cell>
          <cell r="DW15">
            <v>20975</v>
          </cell>
          <cell r="DX15">
            <v>3088</v>
          </cell>
          <cell r="DY15">
            <v>0.14722288438617404</v>
          </cell>
          <cell r="EC15" t="str">
            <v>Total Revenues</v>
          </cell>
          <cell r="ED15">
            <v>6069</v>
          </cell>
          <cell r="EE15">
            <v>6120</v>
          </cell>
          <cell r="EF15">
            <v>5302</v>
          </cell>
          <cell r="EG15">
            <v>767</v>
          </cell>
          <cell r="EH15">
            <v>0.14466239155035843</v>
          </cell>
          <cell r="EL15" t="str">
            <v>Total Revenues</v>
          </cell>
          <cell r="EM15">
            <v>5934</v>
          </cell>
          <cell r="EN15">
            <v>5740</v>
          </cell>
          <cell r="EO15">
            <v>5137</v>
          </cell>
          <cell r="EP15">
            <v>797</v>
          </cell>
          <cell r="EQ15">
            <v>0.15514891960288102</v>
          </cell>
          <cell r="EU15" t="str">
            <v>Total Revenues</v>
          </cell>
          <cell r="EV15">
            <v>5546</v>
          </cell>
          <cell r="EW15">
            <v>4772</v>
          </cell>
          <cell r="EX15">
            <v>774</v>
          </cell>
          <cell r="EY15">
            <v>0.16219614417435047</v>
          </cell>
          <cell r="FC15" t="str">
            <v>Total Revenues</v>
          </cell>
          <cell r="FD15">
            <v>20975</v>
          </cell>
          <cell r="FE15">
            <v>21149.0946</v>
          </cell>
          <cell r="FF15">
            <v>18868</v>
          </cell>
          <cell r="FG15">
            <v>2107</v>
          </cell>
          <cell r="FH15">
            <v>0.11167055331778664</v>
          </cell>
          <cell r="FK15" t="str">
            <v>Total Revenues</v>
          </cell>
          <cell r="FL15">
            <v>5302</v>
          </cell>
          <cell r="FM15">
            <v>4985</v>
          </cell>
          <cell r="FN15">
            <v>4647</v>
          </cell>
          <cell r="FO15">
            <v>655</v>
          </cell>
          <cell r="FP15">
            <v>0.14095115128039604</v>
          </cell>
          <cell r="FT15" t="str">
            <v>Operating Profit</v>
          </cell>
          <cell r="GC15" t="str">
            <v>Operating Profit</v>
          </cell>
          <cell r="GL15" t="str">
            <v>Operating Profit</v>
          </cell>
        </row>
        <row r="16">
          <cell r="C16" t="str">
            <v>Total Revenues</v>
          </cell>
          <cell r="D16">
            <v>8100</v>
          </cell>
          <cell r="E16">
            <v>8225</v>
          </cell>
          <cell r="F16">
            <v>8155</v>
          </cell>
          <cell r="G16">
            <v>7303</v>
          </cell>
          <cell r="H16">
            <v>797</v>
          </cell>
          <cell r="I16">
            <v>0.10913323291797883</v>
          </cell>
          <cell r="J16">
            <v>-125</v>
          </cell>
          <cell r="K16">
            <v>-1.5197568389057725E-2</v>
          </cell>
          <cell r="L16">
            <v>-55</v>
          </cell>
          <cell r="M16">
            <v>-6.7443286327406593E-3</v>
          </cell>
          <cell r="R16" t="str">
            <v>Total Revenues</v>
          </cell>
          <cell r="S16">
            <v>29300</v>
          </cell>
          <cell r="T16">
            <v>29300</v>
          </cell>
          <cell r="U16">
            <v>29341</v>
          </cell>
          <cell r="V16">
            <v>27240</v>
          </cell>
          <cell r="W16">
            <v>2060</v>
          </cell>
          <cell r="X16">
            <v>7.562408223201178E-2</v>
          </cell>
          <cell r="Y16">
            <v>0</v>
          </cell>
          <cell r="Z16">
            <v>0</v>
          </cell>
          <cell r="AA16">
            <v>-41</v>
          </cell>
          <cell r="AB16">
            <v>-1.3973620530997044E-3</v>
          </cell>
          <cell r="AE16" t="str">
            <v>Total Revenues</v>
          </cell>
          <cell r="AF16">
            <v>7852</v>
          </cell>
          <cell r="AG16">
            <v>7852</v>
          </cell>
          <cell r="AH16">
            <v>7844</v>
          </cell>
          <cell r="AI16">
            <v>7515</v>
          </cell>
          <cell r="AJ16">
            <v>337</v>
          </cell>
          <cell r="AK16">
            <v>4.4843646041250906E-2</v>
          </cell>
          <cell r="AL16">
            <v>0</v>
          </cell>
          <cell r="AM16">
            <v>0</v>
          </cell>
          <cell r="AN16">
            <v>8</v>
          </cell>
          <cell r="AO16">
            <v>1.0198878123406363E-3</v>
          </cell>
          <cell r="AR16" t="str">
            <v>Total Revenues</v>
          </cell>
          <cell r="AS16">
            <v>7140</v>
          </cell>
          <cell r="AT16">
            <v>7275</v>
          </cell>
          <cell r="AU16">
            <v>7351</v>
          </cell>
          <cell r="AV16">
            <v>6834</v>
          </cell>
          <cell r="AW16">
            <v>306</v>
          </cell>
          <cell r="AX16">
            <v>4.4776119402984982E-2</v>
          </cell>
          <cell r="AY16">
            <v>-135</v>
          </cell>
          <cell r="AZ16">
            <v>-1.855670103092788E-2</v>
          </cell>
          <cell r="BA16">
            <v>-211</v>
          </cell>
          <cell r="BB16">
            <v>-2.8703577744524589E-2</v>
          </cell>
          <cell r="BE16" t="str">
            <v>Total Revenues</v>
          </cell>
          <cell r="BF16">
            <v>7303</v>
          </cell>
          <cell r="BG16">
            <v>7160</v>
          </cell>
          <cell r="BH16">
            <v>7233</v>
          </cell>
          <cell r="BI16">
            <v>6591</v>
          </cell>
          <cell r="BJ16">
            <v>712</v>
          </cell>
          <cell r="BK16">
            <v>0.10802609619177672</v>
          </cell>
          <cell r="BL16">
            <v>143</v>
          </cell>
          <cell r="BM16">
            <v>1.9972067039106145E-2</v>
          </cell>
          <cell r="BN16">
            <v>70</v>
          </cell>
          <cell r="BO16">
            <v>9.6778653394165026E-3</v>
          </cell>
          <cell r="BR16" t="str">
            <v>Total Revenues</v>
          </cell>
          <cell r="BS16">
            <v>7005</v>
          </cell>
          <cell r="BT16">
            <v>6795</v>
          </cell>
          <cell r="BU16">
            <v>6879</v>
          </cell>
          <cell r="BV16">
            <v>6300</v>
          </cell>
          <cell r="BW16">
            <v>705</v>
          </cell>
          <cell r="BX16">
            <v>0.11190476190476195</v>
          </cell>
          <cell r="BY16">
            <v>210</v>
          </cell>
          <cell r="BZ16">
            <v>3.0905077262693093E-2</v>
          </cell>
          <cell r="CA16">
            <v>126</v>
          </cell>
          <cell r="CB16">
            <v>1.8316615787178359E-2</v>
          </cell>
          <cell r="CF16" t="str">
            <v>Total Revenues</v>
          </cell>
          <cell r="CG16">
            <v>7515</v>
          </cell>
          <cell r="CH16">
            <v>7510</v>
          </cell>
          <cell r="CI16">
            <v>7590.915</v>
          </cell>
          <cell r="CJ16">
            <v>6514</v>
          </cell>
          <cell r="CK16">
            <v>1001</v>
          </cell>
          <cell r="CL16">
            <v>0.15366902057107779</v>
          </cell>
          <cell r="CM16">
            <v>5</v>
          </cell>
          <cell r="CN16">
            <v>6.6577896138486636E-4</v>
          </cell>
          <cell r="CO16">
            <v>-75.914999999999964</v>
          </cell>
          <cell r="CP16">
            <v>-1.0000770658082692E-2</v>
          </cell>
          <cell r="CT16" t="str">
            <v>Total Revenues</v>
          </cell>
          <cell r="CU16">
            <v>6834</v>
          </cell>
          <cell r="CV16">
            <v>6870</v>
          </cell>
          <cell r="CW16">
            <v>6069</v>
          </cell>
          <cell r="CX16">
            <v>765</v>
          </cell>
          <cell r="CY16">
            <v>0.12605042016806722</v>
          </cell>
          <cell r="DC16" t="str">
            <v>Total Revenues</v>
          </cell>
          <cell r="DD16">
            <v>6591</v>
          </cell>
          <cell r="DE16">
            <v>5934</v>
          </cell>
          <cell r="DF16">
            <v>657</v>
          </cell>
          <cell r="DG16">
            <v>0.11071789686552069</v>
          </cell>
          <cell r="DK16" t="str">
            <v>% Ch Y/Y</v>
          </cell>
          <cell r="DL16">
            <v>0.13595384060584204</v>
          </cell>
          <cell r="DM16">
            <v>0.10169491525423729</v>
          </cell>
          <cell r="DN16">
            <v>0.16219614417435038</v>
          </cell>
          <cell r="DT16" t="str">
            <v>% Ch Y/Y</v>
          </cell>
          <cell r="DU16">
            <v>0.14722288438617404</v>
          </cell>
          <cell r="DV16">
            <v>0.14305215590284326</v>
          </cell>
          <cell r="DW16">
            <v>0.11167055331778664</v>
          </cell>
          <cell r="EC16" t="str">
            <v>% Ch Y/Y</v>
          </cell>
          <cell r="ED16">
            <v>0.14466239155035834</v>
          </cell>
          <cell r="EE16">
            <v>0.13754646840148699</v>
          </cell>
          <cell r="EF16">
            <v>0.14095115128039595</v>
          </cell>
          <cell r="EL16" t="str">
            <v>% Ch Y/Y</v>
          </cell>
          <cell r="EM16">
            <v>0.15514891960288105</v>
          </cell>
          <cell r="EN16">
            <v>0.10088224012274645</v>
          </cell>
          <cell r="EO16">
            <v>0.10425623387790198</v>
          </cell>
          <cell r="EU16" t="str">
            <v>% Ch Y/Y</v>
          </cell>
          <cell r="EV16">
            <v>0.16219614417435038</v>
          </cell>
          <cell r="EW16">
            <v>2.7120103314679293E-2</v>
          </cell>
          <cell r="FC16" t="str">
            <v>% Ch Y/Y</v>
          </cell>
          <cell r="FD16">
            <v>0.11167055331778664</v>
          </cell>
          <cell r="FE16">
            <v>0.10277894462404835</v>
          </cell>
          <cell r="FF16">
            <v>0.15556099951004421</v>
          </cell>
          <cell r="FK16" t="str">
            <v>% Ch Y/Y</v>
          </cell>
          <cell r="FL16">
            <v>0.14095115128039595</v>
          </cell>
          <cell r="FM16">
            <v>6.9512980047200176E-2</v>
          </cell>
          <cell r="FN16">
            <v>6.7049368541905852E-2</v>
          </cell>
          <cell r="FT16" t="str">
            <v>Marine Group</v>
          </cell>
          <cell r="FU16">
            <v>65</v>
          </cell>
          <cell r="FV16">
            <v>70</v>
          </cell>
          <cell r="FW16">
            <v>81</v>
          </cell>
          <cell r="FX16">
            <v>-16</v>
          </cell>
          <cell r="FY16">
            <v>-0.19753086419753085</v>
          </cell>
          <cell r="GC16" t="str">
            <v>Marine Group</v>
          </cell>
          <cell r="GD16">
            <v>49</v>
          </cell>
          <cell r="GE16">
            <v>90</v>
          </cell>
          <cell r="GF16">
            <v>98</v>
          </cell>
          <cell r="GG16">
            <v>-49</v>
          </cell>
          <cell r="GH16">
            <v>-0.5</v>
          </cell>
          <cell r="GL16" t="str">
            <v>Marine Group</v>
          </cell>
          <cell r="GM16">
            <v>292</v>
          </cell>
          <cell r="GN16">
            <v>318</v>
          </cell>
          <cell r="GO16">
            <v>216</v>
          </cell>
          <cell r="GP16">
            <v>76</v>
          </cell>
          <cell r="GQ16">
            <v>0.35185185185185186</v>
          </cell>
        </row>
        <row r="17">
          <cell r="BE17" t="str">
            <v>% Ch Y/Y</v>
          </cell>
          <cell r="BF17">
            <v>0.10802609619177672</v>
          </cell>
          <cell r="BG17">
            <v>8.6329843726293376E-2</v>
          </cell>
          <cell r="BH17">
            <v>9.7405553026854719E-2</v>
          </cell>
          <cell r="BI17">
            <v>0.11071789686552073</v>
          </cell>
          <cell r="BJ17">
            <v>-26.91800673744013</v>
          </cell>
          <cell r="BL17">
            <v>216.96252465483346</v>
          </cell>
          <cell r="BN17">
            <v>106.20543164922003</v>
          </cell>
          <cell r="BR17" t="str">
            <v>% Ch Y/Y</v>
          </cell>
          <cell r="BS17">
            <v>0.11190476190476195</v>
          </cell>
          <cell r="BT17">
            <v>7.8571428571428514E-2</v>
          </cell>
          <cell r="BU17">
            <v>9.1904761904761934E-2</v>
          </cell>
          <cell r="BV17">
            <v>0.13595384060584204</v>
          </cell>
          <cell r="BW17">
            <v>-240.49078701080083</v>
          </cell>
          <cell r="BY17">
            <v>333.33333333333439</v>
          </cell>
          <cell r="CA17">
            <v>200.00000000000017</v>
          </cell>
          <cell r="CF17" t="str">
            <v>% Ch Y/Y</v>
          </cell>
          <cell r="CG17">
            <v>0.15366902057107767</v>
          </cell>
          <cell r="CH17">
            <v>0.15290144304574763</v>
          </cell>
          <cell r="CI17">
            <v>0.16532315013816401</v>
          </cell>
          <cell r="CJ17">
            <v>0.13011797362942401</v>
          </cell>
          <cell r="CK17">
            <v>235.51046941653664</v>
          </cell>
          <cell r="CM17">
            <v>7.6757752533004879</v>
          </cell>
          <cell r="CO17">
            <v>-116.54129567086335</v>
          </cell>
          <cell r="CT17" t="str">
            <v>% Ch Y/Y</v>
          </cell>
          <cell r="CU17">
            <v>0.12605042016806722</v>
          </cell>
          <cell r="CV17">
            <v>0.13198220464656452</v>
          </cell>
          <cell r="CW17">
            <v>0.14466239155035834</v>
          </cell>
          <cell r="CX17">
            <v>-186.11971382291119</v>
          </cell>
          <cell r="DC17" t="str">
            <v>% Ch Y/Y</v>
          </cell>
          <cell r="DD17">
            <v>0.11071789686552073</v>
          </cell>
          <cell r="DE17">
            <v>0.15514891960288105</v>
          </cell>
          <cell r="DK17" t="str">
            <v>Operating Profit</v>
          </cell>
          <cell r="DT17" t="str">
            <v>Operating Profit</v>
          </cell>
          <cell r="EC17" t="str">
            <v>Operating Profit</v>
          </cell>
          <cell r="EL17" t="str">
            <v>Operating Profit</v>
          </cell>
          <cell r="EU17" t="str">
            <v>Operating Profit</v>
          </cell>
          <cell r="FC17" t="str">
            <v>Operating Profit</v>
          </cell>
          <cell r="FK17" t="str">
            <v>Operating Profit</v>
          </cell>
          <cell r="FT17" t="str">
            <v>Combat Sys</v>
          </cell>
          <cell r="FU17">
            <v>123</v>
          </cell>
          <cell r="FV17">
            <v>136</v>
          </cell>
          <cell r="FW17">
            <v>111</v>
          </cell>
          <cell r="FX17">
            <v>12</v>
          </cell>
          <cell r="FY17">
            <v>0.10810810810810811</v>
          </cell>
          <cell r="GC17" t="str">
            <v>Combat Sys</v>
          </cell>
          <cell r="GD17">
            <v>104</v>
          </cell>
          <cell r="GE17">
            <v>140</v>
          </cell>
          <cell r="GF17">
            <v>112</v>
          </cell>
          <cell r="GG17">
            <v>-8</v>
          </cell>
          <cell r="GH17">
            <v>-7.1428571428571397E-2</v>
          </cell>
          <cell r="GL17" t="str">
            <v>Combat Sys</v>
          </cell>
          <cell r="GM17">
            <v>522</v>
          </cell>
          <cell r="GN17">
            <v>525</v>
          </cell>
          <cell r="GO17">
            <v>443</v>
          </cell>
          <cell r="GP17">
            <v>79</v>
          </cell>
          <cell r="GQ17">
            <v>0.17832957110609482</v>
          </cell>
        </row>
        <row r="18">
          <cell r="C18" t="str">
            <v>Operating Profit</v>
          </cell>
          <cell r="R18" t="str">
            <v>Operating Profit</v>
          </cell>
          <cell r="AE18" t="str">
            <v>Operating Profit</v>
          </cell>
          <cell r="AR18" t="str">
            <v>Operating Profit</v>
          </cell>
          <cell r="CF18" t="str">
            <v>Operating Profit</v>
          </cell>
          <cell r="CT18" t="str">
            <v>Operating Profit</v>
          </cell>
          <cell r="DC18" t="str">
            <v>Operating Profit</v>
          </cell>
          <cell r="DK18" t="str">
            <v>Marine Group</v>
          </cell>
          <cell r="DL18">
            <v>98</v>
          </cell>
          <cell r="DM18">
            <v>100</v>
          </cell>
          <cell r="DN18">
            <v>97</v>
          </cell>
          <cell r="DO18">
            <v>1</v>
          </cell>
          <cell r="DP18">
            <v>1.0309278350515427E-2</v>
          </cell>
          <cell r="DT18" t="str">
            <v>Marine Group</v>
          </cell>
          <cell r="DU18">
            <v>375</v>
          </cell>
          <cell r="DV18">
            <v>360</v>
          </cell>
          <cell r="DW18">
            <v>249</v>
          </cell>
          <cell r="DX18">
            <v>126</v>
          </cell>
          <cell r="DY18">
            <v>0.50602409638554224</v>
          </cell>
          <cell r="EC18" t="str">
            <v>Marine Group</v>
          </cell>
          <cell r="ED18">
            <v>102</v>
          </cell>
          <cell r="EE18">
            <v>86</v>
          </cell>
          <cell r="EF18">
            <v>52</v>
          </cell>
          <cell r="EG18">
            <v>50</v>
          </cell>
          <cell r="EH18">
            <v>0.96153846153846145</v>
          </cell>
          <cell r="EL18" t="str">
            <v>Marine Group</v>
          </cell>
          <cell r="EM18">
            <v>92</v>
          </cell>
          <cell r="EN18">
            <v>77</v>
          </cell>
          <cell r="EO18">
            <v>65</v>
          </cell>
          <cell r="EP18">
            <v>27</v>
          </cell>
          <cell r="EQ18">
            <v>0.41538461538461546</v>
          </cell>
          <cell r="EU18" t="str">
            <v>Marine Group</v>
          </cell>
          <cell r="EV18">
            <v>97</v>
          </cell>
          <cell r="EW18">
            <v>49</v>
          </cell>
          <cell r="EX18">
            <v>48</v>
          </cell>
          <cell r="EY18">
            <v>0.97959183673469385</v>
          </cell>
          <cell r="FC18" t="str">
            <v>Marine Group</v>
          </cell>
          <cell r="FD18">
            <v>249</v>
          </cell>
          <cell r="FE18">
            <v>235.2</v>
          </cell>
          <cell r="FF18">
            <v>292</v>
          </cell>
          <cell r="FG18">
            <v>-43</v>
          </cell>
          <cell r="FH18">
            <v>-0.14726027397260277</v>
          </cell>
          <cell r="FK18" t="str">
            <v>Marine Group</v>
          </cell>
          <cell r="FL18">
            <v>52</v>
          </cell>
          <cell r="FM18">
            <v>75</v>
          </cell>
          <cell r="FN18">
            <v>62</v>
          </cell>
          <cell r="FO18">
            <v>-10</v>
          </cell>
          <cell r="FP18">
            <v>-0.16129032258064513</v>
          </cell>
          <cell r="FT18" t="str">
            <v>Info Sys &amp; Tech</v>
          </cell>
          <cell r="FU18">
            <v>225</v>
          </cell>
          <cell r="FV18">
            <v>194</v>
          </cell>
          <cell r="FW18">
            <v>192</v>
          </cell>
          <cell r="FX18">
            <v>33</v>
          </cell>
          <cell r="FY18">
            <v>0.171875</v>
          </cell>
          <cell r="GC18" t="str">
            <v>Info Sys &amp; Tech</v>
          </cell>
          <cell r="GD18">
            <v>197</v>
          </cell>
          <cell r="GE18">
            <v>180</v>
          </cell>
          <cell r="GF18">
            <v>169</v>
          </cell>
          <cell r="GG18">
            <v>28</v>
          </cell>
          <cell r="GH18">
            <v>0.16568047337278102</v>
          </cell>
          <cell r="GL18" t="str">
            <v>Info Sys &amp; Tech</v>
          </cell>
          <cell r="GM18">
            <v>718</v>
          </cell>
          <cell r="GN18">
            <v>720</v>
          </cell>
          <cell r="GO18">
            <v>533</v>
          </cell>
          <cell r="GP18">
            <v>185</v>
          </cell>
          <cell r="GQ18">
            <v>0.34709193245778613</v>
          </cell>
        </row>
        <row r="19">
          <cell r="C19" t="str">
            <v>Marine Group</v>
          </cell>
          <cell r="D19">
            <v>168</v>
          </cell>
          <cell r="E19">
            <v>150.35</v>
          </cell>
          <cell r="G19">
            <v>127</v>
          </cell>
          <cell r="H19">
            <v>41</v>
          </cell>
          <cell r="I19">
            <v>0.32283464566929143</v>
          </cell>
          <cell r="J19">
            <v>17.650000000000006</v>
          </cell>
          <cell r="K19">
            <v>0.11739275024941809</v>
          </cell>
          <cell r="R19" t="str">
            <v>Marine Group</v>
          </cell>
          <cell r="S19">
            <v>521</v>
          </cell>
          <cell r="T19">
            <v>502.2</v>
          </cell>
          <cell r="V19">
            <v>421</v>
          </cell>
          <cell r="W19">
            <v>100</v>
          </cell>
          <cell r="X19">
            <v>0.23752969121140133</v>
          </cell>
          <cell r="Y19">
            <v>18.800000000000011</v>
          </cell>
          <cell r="Z19">
            <v>3.7435284747112663E-2</v>
          </cell>
          <cell r="AE19" t="str">
            <v>Marine Group</v>
          </cell>
          <cell r="AF19">
            <v>132</v>
          </cell>
          <cell r="AG19">
            <v>113.2</v>
          </cell>
          <cell r="AI19">
            <v>101</v>
          </cell>
          <cell r="AJ19">
            <v>31</v>
          </cell>
          <cell r="AK19">
            <v>0.30693069306930698</v>
          </cell>
          <cell r="AL19">
            <v>18.799999999999997</v>
          </cell>
          <cell r="AM19">
            <v>0.16607773851590113</v>
          </cell>
          <cell r="AR19" t="str">
            <v>Marine Group</v>
          </cell>
          <cell r="AS19">
            <v>140</v>
          </cell>
          <cell r="AT19">
            <v>118.35</v>
          </cell>
          <cell r="AV19">
            <v>110</v>
          </cell>
          <cell r="AW19">
            <v>30</v>
          </cell>
          <cell r="AX19">
            <v>0.27272727272727271</v>
          </cell>
          <cell r="AY19">
            <v>21.650000000000006</v>
          </cell>
          <cell r="AZ19">
            <v>0.18293198141106881</v>
          </cell>
          <cell r="BE19" t="str">
            <v>Operating Profit</v>
          </cell>
          <cell r="BR19" t="str">
            <v>Operating Profit</v>
          </cell>
          <cell r="CF19" t="str">
            <v>Marine Group</v>
          </cell>
          <cell r="CG19">
            <v>101</v>
          </cell>
          <cell r="CH19">
            <v>102.1</v>
          </cell>
          <cell r="CJ19">
            <v>84</v>
          </cell>
          <cell r="CK19">
            <v>17</v>
          </cell>
          <cell r="CL19">
            <v>0.20238095238095233</v>
          </cell>
          <cell r="CM19">
            <v>-1.0999999999999943</v>
          </cell>
          <cell r="CN19">
            <v>-1.0773751224289807E-2</v>
          </cell>
          <cell r="CT19" t="str">
            <v>Marine Group</v>
          </cell>
          <cell r="CU19">
            <v>110</v>
          </cell>
          <cell r="CV19">
            <v>104</v>
          </cell>
          <cell r="CW19">
            <v>102</v>
          </cell>
          <cell r="CX19">
            <v>8</v>
          </cell>
          <cell r="CY19">
            <v>7.8431372549019551E-2</v>
          </cell>
          <cell r="DC19" t="str">
            <v>Marine Group</v>
          </cell>
          <cell r="DD19">
            <v>112</v>
          </cell>
          <cell r="DE19">
            <v>92</v>
          </cell>
          <cell r="DF19">
            <v>20</v>
          </cell>
          <cell r="DG19">
            <v>0.21739130434782616</v>
          </cell>
          <cell r="DK19" t="str">
            <v>Combat Sys</v>
          </cell>
          <cell r="DL19">
            <v>174</v>
          </cell>
          <cell r="DM19">
            <v>160</v>
          </cell>
          <cell r="DN19">
            <v>147</v>
          </cell>
          <cell r="DO19">
            <v>27</v>
          </cell>
          <cell r="DP19">
            <v>0.18367346938775508</v>
          </cell>
          <cell r="DT19" t="str">
            <v>Combat Sys</v>
          </cell>
          <cell r="DU19">
            <v>677</v>
          </cell>
          <cell r="DV19">
            <v>700</v>
          </cell>
          <cell r="DW19">
            <v>576</v>
          </cell>
          <cell r="DX19">
            <v>101</v>
          </cell>
          <cell r="DY19">
            <v>0.17534722222222232</v>
          </cell>
          <cell r="EC19" t="str">
            <v>Combat Sys</v>
          </cell>
          <cell r="ED19">
            <v>164</v>
          </cell>
          <cell r="EE19">
            <v>170</v>
          </cell>
          <cell r="EF19">
            <v>159</v>
          </cell>
          <cell r="EG19">
            <v>5</v>
          </cell>
          <cell r="EH19">
            <v>3.1446540880503138E-2</v>
          </cell>
          <cell r="EL19" t="str">
            <v>Combat Sys</v>
          </cell>
          <cell r="EM19">
            <v>172</v>
          </cell>
          <cell r="EN19">
            <v>145</v>
          </cell>
          <cell r="EO19">
            <v>123</v>
          </cell>
          <cell r="EP19">
            <v>49</v>
          </cell>
          <cell r="EQ19">
            <v>0.39837398373983746</v>
          </cell>
          <cell r="EU19" t="str">
            <v>Combat Sys</v>
          </cell>
          <cell r="EV19">
            <v>147</v>
          </cell>
          <cell r="EW19">
            <v>104</v>
          </cell>
          <cell r="EX19">
            <v>43</v>
          </cell>
          <cell r="EY19">
            <v>0.41346153846153855</v>
          </cell>
          <cell r="FC19" t="str">
            <v>Combat Sys</v>
          </cell>
          <cell r="FD19">
            <v>576</v>
          </cell>
          <cell r="FE19">
            <v>570.18499999999995</v>
          </cell>
          <cell r="FF19">
            <v>522</v>
          </cell>
          <cell r="FG19">
            <v>54</v>
          </cell>
          <cell r="FH19">
            <v>0.10344827586206895</v>
          </cell>
          <cell r="FK19" t="str">
            <v>Combat Sys</v>
          </cell>
          <cell r="FL19">
            <v>159</v>
          </cell>
          <cell r="FM19">
            <v>158</v>
          </cell>
          <cell r="FN19">
            <v>128</v>
          </cell>
          <cell r="FO19">
            <v>31</v>
          </cell>
          <cell r="FP19">
            <v>0.2421875</v>
          </cell>
          <cell r="FT19" t="str">
            <v xml:space="preserve">Aerospace </v>
          </cell>
          <cell r="FU19">
            <v>125</v>
          </cell>
          <cell r="FV19">
            <v>124</v>
          </cell>
          <cell r="FW19">
            <v>94</v>
          </cell>
          <cell r="FX19">
            <v>31</v>
          </cell>
          <cell r="FY19">
            <v>0.32978723404255317</v>
          </cell>
          <cell r="GC19" t="str">
            <v xml:space="preserve">Aerospace </v>
          </cell>
          <cell r="GD19">
            <v>101</v>
          </cell>
          <cell r="GE19">
            <v>80</v>
          </cell>
          <cell r="GF19">
            <v>66</v>
          </cell>
          <cell r="GG19">
            <v>35</v>
          </cell>
          <cell r="GH19">
            <v>0.53030303030303028</v>
          </cell>
          <cell r="GL19" t="str">
            <v xml:space="preserve">Aerospace </v>
          </cell>
          <cell r="GM19">
            <v>393</v>
          </cell>
          <cell r="GN19">
            <v>395</v>
          </cell>
          <cell r="GO19">
            <v>218</v>
          </cell>
          <cell r="GP19">
            <v>175</v>
          </cell>
          <cell r="GQ19">
            <v>0.80275229357798161</v>
          </cell>
        </row>
        <row r="20">
          <cell r="C20" t="str">
            <v>Combat Sys</v>
          </cell>
          <cell r="D20">
            <v>300</v>
          </cell>
          <cell r="E20">
            <v>291</v>
          </cell>
          <cell r="G20">
            <v>282</v>
          </cell>
          <cell r="H20">
            <v>18</v>
          </cell>
          <cell r="I20">
            <v>6.3829787234042534E-2</v>
          </cell>
          <cell r="J20">
            <v>9</v>
          </cell>
          <cell r="K20">
            <v>3.0927835051546282E-2</v>
          </cell>
          <cell r="R20" t="str">
            <v>Combat Sys</v>
          </cell>
          <cell r="S20">
            <v>1111</v>
          </cell>
          <cell r="T20">
            <v>1089</v>
          </cell>
          <cell r="V20">
            <v>916</v>
          </cell>
          <cell r="W20">
            <v>195</v>
          </cell>
          <cell r="X20">
            <v>0.21288209606986896</v>
          </cell>
          <cell r="Y20">
            <v>22</v>
          </cell>
          <cell r="Z20">
            <v>2.020202020202011E-2</v>
          </cell>
          <cell r="AE20" t="str">
            <v>Combat Sys</v>
          </cell>
          <cell r="AF20">
            <v>308</v>
          </cell>
          <cell r="AG20">
            <v>286</v>
          </cell>
          <cell r="AI20">
            <v>323</v>
          </cell>
          <cell r="AJ20">
            <v>-15</v>
          </cell>
          <cell r="AK20">
            <v>-4.6439628482972117E-2</v>
          </cell>
          <cell r="AL20">
            <v>22</v>
          </cell>
          <cell r="AM20">
            <v>7.6923076923076872E-2</v>
          </cell>
          <cell r="AR20" t="str">
            <v>Combat Sys</v>
          </cell>
          <cell r="AS20">
            <v>262</v>
          </cell>
          <cell r="AT20">
            <v>249.48</v>
          </cell>
          <cell r="AV20">
            <v>228</v>
          </cell>
          <cell r="AW20">
            <v>34</v>
          </cell>
          <cell r="AX20">
            <v>0.14912280701754388</v>
          </cell>
          <cell r="AY20">
            <v>12.52000000000001</v>
          </cell>
          <cell r="AZ20">
            <v>5.0184383517716924E-2</v>
          </cell>
          <cell r="BE20" t="str">
            <v>Marine Group</v>
          </cell>
          <cell r="BF20">
            <v>127</v>
          </cell>
          <cell r="BG20">
            <v>117.48</v>
          </cell>
          <cell r="BI20">
            <v>112</v>
          </cell>
          <cell r="BJ20">
            <v>15</v>
          </cell>
          <cell r="BK20">
            <v>0.1339285714285714</v>
          </cell>
          <cell r="BL20">
            <v>9.519999999999996</v>
          </cell>
          <cell r="BM20">
            <v>8.1035069799114678E-2</v>
          </cell>
          <cell r="BR20" t="str">
            <v>Marine Group</v>
          </cell>
          <cell r="BS20">
            <v>122</v>
          </cell>
          <cell r="BT20">
            <v>117.88500000000001</v>
          </cell>
          <cell r="BV20">
            <v>98</v>
          </cell>
          <cell r="BW20">
            <v>24</v>
          </cell>
          <cell r="BX20">
            <v>0.24489795918367352</v>
          </cell>
          <cell r="BY20">
            <v>4.1149999999999949</v>
          </cell>
          <cell r="BZ20">
            <v>3.4906900793145734E-2</v>
          </cell>
          <cell r="CF20" t="str">
            <v>Combat Sys</v>
          </cell>
          <cell r="CG20">
            <v>323</v>
          </cell>
          <cell r="CH20">
            <v>275.25</v>
          </cell>
          <cell r="CJ20">
            <v>194</v>
          </cell>
          <cell r="CK20">
            <v>129</v>
          </cell>
          <cell r="CL20">
            <v>0.6649484536082475</v>
          </cell>
          <cell r="CM20">
            <v>47.75</v>
          </cell>
          <cell r="CN20">
            <v>0.17347865576748411</v>
          </cell>
          <cell r="CT20" t="str">
            <v>Combat Sys</v>
          </cell>
          <cell r="CU20">
            <v>228</v>
          </cell>
          <cell r="CV20">
            <v>214.6</v>
          </cell>
          <cell r="CW20">
            <v>164</v>
          </cell>
          <cell r="CX20">
            <v>64</v>
          </cell>
          <cell r="CY20">
            <v>0.39024390243902429</v>
          </cell>
          <cell r="DC20" t="str">
            <v>Combat Sys</v>
          </cell>
          <cell r="DD20">
            <v>191</v>
          </cell>
          <cell r="DE20">
            <v>172</v>
          </cell>
          <cell r="DF20">
            <v>19</v>
          </cell>
          <cell r="DG20">
            <v>0.11046511627906974</v>
          </cell>
          <cell r="DK20" t="str">
            <v>Info Sys &amp; Tech</v>
          </cell>
          <cell r="DL20">
            <v>250</v>
          </cell>
          <cell r="DM20">
            <v>240</v>
          </cell>
          <cell r="DN20">
            <v>220</v>
          </cell>
          <cell r="DO20">
            <v>30</v>
          </cell>
          <cell r="DP20">
            <v>0.13636363636363646</v>
          </cell>
          <cell r="DT20" t="str">
            <v>Info Sys &amp; Tech</v>
          </cell>
          <cell r="DU20">
            <v>976</v>
          </cell>
          <cell r="DV20">
            <v>1025</v>
          </cell>
          <cell r="DW20">
            <v>865</v>
          </cell>
          <cell r="DX20">
            <v>111</v>
          </cell>
          <cell r="DY20">
            <v>0.12832369942196542</v>
          </cell>
          <cell r="EC20" t="str">
            <v>Info Sys &amp; Tech</v>
          </cell>
          <cell r="ED20">
            <v>258</v>
          </cell>
          <cell r="EE20">
            <v>260</v>
          </cell>
          <cell r="EF20">
            <v>228</v>
          </cell>
          <cell r="EG20">
            <v>30</v>
          </cell>
          <cell r="EH20">
            <v>0.13157894736842102</v>
          </cell>
          <cell r="EL20" t="str">
            <v>Info Sys &amp; Tech</v>
          </cell>
          <cell r="EM20">
            <v>232</v>
          </cell>
          <cell r="EN20">
            <v>250</v>
          </cell>
          <cell r="EO20">
            <v>225</v>
          </cell>
          <cell r="EP20">
            <v>7</v>
          </cell>
          <cell r="EQ20">
            <v>3.1111111111111089E-2</v>
          </cell>
          <cell r="EU20" t="str">
            <v>Info Sys &amp; Tech</v>
          </cell>
          <cell r="EV20">
            <v>220</v>
          </cell>
          <cell r="EW20">
            <v>197</v>
          </cell>
          <cell r="EX20">
            <v>23</v>
          </cell>
          <cell r="EY20">
            <v>0.11675126903553301</v>
          </cell>
          <cell r="FC20" t="str">
            <v>Info Sys &amp; Tech</v>
          </cell>
          <cell r="FD20">
            <v>865</v>
          </cell>
          <cell r="FE20">
            <v>870.15499999999997</v>
          </cell>
          <cell r="FF20">
            <v>718</v>
          </cell>
          <cell r="FG20">
            <v>147</v>
          </cell>
          <cell r="FH20">
            <v>0.20473537604456826</v>
          </cell>
          <cell r="FK20" t="str">
            <v>Info Sys &amp; Tech</v>
          </cell>
          <cell r="FL20">
            <v>228</v>
          </cell>
          <cell r="FM20">
            <v>188</v>
          </cell>
          <cell r="FN20">
            <v>176</v>
          </cell>
          <cell r="FO20">
            <v>52</v>
          </cell>
          <cell r="FP20">
            <v>0.29545454545454541</v>
          </cell>
          <cell r="FT20" t="str">
            <v>Other</v>
          </cell>
          <cell r="FU20">
            <v>1</v>
          </cell>
          <cell r="FV20">
            <v>7</v>
          </cell>
          <cell r="FW20">
            <v>7</v>
          </cell>
          <cell r="FX20">
            <v>-6</v>
          </cell>
          <cell r="FY20">
            <v>-0.85714285714285721</v>
          </cell>
          <cell r="GC20" t="str">
            <v>Other</v>
          </cell>
          <cell r="GD20">
            <v>9</v>
          </cell>
          <cell r="GE20">
            <v>5</v>
          </cell>
          <cell r="GF20">
            <v>-9</v>
          </cell>
          <cell r="GG20">
            <v>18</v>
          </cell>
          <cell r="GH20">
            <v>-2</v>
          </cell>
          <cell r="GL20" t="str">
            <v>Other</v>
          </cell>
          <cell r="GM20">
            <v>6</v>
          </cell>
          <cell r="GN20">
            <v>15</v>
          </cell>
          <cell r="GO20">
            <v>32</v>
          </cell>
          <cell r="GP20">
            <v>-26</v>
          </cell>
          <cell r="GQ20">
            <v>-0.8125</v>
          </cell>
        </row>
        <row r="21">
          <cell r="C21" t="str">
            <v>Info Sys &amp; Tech</v>
          </cell>
          <cell r="D21">
            <v>284</v>
          </cell>
          <cell r="E21">
            <v>299.7</v>
          </cell>
          <cell r="G21">
            <v>292</v>
          </cell>
          <cell r="H21">
            <v>-8</v>
          </cell>
          <cell r="I21">
            <v>-2.7397260273972601E-2</v>
          </cell>
          <cell r="J21">
            <v>-15.699999999999989</v>
          </cell>
          <cell r="K21">
            <v>-5.2385719052385649E-2</v>
          </cell>
          <cell r="R21" t="str">
            <v>Info Sys &amp; Tech</v>
          </cell>
          <cell r="S21">
            <v>1075</v>
          </cell>
          <cell r="T21">
            <v>1070</v>
          </cell>
          <cell r="V21">
            <v>1027</v>
          </cell>
          <cell r="W21">
            <v>48</v>
          </cell>
          <cell r="X21">
            <v>4.6738072054527846E-2</v>
          </cell>
          <cell r="Y21">
            <v>5</v>
          </cell>
          <cell r="Z21">
            <v>4.6728971962617383E-3</v>
          </cell>
          <cell r="AE21" t="str">
            <v>Info Sys &amp; Tech</v>
          </cell>
          <cell r="AF21">
            <v>253</v>
          </cell>
          <cell r="AG21">
            <v>248</v>
          </cell>
          <cell r="AI21">
            <v>254</v>
          </cell>
          <cell r="AJ21">
            <v>-1</v>
          </cell>
          <cell r="AK21">
            <v>-3.937007874015741E-3</v>
          </cell>
          <cell r="AL21">
            <v>5</v>
          </cell>
          <cell r="AM21">
            <v>2.0161290322580738E-2</v>
          </cell>
          <cell r="AR21" t="str">
            <v>Info Sys &amp; Tech</v>
          </cell>
          <cell r="AS21">
            <v>270</v>
          </cell>
          <cell r="AT21">
            <v>270.70999999999998</v>
          </cell>
          <cell r="AV21">
            <v>254</v>
          </cell>
          <cell r="AW21">
            <v>16</v>
          </cell>
          <cell r="AX21">
            <v>6.2992125984252079E-2</v>
          </cell>
          <cell r="AY21">
            <v>-0.70999999999997954</v>
          </cell>
          <cell r="AZ21">
            <v>-2.6227328137120587E-3</v>
          </cell>
          <cell r="BE21" t="str">
            <v>Combat Sys</v>
          </cell>
          <cell r="BF21">
            <v>282</v>
          </cell>
          <cell r="BG21">
            <v>222.3</v>
          </cell>
          <cell r="BI21">
            <v>191</v>
          </cell>
          <cell r="BJ21">
            <v>91</v>
          </cell>
          <cell r="BK21">
            <v>0.47643979057591612</v>
          </cell>
          <cell r="BL21">
            <v>59.699999999999989</v>
          </cell>
          <cell r="BM21">
            <v>0.26855600539811064</v>
          </cell>
          <cell r="BR21" t="str">
            <v>Combat Sys</v>
          </cell>
          <cell r="BS21">
            <v>259</v>
          </cell>
          <cell r="BT21">
            <v>198.24</v>
          </cell>
          <cell r="BV21">
            <v>174</v>
          </cell>
          <cell r="BW21">
            <v>85</v>
          </cell>
          <cell r="BX21">
            <v>0.48850574712643668</v>
          </cell>
          <cell r="BY21">
            <v>60.759999999999991</v>
          </cell>
          <cell r="BZ21">
            <v>0.30649717514124286</v>
          </cell>
          <cell r="CF21" t="str">
            <v>Info Sys &amp; Tech</v>
          </cell>
          <cell r="CG21">
            <v>254</v>
          </cell>
          <cell r="CH21">
            <v>245.5</v>
          </cell>
          <cell r="CJ21">
            <v>266</v>
          </cell>
          <cell r="CK21">
            <v>-12</v>
          </cell>
          <cell r="CL21">
            <v>-4.5112781954887216E-2</v>
          </cell>
          <cell r="CM21">
            <v>8.5</v>
          </cell>
          <cell r="CN21">
            <v>3.4623217922606919E-2</v>
          </cell>
          <cell r="CT21" t="str">
            <v>Info Sys &amp; Tech</v>
          </cell>
          <cell r="CU21">
            <v>254</v>
          </cell>
          <cell r="CV21">
            <v>270</v>
          </cell>
          <cell r="CW21">
            <v>258</v>
          </cell>
          <cell r="CX21">
            <v>-4</v>
          </cell>
          <cell r="CY21">
            <v>-1.5503875968992276E-2</v>
          </cell>
          <cell r="DC21" t="str">
            <v>Info Sys &amp; Tech</v>
          </cell>
          <cell r="DD21">
            <v>269</v>
          </cell>
          <cell r="DE21">
            <v>232</v>
          </cell>
          <cell r="DF21">
            <v>37</v>
          </cell>
          <cell r="DG21">
            <v>0.15948275862068972</v>
          </cell>
          <cell r="DK21" t="str">
            <v xml:space="preserve">Aerospace </v>
          </cell>
          <cell r="DL21">
            <v>173</v>
          </cell>
          <cell r="DM21">
            <v>175</v>
          </cell>
          <cell r="DN21">
            <v>145</v>
          </cell>
          <cell r="DO21">
            <v>28</v>
          </cell>
          <cell r="DP21">
            <v>0.19310344827586201</v>
          </cell>
          <cell r="DT21" t="str">
            <v xml:space="preserve">Aerospace </v>
          </cell>
          <cell r="DU21">
            <v>644</v>
          </cell>
          <cell r="DV21">
            <v>635</v>
          </cell>
          <cell r="DW21">
            <v>495</v>
          </cell>
          <cell r="DX21">
            <v>149</v>
          </cell>
          <cell r="DY21">
            <v>0.30101010101010095</v>
          </cell>
          <cell r="EC21" t="str">
            <v xml:space="preserve">Aerospace </v>
          </cell>
          <cell r="ED21">
            <v>165</v>
          </cell>
          <cell r="EE21">
            <v>175</v>
          </cell>
          <cell r="EF21">
            <v>146</v>
          </cell>
          <cell r="EG21">
            <v>19</v>
          </cell>
          <cell r="EH21">
            <v>0.13013698630136994</v>
          </cell>
          <cell r="EL21" t="str">
            <v xml:space="preserve">Aerospace </v>
          </cell>
          <cell r="EM21">
            <v>166</v>
          </cell>
          <cell r="EN21">
            <v>155</v>
          </cell>
          <cell r="EO21">
            <v>125</v>
          </cell>
          <cell r="EP21">
            <v>41</v>
          </cell>
          <cell r="EQ21">
            <v>0.32800000000000007</v>
          </cell>
          <cell r="EU21" t="str">
            <v xml:space="preserve">Aerospace </v>
          </cell>
          <cell r="EV21">
            <v>145</v>
          </cell>
          <cell r="EW21">
            <v>101</v>
          </cell>
          <cell r="EX21">
            <v>44</v>
          </cell>
          <cell r="EY21">
            <v>0.43564356435643559</v>
          </cell>
          <cell r="FC21" t="str">
            <v xml:space="preserve">Aerospace </v>
          </cell>
          <cell r="FD21">
            <v>495</v>
          </cell>
          <cell r="FE21">
            <v>526.070649</v>
          </cell>
          <cell r="FF21">
            <v>393</v>
          </cell>
          <cell r="FG21">
            <v>102</v>
          </cell>
          <cell r="FH21">
            <v>0.25954198473282442</v>
          </cell>
          <cell r="FK21" t="str">
            <v xml:space="preserve">Aerospace </v>
          </cell>
          <cell r="FL21">
            <v>146</v>
          </cell>
          <cell r="FM21">
            <v>128</v>
          </cell>
          <cell r="FN21">
            <v>117</v>
          </cell>
          <cell r="FO21">
            <v>29</v>
          </cell>
          <cell r="FP21">
            <v>0.24786324786324787</v>
          </cell>
          <cell r="FT21" t="str">
            <v xml:space="preserve"> Total Operating Profit</v>
          </cell>
          <cell r="FU21">
            <v>539</v>
          </cell>
          <cell r="FV21">
            <v>531</v>
          </cell>
          <cell r="FW21">
            <v>485</v>
          </cell>
          <cell r="FX21">
            <v>54</v>
          </cell>
          <cell r="FY21">
            <v>0.11134020618556706</v>
          </cell>
          <cell r="GC21" t="str">
            <v xml:space="preserve"> Total Operating Profit</v>
          </cell>
          <cell r="GD21">
            <v>460</v>
          </cell>
          <cell r="GE21">
            <v>495</v>
          </cell>
          <cell r="GF21">
            <v>436</v>
          </cell>
          <cell r="GG21">
            <v>24</v>
          </cell>
          <cell r="GH21">
            <v>5.504587155963292E-2</v>
          </cell>
          <cell r="GL21" t="str">
            <v xml:space="preserve"> Total Operating Profit</v>
          </cell>
          <cell r="GM21">
            <v>1931</v>
          </cell>
          <cell r="GN21">
            <v>1973</v>
          </cell>
          <cell r="GO21">
            <v>1442</v>
          </cell>
          <cell r="GP21">
            <v>489</v>
          </cell>
          <cell r="GQ21">
            <v>0.33911234396671297</v>
          </cell>
        </row>
        <row r="22">
          <cell r="C22" t="str">
            <v xml:space="preserve">Aerospace </v>
          </cell>
          <cell r="D22">
            <v>215</v>
          </cell>
          <cell r="E22">
            <v>212.35</v>
          </cell>
          <cell r="G22">
            <v>240</v>
          </cell>
          <cell r="H22">
            <v>-25</v>
          </cell>
          <cell r="I22">
            <v>-0.10416666666666663</v>
          </cell>
          <cell r="J22">
            <v>2.6500000000000057</v>
          </cell>
          <cell r="K22">
            <v>1.2479397221568211E-2</v>
          </cell>
          <cell r="R22" t="str">
            <v xml:space="preserve">Aerospace </v>
          </cell>
          <cell r="S22">
            <v>1021</v>
          </cell>
          <cell r="T22">
            <v>1041.8599999999999</v>
          </cell>
          <cell r="V22">
            <v>810</v>
          </cell>
          <cell r="W22">
            <v>211</v>
          </cell>
          <cell r="X22">
            <v>0.26049382716049374</v>
          </cell>
          <cell r="Y22">
            <v>-20.8599999999999</v>
          </cell>
          <cell r="Z22">
            <v>-2.0021883938340923E-2</v>
          </cell>
          <cell r="AE22" t="str">
            <v xml:space="preserve">Aerospace </v>
          </cell>
          <cell r="AF22">
            <v>264</v>
          </cell>
          <cell r="AG22">
            <v>284.86</v>
          </cell>
          <cell r="AI22">
            <v>212</v>
          </cell>
          <cell r="AJ22">
            <v>52</v>
          </cell>
          <cell r="AK22">
            <v>0.24528301886792447</v>
          </cell>
          <cell r="AL22">
            <v>-20.860000000000014</v>
          </cell>
          <cell r="AM22">
            <v>-7.3228954574176885E-2</v>
          </cell>
          <cell r="AR22" t="str">
            <v xml:space="preserve">Aerospace </v>
          </cell>
          <cell r="AS22">
            <v>281</v>
          </cell>
          <cell r="AT22">
            <v>275.5</v>
          </cell>
          <cell r="AV22">
            <v>226</v>
          </cell>
          <cell r="AW22">
            <v>55</v>
          </cell>
          <cell r="AX22">
            <v>0.24336283185840712</v>
          </cell>
          <cell r="AY22">
            <v>5.5</v>
          </cell>
          <cell r="AZ22">
            <v>1.9963702359346636E-2</v>
          </cell>
          <cell r="BE22" t="str">
            <v>Info Sys &amp; Tech</v>
          </cell>
          <cell r="BF22">
            <v>292</v>
          </cell>
          <cell r="BG22">
            <v>260.07499999999999</v>
          </cell>
          <cell r="BI22">
            <v>269</v>
          </cell>
          <cell r="BJ22">
            <v>23</v>
          </cell>
          <cell r="BK22">
            <v>8.5501858736059422E-2</v>
          </cell>
          <cell r="BL22">
            <v>31.925000000000011</v>
          </cell>
          <cell r="BM22">
            <v>0.1227530520042297</v>
          </cell>
          <cell r="BR22" t="str">
            <v>Info Sys &amp; Tech</v>
          </cell>
          <cell r="BS22">
            <v>260</v>
          </cell>
          <cell r="BT22">
            <v>275</v>
          </cell>
          <cell r="BV22">
            <v>250</v>
          </cell>
          <cell r="BW22">
            <v>10</v>
          </cell>
          <cell r="BX22">
            <v>4.0000000000000036E-2</v>
          </cell>
          <cell r="BY22">
            <v>-15</v>
          </cell>
          <cell r="BZ22">
            <v>-5.4545454545454564E-2</v>
          </cell>
          <cell r="CF22" t="str">
            <v xml:space="preserve">Aerospace </v>
          </cell>
          <cell r="CG22">
            <v>212</v>
          </cell>
          <cell r="CH22">
            <v>220.4</v>
          </cell>
          <cell r="CJ22">
            <v>168</v>
          </cell>
          <cell r="CK22">
            <v>44</v>
          </cell>
          <cell r="CL22">
            <v>0.26190476190476186</v>
          </cell>
          <cell r="CM22">
            <v>-8.4000000000000057</v>
          </cell>
          <cell r="CN22">
            <v>-3.8112522686025385E-2</v>
          </cell>
          <cell r="CT22" t="str">
            <v xml:space="preserve">Aerospace </v>
          </cell>
          <cell r="CU22">
            <v>226</v>
          </cell>
          <cell r="CV22">
            <v>222.3</v>
          </cell>
          <cell r="CW22">
            <v>165</v>
          </cell>
          <cell r="CX22">
            <v>61</v>
          </cell>
          <cell r="CY22">
            <v>0.36969696969696964</v>
          </cell>
          <cell r="DC22" t="str">
            <v xml:space="preserve">Aerospace </v>
          </cell>
          <cell r="DD22">
            <v>199</v>
          </cell>
          <cell r="DE22">
            <v>166</v>
          </cell>
          <cell r="DF22">
            <v>33</v>
          </cell>
          <cell r="DG22">
            <v>0.1987951807228916</v>
          </cell>
          <cell r="DK22" t="str">
            <v>Other</v>
          </cell>
          <cell r="DL22">
            <v>-14</v>
          </cell>
          <cell r="DM22">
            <v>-8</v>
          </cell>
          <cell r="DN22">
            <v>-13</v>
          </cell>
          <cell r="DO22">
            <v>-1</v>
          </cell>
          <cell r="DT22" t="str">
            <v>Other</v>
          </cell>
          <cell r="DU22">
            <v>-47</v>
          </cell>
          <cell r="DV22">
            <v>-44</v>
          </cell>
          <cell r="DW22">
            <v>-6</v>
          </cell>
          <cell r="DX22">
            <v>-41</v>
          </cell>
          <cell r="EC22" t="str">
            <v>Other</v>
          </cell>
          <cell r="ED22">
            <v>-12</v>
          </cell>
          <cell r="EE22">
            <v>-8</v>
          </cell>
          <cell r="EF22">
            <v>-10</v>
          </cell>
          <cell r="EG22">
            <v>-2</v>
          </cell>
          <cell r="EH22">
            <v>0.19999999999999996</v>
          </cell>
          <cell r="EL22" t="str">
            <v>Other</v>
          </cell>
          <cell r="EM22">
            <v>-13</v>
          </cell>
          <cell r="EN22">
            <v>-9</v>
          </cell>
          <cell r="EO22">
            <v>1</v>
          </cell>
          <cell r="EP22">
            <v>-14</v>
          </cell>
          <cell r="EQ22">
            <v>-14</v>
          </cell>
          <cell r="EU22" t="str">
            <v>Other</v>
          </cell>
          <cell r="EV22">
            <v>-13</v>
          </cell>
          <cell r="EW22">
            <v>9</v>
          </cell>
          <cell r="EX22">
            <v>-22</v>
          </cell>
          <cell r="EY22">
            <v>-2.4444444444444446</v>
          </cell>
          <cell r="FC22" t="str">
            <v>Other</v>
          </cell>
          <cell r="FD22">
            <v>-6</v>
          </cell>
          <cell r="FE22">
            <v>18</v>
          </cell>
          <cell r="FF22">
            <v>6</v>
          </cell>
          <cell r="FG22">
            <v>-12</v>
          </cell>
          <cell r="FH22">
            <v>-2</v>
          </cell>
          <cell r="FK22" t="str">
            <v>Other</v>
          </cell>
          <cell r="FL22">
            <v>-10</v>
          </cell>
          <cell r="FM22">
            <v>10</v>
          </cell>
          <cell r="FN22">
            <v>10</v>
          </cell>
          <cell r="FO22">
            <v>-20</v>
          </cell>
          <cell r="FP22">
            <v>-2</v>
          </cell>
          <cell r="FT22" t="str">
            <v>Interest, net</v>
          </cell>
          <cell r="FU22">
            <v>0.10492505353319058</v>
          </cell>
          <cell r="FV22">
            <v>-35</v>
          </cell>
          <cell r="FW22">
            <v>0.10425623387790198</v>
          </cell>
          <cell r="FX22">
            <v>6.6881965528860221E-4</v>
          </cell>
          <cell r="FY22">
            <v>6.4151526523763547E-3</v>
          </cell>
          <cell r="GC22" t="str">
            <v>Interest, net</v>
          </cell>
          <cell r="GD22">
            <v>-34</v>
          </cell>
          <cell r="GE22">
            <v>-32</v>
          </cell>
          <cell r="GF22">
            <v>-39</v>
          </cell>
          <cell r="GG22">
            <v>5</v>
          </cell>
          <cell r="GH22">
            <v>-0.12820512820512819</v>
          </cell>
          <cell r="GL22" t="str">
            <v>Interest, net</v>
          </cell>
          <cell r="GM22">
            <v>-148</v>
          </cell>
          <cell r="GN22">
            <v>-145</v>
          </cell>
          <cell r="GO22">
            <v>-98</v>
          </cell>
          <cell r="GP22">
            <v>-50</v>
          </cell>
          <cell r="GQ22">
            <v>0.51020408163265296</v>
          </cell>
        </row>
        <row r="23">
          <cell r="C23" t="str">
            <v>Corporate</v>
          </cell>
          <cell r="D23">
            <v>-22</v>
          </cell>
          <cell r="E23">
            <v>-21</v>
          </cell>
          <cell r="G23">
            <v>-20</v>
          </cell>
          <cell r="R23" t="str">
            <v>Corporate</v>
          </cell>
          <cell r="S23">
            <v>-75</v>
          </cell>
          <cell r="T23">
            <v>-80</v>
          </cell>
          <cell r="V23">
            <v>-61</v>
          </cell>
          <cell r="W23">
            <v>-14</v>
          </cell>
          <cell r="Y23">
            <v>5</v>
          </cell>
          <cell r="AE23" t="str">
            <v>Corporate</v>
          </cell>
          <cell r="AF23">
            <v>-19</v>
          </cell>
          <cell r="AG23">
            <v>-24</v>
          </cell>
          <cell r="AI23">
            <v>-19</v>
          </cell>
          <cell r="AJ23">
            <v>0</v>
          </cell>
          <cell r="AL23">
            <v>5</v>
          </cell>
          <cell r="AR23" t="str">
            <v>Corporate</v>
          </cell>
          <cell r="AS23">
            <v>-20</v>
          </cell>
          <cell r="AT23">
            <v>-18.75</v>
          </cell>
          <cell r="AV23">
            <v>-17</v>
          </cell>
          <cell r="AW23">
            <v>-3</v>
          </cell>
          <cell r="AX23">
            <v>0.17647058823529416</v>
          </cell>
          <cell r="AY23">
            <v>-1.25</v>
          </cell>
          <cell r="AZ23">
            <v>6.6666666666666652E-2</v>
          </cell>
          <cell r="BE23" t="str">
            <v xml:space="preserve">Aerospace </v>
          </cell>
          <cell r="BF23">
            <v>240</v>
          </cell>
          <cell r="BG23">
            <v>264.60000000000002</v>
          </cell>
          <cell r="BI23">
            <v>199</v>
          </cell>
          <cell r="BJ23">
            <v>41</v>
          </cell>
          <cell r="BK23">
            <v>0.20603015075376874</v>
          </cell>
          <cell r="BL23">
            <v>-24.600000000000023</v>
          </cell>
          <cell r="BM23">
            <v>-9.297052154195018E-2</v>
          </cell>
          <cell r="BR23" t="str">
            <v xml:space="preserve">Aerospace </v>
          </cell>
          <cell r="BS23">
            <v>236</v>
          </cell>
          <cell r="BT23">
            <v>205</v>
          </cell>
          <cell r="BV23">
            <v>173</v>
          </cell>
          <cell r="BW23">
            <v>63</v>
          </cell>
          <cell r="BX23">
            <v>0.36416184971098264</v>
          </cell>
          <cell r="BY23">
            <v>31</v>
          </cell>
          <cell r="BZ23">
            <v>0.15121951219512186</v>
          </cell>
          <cell r="CF23" t="str">
            <v>Corporate</v>
          </cell>
          <cell r="CG23">
            <v>-19</v>
          </cell>
          <cell r="CH23">
            <v>7</v>
          </cell>
          <cell r="CJ23">
            <v>-9</v>
          </cell>
          <cell r="CK23">
            <v>-10</v>
          </cell>
          <cell r="CL23">
            <v>1.1111111111111112</v>
          </cell>
          <cell r="CM23">
            <v>-26</v>
          </cell>
          <cell r="CN23" t="str">
            <v>N/A</v>
          </cell>
          <cell r="CT23" t="str">
            <v>Corporate</v>
          </cell>
          <cell r="CU23">
            <v>-17</v>
          </cell>
          <cell r="CV23">
            <v>-9</v>
          </cell>
          <cell r="CW23">
            <v>-12</v>
          </cell>
          <cell r="CX23">
            <v>-5</v>
          </cell>
          <cell r="CY23">
            <v>0.41666666666666674</v>
          </cell>
          <cell r="DC23" t="str">
            <v>Other</v>
          </cell>
          <cell r="DD23">
            <v>-11</v>
          </cell>
          <cell r="DE23">
            <v>-13</v>
          </cell>
          <cell r="DF23">
            <v>2</v>
          </cell>
          <cell r="DK23" t="str">
            <v>Total Operating Profit</v>
          </cell>
          <cell r="DL23">
            <v>681</v>
          </cell>
          <cell r="DM23">
            <v>667</v>
          </cell>
          <cell r="DN23">
            <v>596</v>
          </cell>
          <cell r="DO23">
            <v>85</v>
          </cell>
          <cell r="DP23">
            <v>0.14261744966442946</v>
          </cell>
          <cell r="DT23" t="str">
            <v>Total Operating Profit</v>
          </cell>
          <cell r="DU23">
            <v>2625</v>
          </cell>
          <cell r="DV23">
            <v>2676</v>
          </cell>
          <cell r="DW23">
            <v>2179</v>
          </cell>
          <cell r="DX23">
            <v>446</v>
          </cell>
          <cell r="DY23">
            <v>0.20468104635153739</v>
          </cell>
          <cell r="EC23" t="str">
            <v>Total Operating Profit</v>
          </cell>
          <cell r="ED23">
            <v>677</v>
          </cell>
          <cell r="EE23">
            <v>683</v>
          </cell>
          <cell r="EF23">
            <v>575</v>
          </cell>
          <cell r="EG23">
            <v>102</v>
          </cell>
          <cell r="EH23">
            <v>0.17739130434782613</v>
          </cell>
          <cell r="EL23" t="str">
            <v>Total Operating Profit</v>
          </cell>
          <cell r="EM23">
            <v>649</v>
          </cell>
          <cell r="EN23">
            <v>618</v>
          </cell>
          <cell r="EO23">
            <v>539</v>
          </cell>
          <cell r="EP23">
            <v>110</v>
          </cell>
          <cell r="EQ23">
            <v>0.20408163265306123</v>
          </cell>
          <cell r="EU23" t="str">
            <v>Total Operating Profit</v>
          </cell>
          <cell r="EV23">
            <v>596</v>
          </cell>
          <cell r="EW23">
            <v>460</v>
          </cell>
          <cell r="EX23">
            <v>136</v>
          </cell>
          <cell r="EY23">
            <v>0.29565217391304355</v>
          </cell>
          <cell r="FC23" t="str">
            <v>Total Operating Profit</v>
          </cell>
          <cell r="FD23">
            <v>2179</v>
          </cell>
          <cell r="FE23">
            <v>2219.6106490000002</v>
          </cell>
          <cell r="FF23">
            <v>1931</v>
          </cell>
          <cell r="FG23">
            <v>248</v>
          </cell>
          <cell r="FH23">
            <v>0.12843086483687216</v>
          </cell>
          <cell r="FK23" t="str">
            <v>Total Operating Profit</v>
          </cell>
          <cell r="FL23">
            <v>575</v>
          </cell>
          <cell r="FM23">
            <v>559</v>
          </cell>
          <cell r="FN23">
            <v>493</v>
          </cell>
          <cell r="FO23">
            <v>82</v>
          </cell>
          <cell r="FP23">
            <v>0.16632860040567943</v>
          </cell>
          <cell r="FT23" t="str">
            <v>Other</v>
          </cell>
          <cell r="FU23">
            <v>-29</v>
          </cell>
          <cell r="FV23">
            <v>0</v>
          </cell>
          <cell r="FW23">
            <v>-39</v>
          </cell>
          <cell r="FX23">
            <v>10</v>
          </cell>
          <cell r="GC23" t="str">
            <v>Other</v>
          </cell>
          <cell r="GD23">
            <v>-1</v>
          </cell>
          <cell r="GE23">
            <v>0</v>
          </cell>
          <cell r="GF23">
            <v>0</v>
          </cell>
          <cell r="GG23">
            <v>-1</v>
          </cell>
          <cell r="GL23" t="str">
            <v>Other</v>
          </cell>
          <cell r="GM23">
            <v>-9</v>
          </cell>
          <cell r="GN23">
            <v>-9</v>
          </cell>
          <cell r="GO23">
            <v>3</v>
          </cell>
          <cell r="GP23">
            <v>-12</v>
          </cell>
          <cell r="GQ23">
            <v>-4</v>
          </cell>
        </row>
        <row r="24">
          <cell r="C24" t="str">
            <v>Total Op. Profit</v>
          </cell>
          <cell r="D24">
            <v>945</v>
          </cell>
          <cell r="E24">
            <v>932.4</v>
          </cell>
          <cell r="F24">
            <v>917</v>
          </cell>
          <cell r="G24">
            <v>921</v>
          </cell>
          <cell r="H24">
            <v>24</v>
          </cell>
          <cell r="I24">
            <v>2.6058631921824116E-2</v>
          </cell>
          <cell r="J24">
            <v>12.600000000000023</v>
          </cell>
          <cell r="K24">
            <v>1.3513513513513598E-2</v>
          </cell>
          <cell r="L24">
            <v>28</v>
          </cell>
          <cell r="M24">
            <v>3.0534351145038219E-2</v>
          </cell>
          <cell r="R24" t="str">
            <v>Total Op. Profit</v>
          </cell>
          <cell r="S24">
            <v>3653</v>
          </cell>
          <cell r="T24">
            <v>3623.06</v>
          </cell>
          <cell r="U24">
            <v>3657</v>
          </cell>
          <cell r="V24">
            <v>3113</v>
          </cell>
          <cell r="W24">
            <v>540</v>
          </cell>
          <cell r="X24">
            <v>0.1734661098618695</v>
          </cell>
          <cell r="Y24">
            <v>29.940000000000055</v>
          </cell>
          <cell r="Z24">
            <v>8.2637328666927967E-3</v>
          </cell>
          <cell r="AA24">
            <v>-4</v>
          </cell>
          <cell r="AB24">
            <v>-1.0937927262784086E-3</v>
          </cell>
          <cell r="AE24" t="str">
            <v>Total Op. Profit</v>
          </cell>
          <cell r="AF24">
            <v>938</v>
          </cell>
          <cell r="AG24">
            <v>908.06</v>
          </cell>
          <cell r="AH24">
            <v>939</v>
          </cell>
          <cell r="AI24">
            <v>871</v>
          </cell>
          <cell r="AJ24">
            <v>67</v>
          </cell>
          <cell r="AK24">
            <v>7.6923076923076872E-2</v>
          </cell>
          <cell r="AL24">
            <v>29.940000000000055</v>
          </cell>
          <cell r="AM24">
            <v>3.2971389555756181E-2</v>
          </cell>
          <cell r="AN24">
            <v>-1</v>
          </cell>
          <cell r="AO24">
            <v>-1.0649627263046302E-3</v>
          </cell>
          <cell r="AR24" t="str">
            <v>Total Op. Profit</v>
          </cell>
          <cell r="AS24">
            <v>933</v>
          </cell>
          <cell r="AT24">
            <v>895.29</v>
          </cell>
          <cell r="AU24">
            <v>894</v>
          </cell>
          <cell r="AV24">
            <v>801</v>
          </cell>
          <cell r="AW24">
            <v>132</v>
          </cell>
          <cell r="AX24">
            <v>0.16479400749063666</v>
          </cell>
          <cell r="AY24">
            <v>37.710000000000036</v>
          </cell>
          <cell r="AZ24">
            <v>4.2120430251650243E-2</v>
          </cell>
          <cell r="BA24">
            <v>39</v>
          </cell>
          <cell r="BB24">
            <v>4.3624161073825496E-2</v>
          </cell>
          <cell r="BE24" t="str">
            <v>Corporate</v>
          </cell>
          <cell r="BF24">
            <v>-20</v>
          </cell>
          <cell r="BG24">
            <v>-18.75</v>
          </cell>
          <cell r="BI24">
            <v>-11</v>
          </cell>
          <cell r="BJ24">
            <v>-9</v>
          </cell>
          <cell r="BK24">
            <v>0.81818181818181812</v>
          </cell>
          <cell r="BL24">
            <v>-1.25</v>
          </cell>
          <cell r="BM24" t="str">
            <v>N/A</v>
          </cell>
          <cell r="BR24" t="str">
            <v>Corporate</v>
          </cell>
          <cell r="BS24">
            <v>-16</v>
          </cell>
          <cell r="BT24">
            <v>-16</v>
          </cell>
          <cell r="BV24">
            <v>-14</v>
          </cell>
          <cell r="BW24">
            <v>-2</v>
          </cell>
          <cell r="BX24">
            <v>0.14285714285714279</v>
          </cell>
          <cell r="BY24">
            <v>0</v>
          </cell>
          <cell r="BZ24" t="str">
            <v>N/A</v>
          </cell>
          <cell r="CF24" t="str">
            <v>Total Operating Profit</v>
          </cell>
          <cell r="CG24">
            <v>871</v>
          </cell>
          <cell r="CH24">
            <v>850.25</v>
          </cell>
          <cell r="CI24">
            <v>860.88040000000001</v>
          </cell>
          <cell r="CJ24">
            <v>703</v>
          </cell>
          <cell r="CK24">
            <v>168</v>
          </cell>
          <cell r="CL24">
            <v>0.23897581792318645</v>
          </cell>
          <cell r="CM24">
            <v>20.75</v>
          </cell>
          <cell r="CN24">
            <v>2.4404586886209945E-2</v>
          </cell>
          <cell r="CO24">
            <v>10.119599999999991</v>
          </cell>
          <cell r="CP24">
            <v>1.1754942963041026E-2</v>
          </cell>
          <cell r="CT24" t="str">
            <v>Total Operating Profit</v>
          </cell>
          <cell r="CU24">
            <v>801</v>
          </cell>
          <cell r="CV24">
            <v>801.9</v>
          </cell>
          <cell r="CW24">
            <v>677</v>
          </cell>
          <cell r="CX24">
            <v>124</v>
          </cell>
          <cell r="CY24">
            <v>0.18316100443131456</v>
          </cell>
          <cell r="DC24" t="str">
            <v>Total Operating Profit</v>
          </cell>
          <cell r="DD24">
            <v>760</v>
          </cell>
          <cell r="DE24">
            <v>649</v>
          </cell>
          <cell r="DF24">
            <v>111</v>
          </cell>
          <cell r="DG24">
            <v>0.17103235747303547</v>
          </cell>
          <cell r="DK24" t="str">
            <v>Operating Margins</v>
          </cell>
          <cell r="DT24" t="str">
            <v>Operating Margins</v>
          </cell>
          <cell r="EC24" t="str">
            <v>Interest, net</v>
          </cell>
          <cell r="ED24">
            <v>-34</v>
          </cell>
          <cell r="EE24">
            <v>-35</v>
          </cell>
          <cell r="EF24">
            <v>-30</v>
          </cell>
          <cell r="EG24">
            <v>-4</v>
          </cell>
          <cell r="EH24">
            <v>0.1333333333333333</v>
          </cell>
          <cell r="EL24" t="str">
            <v>Interest, net</v>
          </cell>
          <cell r="EM24">
            <v>-23</v>
          </cell>
          <cell r="EN24">
            <v>-20</v>
          </cell>
          <cell r="EO24">
            <v>-29</v>
          </cell>
          <cell r="EP24">
            <v>6</v>
          </cell>
          <cell r="EQ24">
            <v>-0.2068965517241379</v>
          </cell>
          <cell r="EU24" t="str">
            <v>Interest, net</v>
          </cell>
          <cell r="EV24">
            <v>-17</v>
          </cell>
          <cell r="EW24">
            <v>-34</v>
          </cell>
          <cell r="EX24">
            <v>17</v>
          </cell>
          <cell r="EY24">
            <v>-0.5</v>
          </cell>
          <cell r="FC24" t="str">
            <v>Interest, net</v>
          </cell>
          <cell r="FD24">
            <v>-118</v>
          </cell>
          <cell r="FE24">
            <v>-135.24139999999997</v>
          </cell>
          <cell r="FF24">
            <v>-148</v>
          </cell>
          <cell r="FG24">
            <v>30</v>
          </cell>
          <cell r="FH24">
            <v>-0.20270270270270274</v>
          </cell>
          <cell r="FK24" t="str">
            <v>Interest, net</v>
          </cell>
          <cell r="FL24">
            <v>-30</v>
          </cell>
          <cell r="FM24">
            <v>-32</v>
          </cell>
          <cell r="FN24">
            <v>-33</v>
          </cell>
          <cell r="FO24">
            <v>3</v>
          </cell>
          <cell r="FP24">
            <v>-9.0909090909090939E-2</v>
          </cell>
          <cell r="FT24" t="str">
            <v>Pretax Inc</v>
          </cell>
          <cell r="FU24">
            <v>511</v>
          </cell>
          <cell r="FV24">
            <v>496</v>
          </cell>
          <cell r="FW24">
            <v>434</v>
          </cell>
          <cell r="FX24">
            <v>77</v>
          </cell>
          <cell r="FY24">
            <v>0.17741935483870974</v>
          </cell>
          <cell r="GC24" t="str">
            <v>Pretax Inc</v>
          </cell>
          <cell r="GD24">
            <v>425</v>
          </cell>
          <cell r="GE24">
            <v>463</v>
          </cell>
          <cell r="GF24">
            <v>397</v>
          </cell>
          <cell r="GG24">
            <v>28</v>
          </cell>
          <cell r="GH24">
            <v>7.0528967254408048E-2</v>
          </cell>
          <cell r="GL24" t="str">
            <v>Pretax Inc</v>
          </cell>
          <cell r="GM24">
            <v>1774</v>
          </cell>
          <cell r="GN24">
            <v>1819</v>
          </cell>
          <cell r="GO24">
            <v>1347</v>
          </cell>
          <cell r="GP24">
            <v>427</v>
          </cell>
          <cell r="GQ24">
            <v>0.31700074239049747</v>
          </cell>
        </row>
        <row r="25">
          <cell r="BE25" t="str">
            <v>Total Operating Profit</v>
          </cell>
          <cell r="BF25">
            <v>921</v>
          </cell>
          <cell r="BG25">
            <v>845.70500000000004</v>
          </cell>
          <cell r="BH25">
            <v>872</v>
          </cell>
          <cell r="BI25">
            <v>760</v>
          </cell>
          <cell r="BJ25">
            <v>161</v>
          </cell>
          <cell r="BK25">
            <v>0.21184210526315783</v>
          </cell>
          <cell r="BL25">
            <v>75.294999999999959</v>
          </cell>
          <cell r="BM25">
            <v>8.9032227549795673E-2</v>
          </cell>
          <cell r="BN25">
            <v>49</v>
          </cell>
          <cell r="BO25">
            <v>5.6192660550458795E-2</v>
          </cell>
          <cell r="BR25" t="str">
            <v>Total Operating Profit</v>
          </cell>
          <cell r="BS25">
            <v>861</v>
          </cell>
          <cell r="BT25">
            <v>780.125</v>
          </cell>
          <cell r="BU25">
            <v>784</v>
          </cell>
          <cell r="BV25">
            <v>681</v>
          </cell>
          <cell r="BW25">
            <v>180</v>
          </cell>
          <cell r="BX25">
            <v>0.26431718061674014</v>
          </cell>
          <cell r="BY25">
            <v>80.875</v>
          </cell>
          <cell r="BZ25">
            <v>0.10366928376862683</v>
          </cell>
          <cell r="CA25">
            <v>77</v>
          </cell>
          <cell r="CB25">
            <v>9.8214285714285809E-2</v>
          </cell>
          <cell r="CF25" t="str">
            <v>Interest, net</v>
          </cell>
          <cell r="CG25">
            <v>-11</v>
          </cell>
          <cell r="CH25">
            <v>-11</v>
          </cell>
          <cell r="CJ25">
            <v>-27</v>
          </cell>
          <cell r="CK25">
            <v>16</v>
          </cell>
          <cell r="CL25">
            <v>-0.59259259259259256</v>
          </cell>
          <cell r="CM25">
            <v>0</v>
          </cell>
          <cell r="CN25" t="str">
            <v>N/A</v>
          </cell>
          <cell r="CT25" t="str">
            <v>Interest, net</v>
          </cell>
          <cell r="CU25">
            <v>-12</v>
          </cell>
          <cell r="CV25">
            <v>-21</v>
          </cell>
          <cell r="CW25">
            <v>-34</v>
          </cell>
          <cell r="CX25">
            <v>22</v>
          </cell>
          <cell r="CY25">
            <v>-0.64705882352941169</v>
          </cell>
          <cell r="DC25" t="str">
            <v>Operating Margins</v>
          </cell>
          <cell r="DK25" t="str">
            <v>Marine Group</v>
          </cell>
          <cell r="DL25">
            <v>7.7963404932378674E-2</v>
          </cell>
          <cell r="DM25">
            <v>7.8431372549019607E-2</v>
          </cell>
          <cell r="DN25">
            <v>7.6078431372549021E-2</v>
          </cell>
          <cell r="DO25">
            <v>20.000000000000018</v>
          </cell>
          <cell r="DP25" t="str">
            <v>bps</v>
          </cell>
          <cell r="DT25" t="str">
            <v>Marine Group</v>
          </cell>
          <cell r="DU25">
            <v>7.5910931174089064E-2</v>
          </cell>
          <cell r="DV25">
            <v>7.4999999999999997E-2</v>
          </cell>
          <cell r="DW25">
            <v>5.3035143769968054E-2</v>
          </cell>
          <cell r="DX25">
            <v>2.2875787404121009E-2</v>
          </cell>
          <cell r="EC25" t="str">
            <v>Other</v>
          </cell>
          <cell r="ED25">
            <v>1</v>
          </cell>
          <cell r="EE25">
            <v>0</v>
          </cell>
          <cell r="EF25">
            <v>-4</v>
          </cell>
          <cell r="EG25">
            <v>5</v>
          </cell>
          <cell r="EL25" t="str">
            <v>Other</v>
          </cell>
          <cell r="EM25">
            <v>2</v>
          </cell>
          <cell r="EN25">
            <v>0</v>
          </cell>
          <cell r="EO25">
            <v>1</v>
          </cell>
          <cell r="EP25">
            <v>1</v>
          </cell>
          <cell r="EU25" t="str">
            <v>Other</v>
          </cell>
          <cell r="EV25">
            <v>0</v>
          </cell>
          <cell r="EW25">
            <v>-1</v>
          </cell>
          <cell r="EX25">
            <v>1</v>
          </cell>
          <cell r="FC25" t="str">
            <v>Other</v>
          </cell>
          <cell r="FD25">
            <v>8</v>
          </cell>
          <cell r="FE25">
            <v>0</v>
          </cell>
          <cell r="FF25">
            <v>-9</v>
          </cell>
          <cell r="FG25">
            <v>17</v>
          </cell>
          <cell r="FK25" t="str">
            <v>Other</v>
          </cell>
          <cell r="FL25">
            <v>-4</v>
          </cell>
          <cell r="FM25">
            <v>1</v>
          </cell>
          <cell r="FN25">
            <v>3</v>
          </cell>
          <cell r="FO25">
            <v>-7</v>
          </cell>
          <cell r="FT25" t="str">
            <v>Eff Tax Rate</v>
          </cell>
          <cell r="FU25">
            <v>0.33855185909980429</v>
          </cell>
          <cell r="FV25">
            <v>0.32500000000000001</v>
          </cell>
          <cell r="FW25">
            <v>0.33179723502304148</v>
          </cell>
          <cell r="GC25" t="str">
            <v>Eff Tax Rate</v>
          </cell>
          <cell r="GD25">
            <v>0.16941176470588235</v>
          </cell>
          <cell r="GE25">
            <v>0.32500000000000001</v>
          </cell>
          <cell r="GF25">
            <v>0.33250000000000002</v>
          </cell>
          <cell r="GL25" t="str">
            <v>Eff Tax Rate</v>
          </cell>
          <cell r="GM25">
            <v>0.32694475760992109</v>
          </cell>
          <cell r="GN25">
            <v>0.32500000000000001</v>
          </cell>
          <cell r="GO25">
            <v>0.27319970304380103</v>
          </cell>
        </row>
        <row r="26">
          <cell r="C26" t="str">
            <v>Interest, net</v>
          </cell>
          <cell r="D26">
            <v>-38</v>
          </cell>
          <cell r="E26">
            <v>-37</v>
          </cell>
          <cell r="F26">
            <v>-35</v>
          </cell>
          <cell r="G26">
            <v>-12</v>
          </cell>
          <cell r="H26">
            <v>-26</v>
          </cell>
          <cell r="I26">
            <v>2.1666666666666665</v>
          </cell>
          <cell r="J26">
            <v>-1</v>
          </cell>
          <cell r="K26">
            <v>2.7027027027026973E-2</v>
          </cell>
          <cell r="L26">
            <v>-3</v>
          </cell>
          <cell r="M26">
            <v>8.5714285714285632E-2</v>
          </cell>
          <cell r="R26" t="str">
            <v>Interest, net</v>
          </cell>
          <cell r="S26">
            <v>-66</v>
          </cell>
          <cell r="T26">
            <v>-60.55</v>
          </cell>
          <cell r="U26">
            <v>-54</v>
          </cell>
          <cell r="V26">
            <v>-70</v>
          </cell>
          <cell r="W26">
            <v>4</v>
          </cell>
          <cell r="Y26">
            <v>-5.4500000000000028</v>
          </cell>
          <cell r="AA26">
            <v>-12</v>
          </cell>
          <cell r="AE26" t="str">
            <v>Interest, net</v>
          </cell>
          <cell r="AF26">
            <v>-24</v>
          </cell>
          <cell r="AG26">
            <v>-18.55</v>
          </cell>
          <cell r="AH26">
            <v>-12</v>
          </cell>
          <cell r="AI26">
            <v>-11</v>
          </cell>
          <cell r="AJ26">
            <v>-13</v>
          </cell>
          <cell r="AL26">
            <v>-5.4499999999999993</v>
          </cell>
          <cell r="AN26">
            <v>-12</v>
          </cell>
          <cell r="AO26">
            <v>1</v>
          </cell>
          <cell r="AR26" t="str">
            <v>Interest, net</v>
          </cell>
          <cell r="AS26">
            <v>-11</v>
          </cell>
          <cell r="AT26">
            <v>-12</v>
          </cell>
          <cell r="AV26">
            <v>-12</v>
          </cell>
          <cell r="AW26">
            <v>1</v>
          </cell>
          <cell r="AX26">
            <v>-8.333333333333337E-2</v>
          </cell>
          <cell r="AY26">
            <v>1</v>
          </cell>
          <cell r="AZ26">
            <v>-8.333333333333337E-2</v>
          </cell>
          <cell r="CF26" t="str">
            <v>Other</v>
          </cell>
          <cell r="CG26">
            <v>0</v>
          </cell>
          <cell r="CH26">
            <v>0</v>
          </cell>
          <cell r="CJ26">
            <v>0</v>
          </cell>
          <cell r="CK26">
            <v>0</v>
          </cell>
          <cell r="CL26" t="str">
            <v>N/A</v>
          </cell>
          <cell r="CM26">
            <v>0</v>
          </cell>
          <cell r="CN26" t="str">
            <v>N/A</v>
          </cell>
          <cell r="CT26" t="str">
            <v>Other</v>
          </cell>
          <cell r="CU26">
            <v>2</v>
          </cell>
          <cell r="CV26">
            <v>0</v>
          </cell>
          <cell r="CW26">
            <v>1</v>
          </cell>
          <cell r="CX26">
            <v>1</v>
          </cell>
          <cell r="CY26">
            <v>1</v>
          </cell>
          <cell r="DC26" t="str">
            <v>Marine Group</v>
          </cell>
          <cell r="DD26">
            <v>8.8050314465408799E-2</v>
          </cell>
          <cell r="DE26">
            <v>7.266982622432859E-2</v>
          </cell>
          <cell r="DF26">
            <v>150</v>
          </cell>
          <cell r="DK26" t="str">
            <v>Combat Sys</v>
          </cell>
          <cell r="DL26">
            <v>0.11096938775510204</v>
          </cell>
          <cell r="DM26">
            <v>0.10847457627118644</v>
          </cell>
          <cell r="DN26">
            <v>0.10737764791818846</v>
          </cell>
          <cell r="DO26">
            <v>40.000000000000036</v>
          </cell>
          <cell r="DP26" t="str">
            <v>bps</v>
          </cell>
          <cell r="DT26" t="str">
            <v>Combat Sys</v>
          </cell>
          <cell r="DU26">
            <v>0.1131539361524319</v>
          </cell>
          <cell r="DV26">
            <v>0.11764705882352941</v>
          </cell>
          <cell r="DW26">
            <v>0.11471818362875921</v>
          </cell>
          <cell r="DX26">
            <v>-1.5642474763273156E-3</v>
          </cell>
          <cell r="EC26" t="str">
            <v>Pretax Inc</v>
          </cell>
          <cell r="ED26">
            <v>644</v>
          </cell>
          <cell r="EE26">
            <v>648</v>
          </cell>
          <cell r="EF26">
            <v>541</v>
          </cell>
          <cell r="EG26">
            <v>103</v>
          </cell>
          <cell r="EH26">
            <v>0.19038817005545283</v>
          </cell>
          <cell r="EL26" t="str">
            <v>Pretax Inc</v>
          </cell>
          <cell r="EM26">
            <v>628</v>
          </cell>
          <cell r="EN26">
            <v>598</v>
          </cell>
          <cell r="EO26">
            <v>511</v>
          </cell>
          <cell r="EP26">
            <v>117</v>
          </cell>
          <cell r="EQ26">
            <v>0.22896281800391383</v>
          </cell>
          <cell r="EU26" t="str">
            <v>Pretax Inc</v>
          </cell>
          <cell r="EV26">
            <v>579</v>
          </cell>
          <cell r="EW26">
            <v>425</v>
          </cell>
          <cell r="EX26">
            <v>154</v>
          </cell>
          <cell r="EY26">
            <v>0.36235294117647054</v>
          </cell>
          <cell r="FC26" t="str">
            <v>Pretax Inc</v>
          </cell>
          <cell r="FD26">
            <v>2069</v>
          </cell>
          <cell r="FE26">
            <v>2084.3692490000003</v>
          </cell>
          <cell r="FF26">
            <v>1774</v>
          </cell>
          <cell r="FG26">
            <v>295</v>
          </cell>
          <cell r="FH26">
            <v>0.16629086809470128</v>
          </cell>
          <cell r="FK26" t="str">
            <v>Pretax Inc</v>
          </cell>
          <cell r="FL26">
            <v>541</v>
          </cell>
          <cell r="FM26">
            <v>528</v>
          </cell>
          <cell r="FN26">
            <v>463</v>
          </cell>
          <cell r="FO26">
            <v>78</v>
          </cell>
          <cell r="FP26">
            <v>0.16846652267818585</v>
          </cell>
          <cell r="FT26" t="str">
            <v>Net Income</v>
          </cell>
          <cell r="FU26">
            <v>338.00000000000006</v>
          </cell>
          <cell r="FV26">
            <v>335</v>
          </cell>
          <cell r="FW26">
            <v>290</v>
          </cell>
          <cell r="FX26">
            <v>48.000000000000057</v>
          </cell>
          <cell r="FY26">
            <v>0.16551724137931045</v>
          </cell>
          <cell r="GC26" t="str">
            <v>Net Income</v>
          </cell>
          <cell r="GD26">
            <v>353</v>
          </cell>
          <cell r="GE26">
            <v>313</v>
          </cell>
          <cell r="GF26">
            <v>264.9975</v>
          </cell>
          <cell r="GG26">
            <v>88.002499999999998</v>
          </cell>
          <cell r="GH26">
            <v>0.33208803856640157</v>
          </cell>
          <cell r="GL26" t="str">
            <v>Net Income</v>
          </cell>
          <cell r="GM26">
            <v>1194</v>
          </cell>
          <cell r="GN26">
            <v>1228</v>
          </cell>
          <cell r="GO26">
            <v>979</v>
          </cell>
          <cell r="GP26">
            <v>215</v>
          </cell>
          <cell r="GQ26">
            <v>0.21961184882533202</v>
          </cell>
        </row>
        <row r="27">
          <cell r="C27" t="str">
            <v>Other</v>
          </cell>
          <cell r="D27">
            <v>0</v>
          </cell>
          <cell r="E27">
            <v>0</v>
          </cell>
          <cell r="G27">
            <v>0</v>
          </cell>
          <cell r="R27" t="str">
            <v>Other</v>
          </cell>
          <cell r="S27">
            <v>17</v>
          </cell>
          <cell r="T27">
            <v>3</v>
          </cell>
          <cell r="V27">
            <v>4</v>
          </cell>
          <cell r="W27">
            <v>13</v>
          </cell>
          <cell r="Y27">
            <v>14</v>
          </cell>
          <cell r="AE27" t="str">
            <v>Other</v>
          </cell>
          <cell r="AF27">
            <v>14</v>
          </cell>
          <cell r="AG27">
            <v>0</v>
          </cell>
          <cell r="AI27">
            <v>0</v>
          </cell>
          <cell r="AJ27">
            <v>14</v>
          </cell>
          <cell r="AL27">
            <v>14</v>
          </cell>
          <cell r="AR27" t="str">
            <v>Other</v>
          </cell>
          <cell r="AS27">
            <v>0</v>
          </cell>
          <cell r="AT27">
            <v>2</v>
          </cell>
          <cell r="AV27">
            <v>2</v>
          </cell>
          <cell r="AW27">
            <v>-2</v>
          </cell>
          <cell r="AX27">
            <v>-1</v>
          </cell>
          <cell r="AY27">
            <v>-2</v>
          </cell>
          <cell r="AZ27">
            <v>-1</v>
          </cell>
          <cell r="BE27" t="str">
            <v>Interest, net</v>
          </cell>
          <cell r="BF27">
            <v>-12</v>
          </cell>
          <cell r="BG27">
            <v>-2</v>
          </cell>
          <cell r="BI27">
            <v>-21</v>
          </cell>
          <cell r="BJ27">
            <v>9</v>
          </cell>
          <cell r="BK27">
            <v>-0.4285714285714286</v>
          </cell>
          <cell r="BL27">
            <v>-10</v>
          </cell>
          <cell r="BM27" t="str">
            <v>N/A</v>
          </cell>
          <cell r="BR27" t="str">
            <v>Interest, net</v>
          </cell>
          <cell r="BS27">
            <v>-19</v>
          </cell>
          <cell r="BT27">
            <v>-6</v>
          </cell>
          <cell r="BV27">
            <v>-26</v>
          </cell>
          <cell r="BW27">
            <v>7</v>
          </cell>
          <cell r="BX27">
            <v>-0.26923076923076927</v>
          </cell>
          <cell r="BY27">
            <v>-13</v>
          </cell>
          <cell r="BZ27" t="str">
            <v>N/A</v>
          </cell>
          <cell r="CF27" t="str">
            <v>Pretax Inc</v>
          </cell>
          <cell r="CG27">
            <v>860</v>
          </cell>
          <cell r="CH27">
            <v>839.25</v>
          </cell>
          <cell r="CI27">
            <v>847.55050000000006</v>
          </cell>
          <cell r="CJ27">
            <v>676</v>
          </cell>
          <cell r="CK27">
            <v>184</v>
          </cell>
          <cell r="CL27">
            <v>0.27218934911242609</v>
          </cell>
          <cell r="CM27">
            <v>20.75</v>
          </cell>
          <cell r="CN27">
            <v>2.4724456359844993E-2</v>
          </cell>
          <cell r="CO27">
            <v>12.449499999999944</v>
          </cell>
          <cell r="CP27">
            <v>1.468880025438013E-2</v>
          </cell>
          <cell r="CT27" t="str">
            <v>Pretax Inc</v>
          </cell>
          <cell r="CU27">
            <v>791</v>
          </cell>
          <cell r="CV27">
            <v>780.9</v>
          </cell>
          <cell r="CW27">
            <v>644</v>
          </cell>
          <cell r="CX27">
            <v>147</v>
          </cell>
          <cell r="CY27">
            <v>0.22826086956521729</v>
          </cell>
          <cell r="DC27" t="str">
            <v>Combat Sys</v>
          </cell>
          <cell r="DD27">
            <v>0.11156542056074767</v>
          </cell>
          <cell r="DE27">
            <v>0.11911357340720222</v>
          </cell>
          <cell r="DF27">
            <v>-69.999999999999929</v>
          </cell>
          <cell r="DK27" t="str">
            <v>Info Sys &amp; Tech</v>
          </cell>
          <cell r="DL27">
            <v>0.10499790004199916</v>
          </cell>
          <cell r="DM27">
            <v>0.10859728506787331</v>
          </cell>
          <cell r="DN27">
            <v>0.11150532184490623</v>
          </cell>
          <cell r="DO27">
            <v>-70.000000000000057</v>
          </cell>
          <cell r="DP27" t="str">
            <v>bps</v>
          </cell>
          <cell r="DT27" t="str">
            <v>Info Sys &amp; Tech</v>
          </cell>
          <cell r="DU27">
            <v>0.10815602836879433</v>
          </cell>
          <cell r="DV27">
            <v>0.11</v>
          </cell>
          <cell r="DW27">
            <v>0.11052900587784309</v>
          </cell>
          <cell r="DX27">
            <v>-2.3729775090487598E-3</v>
          </cell>
          <cell r="EC27" t="str">
            <v>Eff Tax Rate</v>
          </cell>
          <cell r="ED27">
            <v>0.31677018633540371</v>
          </cell>
          <cell r="EE27">
            <v>0.33300000000000002</v>
          </cell>
          <cell r="EF27">
            <v>0.32717190388170053</v>
          </cell>
          <cell r="EL27" t="str">
            <v>Eff Tax Rate</v>
          </cell>
          <cell r="EM27">
            <v>0.33121019108280253</v>
          </cell>
          <cell r="EN27">
            <v>0.33500000000000002</v>
          </cell>
          <cell r="EO27">
            <v>0.33855185909980429</v>
          </cell>
          <cell r="EU27" t="str">
            <v>Eff Tax Rate</v>
          </cell>
          <cell r="EV27">
            <v>0.33160621761658032</v>
          </cell>
          <cell r="EW27">
            <v>0.16941176470588235</v>
          </cell>
          <cell r="FC27" t="str">
            <v>Eff Tax Rate</v>
          </cell>
          <cell r="FD27">
            <v>0.3001449975833736</v>
          </cell>
          <cell r="FE27">
            <v>0.30299999999999999</v>
          </cell>
          <cell r="FF27">
            <v>0.32694475760992109</v>
          </cell>
          <cell r="FK27" t="str">
            <v>Eff Tax Rate</v>
          </cell>
          <cell r="FL27">
            <v>0.32717190388170053</v>
          </cell>
          <cell r="FM27">
            <v>0.33100000000000002</v>
          </cell>
          <cell r="FN27">
            <v>0.30885529157667385</v>
          </cell>
          <cell r="FT27" t="str">
            <v>EPS</v>
          </cell>
          <cell r="FU27">
            <v>0.8358111465821999</v>
          </cell>
          <cell r="FV27">
            <v>1.66</v>
          </cell>
          <cell r="FW27">
            <v>0.72139303482587069</v>
          </cell>
          <cell r="FX27">
            <v>0.11441811175632921</v>
          </cell>
          <cell r="FY27">
            <v>0.15860717560704951</v>
          </cell>
          <cell r="GC27" t="str">
            <v>EPS</v>
          </cell>
          <cell r="GD27">
            <v>0.87365955256335326</v>
          </cell>
          <cell r="GE27">
            <v>1.55</v>
          </cell>
          <cell r="GF27">
            <v>0.66149098919457006</v>
          </cell>
          <cell r="GG27">
            <v>0.2121685633687832</v>
          </cell>
          <cell r="GH27">
            <v>0.32074293805138465</v>
          </cell>
          <cell r="GL27" t="str">
            <v>EPS</v>
          </cell>
          <cell r="GM27">
            <v>2.9632644552209539</v>
          </cell>
          <cell r="GN27">
            <v>6.1</v>
          </cell>
          <cell r="GO27">
            <v>2.457921587531132</v>
          </cell>
          <cell r="GP27">
            <v>0.50534286768982195</v>
          </cell>
          <cell r="GQ27">
            <v>0.20559763592678948</v>
          </cell>
        </row>
        <row r="28">
          <cell r="C28" t="str">
            <v>Pretax Inc</v>
          </cell>
          <cell r="D28">
            <v>907</v>
          </cell>
          <cell r="E28">
            <v>895.4</v>
          </cell>
          <cell r="F28">
            <v>882</v>
          </cell>
          <cell r="G28">
            <v>909</v>
          </cell>
          <cell r="H28">
            <v>-2</v>
          </cell>
          <cell r="I28">
            <v>-2.2002200220021528E-3</v>
          </cell>
          <cell r="J28">
            <v>11.600000000000023</v>
          </cell>
          <cell r="K28">
            <v>1.295510386419485E-2</v>
          </cell>
          <cell r="L28">
            <v>25</v>
          </cell>
          <cell r="M28">
            <v>2.8344671201814053E-2</v>
          </cell>
          <cell r="R28" t="str">
            <v>Pretax Inc</v>
          </cell>
          <cell r="S28">
            <v>3604</v>
          </cell>
          <cell r="T28">
            <v>3565.51</v>
          </cell>
          <cell r="U28">
            <v>3603</v>
          </cell>
          <cell r="V28">
            <v>3047</v>
          </cell>
          <cell r="W28">
            <v>557</v>
          </cell>
          <cell r="X28">
            <v>0.18280275680997704</v>
          </cell>
          <cell r="Y28">
            <v>38.489999999999782</v>
          </cell>
          <cell r="Z28">
            <v>1.0795089622522402E-2</v>
          </cell>
          <cell r="AA28">
            <v>1</v>
          </cell>
          <cell r="AB28">
            <v>2.7754648903699497E-4</v>
          </cell>
          <cell r="AE28" t="str">
            <v>Pretax Inc</v>
          </cell>
          <cell r="AF28">
            <v>928</v>
          </cell>
          <cell r="AG28">
            <v>889.51</v>
          </cell>
          <cell r="AH28">
            <v>927</v>
          </cell>
          <cell r="AI28">
            <v>860</v>
          </cell>
          <cell r="AJ28">
            <v>68</v>
          </cell>
          <cell r="AK28">
            <v>7.9069767441860561E-2</v>
          </cell>
          <cell r="AL28">
            <v>38.490000000000009</v>
          </cell>
          <cell r="AM28">
            <v>4.3271014378702954E-2</v>
          </cell>
          <cell r="AN28">
            <v>1</v>
          </cell>
          <cell r="AO28">
            <v>1.0787486515642097E-3</v>
          </cell>
          <cell r="AR28" t="str">
            <v>Pretax Inc</v>
          </cell>
          <cell r="AS28">
            <v>922</v>
          </cell>
          <cell r="AT28">
            <v>885.29</v>
          </cell>
          <cell r="AU28">
            <v>885</v>
          </cell>
          <cell r="AV28">
            <v>791</v>
          </cell>
          <cell r="AW28">
            <v>131</v>
          </cell>
          <cell r="AX28">
            <v>0.16561314791403281</v>
          </cell>
          <cell r="AY28">
            <v>36.710000000000036</v>
          </cell>
          <cell r="AZ28">
            <v>4.1466638050808191E-2</v>
          </cell>
          <cell r="BA28">
            <v>37</v>
          </cell>
          <cell r="BB28">
            <v>4.1807909604519855E-2</v>
          </cell>
          <cell r="BE28" t="str">
            <v>Other</v>
          </cell>
          <cell r="BF28">
            <v>0</v>
          </cell>
          <cell r="BG28">
            <v>2</v>
          </cell>
          <cell r="BI28">
            <v>1</v>
          </cell>
          <cell r="BJ28">
            <v>-1</v>
          </cell>
          <cell r="BK28" t="str">
            <v>N/A</v>
          </cell>
          <cell r="BL28">
            <v>-2</v>
          </cell>
          <cell r="BM28" t="str">
            <v>N/A</v>
          </cell>
          <cell r="BR28" t="str">
            <v>Other</v>
          </cell>
          <cell r="BS28">
            <v>3</v>
          </cell>
          <cell r="BT28">
            <v>0</v>
          </cell>
          <cell r="BV28">
            <v>1</v>
          </cell>
          <cell r="BW28">
            <v>2</v>
          </cell>
          <cell r="BX28">
            <v>2</v>
          </cell>
          <cell r="BY28">
            <v>3</v>
          </cell>
          <cell r="BZ28" t="str">
            <v>N/A</v>
          </cell>
          <cell r="CF28" t="str">
            <v>Eff Tax Rate</v>
          </cell>
          <cell r="CG28">
            <v>0.32790693837209323</v>
          </cell>
          <cell r="CH28">
            <v>0.32325882275841566</v>
          </cell>
          <cell r="CJ28">
            <v>0.3150887573964497</v>
          </cell>
          <cell r="CK28">
            <v>128.18180975643523</v>
          </cell>
          <cell r="CM28">
            <v>46.481156136775617</v>
          </cell>
          <cell r="CT28" t="str">
            <v>Eff Tax Rate</v>
          </cell>
          <cell r="CU28">
            <v>0.31226300000000001</v>
          </cell>
          <cell r="CV28">
            <v>0.32</v>
          </cell>
          <cell r="CW28">
            <v>0.31677018633540371</v>
          </cell>
          <cell r="CX28">
            <v>-45.071863354037013</v>
          </cell>
          <cell r="DC28" t="str">
            <v>Info Sys &amp; Tech</v>
          </cell>
          <cell r="DD28">
            <v>0.11213005418924551</v>
          </cell>
          <cell r="DE28">
            <v>0.10755679184051924</v>
          </cell>
          <cell r="DF28">
            <v>40.000000000000036</v>
          </cell>
          <cell r="DK28" t="str">
            <v>Aerospace</v>
          </cell>
          <cell r="DL28">
            <v>0.15813528336380256</v>
          </cell>
          <cell r="DM28">
            <v>0.15555555555555556</v>
          </cell>
          <cell r="DN28">
            <v>0.15608180839612487</v>
          </cell>
          <cell r="DO28">
            <v>20.000000000000018</v>
          </cell>
          <cell r="DP28" t="str">
            <v>bps</v>
          </cell>
          <cell r="DT28" t="str">
            <v>Aerospace</v>
          </cell>
          <cell r="DU28">
            <v>0.15646258503401361</v>
          </cell>
          <cell r="DV28">
            <v>0.158</v>
          </cell>
          <cell r="DW28">
            <v>0.14418875618992136</v>
          </cell>
          <cell r="DX28">
            <v>1.2273828844092255E-2</v>
          </cell>
          <cell r="EC28" t="str">
            <v>Net Income</v>
          </cell>
          <cell r="ED28">
            <v>440</v>
          </cell>
          <cell r="EE28">
            <v>432.21600000000001</v>
          </cell>
          <cell r="EF28">
            <v>364.00000000000006</v>
          </cell>
          <cell r="EG28">
            <v>75.999999999999943</v>
          </cell>
          <cell r="EH28">
            <v>0.20879120879120849</v>
          </cell>
          <cell r="EL28" t="str">
            <v>Net Income</v>
          </cell>
          <cell r="EM28">
            <v>420.00000000000006</v>
          </cell>
          <cell r="EN28">
            <v>397.67</v>
          </cell>
          <cell r="EO28">
            <v>338.00000000000006</v>
          </cell>
          <cell r="EP28">
            <v>82</v>
          </cell>
          <cell r="EQ28">
            <v>0.24260355029585789</v>
          </cell>
          <cell r="EU28" t="str">
            <v>Net Income</v>
          </cell>
          <cell r="EV28">
            <v>386.99999999999994</v>
          </cell>
          <cell r="EW28">
            <v>353</v>
          </cell>
          <cell r="EX28">
            <v>33.999999999999943</v>
          </cell>
          <cell r="EY28">
            <v>9.6317280453257714E-2</v>
          </cell>
          <cell r="FC28" t="str">
            <v>Net Income</v>
          </cell>
          <cell r="FD28">
            <v>1448</v>
          </cell>
          <cell r="FE28">
            <v>1452.8053665530003</v>
          </cell>
          <cell r="FF28">
            <v>1194</v>
          </cell>
          <cell r="FG28">
            <v>254</v>
          </cell>
          <cell r="FH28">
            <v>0.21273031825795652</v>
          </cell>
          <cell r="FK28" t="str">
            <v>Net Income</v>
          </cell>
          <cell r="FL28">
            <v>364.00000000000006</v>
          </cell>
          <cell r="FM28">
            <v>353.23200000000003</v>
          </cell>
          <cell r="FN28">
            <v>320.00000000000006</v>
          </cell>
          <cell r="FO28">
            <v>44</v>
          </cell>
          <cell r="FP28">
            <v>0.13749999999999996</v>
          </cell>
          <cell r="FT28" t="str">
            <v>Discont Ops</v>
          </cell>
          <cell r="FU28">
            <v>5.0000000000000001E-3</v>
          </cell>
          <cell r="FV28">
            <v>0</v>
          </cell>
          <cell r="FW28">
            <v>2.4875621890547265E-2</v>
          </cell>
          <cell r="GC28" t="str">
            <v>Discont Ops</v>
          </cell>
          <cell r="GD28">
            <v>-4.2074256072456108E-2</v>
          </cell>
          <cell r="GE28">
            <v>0</v>
          </cell>
          <cell r="GF28">
            <v>9.9848638450486527E-3</v>
          </cell>
          <cell r="GL28" t="str">
            <v>Discont Ops</v>
          </cell>
          <cell r="GM28">
            <v>5.459951257526046E-2</v>
          </cell>
          <cell r="GN28">
            <v>0.02</v>
          </cell>
          <cell r="GO28">
            <v>5.5234192978227688E-2</v>
          </cell>
        </row>
        <row r="29">
          <cell r="C29" t="str">
            <v>Eff Tax Rate</v>
          </cell>
          <cell r="D29">
            <v>0.31477398015435504</v>
          </cell>
          <cell r="E29">
            <v>0.316</v>
          </cell>
          <cell r="F29">
            <v>0.31632653061224492</v>
          </cell>
          <cell r="G29">
            <v>0.33333333333333331</v>
          </cell>
          <cell r="H29">
            <v>-185.59353178978279</v>
          </cell>
          <cell r="J29">
            <v>-12.260198456449656</v>
          </cell>
          <cell r="L29">
            <v>-15.525504578898786</v>
          </cell>
          <cell r="R29" t="str">
            <v>Eff Tax Rate</v>
          </cell>
          <cell r="S29">
            <v>0.32214206437291898</v>
          </cell>
          <cell r="T29">
            <v>0.32</v>
          </cell>
          <cell r="U29">
            <v>0.30585623091867886</v>
          </cell>
          <cell r="V29">
            <v>0.31736133902198882</v>
          </cell>
          <cell r="W29">
            <v>47.807253509301596</v>
          </cell>
          <cell r="Y29">
            <v>21.420643729189727</v>
          </cell>
          <cell r="AA29">
            <v>162.85833454240117</v>
          </cell>
          <cell r="AE29" t="str">
            <v>Eff Tax Rate</v>
          </cell>
          <cell r="AF29">
            <v>0.32112068965517238</v>
          </cell>
          <cell r="AG29">
            <v>0.31249024743960219</v>
          </cell>
          <cell r="AH29">
            <v>0.31930960086299892</v>
          </cell>
          <cell r="AI29">
            <v>0.32790693837209323</v>
          </cell>
          <cell r="AJ29">
            <v>-67.862487169208507</v>
          </cell>
          <cell r="AL29">
            <v>86.304422155701886</v>
          </cell>
          <cell r="AN29">
            <v>18.110887921734541</v>
          </cell>
          <cell r="AR29" t="str">
            <v>Eff Tax Rate</v>
          </cell>
          <cell r="AS29">
            <v>0.31236442516268981</v>
          </cell>
          <cell r="AT29">
            <v>0.32500000000000001</v>
          </cell>
          <cell r="AU29">
            <v>0.32203389830508472</v>
          </cell>
          <cell r="AV29">
            <v>0.31226300000000001</v>
          </cell>
          <cell r="AW29">
            <v>1.014251626897944</v>
          </cell>
          <cell r="AY29">
            <v>-126.35574837310205</v>
          </cell>
          <cell r="BA29">
            <v>-96.694731423949136</v>
          </cell>
          <cell r="BE29" t="str">
            <v>Pretax Inc</v>
          </cell>
          <cell r="BF29">
            <v>909</v>
          </cell>
          <cell r="BG29">
            <v>845.70500000000004</v>
          </cell>
          <cell r="BH29">
            <v>859</v>
          </cell>
          <cell r="BI29">
            <v>740</v>
          </cell>
          <cell r="BJ29">
            <v>169</v>
          </cell>
          <cell r="BK29">
            <v>0.22837837837837838</v>
          </cell>
          <cell r="BL29">
            <v>63.294999999999959</v>
          </cell>
          <cell r="BM29">
            <v>7.4842882565433477E-2</v>
          </cell>
          <cell r="BN29">
            <v>50</v>
          </cell>
          <cell r="BO29">
            <v>5.8207217694994151E-2</v>
          </cell>
          <cell r="BR29" t="str">
            <v>Pretax Inc</v>
          </cell>
          <cell r="BS29">
            <v>845</v>
          </cell>
          <cell r="BT29">
            <v>774.125</v>
          </cell>
          <cell r="BU29">
            <v>777</v>
          </cell>
          <cell r="BV29">
            <v>656</v>
          </cell>
          <cell r="BW29">
            <v>189</v>
          </cell>
          <cell r="BX29">
            <v>0.28810975609756095</v>
          </cell>
          <cell r="BY29">
            <v>70.875</v>
          </cell>
          <cell r="BZ29">
            <v>9.1554981430647553E-2</v>
          </cell>
          <cell r="CA29">
            <v>68</v>
          </cell>
          <cell r="CB29">
            <v>8.7516087516087415E-2</v>
          </cell>
          <cell r="CF29" t="str">
            <v>Net Income</v>
          </cell>
          <cell r="CG29">
            <v>578.0000329999998</v>
          </cell>
          <cell r="CH29">
            <v>567.95503299999973</v>
          </cell>
          <cell r="CI29">
            <v>575.62760000000003</v>
          </cell>
          <cell r="CJ29">
            <v>463</v>
          </cell>
          <cell r="CK29">
            <v>115.0000329999998</v>
          </cell>
          <cell r="CL29">
            <v>0.24838020086393042</v>
          </cell>
          <cell r="CM29">
            <v>10.045000000000073</v>
          </cell>
          <cell r="CN29">
            <v>1.7686259327505782E-2</v>
          </cell>
          <cell r="CO29">
            <v>2.3724329999997735</v>
          </cell>
          <cell r="CP29">
            <v>4.1214719377593578E-3</v>
          </cell>
          <cell r="CT29" t="str">
            <v>Net Income</v>
          </cell>
          <cell r="CU29">
            <v>543.99996700000008</v>
          </cell>
          <cell r="CV29">
            <v>531.01200000000006</v>
          </cell>
          <cell r="CW29">
            <v>440</v>
          </cell>
          <cell r="CX29">
            <v>103.99996700000008</v>
          </cell>
          <cell r="CY29">
            <v>0.23636356136363657</v>
          </cell>
          <cell r="DC29" t="str">
            <v>Aerospace</v>
          </cell>
          <cell r="DD29">
            <v>0.16473509933774835</v>
          </cell>
          <cell r="DE29">
            <v>0.15557638238050608</v>
          </cell>
          <cell r="DF29">
            <v>90.000000000000085</v>
          </cell>
          <cell r="DK29" t="str">
            <v>Other</v>
          </cell>
          <cell r="DL29">
            <v>0</v>
          </cell>
          <cell r="DM29">
            <v>0</v>
          </cell>
          <cell r="DN29">
            <v>0</v>
          </cell>
          <cell r="DO29">
            <v>0</v>
          </cell>
          <cell r="DP29" t="str">
            <v>bps</v>
          </cell>
          <cell r="DT29" t="str">
            <v>Other</v>
          </cell>
          <cell r="DU29">
            <v>0</v>
          </cell>
          <cell r="DV29" t="str">
            <v>NMF</v>
          </cell>
          <cell r="DW29">
            <v>0</v>
          </cell>
          <cell r="DX29" t="str">
            <v xml:space="preserve">NA </v>
          </cell>
          <cell r="EC29" t="str">
            <v>EPS, Cont. Ops</v>
          </cell>
          <cell r="ED29">
            <v>1.0806109303643339</v>
          </cell>
          <cell r="EE29">
            <v>1.0778453865336659</v>
          </cell>
          <cell r="EF29">
            <v>0.8974209713957767</v>
          </cell>
          <cell r="EG29">
            <v>0.18318995896855716</v>
          </cell>
          <cell r="EH29">
            <v>0.20412934933271965</v>
          </cell>
          <cell r="EL29" t="str">
            <v>EPS, Cont. Ops</v>
          </cell>
          <cell r="EM29">
            <v>1.0320485247395879</v>
          </cell>
          <cell r="EN29">
            <v>0.98922885572139307</v>
          </cell>
          <cell r="EO29">
            <v>0.8358111465821999</v>
          </cell>
          <cell r="EP29">
            <v>0.19623737815738795</v>
          </cell>
          <cell r="EQ29">
            <v>0.23478674454132631</v>
          </cell>
          <cell r="EU29" t="str">
            <v>EPS, Cont. Ops</v>
          </cell>
          <cell r="EV29">
            <v>0.95673671199011112</v>
          </cell>
          <cell r="EW29">
            <v>0.87365955256335326</v>
          </cell>
          <cell r="EX29">
            <v>8.3077159426757863E-2</v>
          </cell>
          <cell r="EY29">
            <v>9.5090998756902634E-2</v>
          </cell>
          <cell r="FC29" t="str">
            <v>EPS, Cont. Ops</v>
          </cell>
          <cell r="FD29">
            <v>3.5766509900011854</v>
          </cell>
          <cell r="FE29">
            <v>7.1830158817733762</v>
          </cell>
          <cell r="FF29">
            <v>2.9632644552209539</v>
          </cell>
          <cell r="FG29">
            <v>0.61338653478023142</v>
          </cell>
          <cell r="FH29">
            <v>0.20699689280162303</v>
          </cell>
          <cell r="FK29" t="str">
            <v>EPS, Cont. Ops</v>
          </cell>
          <cell r="FL29">
            <v>0.8974209713957767</v>
          </cell>
          <cell r="FM29">
            <v>1.7460800790904598</v>
          </cell>
          <cell r="FN29">
            <v>0.79265871992611958</v>
          </cell>
          <cell r="FO29">
            <v>0.10476225146965712</v>
          </cell>
          <cell r="FP29">
            <v>0.13216564561280753</v>
          </cell>
          <cell r="FT29" t="str">
            <v>Total EPS</v>
          </cell>
          <cell r="FU29">
            <v>0.84081114658219991</v>
          </cell>
          <cell r="FV29">
            <v>1.66</v>
          </cell>
          <cell r="FW29">
            <v>0.74626865671641796</v>
          </cell>
          <cell r="FX29">
            <v>9.4542489865781953E-2</v>
          </cell>
          <cell r="FY29">
            <v>0.12668693642014772</v>
          </cell>
          <cell r="GC29" t="str">
            <v>Total EPS</v>
          </cell>
          <cell r="GD29">
            <v>0.83158529649089719</v>
          </cell>
          <cell r="GE29">
            <v>1.55</v>
          </cell>
          <cell r="GF29">
            <v>0.67147585303961876</v>
          </cell>
          <cell r="GG29">
            <v>0.16010944345127842</v>
          </cell>
          <cell r="GH29">
            <v>0.23844408213117307</v>
          </cell>
          <cell r="GL29" t="str">
            <v>Total EPS</v>
          </cell>
          <cell r="GM29">
            <v>3.0178639677962145</v>
          </cell>
          <cell r="GN29">
            <v>6.12</v>
          </cell>
          <cell r="GO29">
            <v>2.5131557805093596</v>
          </cell>
          <cell r="GP29">
            <v>0.50470818728685485</v>
          </cell>
          <cell r="GQ29">
            <v>0.20082646336573773</v>
          </cell>
        </row>
        <row r="30">
          <cell r="C30" t="str">
            <v>Net Income</v>
          </cell>
          <cell r="D30">
            <v>621.5</v>
          </cell>
          <cell r="E30">
            <v>612.45359999999994</v>
          </cell>
          <cell r="F30">
            <v>603</v>
          </cell>
          <cell r="G30">
            <v>606.00000000000011</v>
          </cell>
          <cell r="H30">
            <v>15.499999999999886</v>
          </cell>
          <cell r="I30">
            <v>2.5577557755775304E-2</v>
          </cell>
          <cell r="J30">
            <v>9.0464000000000624</v>
          </cell>
          <cell r="K30">
            <v>1.4770751612857014E-2</v>
          </cell>
          <cell r="L30">
            <v>18.5</v>
          </cell>
          <cell r="M30">
            <v>3.0679933665008319E-2</v>
          </cell>
          <cell r="R30" t="str">
            <v>Net Income</v>
          </cell>
          <cell r="S30">
            <v>2443</v>
          </cell>
          <cell r="T30">
            <v>2424.5467999999996</v>
          </cell>
          <cell r="U30">
            <v>2501</v>
          </cell>
          <cell r="V30">
            <v>2080</v>
          </cell>
          <cell r="W30">
            <v>363</v>
          </cell>
          <cell r="X30">
            <v>0.1745192307692307</v>
          </cell>
          <cell r="Y30">
            <v>18.453200000000379</v>
          </cell>
          <cell r="Z30">
            <v>7.6109894022258207E-3</v>
          </cell>
          <cell r="AA30">
            <v>-58</v>
          </cell>
          <cell r="AB30">
            <v>-2.3190723710515782E-2</v>
          </cell>
          <cell r="AE30" t="str">
            <v>Net Income</v>
          </cell>
          <cell r="AF30">
            <v>630</v>
          </cell>
          <cell r="AG30">
            <v>611.54679999999962</v>
          </cell>
          <cell r="AH30">
            <v>631</v>
          </cell>
          <cell r="AI30">
            <v>578.00003299999992</v>
          </cell>
          <cell r="AJ30">
            <v>51.999967000000083</v>
          </cell>
          <cell r="AK30">
            <v>8.9965335694020876E-2</v>
          </cell>
          <cell r="AL30">
            <v>18.453200000000379</v>
          </cell>
          <cell r="AM30">
            <v>3.0174632587400385E-2</v>
          </cell>
          <cell r="AN30">
            <v>-1</v>
          </cell>
          <cell r="AO30">
            <v>-1.5847860538826808E-3</v>
          </cell>
          <cell r="AR30" t="str">
            <v>Net Income</v>
          </cell>
          <cell r="AS30">
            <v>634</v>
          </cell>
          <cell r="AT30">
            <v>597.57074999999998</v>
          </cell>
          <cell r="AU30">
            <v>600</v>
          </cell>
          <cell r="AV30">
            <v>543.99996700000008</v>
          </cell>
          <cell r="AW30">
            <v>90.000032999999917</v>
          </cell>
          <cell r="AX30">
            <v>0.16544124716831088</v>
          </cell>
          <cell r="AY30">
            <v>36.429250000000025</v>
          </cell>
          <cell r="AZ30">
            <v>6.0962237525849394E-2</v>
          </cell>
          <cell r="BA30">
            <v>34</v>
          </cell>
          <cell r="BB30">
            <v>5.6666666666666643E-2</v>
          </cell>
          <cell r="BE30" t="str">
            <v>Eff Tax Rate</v>
          </cell>
          <cell r="BF30">
            <v>0.33333333333333331</v>
          </cell>
          <cell r="BG30">
            <v>0.32400000000000001</v>
          </cell>
          <cell r="BH30">
            <v>0.31315483119906867</v>
          </cell>
          <cell r="BI30">
            <v>0.3</v>
          </cell>
          <cell r="BJ30">
            <v>333.33333333333326</v>
          </cell>
          <cell r="BL30">
            <v>93.333333333333044</v>
          </cell>
          <cell r="BR30" t="str">
            <v>Eff Tax Rate</v>
          </cell>
          <cell r="BS30">
            <v>0.32189349112426036</v>
          </cell>
          <cell r="BT30">
            <v>0.32300000000000001</v>
          </cell>
          <cell r="BV30">
            <v>0.32926829268292684</v>
          </cell>
          <cell r="BW30">
            <v>-73.748015586664877</v>
          </cell>
          <cell r="BY30">
            <v>-11.065088757396534</v>
          </cell>
          <cell r="CF30" t="str">
            <v>EPS, Cont. Ops</v>
          </cell>
          <cell r="CG30">
            <v>1.4204965175718847</v>
          </cell>
          <cell r="CH30">
            <v>1.390243737405723</v>
          </cell>
          <cell r="CJ30">
            <v>1.1328602887203327</v>
          </cell>
          <cell r="CK30">
            <v>0.28763622885155193</v>
          </cell>
          <cell r="CL30">
            <v>0.25390264952835695</v>
          </cell>
          <cell r="CM30">
            <v>3.0252780166161619E-2</v>
          </cell>
          <cell r="CN30">
            <v>2.1760774281648798E-2</v>
          </cell>
          <cell r="CT30" t="str">
            <v>EPS, Cont. Ops</v>
          </cell>
          <cell r="CU30">
            <v>1.3356247655290943</v>
          </cell>
          <cell r="CV30">
            <v>1.298317848410758</v>
          </cell>
          <cell r="CW30">
            <v>1.0806109303643339</v>
          </cell>
          <cell r="CX30">
            <v>0.25501383516476039</v>
          </cell>
          <cell r="CY30">
            <v>0.23599042726578845</v>
          </cell>
          <cell r="DC30" t="str">
            <v>Other</v>
          </cell>
          <cell r="DD30">
            <v>0</v>
          </cell>
          <cell r="DE30">
            <v>0</v>
          </cell>
          <cell r="DF30">
            <v>0</v>
          </cell>
          <cell r="DK30" t="str">
            <v>Total Operating Margins</v>
          </cell>
          <cell r="DL30">
            <v>0.10809523809523809</v>
          </cell>
          <cell r="DM30">
            <v>0.10916530278232406</v>
          </cell>
          <cell r="DN30">
            <v>0.10746483952398125</v>
          </cell>
          <cell r="DO30">
            <v>10.000000000000009</v>
          </cell>
          <cell r="DP30" t="str">
            <v>bps</v>
          </cell>
          <cell r="DT30" t="str">
            <v>Total Operating Margins</v>
          </cell>
          <cell r="DU30">
            <v>0.10908864231392594</v>
          </cell>
          <cell r="DV30">
            <v>0.111</v>
          </cell>
          <cell r="DW30">
            <v>0.10388557806912992</v>
          </cell>
          <cell r="DX30">
            <v>5.203064244796024E-3</v>
          </cell>
          <cell r="EC30" t="str">
            <v>EPS, Disc. Opns</v>
          </cell>
          <cell r="ED30">
            <v>-4.9118678652924266E-3</v>
          </cell>
          <cell r="EE30">
            <v>0</v>
          </cell>
          <cell r="EF30">
            <v>2.4654422291092763E-2</v>
          </cell>
          <cell r="EL30" t="str">
            <v>EPS, Disc. Opns</v>
          </cell>
          <cell r="EM30">
            <v>0.5307678127232166</v>
          </cell>
          <cell r="EN30">
            <v>0</v>
          </cell>
          <cell r="EO30">
            <v>5.0000000000000001E-3</v>
          </cell>
          <cell r="EU30" t="str">
            <v>EPS, Disc. Opns</v>
          </cell>
          <cell r="EV30">
            <v>-3.2138442521631644E-2</v>
          </cell>
          <cell r="EW30">
            <v>-4.2074256072456108E-2</v>
          </cell>
          <cell r="FC30" t="str">
            <v>EPS, Disc. Opns</v>
          </cell>
          <cell r="FD30">
            <v>3.2110816899181917E-2</v>
          </cell>
          <cell r="FE30">
            <v>-2.9599299832899863E-2</v>
          </cell>
          <cell r="FF30">
            <v>5.459951257526046E-2</v>
          </cell>
          <cell r="FK30" t="str">
            <v>EPS, Disc. Opns</v>
          </cell>
          <cell r="FL30">
            <v>2.4654422291092763E-2</v>
          </cell>
          <cell r="FM30">
            <v>0</v>
          </cell>
          <cell r="FN30">
            <v>4.954116999538247E-3</v>
          </cell>
          <cell r="FT30" t="str">
            <v xml:space="preserve"> Avg. Shs. (MM)</v>
          </cell>
          <cell r="FU30">
            <v>404.39757400000002</v>
          </cell>
          <cell r="FV30">
            <v>202</v>
          </cell>
          <cell r="FW30">
            <v>402</v>
          </cell>
          <cell r="GC30" t="str">
            <v xml:space="preserve"> Avg. Shs. (MM)</v>
          </cell>
          <cell r="GD30">
            <v>404.04754800000001</v>
          </cell>
          <cell r="GE30">
            <v>201</v>
          </cell>
          <cell r="GF30">
            <v>400.60636399999999</v>
          </cell>
          <cell r="GL30" t="str">
            <v xml:space="preserve"> Avg. Shs. (MM)</v>
          </cell>
          <cell r="GM30">
            <v>402.93400000000003</v>
          </cell>
          <cell r="GN30">
            <v>201.3</v>
          </cell>
          <cell r="GO30">
            <v>398.30399999999997</v>
          </cell>
        </row>
        <row r="31">
          <cell r="C31" t="str">
            <v>EPS, Cont. Ops</v>
          </cell>
          <cell r="D31">
            <v>1.6059431524547803</v>
          </cell>
          <cell r="E31">
            <v>1.5907885714285712</v>
          </cell>
          <cell r="G31">
            <v>1.5082130413140868</v>
          </cell>
          <cell r="H31">
            <v>9.773011114069341E-2</v>
          </cell>
          <cell r="I31">
            <v>6.4798611644109938E-2</v>
          </cell>
          <cell r="J31">
            <v>1.5154581026209035E-2</v>
          </cell>
          <cell r="K31">
            <v>9.5264583228680255E-3</v>
          </cell>
          <cell r="R31" t="str">
            <v>EPS, Cont. Ops</v>
          </cell>
          <cell r="S31">
            <v>6.1274140958113872</v>
          </cell>
          <cell r="T31">
            <v>6.061366999999998</v>
          </cell>
          <cell r="V31">
            <v>5.0962280562055158</v>
          </cell>
          <cell r="W31">
            <v>1.0311860396058714</v>
          </cell>
          <cell r="X31">
            <v>0.20234299333410499</v>
          </cell>
          <cell r="Y31">
            <v>6.6047095811389234E-2</v>
          </cell>
          <cell r="Z31">
            <v>1.0896402711036757E-2</v>
          </cell>
          <cell r="AE31" t="str">
            <v>EPS, Cont. Ops</v>
          </cell>
          <cell r="AF31">
            <v>1.6170431211498972</v>
          </cell>
          <cell r="AG31">
            <v>1.5501820025348525</v>
          </cell>
          <cell r="AH31">
            <v>1.58</v>
          </cell>
          <cell r="AI31">
            <v>1.4204965175718849</v>
          </cell>
          <cell r="AJ31">
            <v>0.19654660357801235</v>
          </cell>
          <cell r="AK31">
            <v>0.13836472046688142</v>
          </cell>
          <cell r="AL31">
            <v>6.6861118615044735E-2</v>
          </cell>
          <cell r="AM31">
            <v>4.3131141056800937E-2</v>
          </cell>
          <cell r="AN31">
            <v>3.7043121149897162E-2</v>
          </cell>
          <cell r="AO31">
            <v>2.3445013386010904E-2</v>
          </cell>
          <cell r="AR31" t="str">
            <v>EPS, Cont. Ops</v>
          </cell>
          <cell r="AS31">
            <v>1.585792896448224</v>
          </cell>
          <cell r="AT31">
            <v>1.4939268749999999</v>
          </cell>
          <cell r="AU31">
            <v>1.51</v>
          </cell>
          <cell r="AV31">
            <v>1.3356247655290943</v>
          </cell>
          <cell r="AW31">
            <v>0.25016813091912971</v>
          </cell>
          <cell r="AX31">
            <v>0.18730420203014742</v>
          </cell>
          <cell r="AY31">
            <v>9.1866021448224089E-2</v>
          </cell>
          <cell r="AZ31">
            <v>6.149298401785841E-2</v>
          </cell>
          <cell r="BA31">
            <v>7.5792896448223956E-2</v>
          </cell>
          <cell r="BB31">
            <v>5.0193971157764139E-2</v>
          </cell>
          <cell r="CF31" t="str">
            <v>EPS, Disc. Opns</v>
          </cell>
          <cell r="CG31">
            <v>2.4576062914721062E-3</v>
          </cell>
          <cell r="CH31">
            <v>-2.5479191372018359E-4</v>
          </cell>
          <cell r="CJ31">
            <v>-0.13457303645705898</v>
          </cell>
          <cell r="CK31">
            <v>0.13703064274853108</v>
          </cell>
          <cell r="CL31">
            <v>-1.0182622489331754</v>
          </cell>
          <cell r="CM31">
            <v>2.7123982051922898E-3</v>
          </cell>
          <cell r="CN31" t="str">
            <v>N/A</v>
          </cell>
          <cell r="CT31" t="str">
            <v>EPS, Disc. Opns</v>
          </cell>
          <cell r="CU31">
            <v>0</v>
          </cell>
          <cell r="CV31">
            <v>0</v>
          </cell>
          <cell r="CW31">
            <v>-4.9118678652924266E-3</v>
          </cell>
          <cell r="CX31">
            <v>4.9118678652924266E-3</v>
          </cell>
          <cell r="CY31" t="str">
            <v>N/A</v>
          </cell>
          <cell r="DC31" t="str">
            <v>Total Operating Margins</v>
          </cell>
          <cell r="DD31">
            <v>0.1153087543620088</v>
          </cell>
          <cell r="DE31">
            <v>0.10936973373778228</v>
          </cell>
          <cell r="DF31">
            <v>60.000000000000057</v>
          </cell>
          <cell r="DK31" t="str">
            <v>Interest, net</v>
          </cell>
          <cell r="DL31">
            <v>-26</v>
          </cell>
          <cell r="DM31">
            <v>-32</v>
          </cell>
          <cell r="DN31">
            <v>-17</v>
          </cell>
          <cell r="DO31">
            <v>-9</v>
          </cell>
          <cell r="DP31">
            <v>0.52941176470588225</v>
          </cell>
          <cell r="DT31" t="str">
            <v>Interest, net</v>
          </cell>
          <cell r="DU31">
            <v>-101</v>
          </cell>
          <cell r="DV31">
            <v>-120</v>
          </cell>
          <cell r="DW31">
            <v>-118</v>
          </cell>
          <cell r="DX31">
            <v>17</v>
          </cell>
          <cell r="DY31">
            <v>-0.14406779661016944</v>
          </cell>
          <cell r="EC31" t="str">
            <v>EPS, Reported (GAAP)</v>
          </cell>
          <cell r="ED31">
            <v>1.0756990624990415</v>
          </cell>
          <cell r="EE31">
            <v>1.0778453865336659</v>
          </cell>
          <cell r="EF31">
            <v>0.92207539368686942</v>
          </cell>
          <cell r="EG31">
            <v>0.15362366881217204</v>
          </cell>
          <cell r="EH31">
            <v>0.16660640752803957</v>
          </cell>
          <cell r="EL31" t="str">
            <v>EPS, Reported (GAAP)</v>
          </cell>
          <cell r="EM31">
            <v>1.5628163374628046</v>
          </cell>
          <cell r="EN31">
            <v>0.98922885572139307</v>
          </cell>
          <cell r="EO31">
            <v>0.84081114658219991</v>
          </cell>
          <cell r="EP31">
            <v>0.72200519088060466</v>
          </cell>
          <cell r="EQ31">
            <v>0.85870078413621442</v>
          </cell>
          <cell r="EU31" t="str">
            <v>EPS, Reported (GAAP)</v>
          </cell>
          <cell r="EV31">
            <v>0.92459826946847945</v>
          </cell>
          <cell r="EW31">
            <v>0.83158529649089719</v>
          </cell>
          <cell r="EX31">
            <v>9.3012972977582264E-2</v>
          </cell>
          <cell r="EY31">
            <v>0.11185018947554282</v>
          </cell>
          <cell r="FC31" t="str">
            <v>EPS, Reported (GAAP)</v>
          </cell>
          <cell r="FD31">
            <v>3.6087618069003673</v>
          </cell>
          <cell r="FE31">
            <v>7.1534165819404762</v>
          </cell>
          <cell r="FF31">
            <v>3.0178639677962145</v>
          </cell>
          <cell r="FG31">
            <v>0.59089783910415283</v>
          </cell>
          <cell r="FH31">
            <v>0.19580002459012569</v>
          </cell>
          <cell r="FK31" t="str">
            <v>EPS, Reported (GAAP)</v>
          </cell>
          <cell r="FL31">
            <v>0.92207539368686942</v>
          </cell>
          <cell r="FM31">
            <v>1.7460800790904598</v>
          </cell>
          <cell r="FN31">
            <v>0.79761283692565776</v>
          </cell>
          <cell r="FO31">
            <v>0.12446255676121165</v>
          </cell>
          <cell r="FP31">
            <v>0.15604382351836743</v>
          </cell>
          <cell r="FT31" t="str">
            <v>Operating Margins</v>
          </cell>
          <cell r="GC31" t="str">
            <v>Operating Margins</v>
          </cell>
          <cell r="GL31" t="str">
            <v>Operating Margins</v>
          </cell>
        </row>
        <row r="32">
          <cell r="C32" t="str">
            <v>EPS, Disc. Opns</v>
          </cell>
          <cell r="D32">
            <v>-7.7519379844961239E-3</v>
          </cell>
          <cell r="E32">
            <v>0</v>
          </cell>
          <cell r="G32">
            <v>8.7108013937282222E-2</v>
          </cell>
          <cell r="R32" t="str">
            <v>EPS, Disc. Opns</v>
          </cell>
          <cell r="S32">
            <v>4.0130423877602212E-2</v>
          </cell>
          <cell r="T32">
            <v>0.09</v>
          </cell>
          <cell r="V32">
            <v>-1.9600877139251984E-2</v>
          </cell>
          <cell r="AE32" t="str">
            <v>EPS, Disc. Opns</v>
          </cell>
          <cell r="AF32">
            <v>-4.8767967145790549E-2</v>
          </cell>
          <cell r="AG32">
            <v>0</v>
          </cell>
          <cell r="AI32">
            <v>2.4576062914721062E-3</v>
          </cell>
          <cell r="AR32" t="str">
            <v>EPS, Disc. Opns</v>
          </cell>
          <cell r="AS32">
            <v>0</v>
          </cell>
          <cell r="AT32">
            <v>0</v>
          </cell>
          <cell r="AV32">
            <v>0</v>
          </cell>
          <cell r="AY32">
            <v>0</v>
          </cell>
          <cell r="BE32" t="str">
            <v>Net Income</v>
          </cell>
          <cell r="BF32">
            <v>606.00000000000011</v>
          </cell>
          <cell r="BG32">
            <v>571.69657999999993</v>
          </cell>
          <cell r="BH32">
            <v>590</v>
          </cell>
          <cell r="BI32">
            <v>518</v>
          </cell>
          <cell r="BJ32">
            <v>88.000000000000114</v>
          </cell>
          <cell r="BK32">
            <v>0.16988416988417021</v>
          </cell>
          <cell r="BL32">
            <v>34.303420000000187</v>
          </cell>
          <cell r="BM32">
            <v>6.0002842766700093E-2</v>
          </cell>
          <cell r="BN32">
            <v>16.000000000000114</v>
          </cell>
          <cell r="BO32">
            <v>2.7118644067796849E-2</v>
          </cell>
          <cell r="BR32" t="str">
            <v>Net Income</v>
          </cell>
          <cell r="BS32">
            <v>573</v>
          </cell>
          <cell r="BT32">
            <v>524.08262500000001</v>
          </cell>
          <cell r="BU32">
            <v>525</v>
          </cell>
          <cell r="BV32">
            <v>439.99999999999994</v>
          </cell>
          <cell r="BW32">
            <v>133.00000000000006</v>
          </cell>
          <cell r="BX32">
            <v>0.30227272727272747</v>
          </cell>
          <cell r="BY32">
            <v>48.917374999999993</v>
          </cell>
          <cell r="BZ32">
            <v>9.3339051261239536E-2</v>
          </cell>
          <cell r="CA32">
            <v>48</v>
          </cell>
          <cell r="CB32">
            <v>9.1428571428571415E-2</v>
          </cell>
          <cell r="CF32" t="str">
            <v>EPS, Reported (GAAP)</v>
          </cell>
          <cell r="CG32">
            <v>1.4229541238633567</v>
          </cell>
          <cell r="CH32">
            <v>1.3899889454920029</v>
          </cell>
          <cell r="CI32">
            <v>1.408096</v>
          </cell>
          <cell r="CJ32">
            <v>0.99828725226327375</v>
          </cell>
          <cell r="CK32">
            <v>0.42466687160008298</v>
          </cell>
          <cell r="CL32">
            <v>0.42539546672292627</v>
          </cell>
          <cell r="CM32">
            <v>3.296517837135382E-2</v>
          </cell>
          <cell r="CN32">
            <v>2.3716144274575912E-2</v>
          </cell>
          <cell r="CO32">
            <v>1.485812386335672E-2</v>
          </cell>
          <cell r="CP32">
            <v>1.0551925339860935E-2</v>
          </cell>
          <cell r="CT32" t="str">
            <v>EPS, Reported (GAAP)</v>
          </cell>
          <cell r="CU32">
            <v>1.3356247655290943</v>
          </cell>
          <cell r="CV32">
            <v>1.298317848410758</v>
          </cell>
          <cell r="CW32">
            <v>1.0756990624990415</v>
          </cell>
          <cell r="CX32">
            <v>0.2599257030300528</v>
          </cell>
          <cell r="CY32">
            <v>0.24163421917111183</v>
          </cell>
          <cell r="DC32" t="str">
            <v>Interest, net</v>
          </cell>
          <cell r="DD32">
            <v>-21</v>
          </cell>
          <cell r="DE32">
            <v>-23</v>
          </cell>
          <cell r="DF32">
            <v>2</v>
          </cell>
          <cell r="DG32">
            <v>-8.6956521739130488E-2</v>
          </cell>
          <cell r="DK32" t="str">
            <v>Other</v>
          </cell>
          <cell r="DL32">
            <v>1</v>
          </cell>
          <cell r="DM32">
            <v>0</v>
          </cell>
          <cell r="DN32">
            <v>0</v>
          </cell>
          <cell r="DO32">
            <v>1</v>
          </cell>
          <cell r="DT32" t="str">
            <v>Other</v>
          </cell>
          <cell r="DU32">
            <v>3</v>
          </cell>
          <cell r="DV32">
            <v>2</v>
          </cell>
          <cell r="DW32">
            <v>8</v>
          </cell>
          <cell r="DX32">
            <v>-5</v>
          </cell>
          <cell r="EC32" t="str">
            <v>% Ch Y/Y</v>
          </cell>
          <cell r="ED32">
            <v>0.2041293493327197</v>
          </cell>
          <cell r="EE32">
            <v>0.16893411744126322</v>
          </cell>
          <cell r="EF32">
            <v>0.13216564561280744</v>
          </cell>
          <cell r="EL32" t="str">
            <v>% Ch Y/Y</v>
          </cell>
          <cell r="EM32">
            <v>0.23478674454132625</v>
          </cell>
          <cell r="EN32">
            <v>0.16</v>
          </cell>
          <cell r="EO32">
            <v>0.15860717560704946</v>
          </cell>
          <cell r="EU32" t="str">
            <v>% Ch Y/Y</v>
          </cell>
          <cell r="EV32">
            <v>9.5090998756902551E-2</v>
          </cell>
          <cell r="EW32">
            <v>0.32074293805138476</v>
          </cell>
          <cell r="FC32" t="str">
            <v>% Ch Y/Y</v>
          </cell>
          <cell r="FD32">
            <v>0.20699689280162303</v>
          </cell>
          <cell r="FE32">
            <v>0.20294319256295679</v>
          </cell>
          <cell r="FF32">
            <v>0.20559763592678948</v>
          </cell>
          <cell r="FK32" t="str">
            <v>% Ch Y/Y</v>
          </cell>
          <cell r="FL32">
            <v>0.13216564561280744</v>
          </cell>
          <cell r="FM32">
            <v>0.11494757140736413</v>
          </cell>
          <cell r="FN32">
            <v>-0.36604503302402636</v>
          </cell>
          <cell r="FT32" t="str">
            <v>Marine Group</v>
          </cell>
          <cell r="FU32">
            <v>5.5178268251273345E-2</v>
          </cell>
          <cell r="FV32">
            <v>6.2E-2</v>
          </cell>
          <cell r="FW32">
            <v>6.881903143585387E-2</v>
          </cell>
          <cell r="FX32">
            <v>-1.3640763184580525E-2</v>
          </cell>
          <cell r="GC32" t="str">
            <v>Marine Group</v>
          </cell>
          <cell r="GD32">
            <v>4.049586776859504E-2</v>
          </cell>
          <cell r="GE32">
            <v>7.4999999999999997E-2</v>
          </cell>
          <cell r="GF32">
            <v>7.6562500000000006E-2</v>
          </cell>
          <cell r="GG32">
            <v>-3.6066632231404966E-2</v>
          </cell>
          <cell r="GL32" t="str">
            <v>Marine Group</v>
          </cell>
          <cell r="GM32">
            <v>6.1785865425306813E-2</v>
          </cell>
          <cell r="GN32">
            <v>6.7000000000000004E-2</v>
          </cell>
          <cell r="GO32">
            <v>5.0573636150784362E-2</v>
          </cell>
          <cell r="GP32">
            <v>1.1212229274522451E-2</v>
          </cell>
        </row>
        <row r="33">
          <cell r="C33" t="str">
            <v>EPS, Reported</v>
          </cell>
          <cell r="D33">
            <v>1.5981912144702841</v>
          </cell>
          <cell r="E33">
            <v>1.5907885714285712</v>
          </cell>
          <cell r="F33">
            <v>1.57</v>
          </cell>
          <cell r="G33">
            <v>1.595321055251369</v>
          </cell>
          <cell r="H33">
            <v>2.8701592189150915E-3</v>
          </cell>
          <cell r="I33">
            <v>1.7991107241186466E-3</v>
          </cell>
          <cell r="J33">
            <v>7.4026430417128974E-3</v>
          </cell>
          <cell r="K33">
            <v>4.6534424339401692E-3</v>
          </cell>
          <cell r="L33">
            <v>2.8191214470284054E-2</v>
          </cell>
          <cell r="M33">
            <v>1.7956187560690395E-2</v>
          </cell>
          <cell r="R33" t="str">
            <v>EPS, Reported</v>
          </cell>
          <cell r="S33">
            <v>6.1675445196889891</v>
          </cell>
          <cell r="T33">
            <v>6.1513669999999978</v>
          </cell>
          <cell r="U33">
            <v>6.18</v>
          </cell>
          <cell r="V33">
            <v>5.0766271790662634</v>
          </cell>
          <cell r="W33">
            <v>1.0909173406227257</v>
          </cell>
          <cell r="X33">
            <v>0.21489018242686408</v>
          </cell>
          <cell r="Y33">
            <v>1.6177519688991282E-2</v>
          </cell>
          <cell r="Z33">
            <v>2.6299064401442696E-3</v>
          </cell>
          <cell r="AA33">
            <v>-1.2455480311010625E-2</v>
          </cell>
          <cell r="AB33">
            <v>-2.0154498885130989E-3</v>
          </cell>
          <cell r="AE33" t="str">
            <v>EPS, Reported</v>
          </cell>
          <cell r="AF33">
            <v>1.5682751540041067</v>
          </cell>
          <cell r="AG33">
            <v>1.5501820025348525</v>
          </cell>
          <cell r="AH33">
            <v>1.58</v>
          </cell>
          <cell r="AI33">
            <v>1.422954123863357</v>
          </cell>
          <cell r="AJ33">
            <v>0.14532103014074971</v>
          </cell>
          <cell r="AK33">
            <v>0.10212629325406453</v>
          </cell>
          <cell r="AL33">
            <v>1.8093151469254165E-2</v>
          </cell>
          <cell r="AM33">
            <v>1.1671630453500503E-2</v>
          </cell>
          <cell r="AN33">
            <v>-1.1724845995893407E-2</v>
          </cell>
          <cell r="AO33">
            <v>-7.4207886049958427E-3</v>
          </cell>
          <cell r="AR33" t="str">
            <v>EPS, Reported</v>
          </cell>
          <cell r="AS33">
            <v>1.585792896448224</v>
          </cell>
          <cell r="AT33">
            <v>1.4939268749999999</v>
          </cell>
          <cell r="AU33">
            <v>1.51</v>
          </cell>
          <cell r="AV33">
            <v>1.3356247655290943</v>
          </cell>
          <cell r="AW33">
            <v>0.25016813091912971</v>
          </cell>
          <cell r="AX33">
            <v>0.18730420203014742</v>
          </cell>
          <cell r="AY33">
            <v>9.1866021448224089E-2</v>
          </cell>
          <cell r="AZ33">
            <v>6.149298401785841E-2</v>
          </cell>
          <cell r="BA33">
            <v>7.5792896448223956E-2</v>
          </cell>
          <cell r="BB33">
            <v>5.0193971157764139E-2</v>
          </cell>
          <cell r="BE33" t="str">
            <v>EPS, Cont. Ops</v>
          </cell>
          <cell r="BF33">
            <v>1.5082130413140868</v>
          </cell>
          <cell r="BG33">
            <v>1.4186019354838708</v>
          </cell>
          <cell r="BH33">
            <v>1.44</v>
          </cell>
          <cell r="BI33">
            <v>1.2668134018097335</v>
          </cell>
          <cell r="BJ33">
            <v>0.24139963950435339</v>
          </cell>
          <cell r="BK33">
            <v>0.19055658801801179</v>
          </cell>
          <cell r="BL33">
            <v>8.9611105830216031E-2</v>
          </cell>
          <cell r="BM33">
            <v>6.3168605363315367E-2</v>
          </cell>
          <cell r="BN33">
            <v>6.8213041314086897E-2</v>
          </cell>
          <cell r="BO33">
            <v>4.7370167579227074E-2</v>
          </cell>
          <cell r="BR33" t="str">
            <v>EPS, Cont. Ops</v>
          </cell>
          <cell r="BS33">
            <v>1.4186679871255261</v>
          </cell>
          <cell r="BT33">
            <v>1.2972342202970297</v>
          </cell>
          <cell r="BU33">
            <v>1.3</v>
          </cell>
          <cell r="BV33">
            <v>1.074743527112848</v>
          </cell>
          <cell r="BW33">
            <v>0.34392446001267807</v>
          </cell>
          <cell r="BX33">
            <v>0.32000607711179629</v>
          </cell>
          <cell r="BY33">
            <v>0.12143376682849638</v>
          </cell>
          <cell r="BZ33">
            <v>9.3609746743106736E-2</v>
          </cell>
          <cell r="CA33">
            <v>0.11866798712552606</v>
          </cell>
          <cell r="CB33">
            <v>9.12830670196354E-2</v>
          </cell>
          <cell r="CF33" t="str">
            <v>% Ch Y/Y</v>
          </cell>
          <cell r="CG33">
            <v>0.25390264952835695</v>
          </cell>
          <cell r="CH33">
            <v>0.22719787360198493</v>
          </cell>
          <cell r="CJ33">
            <v>0.15364577589439724</v>
          </cell>
          <cell r="CK33">
            <v>1002.5687363395972</v>
          </cell>
          <cell r="CM33">
            <v>267.0477592637202</v>
          </cell>
          <cell r="CO33">
            <v>2539.0264952835696</v>
          </cell>
          <cell r="CT33" t="str">
            <v>% Ch Y/Y</v>
          </cell>
          <cell r="CU33">
            <v>0.23599042726578853</v>
          </cell>
          <cell r="CV33">
            <v>0.2014665148473217</v>
          </cell>
          <cell r="CW33">
            <v>0.2041293493327197</v>
          </cell>
          <cell r="CX33">
            <v>318.61077933068833</v>
          </cell>
          <cell r="DC33" t="str">
            <v>Other</v>
          </cell>
          <cell r="DD33">
            <v>1</v>
          </cell>
          <cell r="DE33">
            <v>2</v>
          </cell>
          <cell r="DF33">
            <v>-1</v>
          </cell>
          <cell r="DK33" t="str">
            <v>Pretax Inc</v>
          </cell>
          <cell r="DL33">
            <v>656</v>
          </cell>
          <cell r="DM33">
            <v>635</v>
          </cell>
          <cell r="DN33">
            <v>579</v>
          </cell>
          <cell r="DO33">
            <v>77</v>
          </cell>
          <cell r="DP33">
            <v>0.13298791018998268</v>
          </cell>
          <cell r="DT33" t="str">
            <v>Pretax Inc</v>
          </cell>
          <cell r="DU33">
            <v>2527</v>
          </cell>
          <cell r="DV33">
            <v>2558</v>
          </cell>
          <cell r="DW33">
            <v>2069</v>
          </cell>
          <cell r="DX33">
            <v>458</v>
          </cell>
          <cell r="DY33">
            <v>0.22136297728371201</v>
          </cell>
          <cell r="EC33" t="str">
            <v xml:space="preserve"> Avg. Shs. (MM)</v>
          </cell>
          <cell r="ED33">
            <v>407.177077</v>
          </cell>
          <cell r="EE33">
            <v>401</v>
          </cell>
          <cell r="EF33">
            <v>405.60674599999999</v>
          </cell>
          <cell r="EG33">
            <v>1.5703310000000101</v>
          </cell>
          <cell r="EH33">
            <v>3.8715603610794957E-3</v>
          </cell>
          <cell r="EL33" t="str">
            <v xml:space="preserve"> Avg. Shs. (MM)</v>
          </cell>
          <cell r="EM33">
            <v>406.95760899999999</v>
          </cell>
          <cell r="EN33">
            <v>402</v>
          </cell>
          <cell r="EO33">
            <v>404.39757400000002</v>
          </cell>
          <cell r="EP33">
            <v>2.5600349999999708</v>
          </cell>
          <cell r="EQ33">
            <v>6.3304904989365252E-3</v>
          </cell>
          <cell r="EU33" t="str">
            <v xml:space="preserve"> Avg. Shs. (MM)</v>
          </cell>
          <cell r="EV33">
            <v>404.5</v>
          </cell>
          <cell r="EW33">
            <v>404.04754800000001</v>
          </cell>
          <cell r="EX33">
            <v>0.45245199999999386</v>
          </cell>
          <cell r="EY33">
            <v>1.1197989004996245E-3</v>
          </cell>
          <cell r="FC33" t="str">
            <v xml:space="preserve"> Avg. Shs. (MM)</v>
          </cell>
          <cell r="FD33">
            <v>404.84800000000001</v>
          </cell>
          <cell r="FE33">
            <v>202.25562500000001</v>
          </cell>
          <cell r="FF33">
            <v>402.93400000000003</v>
          </cell>
          <cell r="FG33">
            <v>1.9139999999999873</v>
          </cell>
          <cell r="FH33">
            <v>4.7501575940476215E-3</v>
          </cell>
          <cell r="FK33" t="str">
            <v xml:space="preserve"> Avg. Shs. (MM)</v>
          </cell>
          <cell r="FL33">
            <v>405.60674599999999</v>
          </cell>
          <cell r="FM33">
            <v>202.3</v>
          </cell>
          <cell r="FN33">
            <v>403.70463599999999</v>
          </cell>
          <cell r="FO33">
            <v>1.9021099999999933</v>
          </cell>
          <cell r="FP33">
            <v>4.7116377429958778E-3</v>
          </cell>
          <cell r="FT33" t="str">
            <v>Combat Sys</v>
          </cell>
          <cell r="FU33">
            <v>0.11001788908765653</v>
          </cell>
          <cell r="FV33">
            <v>0.11600000000000001</v>
          </cell>
          <cell r="FW33">
            <v>0.11122244488977956</v>
          </cell>
          <cell r="FX33">
            <v>-1.2045558021230307E-3</v>
          </cell>
          <cell r="GC33" t="str">
            <v>Combat Sys</v>
          </cell>
          <cell r="GD33">
            <v>9.8391674550614955E-2</v>
          </cell>
          <cell r="GE33">
            <v>0.106</v>
          </cell>
          <cell r="GF33">
            <v>0.10467289719626169</v>
          </cell>
          <cell r="GG33">
            <v>-6.2812226456467335E-3</v>
          </cell>
          <cell r="GL33" t="str">
            <v>Combat Sys</v>
          </cell>
          <cell r="GM33">
            <v>0.11844792375765827</v>
          </cell>
          <cell r="GN33">
            <v>0.114</v>
          </cell>
          <cell r="GO33">
            <v>0.11055652607936112</v>
          </cell>
          <cell r="GP33">
            <v>7.891397678297149E-3</v>
          </cell>
        </row>
        <row r="34">
          <cell r="C34" t="str">
            <v>Dil. Shs.</v>
          </cell>
          <cell r="D34">
            <v>387</v>
          </cell>
          <cell r="E34">
            <v>385</v>
          </cell>
          <cell r="F34">
            <v>384.07643312101908</v>
          </cell>
          <cell r="G34">
            <v>401.8</v>
          </cell>
          <cell r="H34">
            <v>-14.800000000000011</v>
          </cell>
          <cell r="I34">
            <v>-3.6834245893479389E-2</v>
          </cell>
          <cell r="J34">
            <v>2</v>
          </cell>
          <cell r="K34">
            <v>5.1948051948051965E-3</v>
          </cell>
          <cell r="L34">
            <v>2.923566878980921</v>
          </cell>
          <cell r="M34">
            <v>7.6119402985075357E-3</v>
          </cell>
          <cell r="R34" t="str">
            <v>Dil. Shs.</v>
          </cell>
          <cell r="S34">
            <v>398.7</v>
          </cell>
          <cell r="T34">
            <v>400</v>
          </cell>
          <cell r="U34">
            <v>404.69255663430425</v>
          </cell>
          <cell r="V34">
            <v>408.14499999999998</v>
          </cell>
          <cell r="W34">
            <v>-9.4449999999999932</v>
          </cell>
          <cell r="X34">
            <v>-2.3141285572529369E-2</v>
          </cell>
          <cell r="Y34">
            <v>-1.3000000000000114</v>
          </cell>
          <cell r="Z34">
            <v>-3.2499999999999751E-3</v>
          </cell>
          <cell r="AA34">
            <v>-5.9925566343042647</v>
          </cell>
          <cell r="AB34">
            <v>-1.4807676929228464E-2</v>
          </cell>
          <cell r="AE34" t="str">
            <v>Dil. Shs.</v>
          </cell>
          <cell r="AF34">
            <v>389.6</v>
          </cell>
          <cell r="AG34">
            <v>394.5</v>
          </cell>
          <cell r="AH34">
            <v>399.36708860759489</v>
          </cell>
          <cell r="AI34">
            <v>406.9</v>
          </cell>
          <cell r="AJ34">
            <v>-17.299999999999955</v>
          </cell>
          <cell r="AK34">
            <v>-4.251658884246734E-2</v>
          </cell>
          <cell r="AL34">
            <v>-4.8999999999999773</v>
          </cell>
          <cell r="AM34">
            <v>-1.2420785804816203E-2</v>
          </cell>
          <cell r="AN34">
            <v>-9.7670886075948715</v>
          </cell>
          <cell r="AO34">
            <v>-2.4456418383518086E-2</v>
          </cell>
          <cell r="AR34" t="str">
            <v>Dil. Shs.</v>
          </cell>
          <cell r="AS34">
            <v>399.8</v>
          </cell>
          <cell r="AT34">
            <v>400</v>
          </cell>
          <cell r="AU34">
            <v>397.35099337748346</v>
          </cell>
          <cell r="AV34">
            <v>407.3</v>
          </cell>
          <cell r="AW34">
            <v>-7.5</v>
          </cell>
          <cell r="AX34">
            <v>-1.8413945494721307E-2</v>
          </cell>
          <cell r="AY34">
            <v>-0.19999999999998863</v>
          </cell>
          <cell r="AZ34">
            <v>-4.9999999999994493E-4</v>
          </cell>
          <cell r="BA34">
            <v>2.4490066225165492</v>
          </cell>
          <cell r="BB34">
            <v>6.1633333333332985E-3</v>
          </cell>
          <cell r="BE34" t="str">
            <v>EPS, Disc. Opns</v>
          </cell>
          <cell r="BF34">
            <v>8.7108013937282222E-2</v>
          </cell>
          <cell r="BG34">
            <v>0</v>
          </cell>
          <cell r="BI34">
            <v>-0.01</v>
          </cell>
          <cell r="BL34">
            <v>8.7108013937282222E-2</v>
          </cell>
          <cell r="BM34" t="str">
            <v>N/A</v>
          </cell>
          <cell r="BR34" t="str">
            <v>EPS, Disc. Opns</v>
          </cell>
          <cell r="BS34">
            <v>2.4758603614756128E-3</v>
          </cell>
          <cell r="BT34">
            <v>0</v>
          </cell>
          <cell r="BV34">
            <v>-1.4655593551538839E-2</v>
          </cell>
          <cell r="BY34">
            <v>2.4758603614756128E-3</v>
          </cell>
          <cell r="BZ34" t="str">
            <v>N/A</v>
          </cell>
          <cell r="CF34" t="str">
            <v>Dil. Shs.</v>
          </cell>
          <cell r="CG34">
            <v>406.9</v>
          </cell>
          <cell r="CH34">
            <v>408</v>
          </cell>
          <cell r="CI34">
            <v>408.79854782628456</v>
          </cell>
          <cell r="CJ34">
            <v>408.7</v>
          </cell>
          <cell r="CK34">
            <v>-1.8000000000000114</v>
          </cell>
          <cell r="CL34">
            <v>-4.4042084658674208E-3</v>
          </cell>
          <cell r="CM34">
            <v>-1.1000000000000227</v>
          </cell>
          <cell r="CN34">
            <v>-2.6960784313726505E-3</v>
          </cell>
          <cell r="CO34">
            <v>-1.8985478262845845</v>
          </cell>
          <cell r="CP34">
            <v>-4.6442137242898029E-3</v>
          </cell>
          <cell r="CT34" t="str">
            <v>Dil. Shs.</v>
          </cell>
          <cell r="CU34">
            <v>407.3</v>
          </cell>
          <cell r="CV34">
            <v>409</v>
          </cell>
          <cell r="CW34">
            <v>407.177077</v>
          </cell>
          <cell r="CX34">
            <v>0.12292300000001433</v>
          </cell>
          <cell r="CY34">
            <v>3.0189076680264826E-4</v>
          </cell>
          <cell r="DC34" t="str">
            <v>Pretax Inc</v>
          </cell>
          <cell r="DD34">
            <v>740</v>
          </cell>
          <cell r="DE34">
            <v>628</v>
          </cell>
          <cell r="DF34">
            <v>112</v>
          </cell>
          <cell r="DG34">
            <v>0.17834394904458595</v>
          </cell>
          <cell r="DK34" t="str">
            <v>Eff Tax Rate</v>
          </cell>
          <cell r="DL34">
            <v>0.32926829268292684</v>
          </cell>
          <cell r="DM34">
            <v>0.32300000000000001</v>
          </cell>
          <cell r="DN34">
            <v>0.33160621761658032</v>
          </cell>
          <cell r="DT34" t="str">
            <v>Eff Tax Rate</v>
          </cell>
          <cell r="DU34">
            <v>0.32330827067669171</v>
          </cell>
          <cell r="DV34">
            <v>0.33300000000000002</v>
          </cell>
          <cell r="DW34">
            <v>0.3001449975833736</v>
          </cell>
          <cell r="EC34" t="str">
            <v>Operating Margins</v>
          </cell>
          <cell r="EL34" t="str">
            <v>Operating Margins</v>
          </cell>
          <cell r="EU34" t="str">
            <v>Operating Margins</v>
          </cell>
          <cell r="FC34" t="str">
            <v>Operating Margins</v>
          </cell>
          <cell r="FK34" t="str">
            <v>Operating Margins</v>
          </cell>
          <cell r="FT34" t="str">
            <v>Info Sys &amp; Tech</v>
          </cell>
          <cell r="FU34">
            <v>0.11177347242921014</v>
          </cell>
          <cell r="FV34">
            <v>0.106</v>
          </cell>
          <cell r="FW34">
            <v>0.1170018281535649</v>
          </cell>
          <cell r="FX34">
            <v>-5.2283557243547607E-3</v>
          </cell>
          <cell r="GC34" t="str">
            <v>Info Sys &amp; Tech</v>
          </cell>
          <cell r="GD34">
            <v>0.11244292237442922</v>
          </cell>
          <cell r="GE34">
            <v>9.7000000000000003E-2</v>
          </cell>
          <cell r="GF34">
            <v>0.10286062081558126</v>
          </cell>
          <cell r="GG34">
            <v>9.5823015588479693E-3</v>
          </cell>
          <cell r="GL34" t="str">
            <v>Info Sys &amp; Tech</v>
          </cell>
          <cell r="GM34">
            <v>0.1068134483784588</v>
          </cell>
          <cell r="GN34">
            <v>0.106</v>
          </cell>
          <cell r="GO34">
            <v>0.10994224422442245</v>
          </cell>
          <cell r="GP34">
            <v>-3.12879584596365E-3</v>
          </cell>
        </row>
        <row r="35">
          <cell r="BE35" t="str">
            <v>EPS, Reported (GAAP)</v>
          </cell>
          <cell r="BF35">
            <v>1.595321055251369</v>
          </cell>
          <cell r="BG35">
            <v>1.4186019354838708</v>
          </cell>
          <cell r="BI35">
            <v>1.2568134018097334</v>
          </cell>
          <cell r="BJ35">
            <v>0.33850765344163558</v>
          </cell>
          <cell r="BK35">
            <v>0.26933803614299912</v>
          </cell>
          <cell r="BL35">
            <v>0.17671911976749821</v>
          </cell>
          <cell r="BM35">
            <v>0.12457273273578395</v>
          </cell>
          <cell r="BR35" t="str">
            <v>EPS, Reported (GAAP)</v>
          </cell>
          <cell r="BS35">
            <v>1.4211438474870017</v>
          </cell>
          <cell r="BT35">
            <v>1.2972342202970297</v>
          </cell>
          <cell r="BV35">
            <v>1.0600879335613091</v>
          </cell>
          <cell r="BW35">
            <v>0.36105591392569258</v>
          </cell>
          <cell r="BX35">
            <v>0.34059053262944361</v>
          </cell>
          <cell r="BY35">
            <v>0.123909627189972</v>
          </cell>
          <cell r="BZ35">
            <v>9.5518315236550189E-2</v>
          </cell>
          <cell r="CF35" t="str">
            <v>Operating Margins</v>
          </cell>
          <cell r="CT35" t="str">
            <v>Operating Margins</v>
          </cell>
          <cell r="DC35" t="str">
            <v>Eff Tax Rate</v>
          </cell>
          <cell r="DD35">
            <v>0.3</v>
          </cell>
          <cell r="DE35">
            <v>0.33121019108280253</v>
          </cell>
          <cell r="DK35" t="str">
            <v>Net Income</v>
          </cell>
          <cell r="DL35">
            <v>439.99999999999994</v>
          </cell>
          <cell r="DM35">
            <v>429.89499999999998</v>
          </cell>
          <cell r="DN35">
            <v>386.99999999999994</v>
          </cell>
          <cell r="DO35">
            <v>53</v>
          </cell>
          <cell r="DP35">
            <v>0.13695090439276481</v>
          </cell>
          <cell r="DT35" t="str">
            <v>Net Income</v>
          </cell>
          <cell r="DU35">
            <v>1710.0000000000002</v>
          </cell>
          <cell r="DV35">
            <v>1707</v>
          </cell>
          <cell r="DW35">
            <v>1448</v>
          </cell>
          <cell r="DX35">
            <v>262.00000000000023</v>
          </cell>
          <cell r="DY35">
            <v>0.18093922651933725</v>
          </cell>
          <cell r="EC35" t="str">
            <v>Marine Group</v>
          </cell>
          <cell r="ED35">
            <v>8.3538083538083535E-2</v>
          </cell>
          <cell r="EE35">
            <v>7.5109170305676862E-2</v>
          </cell>
          <cell r="EF35">
            <v>4.4406490179333902E-2</v>
          </cell>
          <cell r="EG35">
            <v>3.9131593358749633E-2</v>
          </cell>
          <cell r="EL35" t="str">
            <v>Marine Group</v>
          </cell>
          <cell r="EM35">
            <v>7.266982622432859E-2</v>
          </cell>
          <cell r="EN35">
            <v>6.6666666666666666E-2</v>
          </cell>
          <cell r="EO35">
            <v>5.5178268251273345E-2</v>
          </cell>
          <cell r="EP35">
            <v>1.7491557973055245E-2</v>
          </cell>
          <cell r="EU35" t="str">
            <v>Marine Group</v>
          </cell>
          <cell r="EV35">
            <v>7.6078431372549021E-2</v>
          </cell>
          <cell r="EW35">
            <v>4.049586776859504E-2</v>
          </cell>
          <cell r="EX35">
            <v>3.5582563603953982E-2</v>
          </cell>
          <cell r="FC35" t="str">
            <v>Marine Group</v>
          </cell>
          <cell r="FD35">
            <v>5.3035143769968054E-2</v>
          </cell>
          <cell r="FE35">
            <v>5.1130434782608696E-2</v>
          </cell>
          <cell r="FF35">
            <v>6.1785865425306813E-2</v>
          </cell>
          <cell r="FG35">
            <v>-8.7507216553387585E-3</v>
          </cell>
          <cell r="FK35" t="str">
            <v>Marine Group</v>
          </cell>
          <cell r="FL35">
            <v>4.4406490179333902E-2</v>
          </cell>
          <cell r="FM35">
            <v>6.8181818181818177E-2</v>
          </cell>
          <cell r="FN35">
            <v>5.3726169844020795E-2</v>
          </cell>
          <cell r="FO35">
            <v>-9.3196796646868932E-3</v>
          </cell>
          <cell r="FT35" t="str">
            <v>Aerospace</v>
          </cell>
          <cell r="FU35">
            <v>0.15096618357487923</v>
          </cell>
          <cell r="FV35">
            <v>0.14899999999999999</v>
          </cell>
          <cell r="FW35">
            <v>0.12191958495460441</v>
          </cell>
          <cell r="FX35">
            <v>2.9046598620274824E-2</v>
          </cell>
          <cell r="GC35" t="str">
            <v>Aerospace</v>
          </cell>
          <cell r="GD35">
            <v>0.13413014608233731</v>
          </cell>
          <cell r="GE35">
            <v>0.124</v>
          </cell>
          <cell r="GF35">
            <v>0.10891089108910891</v>
          </cell>
          <cell r="GG35">
            <v>2.5219254993228399E-2</v>
          </cell>
          <cell r="GL35" t="str">
            <v>Aerospace</v>
          </cell>
          <cell r="GM35">
            <v>0.13047808764940239</v>
          </cell>
          <cell r="GN35">
            <v>0.13100000000000001</v>
          </cell>
          <cell r="GO35">
            <v>7.3998642226748138E-2</v>
          </cell>
          <cell r="GP35">
            <v>5.6479445422654248E-2</v>
          </cell>
        </row>
        <row r="36">
          <cell r="C36" t="str">
            <v>Operating Margins</v>
          </cell>
          <cell r="R36" t="str">
            <v>Operating Margins</v>
          </cell>
          <cell r="AE36" t="str">
            <v>Operating Margins</v>
          </cell>
          <cell r="AR36" t="str">
            <v>Operating Margins</v>
          </cell>
          <cell r="BE36" t="str">
            <v>% Ch Y/Y</v>
          </cell>
          <cell r="BF36">
            <v>0.26933803614299912</v>
          </cell>
          <cell r="BG36">
            <v>0.12872916014515123</v>
          </cell>
          <cell r="BH36">
            <v>0.13671042471042472</v>
          </cell>
          <cell r="BI36">
            <v>0.22747465011820325</v>
          </cell>
          <cell r="BJ36">
            <v>418.63386024795864</v>
          </cell>
          <cell r="BL36">
            <v>1406.0887599784787</v>
          </cell>
          <cell r="BN36">
            <v>1326.2761143257439</v>
          </cell>
          <cell r="BR36" t="str">
            <v>% Ch Y/Y</v>
          </cell>
          <cell r="BS36">
            <v>0.32000607711179629</v>
          </cell>
          <cell r="BT36">
            <v>0.20701747679455451</v>
          </cell>
          <cell r="BU36">
            <v>0.20959090909090916</v>
          </cell>
          <cell r="BV36">
            <v>0.12334304061278317</v>
          </cell>
          <cell r="BW36">
            <v>1966.6303649901313</v>
          </cell>
          <cell r="BY36">
            <v>1129.8860031724178</v>
          </cell>
          <cell r="CA36">
            <v>1104.1516802088713</v>
          </cell>
          <cell r="CF36" t="str">
            <v>Marine Group</v>
          </cell>
          <cell r="CG36">
            <v>8.2922824302134643E-2</v>
          </cell>
          <cell r="CH36">
            <v>8.1680000000000016E-2</v>
          </cell>
          <cell r="CJ36">
            <v>7.1307300509337868E-2</v>
          </cell>
          <cell r="CK36">
            <v>116.15523792796775</v>
          </cell>
          <cell r="CM36">
            <v>12.428243021346264</v>
          </cell>
          <cell r="CT36" t="str">
            <v>Marine Group</v>
          </cell>
          <cell r="CU36">
            <v>8.8282504012841087E-2</v>
          </cell>
          <cell r="CV36">
            <v>8.5245901639344257E-2</v>
          </cell>
          <cell r="CW36">
            <v>8.3538083538083535E-2</v>
          </cell>
          <cell r="CX36">
            <v>47.444204747575519</v>
          </cell>
          <cell r="DC36" t="str">
            <v>Net Income</v>
          </cell>
          <cell r="DD36">
            <v>518</v>
          </cell>
          <cell r="DE36">
            <v>420.00000000000006</v>
          </cell>
          <cell r="DF36">
            <v>97.999999999999943</v>
          </cell>
          <cell r="DG36">
            <v>0.23333333333333317</v>
          </cell>
          <cell r="DK36" t="str">
            <v>EPS, Cont. Ops</v>
          </cell>
          <cell r="DL36">
            <v>1.074743527112848</v>
          </cell>
          <cell r="DM36">
            <v>1.0498046398046399</v>
          </cell>
          <cell r="DN36">
            <v>0.95673671199011112</v>
          </cell>
          <cell r="DO36">
            <v>0.11800681512273692</v>
          </cell>
          <cell r="DP36">
            <v>0.12334304061278312</v>
          </cell>
          <cell r="DT36" t="str">
            <v>EPS, Cont. Ops</v>
          </cell>
          <cell r="DU36">
            <v>4.2035398230088497</v>
          </cell>
          <cell r="DV36">
            <v>4.1959803921568621</v>
          </cell>
          <cell r="DW36">
            <v>3.5766509900011854</v>
          </cell>
          <cell r="DX36">
            <v>0.62688883300766429</v>
          </cell>
          <cell r="DY36">
            <v>0.17527257615019809</v>
          </cell>
          <cell r="EC36" t="str">
            <v>Combat Sys</v>
          </cell>
          <cell r="ED36">
            <v>0.12014652014652015</v>
          </cell>
          <cell r="EE36">
            <v>0.11724137931034483</v>
          </cell>
          <cell r="EF36">
            <v>0.12822580645161291</v>
          </cell>
          <cell r="EG36">
            <v>-8.0792863050927616E-3</v>
          </cell>
          <cell r="EL36" t="str">
            <v>Combat Sys</v>
          </cell>
          <cell r="EM36">
            <v>0.11911357340720222</v>
          </cell>
          <cell r="EN36">
            <v>0.11068702290076336</v>
          </cell>
          <cell r="EO36">
            <v>0.11001788908765653</v>
          </cell>
          <cell r="EP36">
            <v>9.0956843195456882E-3</v>
          </cell>
          <cell r="EU36" t="str">
            <v>Combat Sys</v>
          </cell>
          <cell r="EV36">
            <v>0.10737764791818846</v>
          </cell>
          <cell r="EW36">
            <v>9.8391674550614955E-2</v>
          </cell>
          <cell r="EX36">
            <v>8.9859733675735076E-3</v>
          </cell>
          <cell r="FC36" t="str">
            <v>Combat Sys</v>
          </cell>
          <cell r="FD36">
            <v>0.11471818362875921</v>
          </cell>
          <cell r="FE36">
            <v>0.11313194444444444</v>
          </cell>
          <cell r="FF36">
            <v>0.11844792375765827</v>
          </cell>
          <cell r="FG36">
            <v>-3.7297401288990534E-3</v>
          </cell>
          <cell r="FK36" t="str">
            <v>Combat Sys</v>
          </cell>
          <cell r="FL36">
            <v>0.12822580645161291</v>
          </cell>
          <cell r="FM36">
            <v>0.12741935483870967</v>
          </cell>
          <cell r="FN36">
            <v>0.12415130940834142</v>
          </cell>
          <cell r="FO36">
            <v>4.0744970432714939E-3</v>
          </cell>
          <cell r="FT36" t="str">
            <v>Other</v>
          </cell>
          <cell r="FU36">
            <v>0</v>
          </cell>
          <cell r="FV36">
            <v>0.108</v>
          </cell>
          <cell r="FW36">
            <v>0.1076923076923077</v>
          </cell>
          <cell r="FX36">
            <v>-0.1076923076923077</v>
          </cell>
          <cell r="GC36" t="str">
            <v>Other</v>
          </cell>
          <cell r="GD36">
            <v>0</v>
          </cell>
          <cell r="GE36">
            <v>0.111</v>
          </cell>
          <cell r="GF36">
            <v>-0.19148936170212766</v>
          </cell>
          <cell r="GG36">
            <v>0.19148936170212766</v>
          </cell>
          <cell r="GL36" t="str">
            <v>Other</v>
          </cell>
          <cell r="GM36">
            <v>6</v>
          </cell>
          <cell r="GN36">
            <v>5.5E-2</v>
          </cell>
          <cell r="GO36">
            <v>0.125</v>
          </cell>
          <cell r="GP36">
            <v>5.875</v>
          </cell>
        </row>
        <row r="37">
          <cell r="C37" t="str">
            <v>Marine Group</v>
          </cell>
          <cell r="D37">
            <v>0.10338461538461538</v>
          </cell>
          <cell r="E37">
            <v>9.7000000000000003E-2</v>
          </cell>
          <cell r="G37">
            <v>9.1104734576757537E-2</v>
          </cell>
          <cell r="H37">
            <v>122.79880807857843</v>
          </cell>
          <cell r="J37">
            <v>63.846153846153776</v>
          </cell>
          <cell r="R37" t="str">
            <v>Marine Group</v>
          </cell>
          <cell r="S37">
            <v>9.3772498200143994E-2</v>
          </cell>
          <cell r="T37">
            <v>9.2999999999999999E-2</v>
          </cell>
          <cell r="V37">
            <v>8.431804526336871E-2</v>
          </cell>
          <cell r="W37">
            <v>94.544529367752844</v>
          </cell>
          <cell r="Y37">
            <v>7.7249820014399511</v>
          </cell>
          <cell r="AE37" t="str">
            <v>Marine Group</v>
          </cell>
          <cell r="AF37">
            <v>9.5652173913043481E-2</v>
          </cell>
          <cell r="AG37">
            <v>9.2483660130718945E-2</v>
          </cell>
          <cell r="AI37">
            <v>8.2922824302134643E-2</v>
          </cell>
          <cell r="AJ37">
            <v>127.29349610908838</v>
          </cell>
          <cell r="AL37">
            <v>31.685137823245363</v>
          </cell>
          <cell r="AR37" t="str">
            <v>Marine Group</v>
          </cell>
          <cell r="AS37">
            <v>9.9715099715099717E-2</v>
          </cell>
          <cell r="AT37">
            <v>0.09</v>
          </cell>
          <cell r="AV37">
            <v>8.8282504012841087E-2</v>
          </cell>
          <cell r="AW37">
            <v>114.32595702258629</v>
          </cell>
          <cell r="AY37">
            <v>97.150997150997199</v>
          </cell>
          <cell r="BE37" t="str">
            <v>Dil. Shs.</v>
          </cell>
          <cell r="BF37">
            <v>401.8</v>
          </cell>
          <cell r="BG37">
            <v>403</v>
          </cell>
          <cell r="BH37">
            <v>409.72222222222223</v>
          </cell>
          <cell r="BI37">
            <v>408.9</v>
          </cell>
          <cell r="BJ37">
            <v>-7.0999999999999659</v>
          </cell>
          <cell r="BK37">
            <v>-1.7363658596233678E-2</v>
          </cell>
          <cell r="BL37">
            <v>-1.1999999999999886</v>
          </cell>
          <cell r="BM37">
            <v>-2.9776674937964653E-3</v>
          </cell>
          <cell r="BN37">
            <v>-7.9222222222222172</v>
          </cell>
          <cell r="BO37">
            <v>-1.9335593220338954E-2</v>
          </cell>
          <cell r="BR37" t="str">
            <v>Dil. Shs.</v>
          </cell>
          <cell r="BS37">
            <v>403.9</v>
          </cell>
          <cell r="BT37">
            <v>404</v>
          </cell>
          <cell r="BU37">
            <v>403.84615384615381</v>
          </cell>
          <cell r="BV37">
            <v>409.4</v>
          </cell>
          <cell r="BW37">
            <v>-5.5</v>
          </cell>
          <cell r="BX37">
            <v>-1.3434294088910614E-2</v>
          </cell>
          <cell r="BY37">
            <v>-0.10000000000002274</v>
          </cell>
          <cell r="BZ37">
            <v>-2.4752475247535877E-4</v>
          </cell>
          <cell r="CA37">
            <v>5.3846153846166089E-2</v>
          </cell>
          <cell r="CB37">
            <v>1.3333333333331865E-4</v>
          </cell>
          <cell r="CF37" t="str">
            <v>Combat Sys</v>
          </cell>
          <cell r="CG37">
            <v>0.12211720226843101</v>
          </cell>
          <cell r="CH37">
            <v>0.11478315262718933</v>
          </cell>
          <cell r="CJ37">
            <v>0.1074792243767313</v>
          </cell>
          <cell r="CK37">
            <v>146.37977891699711</v>
          </cell>
          <cell r="CM37">
            <v>73.340496412416798</v>
          </cell>
          <cell r="CT37" t="str">
            <v>Combat Sys</v>
          </cell>
          <cell r="CU37">
            <v>0.12179487179487179</v>
          </cell>
          <cell r="CV37">
            <v>0.11600000000000001</v>
          </cell>
          <cell r="CW37">
            <v>0.12014652014652015</v>
          </cell>
          <cell r="CX37">
            <v>16.483516483516425</v>
          </cell>
          <cell r="DC37" t="str">
            <v>EPS, Cont. Ops</v>
          </cell>
          <cell r="DD37">
            <v>1.2668134018097335</v>
          </cell>
          <cell r="DE37">
            <v>1.0320485247395879</v>
          </cell>
          <cell r="DF37">
            <v>0.23476487707014559</v>
          </cell>
          <cell r="DG37">
            <v>0.22747465011820323</v>
          </cell>
          <cell r="DK37" t="str">
            <v>EPS, Disc. Opns</v>
          </cell>
          <cell r="DL37">
            <v>-1.4655593551538839E-2</v>
          </cell>
          <cell r="DM37">
            <v>0</v>
          </cell>
          <cell r="DN37">
            <v>-3.2138442521631644E-2</v>
          </cell>
          <cell r="DT37" t="str">
            <v>EPS, Disc. Opns</v>
          </cell>
          <cell r="DU37">
            <v>0.35889872173058013</v>
          </cell>
          <cell r="DV37">
            <v>0.51099045831761647</v>
          </cell>
          <cell r="DW37">
            <v>3.2110816899181917E-2</v>
          </cell>
          <cell r="EC37" t="str">
            <v>Info Sys &amp; Tech</v>
          </cell>
          <cell r="ED37">
            <v>0.10767946577629382</v>
          </cell>
          <cell r="EE37">
            <v>0.10483870967741936</v>
          </cell>
          <cell r="EF37">
            <v>0.11486146095717883</v>
          </cell>
          <cell r="EG37">
            <v>-7.1819951808850119E-3</v>
          </cell>
          <cell r="EL37" t="str">
            <v>Info Sys &amp; Tech</v>
          </cell>
          <cell r="EM37">
            <v>0.10755679184051924</v>
          </cell>
          <cell r="EN37">
            <v>0.11210762331838565</v>
          </cell>
          <cell r="EO37">
            <v>0.11177347242921014</v>
          </cell>
          <cell r="EP37">
            <v>-4.216680588690902E-3</v>
          </cell>
          <cell r="EU37" t="str">
            <v>Info Sys &amp; Tech</v>
          </cell>
          <cell r="EV37">
            <v>0.11150532184490623</v>
          </cell>
          <cell r="EW37">
            <v>0.11244292237442922</v>
          </cell>
          <cell r="EX37">
            <v>-9.3760052952299167E-4</v>
          </cell>
          <cell r="FC37" t="str">
            <v>Info Sys &amp; Tech</v>
          </cell>
          <cell r="FD37">
            <v>0.11052900587784309</v>
          </cell>
          <cell r="FE37">
            <v>0.11148785299959731</v>
          </cell>
          <cell r="FF37">
            <v>0.1068134483784588</v>
          </cell>
          <cell r="FG37">
            <v>3.7155574993842921E-3</v>
          </cell>
          <cell r="FK37" t="str">
            <v>Info Sys &amp; Tech</v>
          </cell>
          <cell r="FL37">
            <v>0.11486146095717883</v>
          </cell>
          <cell r="FM37">
            <v>0.10742857142857143</v>
          </cell>
          <cell r="FN37">
            <v>0.11069182389937107</v>
          </cell>
          <cell r="FO37">
            <v>4.1696370578077624E-3</v>
          </cell>
          <cell r="FT37" t="str">
            <v xml:space="preserve">  Total</v>
          </cell>
          <cell r="FU37">
            <v>0.10492505353319058</v>
          </cell>
          <cell r="FV37">
            <v>0.105</v>
          </cell>
          <cell r="FW37">
            <v>0.10425623387790198</v>
          </cell>
          <cell r="FX37">
            <v>6.6881965528860221E-4</v>
          </cell>
          <cell r="GC37" t="str">
            <v xml:space="preserve">  Total</v>
          </cell>
          <cell r="GD37">
            <v>0.38546061077597654</v>
          </cell>
          <cell r="GE37">
            <v>9.8000000000000004E-2</v>
          </cell>
          <cell r="GF37">
            <v>9.384416702539819E-2</v>
          </cell>
          <cell r="GG37">
            <v>0.29161644375057838</v>
          </cell>
          <cell r="GL37" t="str">
            <v xml:space="preserve">  Total</v>
          </cell>
          <cell r="GM37">
            <v>0.10234259062963748</v>
          </cell>
          <cell r="GN37">
            <v>0.10199999999999999</v>
          </cell>
          <cell r="GO37">
            <v>8.8314551690347867E-2</v>
          </cell>
          <cell r="GP37">
            <v>1.4028038939289611E-2</v>
          </cell>
        </row>
        <row r="38">
          <cell r="C38" t="str">
            <v>Combat Sys</v>
          </cell>
          <cell r="D38">
            <v>0.12474012474012475</v>
          </cell>
          <cell r="E38">
            <v>0.12</v>
          </cell>
          <cell r="G38">
            <v>0.13995037220843673</v>
          </cell>
          <cell r="H38">
            <v>-152.10247468311982</v>
          </cell>
          <cell r="J38">
            <v>47.401247401247517</v>
          </cell>
          <cell r="R38" t="str">
            <v>Combat Sys</v>
          </cell>
          <cell r="S38">
            <v>0.13558701488894312</v>
          </cell>
          <cell r="T38">
            <v>0.13200000000000001</v>
          </cell>
          <cell r="V38">
            <v>0.11748108246761575</v>
          </cell>
          <cell r="W38">
            <v>181.05932421327367</v>
          </cell>
          <cell r="Y38">
            <v>35.870148889431128</v>
          </cell>
          <cell r="AE38" t="str">
            <v>Combat Sys</v>
          </cell>
          <cell r="AF38">
            <v>0.13207547169811321</v>
          </cell>
          <cell r="AG38">
            <v>0.11976549413735343</v>
          </cell>
          <cell r="AI38">
            <v>0.12211720226843101</v>
          </cell>
          <cell r="AJ38">
            <v>99.582694296821984</v>
          </cell>
          <cell r="AL38">
            <v>123.09977560759772</v>
          </cell>
          <cell r="AR38" t="str">
            <v>Combat Sys</v>
          </cell>
          <cell r="AS38">
            <v>0.14162162162162162</v>
          </cell>
          <cell r="AT38">
            <v>0.126</v>
          </cell>
          <cell r="AV38">
            <v>0.12179487179487179</v>
          </cell>
          <cell r="AW38">
            <v>198.26749826749827</v>
          </cell>
          <cell r="AY38">
            <v>156.21621621621617</v>
          </cell>
          <cell r="BE38" t="str">
            <v>Operating Margins</v>
          </cell>
          <cell r="BR38" t="str">
            <v>Operating Margins</v>
          </cell>
          <cell r="CF38" t="str">
            <v>Info Sys &amp; Tech</v>
          </cell>
          <cell r="CG38">
            <v>0.10405571487095452</v>
          </cell>
          <cell r="CH38">
            <v>9.7459309249702267E-2</v>
          </cell>
          <cell r="CJ38">
            <v>0.10648518815052041</v>
          </cell>
          <cell r="CK38">
            <v>-24.294732795658859</v>
          </cell>
          <cell r="CM38">
            <v>65.964056212522578</v>
          </cell>
          <cell r="CT38" t="str">
            <v>Info Sys &amp; Tech</v>
          </cell>
          <cell r="CU38">
            <v>0.10578925447730113</v>
          </cell>
          <cell r="CV38">
            <v>0.108</v>
          </cell>
          <cell r="CW38">
            <v>0.10767946577629382</v>
          </cell>
          <cell r="CX38">
            <v>-18.902112989926945</v>
          </cell>
          <cell r="DC38" t="str">
            <v>EPS, Disc. Opns</v>
          </cell>
          <cell r="DD38">
            <v>-0.01</v>
          </cell>
          <cell r="DE38">
            <v>0.5307678127232166</v>
          </cell>
          <cell r="DK38" t="str">
            <v>EPS, Reported (GAAP)</v>
          </cell>
          <cell r="DL38">
            <v>1.0600879335613091</v>
          </cell>
          <cell r="DM38">
            <v>1.0498046398046399</v>
          </cell>
          <cell r="DN38">
            <v>0.92459826946847945</v>
          </cell>
          <cell r="DO38">
            <v>0.1354896640928297</v>
          </cell>
          <cell r="DP38">
            <v>0.14653895488114865</v>
          </cell>
          <cell r="DT38" t="str">
            <v>EPS, Reported (GAAP)</v>
          </cell>
          <cell r="DU38">
            <v>4.5624385447394298</v>
          </cell>
          <cell r="DV38">
            <v>4.7069708504744785</v>
          </cell>
          <cell r="DW38">
            <v>3.6087618069003673</v>
          </cell>
          <cell r="DX38">
            <v>0.95367673783906248</v>
          </cell>
          <cell r="DY38">
            <v>0.26426702256034829</v>
          </cell>
          <cell r="EC38" t="str">
            <v>Aerospace</v>
          </cell>
          <cell r="ED38">
            <v>0.15179392824287027</v>
          </cell>
          <cell r="EE38">
            <v>0.16826923076923078</v>
          </cell>
          <cell r="EF38">
            <v>0.16114790286975716</v>
          </cell>
          <cell r="EG38">
            <v>-9.3539746268868906E-3</v>
          </cell>
          <cell r="EL38" t="str">
            <v>Aerospace</v>
          </cell>
          <cell r="EM38">
            <v>0.15557638238050608</v>
          </cell>
          <cell r="EN38">
            <v>0.15816326530612246</v>
          </cell>
          <cell r="EO38">
            <v>0.15096618357487923</v>
          </cell>
          <cell r="EP38">
            <v>4.6101988056268528E-3</v>
          </cell>
          <cell r="EU38" t="str">
            <v>Aerospace</v>
          </cell>
          <cell r="EV38">
            <v>0.15608180839612487</v>
          </cell>
          <cell r="EW38">
            <v>0.13413014608233731</v>
          </cell>
          <cell r="EX38">
            <v>2.1951662313787562E-2</v>
          </cell>
          <cell r="FC38" t="str">
            <v>Aerospace</v>
          </cell>
          <cell r="FD38">
            <v>0.14418875618992136</v>
          </cell>
          <cell r="FE38">
            <v>0.1525</v>
          </cell>
          <cell r="FF38">
            <v>0.13047808764940239</v>
          </cell>
          <cell r="FG38">
            <v>1.3710668540518972E-2</v>
          </cell>
          <cell r="FK38" t="str">
            <v>Aerospace</v>
          </cell>
          <cell r="FL38">
            <v>0.16114790286975716</v>
          </cell>
          <cell r="FM38">
            <v>0.15609756097560976</v>
          </cell>
          <cell r="FN38">
            <v>0.14661654135338345</v>
          </cell>
          <cell r="FO38">
            <v>1.4531361516373714E-2</v>
          </cell>
        </row>
        <row r="39">
          <cell r="C39" t="str">
            <v>Info Sys &amp; Tech</v>
          </cell>
          <cell r="D39">
            <v>0.10696798493408663</v>
          </cell>
          <cell r="E39">
            <v>0.111</v>
          </cell>
          <cell r="G39">
            <v>0.1138401559454191</v>
          </cell>
          <cell r="H39">
            <v>-68.721710113324733</v>
          </cell>
          <cell r="J39">
            <v>-40.320150659133716</v>
          </cell>
          <cell r="R39" t="str">
            <v>Info Sys &amp; Tech</v>
          </cell>
          <cell r="S39">
            <v>0.10709304642359035</v>
          </cell>
          <cell r="T39">
            <v>0.107</v>
          </cell>
          <cell r="V39">
            <v>0.1067345666181667</v>
          </cell>
          <cell r="W39">
            <v>3.5847980542365319</v>
          </cell>
          <cell r="Y39">
            <v>0.93046423590356642</v>
          </cell>
          <cell r="AE39" t="str">
            <v>Info Sys &amp; Tech</v>
          </cell>
          <cell r="AF39">
            <v>9.7009202453987725E-2</v>
          </cell>
          <cell r="AG39">
            <v>9.6498054474708175E-2</v>
          </cell>
          <cell r="AI39">
            <v>0.10405571487095452</v>
          </cell>
          <cell r="AJ39">
            <v>-70.465124169667988</v>
          </cell>
          <cell r="AL39">
            <v>5.1114797927954978</v>
          </cell>
          <cell r="AR39" t="str">
            <v>Info Sys &amp; Tech</v>
          </cell>
          <cell r="AS39">
            <v>0.10739856801909307</v>
          </cell>
          <cell r="AT39">
            <v>0.107</v>
          </cell>
          <cell r="AV39">
            <v>0.10578925447730113</v>
          </cell>
          <cell r="AW39">
            <v>16.093135417919456</v>
          </cell>
          <cell r="AY39">
            <v>3.9856801909307626</v>
          </cell>
          <cell r="BE39" t="str">
            <v>Marine Group</v>
          </cell>
          <cell r="BF39">
            <v>9.1104734576757537E-2</v>
          </cell>
          <cell r="BG39">
            <v>8.7999999999999995E-2</v>
          </cell>
          <cell r="BI39">
            <v>8.8050314465408799E-2</v>
          </cell>
          <cell r="BJ39">
            <v>30.544201113487379</v>
          </cell>
          <cell r="BL39">
            <v>31.047345767575425</v>
          </cell>
          <cell r="BR39" t="str">
            <v>Marine Group</v>
          </cell>
          <cell r="BS39">
            <v>8.8534107402031936E-2</v>
          </cell>
          <cell r="BT39">
            <v>8.6999999999999994E-2</v>
          </cell>
          <cell r="BV39">
            <v>7.7963404932378674E-2</v>
          </cell>
          <cell r="BW39">
            <v>105.70702469653261</v>
          </cell>
          <cell r="BY39">
            <v>15.341074020319423</v>
          </cell>
          <cell r="CF39" t="str">
            <v>Aerospace</v>
          </cell>
          <cell r="CG39">
            <v>0.1750619322873658</v>
          </cell>
          <cell r="CH39">
            <v>0.16411020104244237</v>
          </cell>
          <cell r="CJ39">
            <v>0.16263310745401743</v>
          </cell>
          <cell r="CK39">
            <v>124.28824833348368</v>
          </cell>
          <cell r="CM39">
            <v>109.51731244923435</v>
          </cell>
          <cell r="CT39" t="str">
            <v>Aerospace</v>
          </cell>
          <cell r="CU39">
            <v>0.17186311787072242</v>
          </cell>
          <cell r="CV39">
            <v>0.17100000000000001</v>
          </cell>
          <cell r="CW39">
            <v>0.15179392824287027</v>
          </cell>
          <cell r="CX39">
            <v>200.69189627852145</v>
          </cell>
          <cell r="DC39" t="str">
            <v>EPS, Reported (GAAP)</v>
          </cell>
          <cell r="DD39">
            <v>1.2568134018097334</v>
          </cell>
          <cell r="DE39">
            <v>1.5628163374628046</v>
          </cell>
          <cell r="DF39">
            <v>-0.30600293565307113</v>
          </cell>
          <cell r="DG39">
            <v>-0.19580223748483438</v>
          </cell>
          <cell r="DK39" t="str">
            <v>% Ch Y/Y</v>
          </cell>
          <cell r="DL39">
            <v>0.12334304061278317</v>
          </cell>
          <cell r="DM39">
            <v>0.11164703993949326</v>
          </cell>
          <cell r="DN39">
            <v>9.5090998756902551E-2</v>
          </cell>
          <cell r="DT39" t="str">
            <v>% Ch Y/Y</v>
          </cell>
          <cell r="DU39">
            <v>0.17527257615019809</v>
          </cell>
          <cell r="DV39">
            <v>0.1571759331089384</v>
          </cell>
          <cell r="DW39">
            <v>0.20699689280162303</v>
          </cell>
          <cell r="EC39" t="str">
            <v>Other</v>
          </cell>
          <cell r="ED39" t="str">
            <v>NA</v>
          </cell>
          <cell r="EE39" t="str">
            <v>NA</v>
          </cell>
          <cell r="EF39">
            <v>0</v>
          </cell>
          <cell r="EG39" t="str">
            <v xml:space="preserve">NA </v>
          </cell>
          <cell r="EL39" t="str">
            <v>Other</v>
          </cell>
          <cell r="EM39">
            <v>0</v>
          </cell>
          <cell r="EN39">
            <v>-0.13846153846153847</v>
          </cell>
          <cell r="EO39">
            <v>0</v>
          </cell>
          <cell r="EP39" t="str">
            <v xml:space="preserve">NA </v>
          </cell>
          <cell r="EU39" t="str">
            <v>Other</v>
          </cell>
          <cell r="EV39">
            <v>0</v>
          </cell>
          <cell r="EW39">
            <v>0</v>
          </cell>
          <cell r="EX39" t="str">
            <v>NA</v>
          </cell>
          <cell r="FC39" t="str">
            <v>Other</v>
          </cell>
          <cell r="FD39">
            <v>0</v>
          </cell>
          <cell r="FE39">
            <v>7.0721357850070721E-2</v>
          </cell>
          <cell r="FF39">
            <v>0</v>
          </cell>
          <cell r="FG39">
            <v>0</v>
          </cell>
          <cell r="FK39" t="str">
            <v>Other</v>
          </cell>
          <cell r="FL39">
            <v>0</v>
          </cell>
          <cell r="FM39">
            <v>0.13333333333333333</v>
          </cell>
          <cell r="FN39">
            <v>0.13513513513513514</v>
          </cell>
          <cell r="FO39" t="str">
            <v>NA</v>
          </cell>
        </row>
        <row r="40">
          <cell r="C40" t="str">
            <v>Aerospace</v>
          </cell>
          <cell r="D40">
            <v>0.1519434628975265</v>
          </cell>
          <cell r="E40">
            <v>0.13700000000000001</v>
          </cell>
          <cell r="G40">
            <v>0.18058690744920994</v>
          </cell>
          <cell r="H40">
            <v>-286.43444551683439</v>
          </cell>
          <cell r="J40">
            <v>149.43462897526487</v>
          </cell>
          <cell r="R40" t="str">
            <v>Aerospace</v>
          </cell>
          <cell r="S40">
            <v>0.18523222060957911</v>
          </cell>
          <cell r="T40">
            <v>0.18440000000000004</v>
          </cell>
          <cell r="V40">
            <v>0.16777133388566695</v>
          </cell>
          <cell r="W40">
            <v>174.60886723912162</v>
          </cell>
          <cell r="Y40">
            <v>8.3222060957907633</v>
          </cell>
          <cell r="AE40" t="str">
            <v>Aerospace</v>
          </cell>
          <cell r="AF40">
            <v>0.17232375979112272</v>
          </cell>
          <cell r="AG40">
            <v>0.17057485029940128</v>
          </cell>
          <cell r="AI40">
            <v>0.1750619322873658</v>
          </cell>
          <cell r="AJ40">
            <v>-27.381724962430852</v>
          </cell>
          <cell r="AL40">
            <v>17.489094917214342</v>
          </cell>
          <cell r="AR40" t="str">
            <v>Aerospace</v>
          </cell>
          <cell r="AS40">
            <v>0.20481049562682216</v>
          </cell>
          <cell r="AT40">
            <v>0.19</v>
          </cell>
          <cell r="AV40">
            <v>0.17186311787072242</v>
          </cell>
          <cell r="AW40">
            <v>329.47377756099741</v>
          </cell>
          <cell r="AY40">
            <v>148.10495626822157</v>
          </cell>
          <cell r="BE40" t="str">
            <v>Combat Sys</v>
          </cell>
          <cell r="BF40">
            <v>0.13995037220843673</v>
          </cell>
          <cell r="BG40">
            <v>0.11700000000000001</v>
          </cell>
          <cell r="BI40">
            <v>0.11156542056074767</v>
          </cell>
          <cell r="BJ40">
            <v>283.84951647689059</v>
          </cell>
          <cell r="BL40">
            <v>229.50372208436724</v>
          </cell>
          <cell r="BR40" t="str">
            <v>Combat Sys</v>
          </cell>
          <cell r="BS40">
            <v>0.12969454181271908</v>
          </cell>
          <cell r="BT40">
            <v>0.11799999999999999</v>
          </cell>
          <cell r="BV40">
            <v>0.11096938775510204</v>
          </cell>
          <cell r="BW40">
            <v>187.25154057617044</v>
          </cell>
          <cell r="BY40">
            <v>116.94541812719089</v>
          </cell>
          <cell r="CF40" t="str">
            <v>Total Operating Margins</v>
          </cell>
          <cell r="CG40">
            <v>0.11590153027278775</v>
          </cell>
          <cell r="CH40">
            <v>0.1132157123834887</v>
          </cell>
          <cell r="CJ40">
            <v>0.1079214000614062</v>
          </cell>
          <cell r="CK40">
            <v>79.801302113815524</v>
          </cell>
          <cell r="CM40">
            <v>26.85817889299058</v>
          </cell>
          <cell r="CT40" t="str">
            <v>Total Operating Margins</v>
          </cell>
          <cell r="CU40">
            <v>0.11720807726075505</v>
          </cell>
          <cell r="CV40">
            <v>0.11672489082969434</v>
          </cell>
          <cell r="CW40">
            <v>0.11155050255396276</v>
          </cell>
          <cell r="CX40">
            <v>56.575747067922897</v>
          </cell>
          <cell r="DC40" t="str">
            <v>% Ch Y/Y</v>
          </cell>
          <cell r="DD40">
            <v>0.22747465011820325</v>
          </cell>
          <cell r="DE40">
            <v>0.23478674454132625</v>
          </cell>
          <cell r="DK40" t="str">
            <v>Dil. Shs.</v>
          </cell>
          <cell r="DL40">
            <v>409.4</v>
          </cell>
          <cell r="DM40">
            <v>409.5</v>
          </cell>
          <cell r="DN40">
            <v>404.5</v>
          </cell>
          <cell r="DO40">
            <v>4.8999999999999773</v>
          </cell>
          <cell r="DP40">
            <v>1.2113720642768833E-2</v>
          </cell>
          <cell r="DT40" t="str">
            <v xml:space="preserve"> Avg. Shs. (MM)</v>
          </cell>
          <cell r="DU40">
            <v>406.8</v>
          </cell>
          <cell r="DV40">
            <v>407</v>
          </cell>
          <cell r="DW40">
            <v>404.84800000000001</v>
          </cell>
          <cell r="DX40">
            <v>1.9519999999999982</v>
          </cell>
          <cell r="DY40">
            <v>4.8215626605541129E-3</v>
          </cell>
          <cell r="EC40" t="str">
            <v>Total</v>
          </cell>
          <cell r="ED40">
            <v>0.11155050255396276</v>
          </cell>
          <cell r="EE40">
            <v>0.11160130718954249</v>
          </cell>
          <cell r="EF40">
            <v>0.10844964164466239</v>
          </cell>
          <cell r="EG40">
            <v>3.1008609093003681E-3</v>
          </cell>
          <cell r="EL40" t="str">
            <v>Total</v>
          </cell>
          <cell r="EM40">
            <v>0.10936973373778228</v>
          </cell>
          <cell r="EN40">
            <v>0.10766550522648084</v>
          </cell>
          <cell r="EO40">
            <v>0.10492505353319058</v>
          </cell>
          <cell r="EP40">
            <v>4.4446802045916972E-3</v>
          </cell>
          <cell r="EU40" t="str">
            <v>Total</v>
          </cell>
          <cell r="EV40">
            <v>0.10746483952398125</v>
          </cell>
          <cell r="EW40">
            <v>9.6395641240569985E-2</v>
          </cell>
          <cell r="EX40">
            <v>1.1069198283411269E-2</v>
          </cell>
          <cell r="FC40" t="str">
            <v>Total</v>
          </cell>
          <cell r="FD40">
            <v>0.10388557806912992</v>
          </cell>
          <cell r="FE40">
            <v>0.1049506227562101</v>
          </cell>
          <cell r="FF40">
            <v>0.10234259062963748</v>
          </cell>
          <cell r="FG40">
            <v>1.5429874394924381E-3</v>
          </cell>
          <cell r="FK40" t="str">
            <v>Total</v>
          </cell>
          <cell r="FL40">
            <v>0.10844964164466239</v>
          </cell>
          <cell r="FM40">
            <v>0.11213640922768305</v>
          </cell>
          <cell r="FN40">
            <v>0.10608995050570261</v>
          </cell>
          <cell r="FO40">
            <v>2.3596911389597852E-3</v>
          </cell>
        </row>
        <row r="41">
          <cell r="C41" t="str">
            <v>Tot. Op. Margin</v>
          </cell>
          <cell r="D41">
            <v>0.11666666666666667</v>
          </cell>
          <cell r="E41">
            <v>0.11336170212765957</v>
          </cell>
          <cell r="F41">
            <v>0.11244635193133047</v>
          </cell>
          <cell r="G41">
            <v>0.12611255648363687</v>
          </cell>
          <cell r="H41">
            <v>-94.458898169701982</v>
          </cell>
          <cell r="J41">
            <v>33.049645390070964</v>
          </cell>
          <cell r="L41">
            <v>42.203147353361977</v>
          </cell>
          <cell r="R41" t="str">
            <v>Tot. Op. Margin</v>
          </cell>
          <cell r="S41">
            <v>0.12467576791808874</v>
          </cell>
          <cell r="T41">
            <v>0.12365392491467576</v>
          </cell>
          <cell r="U41">
            <v>0.1246378787362394</v>
          </cell>
          <cell r="V41">
            <v>0.11428046989720998</v>
          </cell>
          <cell r="W41">
            <v>103.95298020878754</v>
          </cell>
          <cell r="Y41">
            <v>10.218430034129728</v>
          </cell>
          <cell r="AA41">
            <v>0.37889181849340425</v>
          </cell>
          <cell r="AE41" t="str">
            <v>Tot. Op. Margin</v>
          </cell>
          <cell r="AF41">
            <v>0.11946001018848701</v>
          </cell>
          <cell r="AG41">
            <v>0.11564696892511464</v>
          </cell>
          <cell r="AH41">
            <v>0.11970933197348292</v>
          </cell>
          <cell r="AI41">
            <v>0.11590153027278775</v>
          </cell>
          <cell r="AJ41">
            <v>35.58479915699256</v>
          </cell>
          <cell r="AL41">
            <v>38.130412633723687</v>
          </cell>
          <cell r="AN41">
            <v>-2.4932178499591231</v>
          </cell>
          <cell r="AR41" t="str">
            <v>Total Op. Margins</v>
          </cell>
          <cell r="AS41">
            <v>0.13067226890756303</v>
          </cell>
          <cell r="AT41">
            <v>0.1230639175257732</v>
          </cell>
          <cell r="AU41">
            <v>0.12161610665215616</v>
          </cell>
          <cell r="AV41">
            <v>0.11720807726075505</v>
          </cell>
          <cell r="AW41">
            <v>134.64191646807981</v>
          </cell>
          <cell r="AY41">
            <v>76.08351381789835</v>
          </cell>
          <cell r="BA41">
            <v>90.561622554068691</v>
          </cell>
          <cell r="BE41" t="str">
            <v>Info Sys &amp; Tech</v>
          </cell>
          <cell r="BF41">
            <v>0.1138401559454191</v>
          </cell>
          <cell r="BG41">
            <v>0.10299999999999999</v>
          </cell>
          <cell r="BI41">
            <v>0.11213005418924551</v>
          </cell>
          <cell r="BJ41">
            <v>17.101017561735876</v>
          </cell>
          <cell r="BL41">
            <v>108.40155945419109</v>
          </cell>
          <cell r="BR41" t="str">
            <v>Info Sys &amp; Tech</v>
          </cell>
          <cell r="BS41">
            <v>0.11059123777116121</v>
          </cell>
          <cell r="BT41">
            <v>0.11</v>
          </cell>
          <cell r="BV41">
            <v>0.10499790004199916</v>
          </cell>
          <cell r="BW41">
            <v>55.933377291620538</v>
          </cell>
          <cell r="BY41">
            <v>5.9123777116121268</v>
          </cell>
          <cell r="DC41" t="str">
            <v>Dil. Shs.</v>
          </cell>
          <cell r="DD41">
            <v>408.9</v>
          </cell>
          <cell r="DE41">
            <v>406.95760899999999</v>
          </cell>
          <cell r="DF41">
            <v>1.9423909999999864</v>
          </cell>
          <cell r="DG41">
            <v>4.7729565857557166E-3</v>
          </cell>
        </row>
        <row r="42">
          <cell r="BE42" t="str">
            <v>Aerospace</v>
          </cell>
          <cell r="BF42">
            <v>0.18058690744920994</v>
          </cell>
          <cell r="BG42">
            <v>0.18900000000000003</v>
          </cell>
          <cell r="BI42">
            <v>0.16473509933774835</v>
          </cell>
          <cell r="BJ42">
            <v>158.51808111461585</v>
          </cell>
          <cell r="BL42">
            <v>-84.130925507900912</v>
          </cell>
          <cell r="BR42" t="str">
            <v>Aerospace</v>
          </cell>
          <cell r="BS42">
            <v>0.18451915559030493</v>
          </cell>
          <cell r="BT42">
            <v>0.17100000000000001</v>
          </cell>
          <cell r="BV42">
            <v>0.15813528336380256</v>
          </cell>
          <cell r="BW42">
            <v>263.83872226502376</v>
          </cell>
          <cell r="BY42">
            <v>135.19155590304922</v>
          </cell>
        </row>
        <row r="43">
          <cell r="R43" t="str">
            <v>GD 2008 EPS Walk</v>
          </cell>
          <cell r="AE43" t="str">
            <v>GD 4Q08 EPS Walk</v>
          </cell>
          <cell r="AR43" t="str">
            <v>GD 3Q08 EPS Walk</v>
          </cell>
          <cell r="BE43" t="str">
            <v>Total Operating Margins</v>
          </cell>
          <cell r="BF43">
            <v>0.12611255648363687</v>
          </cell>
          <cell r="BG43">
            <v>0.11811522346368716</v>
          </cell>
          <cell r="BH43">
            <v>0.12055855108530347</v>
          </cell>
          <cell r="BI43">
            <v>0.1153087543620088</v>
          </cell>
          <cell r="BJ43">
            <v>108.0380212162807</v>
          </cell>
          <cell r="BL43">
            <v>79.973330199497042</v>
          </cell>
          <cell r="BN43">
            <v>55.540053983333948</v>
          </cell>
          <cell r="BR43" t="str">
            <v>Total Operating Margins</v>
          </cell>
          <cell r="BS43">
            <v>0.12291220556745182</v>
          </cell>
          <cell r="BT43">
            <v>0.11480868285504046</v>
          </cell>
          <cell r="BU43">
            <v>0.11397005378688763</v>
          </cell>
          <cell r="BV43">
            <v>0.10809523809523809</v>
          </cell>
          <cell r="BW43">
            <v>148.16967472213727</v>
          </cell>
          <cell r="BY43">
            <v>81.035227124113547</v>
          </cell>
          <cell r="CA43">
            <v>89.421517805641926</v>
          </cell>
          <cell r="CF43" t="str">
            <v>GD 4Q07 EPS Walk</v>
          </cell>
          <cell r="CT43" t="str">
            <v>GD 3Q07 EPS Walk</v>
          </cell>
        </row>
        <row r="44">
          <cell r="C44" t="str">
            <v>GD 1Q09 EPS Walk</v>
          </cell>
          <cell r="D44" t="str">
            <v>Actual</v>
          </cell>
          <cell r="E44" t="str">
            <v xml:space="preserve">Est. </v>
          </cell>
          <cell r="F44" t="str">
            <v>Diff.</v>
          </cell>
          <cell r="G44" t="str">
            <v>EPS</v>
          </cell>
          <cell r="S44" t="str">
            <v>Actual</v>
          </cell>
          <cell r="T44" t="str">
            <v xml:space="preserve">Est. </v>
          </cell>
          <cell r="U44" t="str">
            <v>Diff.</v>
          </cell>
          <cell r="V44" t="str">
            <v>EPS</v>
          </cell>
          <cell r="AF44" t="str">
            <v>Actual</v>
          </cell>
          <cell r="AG44" t="str">
            <v xml:space="preserve">Est. </v>
          </cell>
          <cell r="AH44" t="str">
            <v>Diff.</v>
          </cell>
          <cell r="AI44" t="str">
            <v>EPS</v>
          </cell>
          <cell r="AS44" t="str">
            <v>Actual</v>
          </cell>
          <cell r="AT44" t="str">
            <v xml:space="preserve">Est. </v>
          </cell>
          <cell r="AU44" t="str">
            <v>Diff ($MM)</v>
          </cell>
          <cell r="AV44" t="str">
            <v>EPS</v>
          </cell>
          <cell r="CG44" t="str">
            <v>Actual</v>
          </cell>
          <cell r="CH44" t="str">
            <v xml:space="preserve">Est. </v>
          </cell>
          <cell r="CI44" t="str">
            <v>Diff ($MM)</v>
          </cell>
          <cell r="CJ44" t="str">
            <v>EPS</v>
          </cell>
          <cell r="CU44" t="str">
            <v>Actual</v>
          </cell>
          <cell r="CV44" t="str">
            <v xml:space="preserve">Est. </v>
          </cell>
          <cell r="CW44" t="str">
            <v>Diff ($MM)</v>
          </cell>
          <cell r="CX44" t="str">
            <v>EPS</v>
          </cell>
        </row>
        <row r="45">
          <cell r="C45" t="str">
            <v>Morgan Stanley Est. EPS</v>
          </cell>
          <cell r="G45">
            <v>1.5907885714285712</v>
          </cell>
          <cell r="R45" t="str">
            <v>Morgan Stanley Est. EPS</v>
          </cell>
          <cell r="V45">
            <v>6.1513669999999978</v>
          </cell>
          <cell r="AE45" t="str">
            <v>Morgan Stanley Est. EPS</v>
          </cell>
          <cell r="AI45">
            <v>1.5501820025348525</v>
          </cell>
          <cell r="AR45" t="str">
            <v>Morgan Stanley Est. EPS</v>
          </cell>
          <cell r="AV45">
            <v>1.4939268749999999</v>
          </cell>
          <cell r="BE45" t="str">
            <v>GD 2Q08 EPS Walk</v>
          </cell>
          <cell r="BR45" t="str">
            <v>GD 1Q08 EPS Walk</v>
          </cell>
          <cell r="CF45" t="str">
            <v>Morgan Stanley Est. EPS</v>
          </cell>
          <cell r="CJ45">
            <v>1.3899889454920029</v>
          </cell>
          <cell r="CT45" t="str">
            <v>Morgan Stanley Est. EPS</v>
          </cell>
          <cell r="CX45">
            <v>1.3</v>
          </cell>
        </row>
        <row r="46">
          <cell r="BF46" t="str">
            <v>Actual</v>
          </cell>
          <cell r="BG46" t="str">
            <v xml:space="preserve">Est. </v>
          </cell>
          <cell r="BH46" t="str">
            <v>Diff ($MM)</v>
          </cell>
          <cell r="BI46" t="str">
            <v>EPS</v>
          </cell>
          <cell r="BS46" t="str">
            <v>Actual</v>
          </cell>
          <cell r="BT46" t="str">
            <v xml:space="preserve">Est. </v>
          </cell>
          <cell r="BU46" t="str">
            <v>Diff ($MM)</v>
          </cell>
          <cell r="BV46" t="str">
            <v>EPS</v>
          </cell>
        </row>
        <row r="47">
          <cell r="C47" t="str">
            <v>Op Profit</v>
          </cell>
          <cell r="D47">
            <v>945</v>
          </cell>
          <cell r="E47">
            <v>932.4</v>
          </cell>
          <cell r="F47">
            <v>12.600000000000023</v>
          </cell>
          <cell r="G47">
            <v>3.2727272727272785E-2</v>
          </cell>
          <cell r="R47" t="str">
            <v>Op Profit</v>
          </cell>
          <cell r="S47">
            <v>3653</v>
          </cell>
          <cell r="T47">
            <v>3623.06</v>
          </cell>
          <cell r="U47">
            <v>29.940000000000055</v>
          </cell>
          <cell r="V47">
            <v>7.4850000000000139E-2</v>
          </cell>
          <cell r="AE47" t="str">
            <v>Op Profit</v>
          </cell>
          <cell r="AF47">
            <v>938</v>
          </cell>
          <cell r="AG47">
            <v>908.06</v>
          </cell>
          <cell r="AH47">
            <v>29.940000000000055</v>
          </cell>
          <cell r="AI47">
            <v>7.5893536121673141E-2</v>
          </cell>
          <cell r="AR47" t="str">
            <v>Op Profit</v>
          </cell>
          <cell r="AS47">
            <v>933</v>
          </cell>
          <cell r="AT47">
            <v>895.29</v>
          </cell>
          <cell r="AU47">
            <v>37.710000000000036</v>
          </cell>
          <cell r="AV47">
            <v>9.4275000000000095E-2</v>
          </cell>
          <cell r="BE47" t="str">
            <v>Morgan Stanley Est. EPS</v>
          </cell>
          <cell r="BI47">
            <v>1.4186019354838708</v>
          </cell>
          <cell r="BR47" t="str">
            <v>Morgan Stanley Est. EPS</v>
          </cell>
          <cell r="BV47">
            <v>1.2972342202970297</v>
          </cell>
          <cell r="CF47" t="str">
            <v>Op Profit</v>
          </cell>
          <cell r="CG47">
            <v>871</v>
          </cell>
          <cell r="CH47">
            <v>850.25</v>
          </cell>
          <cell r="CI47">
            <v>20.75</v>
          </cell>
          <cell r="CJ47">
            <v>5.0995330548046204E-2</v>
          </cell>
          <cell r="CT47" t="str">
            <v>Op Profit</v>
          </cell>
          <cell r="CU47">
            <v>801</v>
          </cell>
          <cell r="CV47">
            <v>802</v>
          </cell>
          <cell r="CW47">
            <v>-1</v>
          </cell>
          <cell r="CX47">
            <v>-2.4551927326295114E-3</v>
          </cell>
        </row>
        <row r="48">
          <cell r="C48" t="str">
            <v>Non Operational</v>
          </cell>
          <cell r="R48" t="str">
            <v>Non Operational</v>
          </cell>
          <cell r="AE48" t="str">
            <v>Non Operational</v>
          </cell>
          <cell r="AR48" t="str">
            <v>Non Operational</v>
          </cell>
          <cell r="CF48" t="str">
            <v>Non Operational</v>
          </cell>
          <cell r="CT48" t="str">
            <v>Non Operational</v>
          </cell>
        </row>
        <row r="49">
          <cell r="C49" t="str">
            <v>Interest, net</v>
          </cell>
          <cell r="D49">
            <v>-38</v>
          </cell>
          <cell r="E49">
            <v>-37</v>
          </cell>
          <cell r="F49">
            <v>-1</v>
          </cell>
          <cell r="G49">
            <v>-2.5974025974025974E-3</v>
          </cell>
          <cell r="R49" t="str">
            <v>Interest, net</v>
          </cell>
          <cell r="S49">
            <v>-66</v>
          </cell>
          <cell r="T49">
            <v>-60.55</v>
          </cell>
          <cell r="U49">
            <v>-5.4500000000000028</v>
          </cell>
          <cell r="V49">
            <v>-1.3625000000000007E-2</v>
          </cell>
          <cell r="AE49" t="str">
            <v>Interest, net</v>
          </cell>
          <cell r="AF49">
            <v>-24</v>
          </cell>
          <cell r="AG49">
            <v>-18.55</v>
          </cell>
          <cell r="AH49">
            <v>-5.4499999999999993</v>
          </cell>
          <cell r="AI49">
            <v>-1.3814955640050695E-2</v>
          </cell>
          <cell r="AR49" t="str">
            <v>Interest, net</v>
          </cell>
          <cell r="AS49">
            <v>-11</v>
          </cell>
          <cell r="AT49">
            <v>-12</v>
          </cell>
          <cell r="AU49">
            <v>1</v>
          </cell>
          <cell r="AV49">
            <v>2.5000000000000001E-3</v>
          </cell>
          <cell r="BE49" t="str">
            <v>Op Profit</v>
          </cell>
          <cell r="BF49">
            <v>921</v>
          </cell>
          <cell r="BG49">
            <v>845.70500000000004</v>
          </cell>
          <cell r="BH49">
            <v>75.294999999999959</v>
          </cell>
          <cell r="BI49">
            <v>0.18683622828784108</v>
          </cell>
          <cell r="BR49" t="str">
            <v>Op Profit</v>
          </cell>
          <cell r="BS49">
            <v>861</v>
          </cell>
          <cell r="BT49">
            <v>780.125</v>
          </cell>
          <cell r="BU49">
            <v>80.875</v>
          </cell>
          <cell r="BV49">
            <v>0.20018564356435645</v>
          </cell>
          <cell r="CF49" t="str">
            <v>Interest, net</v>
          </cell>
          <cell r="CG49">
            <v>-11</v>
          </cell>
          <cell r="CH49">
            <v>-11</v>
          </cell>
          <cell r="CI49">
            <v>0</v>
          </cell>
          <cell r="CJ49">
            <v>0</v>
          </cell>
          <cell r="CT49" t="str">
            <v>Interest, net</v>
          </cell>
          <cell r="CU49">
            <v>-12</v>
          </cell>
          <cell r="CV49">
            <v>-21</v>
          </cell>
          <cell r="CW49">
            <v>9</v>
          </cell>
          <cell r="CX49">
            <v>2.1242053789731052E-2</v>
          </cell>
        </row>
        <row r="50">
          <cell r="C50" t="str">
            <v>Other, net</v>
          </cell>
          <cell r="D50">
            <v>0</v>
          </cell>
          <cell r="E50">
            <v>0</v>
          </cell>
          <cell r="F50">
            <v>0</v>
          </cell>
          <cell r="G50">
            <v>0</v>
          </cell>
          <cell r="R50" t="str">
            <v>Other, net</v>
          </cell>
          <cell r="S50">
            <v>17</v>
          </cell>
          <cell r="T50">
            <v>3</v>
          </cell>
          <cell r="U50">
            <v>14</v>
          </cell>
          <cell r="V50">
            <v>3.5000000000000003E-2</v>
          </cell>
          <cell r="AE50" t="str">
            <v>Other, net</v>
          </cell>
          <cell r="AF50">
            <v>14</v>
          </cell>
          <cell r="AG50">
            <v>0</v>
          </cell>
          <cell r="AH50">
            <v>14</v>
          </cell>
          <cell r="AI50">
            <v>3.5487959442332066E-2</v>
          </cell>
          <cell r="AR50" t="str">
            <v>Other, net</v>
          </cell>
          <cell r="AS50">
            <v>0</v>
          </cell>
          <cell r="AT50">
            <v>2</v>
          </cell>
          <cell r="AU50">
            <v>-2</v>
          </cell>
          <cell r="AV50">
            <v>-5.0000000000000001E-3</v>
          </cell>
          <cell r="BE50" t="str">
            <v>Non Operational</v>
          </cell>
          <cell r="BR50" t="str">
            <v>Non Operational</v>
          </cell>
          <cell r="CF50" t="str">
            <v>Other, net</v>
          </cell>
          <cell r="CG50">
            <v>0</v>
          </cell>
          <cell r="CH50">
            <v>0</v>
          </cell>
          <cell r="CI50">
            <v>0</v>
          </cell>
          <cell r="CJ50">
            <v>0</v>
          </cell>
          <cell r="CT50" t="str">
            <v>Taxes</v>
          </cell>
          <cell r="CU50">
            <v>246.792</v>
          </cell>
          <cell r="CV50">
            <v>249.92000000000002</v>
          </cell>
          <cell r="CW50">
            <v>-3.1280000000000143</v>
          </cell>
          <cell r="CX50">
            <v>7.6798428676651464E-3</v>
          </cell>
        </row>
        <row r="51">
          <cell r="C51" t="str">
            <v>Taxes</v>
          </cell>
          <cell r="D51">
            <v>-285.5</v>
          </cell>
          <cell r="E51">
            <v>-282.94640000000004</v>
          </cell>
          <cell r="F51">
            <v>-2.5535999999999603</v>
          </cell>
          <cell r="G51">
            <v>-6.6327272727271696E-3</v>
          </cell>
          <cell r="R51" t="str">
            <v>Taxes</v>
          </cell>
          <cell r="S51">
            <v>-1161</v>
          </cell>
          <cell r="T51">
            <v>-1140.9632000000001</v>
          </cell>
          <cell r="U51">
            <v>-20.036799999999857</v>
          </cell>
          <cell r="V51">
            <v>-5.0091999999999644E-2</v>
          </cell>
          <cell r="AE51" t="str">
            <v>Taxes</v>
          </cell>
          <cell r="AF51">
            <v>-297.99999999999994</v>
          </cell>
          <cell r="AG51">
            <v>-277.96320000000054</v>
          </cell>
          <cell r="AH51">
            <v>-20.036799999999403</v>
          </cell>
          <cell r="AI51">
            <v>-5.0790367553864138E-2</v>
          </cell>
          <cell r="AR51" t="str">
            <v>Taxes</v>
          </cell>
          <cell r="AS51">
            <v>-288</v>
          </cell>
          <cell r="AT51">
            <v>-287.71924999999999</v>
          </cell>
          <cell r="AU51">
            <v>-0.28075000000001182</v>
          </cell>
          <cell r="AV51">
            <v>-7.0187500000002952E-4</v>
          </cell>
          <cell r="BE51" t="str">
            <v>Interest, net</v>
          </cell>
          <cell r="BF51">
            <v>-12</v>
          </cell>
          <cell r="BG51">
            <v>-2</v>
          </cell>
          <cell r="BH51">
            <v>-10</v>
          </cell>
          <cell r="BI51">
            <v>-2.4813895781637719E-2</v>
          </cell>
          <cell r="BR51" t="str">
            <v>Interest, net</v>
          </cell>
          <cell r="BS51">
            <v>-19</v>
          </cell>
          <cell r="BT51">
            <v>-6</v>
          </cell>
          <cell r="BU51">
            <v>-13</v>
          </cell>
          <cell r="BV51">
            <v>-3.2178217821782179E-2</v>
          </cell>
          <cell r="CF51" t="str">
            <v>Taxes</v>
          </cell>
          <cell r="CG51">
            <v>281.9999670000002</v>
          </cell>
          <cell r="CH51">
            <v>271.29496700000027</v>
          </cell>
          <cell r="CI51">
            <v>10.704999999999927</v>
          </cell>
          <cell r="CJ51">
            <v>-2.630867535020872E-2</v>
          </cell>
          <cell r="CT51" t="str">
            <v>share count</v>
          </cell>
          <cell r="CU51">
            <v>407.3</v>
          </cell>
          <cell r="CV51">
            <v>409</v>
          </cell>
          <cell r="CW51">
            <v>-1.6999999999999886</v>
          </cell>
          <cell r="CX51">
            <v>0.01</v>
          </cell>
        </row>
        <row r="52">
          <cell r="C52" t="str">
            <v>Non Operational, total</v>
          </cell>
          <cell r="D52">
            <v>-323.5</v>
          </cell>
          <cell r="E52">
            <v>-319.94640000000004</v>
          </cell>
          <cell r="F52">
            <v>-3.5535999999999603</v>
          </cell>
          <cell r="G52">
            <v>-9.230129870129767E-3</v>
          </cell>
          <cell r="R52" t="str">
            <v>Non Operational, total</v>
          </cell>
          <cell r="S52">
            <v>-1210</v>
          </cell>
          <cell r="T52">
            <v>-1198.5132000000001</v>
          </cell>
          <cell r="U52">
            <v>-11.48679999999986</v>
          </cell>
          <cell r="V52">
            <v>-2.8716999999999646E-2</v>
          </cell>
          <cell r="AE52" t="str">
            <v>Non Operational, total</v>
          </cell>
          <cell r="AF52">
            <v>-307.99999999999994</v>
          </cell>
          <cell r="AG52">
            <v>-296.51320000000055</v>
          </cell>
          <cell r="AH52">
            <v>-11.486799999999402</v>
          </cell>
          <cell r="AI52">
            <v>-2.9117363751582769E-2</v>
          </cell>
          <cell r="AR52" t="str">
            <v>Non Operational, total</v>
          </cell>
          <cell r="AV52">
            <v>-3.2018750000000294E-3</v>
          </cell>
          <cell r="BE52" t="str">
            <v>Other, net</v>
          </cell>
          <cell r="BF52">
            <v>0</v>
          </cell>
          <cell r="BG52">
            <v>2</v>
          </cell>
          <cell r="BH52">
            <v>-2</v>
          </cell>
          <cell r="BI52">
            <v>-4.9627791563275434E-3</v>
          </cell>
          <cell r="BR52" t="str">
            <v>Other, net</v>
          </cell>
          <cell r="BS52">
            <v>3</v>
          </cell>
          <cell r="BT52">
            <v>0</v>
          </cell>
          <cell r="BU52">
            <v>3</v>
          </cell>
          <cell r="BV52">
            <v>7.4257425742574254E-3</v>
          </cell>
          <cell r="CF52" t="str">
            <v>Discontinued ops</v>
          </cell>
          <cell r="CG52">
            <v>2.4576062914721062E-3</v>
          </cell>
          <cell r="CH52">
            <v>-2.5479191372018359E-4</v>
          </cell>
          <cell r="CI52">
            <v>2.7123982051922898E-3</v>
          </cell>
          <cell r="CJ52">
            <v>6.6660068940582208E-6</v>
          </cell>
          <cell r="CT52" t="str">
            <v>Non Operational, total</v>
          </cell>
          <cell r="CX52">
            <v>3.8921896657396197E-2</v>
          </cell>
        </row>
        <row r="53">
          <cell r="BE53" t="str">
            <v>Taxes</v>
          </cell>
          <cell r="BF53">
            <v>-302.99999999999989</v>
          </cell>
          <cell r="BG53">
            <v>-274.00842000000011</v>
          </cell>
          <cell r="BH53">
            <v>-28.991579999999772</v>
          </cell>
          <cell r="BI53">
            <v>-7.193940446650067E-2</v>
          </cell>
          <cell r="BR53" t="str">
            <v>Taxes</v>
          </cell>
          <cell r="BS53">
            <v>272</v>
          </cell>
          <cell r="BT53">
            <v>250.04237499999999</v>
          </cell>
          <cell r="BU53">
            <v>21.957625000000007</v>
          </cell>
          <cell r="BV53">
            <v>-5.4350556930693086E-2</v>
          </cell>
          <cell r="CF53" t="str">
            <v>share count</v>
          </cell>
          <cell r="CG53">
            <v>406.9</v>
          </cell>
          <cell r="CH53">
            <v>408</v>
          </cell>
          <cell r="CJ53">
            <v>0.01</v>
          </cell>
        </row>
        <row r="54">
          <cell r="C54" t="str">
            <v>1-Time Items</v>
          </cell>
          <cell r="G54">
            <v>-7.7519379844961239E-3</v>
          </cell>
          <cell r="R54" t="str">
            <v>1-Time Items</v>
          </cell>
          <cell r="V54">
            <v>-4.9869576122397785E-2</v>
          </cell>
          <cell r="AE54" t="str">
            <v>1-Time Items</v>
          </cell>
          <cell r="AI54">
            <v>-4.8767967145790549E-2</v>
          </cell>
          <cell r="AR54" t="str">
            <v>1-Time Items</v>
          </cell>
          <cell r="AV54">
            <v>0</v>
          </cell>
          <cell r="BE54" t="str">
            <v>Non Operational, total</v>
          </cell>
          <cell r="BI54">
            <v>-0.10171607940446593</v>
          </cell>
          <cell r="BR54" t="str">
            <v>share count</v>
          </cell>
          <cell r="BS54">
            <v>403.9</v>
          </cell>
          <cell r="BT54">
            <v>404</v>
          </cell>
          <cell r="BV54">
            <v>3.511554423576424E-4</v>
          </cell>
          <cell r="CF54" t="str">
            <v>Non Operational, total</v>
          </cell>
          <cell r="CJ54">
            <v>-1.6302009343314661E-2</v>
          </cell>
          <cell r="CT54" t="str">
            <v>GD Reported EPS</v>
          </cell>
          <cell r="CX54">
            <v>1.3389218966573961</v>
          </cell>
        </row>
        <row r="55">
          <cell r="C55" t="str">
            <v>Share count</v>
          </cell>
          <cell r="G55">
            <v>-8.3425618309338478E-3</v>
          </cell>
          <cell r="R55" t="str">
            <v>Share count</v>
          </cell>
          <cell r="V55">
            <v>1.9914095811388144E-2</v>
          </cell>
          <cell r="AE55" t="str">
            <v>Share count</v>
          </cell>
          <cell r="AF55">
            <v>389.6</v>
          </cell>
          <cell r="AG55">
            <v>394.5</v>
          </cell>
          <cell r="AI55">
            <v>2.0084946244954383E-2</v>
          </cell>
          <cell r="AR55" t="str">
            <v>Share count</v>
          </cell>
          <cell r="AS55">
            <v>399.8</v>
          </cell>
          <cell r="AT55">
            <v>400</v>
          </cell>
          <cell r="AV55">
            <v>7.9289644822400085E-4</v>
          </cell>
          <cell r="BR55" t="str">
            <v>Non Operational, total</v>
          </cell>
          <cell r="BV55">
            <v>-7.8751876735860205E-2</v>
          </cell>
        </row>
        <row r="56">
          <cell r="BE56" t="str">
            <v>1-Time Items</v>
          </cell>
          <cell r="BF56">
            <v>8.7108013937282222E-2</v>
          </cell>
          <cell r="BG56">
            <v>0</v>
          </cell>
          <cell r="BH56">
            <v>8.7108013937282222E-2</v>
          </cell>
          <cell r="BI56">
            <v>8.5000000000000006E-2</v>
          </cell>
          <cell r="CF56" t="str">
            <v>GD Reported EPS</v>
          </cell>
          <cell r="CJ56">
            <v>1.4246822666967345</v>
          </cell>
        </row>
        <row r="57">
          <cell r="C57" t="str">
            <v>GD Reported EPS</v>
          </cell>
          <cell r="G57">
            <v>1.5981912144702841</v>
          </cell>
          <cell r="R57" t="str">
            <v>GD Reported EPS</v>
          </cell>
          <cell r="V57">
            <v>6.1675445196889891</v>
          </cell>
          <cell r="AE57" t="str">
            <v>GD Reported EPS</v>
          </cell>
          <cell r="AI57">
            <v>1.5682751540041067</v>
          </cell>
          <cell r="AR57" t="str">
            <v>GD Reported EPS</v>
          </cell>
          <cell r="AV57">
            <v>1.585792896448224</v>
          </cell>
          <cell r="BE57" t="str">
            <v>Share count</v>
          </cell>
          <cell r="BF57">
            <v>401.8</v>
          </cell>
          <cell r="BG57">
            <v>403</v>
          </cell>
          <cell r="BI57">
            <v>6.5989708841232009E-3</v>
          </cell>
          <cell r="BR57" t="str">
            <v>GD Reported EPS</v>
          </cell>
          <cell r="BV57">
            <v>1.4186679871255261</v>
          </cell>
        </row>
        <row r="58">
          <cell r="CT58" t="str">
            <v>subtotal:</v>
          </cell>
          <cell r="CX58">
            <v>1.3364667039247666</v>
          </cell>
        </row>
        <row r="59">
          <cell r="BE59" t="str">
            <v>GD Reported EPS</v>
          </cell>
          <cell r="BI59">
            <v>1.595321055251369</v>
          </cell>
          <cell r="CT59" t="str">
            <v xml:space="preserve">Net one-time </v>
          </cell>
          <cell r="CX59">
            <v>0</v>
          </cell>
        </row>
        <row r="60">
          <cell r="CT60" t="str">
            <v>Reported EPS w/ one time items</v>
          </cell>
          <cell r="CX60">
            <v>2.6364667039247669</v>
          </cell>
        </row>
      </sheetData>
      <sheetData sheetId="2">
        <row r="1">
          <cell r="A1" t="str">
            <v>last updated 10/09</v>
          </cell>
          <cell r="AV1" t="str">
            <v>Current Price</v>
          </cell>
          <cell r="AW1">
            <v>55</v>
          </cell>
          <cell r="BQ1" t="str">
            <v>ElementName</v>
          </cell>
          <cell r="BR1" t="str">
            <v>ScaleOverride</v>
          </cell>
          <cell r="BS1" t="str">
            <v>UnitOverride</v>
          </cell>
          <cell r="BT1" t="str">
            <v>ReverseSign</v>
          </cell>
          <cell r="BU1" t="str">
            <v>IsDrivingAssumption</v>
          </cell>
          <cell r="BV1" t="str">
            <v>SegmentID</v>
          </cell>
        </row>
        <row r="2">
          <cell r="A2" t="str">
            <v>General Dynamics</v>
          </cell>
          <cell r="AC2" t="str">
            <v>% Ch Y/Y</v>
          </cell>
          <cell r="AI2" t="str">
            <v>General Dynamics</v>
          </cell>
        </row>
        <row r="3">
          <cell r="A3" t="str">
            <v>P&amp;L Model</v>
          </cell>
          <cell r="B3">
            <v>2007</v>
          </cell>
          <cell r="F3" t="str">
            <v>2008A</v>
          </cell>
          <cell r="J3" t="str">
            <v>2009E</v>
          </cell>
          <cell r="AI3" t="str">
            <v>Valuation Trends</v>
          </cell>
        </row>
        <row r="4">
          <cell r="A4" t="str">
            <v>($USD in Millions, Except EPS)</v>
          </cell>
          <cell r="B4" t="str">
            <v>Q1</v>
          </cell>
          <cell r="C4" t="str">
            <v>Q2</v>
          </cell>
          <cell r="D4" t="str">
            <v>Q3</v>
          </cell>
          <cell r="E4" t="str">
            <v>Q4</v>
          </cell>
          <cell r="F4" t="str">
            <v>Q1</v>
          </cell>
          <cell r="G4" t="str">
            <v>Q2</v>
          </cell>
          <cell r="H4" t="str">
            <v>Q3</v>
          </cell>
          <cell r="I4" t="str">
            <v>Q4</v>
          </cell>
          <cell r="J4" t="str">
            <v>Q1</v>
          </cell>
          <cell r="K4" t="str">
            <v>Q2A</v>
          </cell>
          <cell r="L4" t="str">
            <v>Q3E</v>
          </cell>
          <cell r="M4" t="str">
            <v>Q4E</v>
          </cell>
          <cell r="N4">
            <v>2000</v>
          </cell>
          <cell r="O4">
            <v>2001</v>
          </cell>
          <cell r="P4">
            <v>2002</v>
          </cell>
          <cell r="Q4">
            <v>2003</v>
          </cell>
          <cell r="R4">
            <v>2004</v>
          </cell>
          <cell r="S4">
            <v>2005</v>
          </cell>
          <cell r="T4">
            <v>2006</v>
          </cell>
          <cell r="U4">
            <v>2007</v>
          </cell>
          <cell r="V4" t="str">
            <v>2008A</v>
          </cell>
          <cell r="W4" t="str">
            <v>2009E</v>
          </cell>
          <cell r="X4" t="str">
            <v>2010E</v>
          </cell>
          <cell r="Y4" t="str">
            <v>2011E</v>
          </cell>
          <cell r="Z4" t="str">
            <v>2012E</v>
          </cell>
          <cell r="AA4" t="str">
            <v>Comments</v>
          </cell>
          <cell r="AB4">
            <v>2007</v>
          </cell>
          <cell r="AC4" t="str">
            <v>2008A</v>
          </cell>
          <cell r="AD4" t="str">
            <v>2009E</v>
          </cell>
          <cell r="AE4" t="str">
            <v>2010E</v>
          </cell>
          <cell r="AF4" t="str">
            <v>2011E</v>
          </cell>
          <cell r="AG4" t="str">
            <v>2012E</v>
          </cell>
          <cell r="AI4" t="str">
            <v>($USD in Millions, Except EPS)</v>
          </cell>
          <cell r="AJ4">
            <v>1993</v>
          </cell>
          <cell r="AK4">
            <v>1994</v>
          </cell>
          <cell r="AL4">
            <v>1995</v>
          </cell>
          <cell r="AM4">
            <v>1996</v>
          </cell>
          <cell r="AN4">
            <v>1997</v>
          </cell>
          <cell r="AO4" t="str">
            <v>1998</v>
          </cell>
          <cell r="AP4">
            <v>1999</v>
          </cell>
          <cell r="AQ4">
            <v>2000</v>
          </cell>
          <cell r="AR4">
            <v>2001</v>
          </cell>
          <cell r="AS4">
            <v>2002</v>
          </cell>
          <cell r="AT4">
            <v>2003</v>
          </cell>
          <cell r="AU4">
            <v>2004</v>
          </cell>
          <cell r="AV4">
            <v>2005</v>
          </cell>
          <cell r="AW4">
            <v>2006</v>
          </cell>
          <cell r="AX4">
            <v>2007</v>
          </cell>
          <cell r="AY4" t="str">
            <v>2008A</v>
          </cell>
          <cell r="AZ4" t="str">
            <v>2009E</v>
          </cell>
          <cell r="BA4" t="str">
            <v>2010E</v>
          </cell>
          <cell r="BB4" t="str">
            <v>Comments</v>
          </cell>
        </row>
        <row r="5">
          <cell r="A5" t="str">
            <v>Revenues</v>
          </cell>
          <cell r="AI5" t="str">
            <v>EBITDA</v>
          </cell>
        </row>
        <row r="6">
          <cell r="A6" t="str">
            <v>Marine Systems</v>
          </cell>
          <cell r="B6">
            <v>1257</v>
          </cell>
          <cell r="C6">
            <v>1272</v>
          </cell>
          <cell r="D6">
            <v>1246</v>
          </cell>
          <cell r="E6">
            <v>1218</v>
          </cell>
          <cell r="F6">
            <v>1378</v>
          </cell>
          <cell r="G6">
            <v>1394</v>
          </cell>
          <cell r="H6">
            <v>1404</v>
          </cell>
          <cell r="I6">
            <v>1380</v>
          </cell>
          <cell r="J6">
            <v>1669</v>
          </cell>
          <cell r="K6">
            <v>1625</v>
          </cell>
          <cell r="L6">
            <v>1550</v>
          </cell>
          <cell r="M6">
            <v>1606</v>
          </cell>
          <cell r="N6">
            <v>3413</v>
          </cell>
          <cell r="O6">
            <v>3612</v>
          </cell>
          <cell r="P6">
            <v>3650</v>
          </cell>
          <cell r="Q6">
            <v>4271</v>
          </cell>
          <cell r="R6">
            <v>4726</v>
          </cell>
          <cell r="S6">
            <v>4695</v>
          </cell>
          <cell r="T6">
            <v>4940</v>
          </cell>
          <cell r="U6">
            <v>4993</v>
          </cell>
          <cell r="V6">
            <v>5556</v>
          </cell>
          <cell r="W6">
            <v>6450</v>
          </cell>
          <cell r="X6">
            <v>6630</v>
          </cell>
          <cell r="Y6">
            <v>7070</v>
          </cell>
          <cell r="Z6">
            <v>7950</v>
          </cell>
          <cell r="AA6" t="str">
            <v>- ramp to 2 subs/yr</v>
          </cell>
          <cell r="AB6">
            <v>1.0728744939271229E-2</v>
          </cell>
          <cell r="AC6">
            <v>0.11275786100540763</v>
          </cell>
          <cell r="AD6">
            <v>0.16090712742980551</v>
          </cell>
          <cell r="AE6">
            <v>2.7906976744185963E-2</v>
          </cell>
          <cell r="AF6">
            <v>6.6365007541478116E-2</v>
          </cell>
          <cell r="AG6">
            <v>0.12446958981612455</v>
          </cell>
          <cell r="AI6" t="str">
            <v>EBIT</v>
          </cell>
          <cell r="AJ6">
            <v>517</v>
          </cell>
          <cell r="AK6">
            <v>321</v>
          </cell>
          <cell r="AL6">
            <v>320</v>
          </cell>
          <cell r="AM6">
            <v>354</v>
          </cell>
          <cell r="AN6">
            <v>679</v>
          </cell>
          <cell r="AO6">
            <v>783.4</v>
          </cell>
          <cell r="AP6">
            <v>1160</v>
          </cell>
          <cell r="AQ6">
            <v>1318</v>
          </cell>
          <cell r="AR6">
            <v>1481</v>
          </cell>
          <cell r="AS6">
            <v>1614</v>
          </cell>
          <cell r="AT6">
            <v>1445</v>
          </cell>
          <cell r="AU6">
            <v>1922</v>
          </cell>
          <cell r="AV6">
            <v>2187</v>
          </cell>
          <cell r="AW6">
            <v>2628</v>
          </cell>
          <cell r="AX6">
            <v>3117</v>
          </cell>
          <cell r="AY6">
            <v>3670</v>
          </cell>
          <cell r="AZ6">
            <v>3588.0249999999996</v>
          </cell>
          <cell r="BA6">
            <v>3652.41</v>
          </cell>
        </row>
        <row r="7">
          <cell r="A7" t="str">
            <v>Combat Systems</v>
          </cell>
          <cell r="B7">
            <v>1568</v>
          </cell>
          <cell r="C7">
            <v>1712</v>
          </cell>
          <cell r="D7">
            <v>1872</v>
          </cell>
          <cell r="E7">
            <v>2645</v>
          </cell>
          <cell r="F7">
            <v>1997</v>
          </cell>
          <cell r="G7">
            <v>2015</v>
          </cell>
          <cell r="H7">
            <v>1850</v>
          </cell>
          <cell r="I7">
            <v>2332</v>
          </cell>
          <cell r="J7">
            <v>2407</v>
          </cell>
          <cell r="K7">
            <v>2405</v>
          </cell>
          <cell r="L7">
            <v>2500</v>
          </cell>
          <cell r="M7">
            <v>2688</v>
          </cell>
          <cell r="N7">
            <v>1273</v>
          </cell>
          <cell r="O7">
            <v>2210</v>
          </cell>
          <cell r="P7">
            <v>2786</v>
          </cell>
          <cell r="Q7">
            <v>4007</v>
          </cell>
          <cell r="R7">
            <v>4407</v>
          </cell>
          <cell r="S7">
            <v>5021</v>
          </cell>
          <cell r="T7">
            <v>5983</v>
          </cell>
          <cell r="U7">
            <v>7797</v>
          </cell>
          <cell r="V7">
            <v>8194</v>
          </cell>
          <cell r="W7">
            <v>10000</v>
          </cell>
          <cell r="X7">
            <v>9950</v>
          </cell>
          <cell r="Y7">
            <v>10100</v>
          </cell>
          <cell r="Z7">
            <v>10150</v>
          </cell>
          <cell r="AB7">
            <v>0.30319237840548219</v>
          </cell>
          <cell r="AC7">
            <v>5.0917019366423011E-2</v>
          </cell>
          <cell r="AD7">
            <v>0.22040517451794006</v>
          </cell>
          <cell r="AE7">
            <v>-5.0000000000000044E-3</v>
          </cell>
          <cell r="AF7">
            <v>1.5075376884422065E-2</v>
          </cell>
          <cell r="AG7">
            <v>4.9504950495049549E-3</v>
          </cell>
          <cell r="AI7" t="str">
            <v>D&amp;A</v>
          </cell>
          <cell r="AJ7">
            <v>50</v>
          </cell>
          <cell r="AK7">
            <v>45</v>
          </cell>
          <cell r="AL7">
            <v>40</v>
          </cell>
          <cell r="AM7">
            <v>63</v>
          </cell>
          <cell r="AN7">
            <v>91</v>
          </cell>
          <cell r="AO7">
            <v>161</v>
          </cell>
          <cell r="AP7">
            <v>193</v>
          </cell>
          <cell r="AQ7">
            <v>226</v>
          </cell>
          <cell r="AR7">
            <v>264</v>
          </cell>
          <cell r="AS7">
            <v>208</v>
          </cell>
          <cell r="AT7">
            <v>270</v>
          </cell>
          <cell r="AU7">
            <v>306</v>
          </cell>
          <cell r="AV7">
            <v>327</v>
          </cell>
          <cell r="AW7">
            <v>384</v>
          </cell>
          <cell r="AX7">
            <v>423</v>
          </cell>
          <cell r="AY7">
            <v>447</v>
          </cell>
          <cell r="AZ7">
            <v>498.125</v>
          </cell>
          <cell r="BA7">
            <v>532.5</v>
          </cell>
        </row>
        <row r="8">
          <cell r="A8" t="str">
            <v>Info. Systems &amp; Tech.</v>
          </cell>
          <cell r="B8">
            <v>2381</v>
          </cell>
          <cell r="C8">
            <v>2399</v>
          </cell>
          <cell r="D8">
            <v>2401</v>
          </cell>
          <cell r="E8">
            <v>2441</v>
          </cell>
          <cell r="F8">
            <v>2351</v>
          </cell>
          <cell r="G8">
            <v>2565</v>
          </cell>
          <cell r="H8">
            <v>2514</v>
          </cell>
          <cell r="I8">
            <v>2608</v>
          </cell>
          <cell r="J8">
            <v>2733</v>
          </cell>
          <cell r="K8">
            <v>2655</v>
          </cell>
          <cell r="L8">
            <v>2650</v>
          </cell>
          <cell r="M8">
            <v>2762</v>
          </cell>
          <cell r="N8">
            <v>2337</v>
          </cell>
          <cell r="O8">
            <v>2691</v>
          </cell>
          <cell r="P8">
            <v>3669</v>
          </cell>
          <cell r="Q8">
            <v>4848</v>
          </cell>
          <cell r="R8">
            <v>6722</v>
          </cell>
          <cell r="S8">
            <v>7826</v>
          </cell>
          <cell r="T8">
            <v>9024</v>
          </cell>
          <cell r="U8">
            <v>9622</v>
          </cell>
          <cell r="V8">
            <v>10038</v>
          </cell>
          <cell r="W8">
            <v>10800</v>
          </cell>
          <cell r="X8">
            <v>11100</v>
          </cell>
          <cell r="Y8">
            <v>11200</v>
          </cell>
          <cell r="Z8">
            <v>11250</v>
          </cell>
          <cell r="AB8">
            <v>6.6267730496453847E-2</v>
          </cell>
          <cell r="AC8">
            <v>4.3234254832675179E-2</v>
          </cell>
          <cell r="AD8">
            <v>7.5911536162582172E-2</v>
          </cell>
          <cell r="AE8">
            <v>2.7777777777777679E-2</v>
          </cell>
          <cell r="AF8">
            <v>9.009009009008917E-3</v>
          </cell>
          <cell r="AG8">
            <v>4.4642857142858094E-3</v>
          </cell>
          <cell r="AI8" t="str">
            <v>Total</v>
          </cell>
          <cell r="AJ8">
            <v>427</v>
          </cell>
          <cell r="AK8">
            <v>366</v>
          </cell>
          <cell r="AL8">
            <v>360</v>
          </cell>
          <cell r="AM8">
            <v>417</v>
          </cell>
          <cell r="AN8">
            <v>770</v>
          </cell>
          <cell r="AO8">
            <v>944.4</v>
          </cell>
          <cell r="AP8">
            <v>1353</v>
          </cell>
          <cell r="AQ8">
            <v>1544</v>
          </cell>
          <cell r="AR8">
            <v>1745</v>
          </cell>
          <cell r="AS8">
            <v>1822</v>
          </cell>
          <cell r="AT8">
            <v>1715</v>
          </cell>
          <cell r="AU8">
            <v>2228</v>
          </cell>
          <cell r="AV8">
            <v>2514</v>
          </cell>
          <cell r="AW8">
            <v>3012</v>
          </cell>
          <cell r="AX8">
            <v>3540</v>
          </cell>
          <cell r="AY8">
            <v>4117</v>
          </cell>
          <cell r="AZ8">
            <v>4086.1499999999996</v>
          </cell>
          <cell r="BA8">
            <v>4184.91</v>
          </cell>
          <cell r="BJ8" t="str">
            <v xml:space="preserve"> </v>
          </cell>
        </row>
        <row r="9">
          <cell r="A9" t="str">
            <v>Aerospace</v>
          </cell>
          <cell r="B9">
            <v>1094</v>
          </cell>
          <cell r="C9">
            <v>1208</v>
          </cell>
          <cell r="D9">
            <v>1315</v>
          </cell>
          <cell r="E9">
            <v>1211</v>
          </cell>
          <cell r="F9">
            <v>1279</v>
          </cell>
          <cell r="G9">
            <v>1329</v>
          </cell>
          <cell r="H9">
            <v>1372</v>
          </cell>
          <cell r="I9">
            <v>1532</v>
          </cell>
          <cell r="J9">
            <v>1455</v>
          </cell>
          <cell r="K9">
            <v>1415</v>
          </cell>
          <cell r="L9">
            <v>1000</v>
          </cell>
          <cell r="M9">
            <v>1380</v>
          </cell>
          <cell r="N9">
            <v>3029</v>
          </cell>
          <cell r="O9">
            <v>3265</v>
          </cell>
          <cell r="P9">
            <v>3289</v>
          </cell>
          <cell r="Q9">
            <v>2946</v>
          </cell>
          <cell r="R9">
            <v>3012</v>
          </cell>
          <cell r="S9">
            <v>3433</v>
          </cell>
          <cell r="T9">
            <v>4116</v>
          </cell>
          <cell r="U9">
            <v>4828</v>
          </cell>
          <cell r="V9">
            <v>5512</v>
          </cell>
          <cell r="W9">
            <v>5250</v>
          </cell>
          <cell r="X9">
            <v>5300</v>
          </cell>
          <cell r="Y9">
            <v>6100</v>
          </cell>
          <cell r="Z9">
            <v>7400</v>
          </cell>
          <cell r="AB9">
            <v>0.17298347910592815</v>
          </cell>
          <cell r="AC9">
            <v>0.14167357083678533</v>
          </cell>
          <cell r="AD9">
            <v>-4.7532656023222097E-2</v>
          </cell>
          <cell r="AE9">
            <v>9.52380952380949E-3</v>
          </cell>
          <cell r="AF9">
            <v>0.15094339622641506</v>
          </cell>
          <cell r="AG9">
            <v>0.21311475409836067</v>
          </cell>
          <cell r="AI9" t="str">
            <v>Enterprise Value</v>
          </cell>
          <cell r="BJ9" t="str">
            <v xml:space="preserve"> </v>
          </cell>
        </row>
        <row r="10">
          <cell r="A10" t="str">
            <v>Resources/Corporate</v>
          </cell>
          <cell r="N10">
            <v>253</v>
          </cell>
          <cell r="O10">
            <v>276</v>
          </cell>
          <cell r="P10">
            <v>286</v>
          </cell>
          <cell r="Q10">
            <v>256</v>
          </cell>
          <cell r="R10">
            <v>1</v>
          </cell>
          <cell r="AI10" t="str">
            <v>Net Debt/(Cash), Avg.</v>
          </cell>
          <cell r="AJ10">
            <v>-547</v>
          </cell>
          <cell r="AK10">
            <v>-783.47500000000002</v>
          </cell>
          <cell r="AL10">
            <v>-1038.3477499999999</v>
          </cell>
          <cell r="AM10">
            <v>-956.21550000000002</v>
          </cell>
          <cell r="AN10">
            <v>-492.58024999999992</v>
          </cell>
          <cell r="AO10">
            <v>95.094600000000128</v>
          </cell>
          <cell r="AP10">
            <v>582.65920000000017</v>
          </cell>
          <cell r="AQ10">
            <v>638.70720000000017</v>
          </cell>
          <cell r="AR10">
            <v>963.88010000000008</v>
          </cell>
          <cell r="AS10">
            <v>1320</v>
          </cell>
          <cell r="AT10">
            <v>2163</v>
          </cell>
          <cell r="AU10">
            <v>2751.5</v>
          </cell>
          <cell r="AV10">
            <v>1638.5</v>
          </cell>
          <cell r="AW10">
            <v>1066.5</v>
          </cell>
          <cell r="AX10">
            <v>538.5</v>
          </cell>
          <cell r="AY10">
            <v>1151.5</v>
          </cell>
          <cell r="AZ10">
            <v>1396.3983658635225</v>
          </cell>
          <cell r="BA10">
            <v>-529.13307991461079</v>
          </cell>
          <cell r="BJ10" t="str">
            <v xml:space="preserve"> </v>
          </cell>
        </row>
        <row r="11">
          <cell r="A11" t="str">
            <v>Total Revenues</v>
          </cell>
          <cell r="B11">
            <v>6300</v>
          </cell>
          <cell r="C11">
            <v>6591</v>
          </cell>
          <cell r="D11">
            <v>6834</v>
          </cell>
          <cell r="E11">
            <v>7515</v>
          </cell>
          <cell r="F11">
            <v>7005</v>
          </cell>
          <cell r="G11">
            <v>7303</v>
          </cell>
          <cell r="H11">
            <v>7140</v>
          </cell>
          <cell r="I11">
            <v>7852</v>
          </cell>
          <cell r="J11">
            <v>8264</v>
          </cell>
          <cell r="K11">
            <v>8100</v>
          </cell>
          <cell r="L11">
            <v>7700</v>
          </cell>
          <cell r="M11">
            <v>8436</v>
          </cell>
          <cell r="N11">
            <v>10305</v>
          </cell>
          <cell r="O11">
            <v>12054</v>
          </cell>
          <cell r="P11">
            <v>13680</v>
          </cell>
          <cell r="Q11">
            <v>16328</v>
          </cell>
          <cell r="R11">
            <v>18868</v>
          </cell>
          <cell r="S11">
            <v>20975</v>
          </cell>
          <cell r="T11">
            <v>24063</v>
          </cell>
          <cell r="U11">
            <v>27240</v>
          </cell>
          <cell r="V11">
            <v>29300</v>
          </cell>
          <cell r="W11">
            <v>32500</v>
          </cell>
          <cell r="X11">
            <v>32980</v>
          </cell>
          <cell r="Y11">
            <v>34470</v>
          </cell>
          <cell r="Z11">
            <v>36750</v>
          </cell>
          <cell r="AB11">
            <v>0.13202842538336856</v>
          </cell>
          <cell r="AC11">
            <v>7.562408223201178E-2</v>
          </cell>
          <cell r="AD11">
            <v>0.10921501706484649</v>
          </cell>
          <cell r="AE11">
            <v>1.4769230769230868E-2</v>
          </cell>
          <cell r="AF11">
            <v>4.5178896300788418E-2</v>
          </cell>
          <cell r="AG11">
            <v>6.6144473455178376E-2</v>
          </cell>
          <cell r="AI11" t="str">
            <v>Other assets</v>
          </cell>
          <cell r="AK11" t="str">
            <v xml:space="preserve"> </v>
          </cell>
          <cell r="AM11">
            <v>-934</v>
          </cell>
          <cell r="AN11">
            <v>-934</v>
          </cell>
          <cell r="AO11">
            <v>-934</v>
          </cell>
          <cell r="AP11">
            <v>-133.5</v>
          </cell>
          <cell r="BJ11" t="str">
            <v xml:space="preserve"> </v>
          </cell>
          <cell r="BQ11" t="str">
            <v>mstag:revenueNet</v>
          </cell>
          <cell r="BR11">
            <v>6</v>
          </cell>
          <cell r="BS11" t="str">
            <v>ISO4217:USD</v>
          </cell>
          <cell r="BT11" t="b">
            <v>0</v>
          </cell>
        </row>
        <row r="12">
          <cell r="A12" t="str">
            <v>% Ch Y/Y</v>
          </cell>
          <cell r="B12">
            <v>0.13595384060584204</v>
          </cell>
          <cell r="C12">
            <v>0.11071789686552073</v>
          </cell>
          <cell r="D12">
            <v>0.12605042016806722</v>
          </cell>
          <cell r="E12">
            <v>0.15366902057107767</v>
          </cell>
          <cell r="F12">
            <v>0.11190476190476195</v>
          </cell>
          <cell r="G12">
            <v>0.10802609619177672</v>
          </cell>
          <cell r="H12">
            <v>4.4776119402984982E-2</v>
          </cell>
          <cell r="I12">
            <v>4.4843646041250906E-2</v>
          </cell>
          <cell r="J12">
            <v>0.17972876516773728</v>
          </cell>
          <cell r="K12">
            <v>0.10913323291797883</v>
          </cell>
          <cell r="L12">
            <v>7.8431372549019551E-2</v>
          </cell>
          <cell r="M12">
            <v>7.4375955170657093E-2</v>
          </cell>
          <cell r="N12">
            <v>0.15023998214086398</v>
          </cell>
          <cell r="O12">
            <v>0.16972343522561872</v>
          </cell>
          <cell r="P12">
            <v>0.13489298158287699</v>
          </cell>
          <cell r="Q12">
            <v>0.19356725146198839</v>
          </cell>
          <cell r="R12">
            <v>0.15556099951004421</v>
          </cell>
          <cell r="S12">
            <v>0.11167055331778664</v>
          </cell>
          <cell r="T12">
            <v>0.14722288438617404</v>
          </cell>
          <cell r="U12">
            <v>0.13202842538336856</v>
          </cell>
          <cell r="V12">
            <v>7.562408223201178E-2</v>
          </cell>
          <cell r="W12">
            <v>0.10921501706484649</v>
          </cell>
          <cell r="X12">
            <v>1.4769230769230868E-2</v>
          </cell>
          <cell r="Y12">
            <v>4.5178896300788418E-2</v>
          </cell>
          <cell r="Z12">
            <v>6.6144473455178376E-2</v>
          </cell>
          <cell r="AI12" t="str">
            <v>Equity Mkt Cap, Avg.</v>
          </cell>
          <cell r="AJ12">
            <v>1582.9625000000001</v>
          </cell>
          <cell r="AK12">
            <v>2714.3125</v>
          </cell>
          <cell r="AL12">
            <v>3319.3125</v>
          </cell>
          <cell r="AM12">
            <v>4206.875</v>
          </cell>
          <cell r="AN12">
            <v>7912.9343749999998</v>
          </cell>
          <cell r="AO12">
            <v>10337.474999999999</v>
          </cell>
          <cell r="AP12">
            <v>12290.206249999999</v>
          </cell>
          <cell r="AQ12">
            <v>11599.9125</v>
          </cell>
          <cell r="AR12">
            <v>15876.925000000001</v>
          </cell>
          <cell r="AS12">
            <v>18705.997180000002</v>
          </cell>
          <cell r="AT12">
            <v>14020.300800000001</v>
          </cell>
          <cell r="AU12">
            <v>19636.98849</v>
          </cell>
          <cell r="AV12">
            <v>22252.47032</v>
          </cell>
          <cell r="AW12">
            <v>27388.827000000001</v>
          </cell>
          <cell r="AX12">
            <v>33704.614099999999</v>
          </cell>
          <cell r="AY12">
            <v>28495.089</v>
          </cell>
          <cell r="AZ12">
            <v>21176.248218950001</v>
          </cell>
          <cell r="BA12">
            <v>20731.848218950003</v>
          </cell>
          <cell r="BJ12" t="str">
            <v xml:space="preserve"> </v>
          </cell>
        </row>
        <row r="13">
          <cell r="A13" t="str">
            <v>Operating Profit</v>
          </cell>
          <cell r="AI13" t="str">
            <v>Total</v>
          </cell>
          <cell r="AJ13">
            <v>1035.9625000000001</v>
          </cell>
          <cell r="AK13">
            <v>1930.8375000000001</v>
          </cell>
          <cell r="AL13">
            <v>2280.9647500000001</v>
          </cell>
          <cell r="AM13">
            <v>2316.6594999999998</v>
          </cell>
          <cell r="AN13">
            <v>6486.3541249999998</v>
          </cell>
          <cell r="AO13">
            <v>9498.5695999999989</v>
          </cell>
          <cell r="AP13">
            <v>12739.365449999999</v>
          </cell>
          <cell r="AQ13">
            <v>12238.619700000001</v>
          </cell>
          <cell r="AR13">
            <v>16840.805100000001</v>
          </cell>
          <cell r="AS13">
            <v>20025.997180000002</v>
          </cell>
          <cell r="AT13">
            <v>16183.300800000001</v>
          </cell>
          <cell r="AU13">
            <v>22388.48849</v>
          </cell>
          <cell r="AV13">
            <v>23890.97032</v>
          </cell>
          <cell r="AW13">
            <v>28455.327000000001</v>
          </cell>
          <cell r="AX13">
            <v>34243.114099999999</v>
          </cell>
          <cell r="AY13">
            <v>29646.589</v>
          </cell>
          <cell r="AZ13">
            <v>22572.646584813523</v>
          </cell>
          <cell r="BA13">
            <v>20202.71513903539</v>
          </cell>
          <cell r="BJ13" t="str">
            <v xml:space="preserve">  </v>
          </cell>
        </row>
        <row r="14">
          <cell r="A14" t="str">
            <v>Marine Systems</v>
          </cell>
          <cell r="B14">
            <v>98</v>
          </cell>
          <cell r="C14">
            <v>112</v>
          </cell>
          <cell r="D14">
            <v>110</v>
          </cell>
          <cell r="E14">
            <v>101</v>
          </cell>
          <cell r="F14">
            <v>122</v>
          </cell>
          <cell r="G14">
            <v>127</v>
          </cell>
          <cell r="H14">
            <v>140</v>
          </cell>
          <cell r="I14">
            <v>132</v>
          </cell>
          <cell r="J14">
            <v>163</v>
          </cell>
          <cell r="K14">
            <v>168</v>
          </cell>
          <cell r="L14">
            <v>144.15</v>
          </cell>
          <cell r="M14">
            <v>153.72500000000002</v>
          </cell>
          <cell r="N14">
            <v>324</v>
          </cell>
          <cell r="O14">
            <v>310</v>
          </cell>
          <cell r="P14">
            <v>287</v>
          </cell>
          <cell r="Q14">
            <v>216</v>
          </cell>
          <cell r="R14">
            <v>292</v>
          </cell>
          <cell r="S14">
            <v>249</v>
          </cell>
          <cell r="T14">
            <v>375</v>
          </cell>
          <cell r="U14">
            <v>421</v>
          </cell>
          <cell r="V14">
            <v>521</v>
          </cell>
          <cell r="W14">
            <v>628.875</v>
          </cell>
          <cell r="X14">
            <v>643.11</v>
          </cell>
          <cell r="Y14">
            <v>692.86</v>
          </cell>
          <cell r="Z14">
            <v>755.25</v>
          </cell>
          <cell r="AB14">
            <v>0.1226666666666667</v>
          </cell>
          <cell r="AC14">
            <v>0.23752969121140133</v>
          </cell>
          <cell r="AD14">
            <v>0.20705374280230315</v>
          </cell>
          <cell r="AE14">
            <v>2.263565891472874E-2</v>
          </cell>
          <cell r="AF14">
            <v>7.7358461227472697E-2</v>
          </cell>
          <cell r="AG14">
            <v>9.0047051352365459E-2</v>
          </cell>
          <cell r="AI14" t="str">
            <v>EV/EBITDA</v>
          </cell>
          <cell r="AJ14">
            <v>2.4261416861826701</v>
          </cell>
          <cell r="AK14">
            <v>5.2755122950819677</v>
          </cell>
          <cell r="AL14">
            <v>6.3360131944444449</v>
          </cell>
          <cell r="AM14">
            <v>5.5555383693045561</v>
          </cell>
          <cell r="AN14">
            <v>8.4238365259740249</v>
          </cell>
          <cell r="AO14">
            <v>10.057782295637441</v>
          </cell>
          <cell r="AP14">
            <v>9.4156433481152995</v>
          </cell>
          <cell r="AQ14">
            <v>7.9265671632124359</v>
          </cell>
          <cell r="AR14">
            <v>9.6508911747851016</v>
          </cell>
          <cell r="AS14">
            <v>10.991216893523601</v>
          </cell>
          <cell r="AT14">
            <v>9.4363269970845494</v>
          </cell>
          <cell r="AU14">
            <v>10.048693218132854</v>
          </cell>
          <cell r="AV14">
            <v>9.5031703739061264</v>
          </cell>
          <cell r="AW14">
            <v>9.4473197211155391</v>
          </cell>
          <cell r="AX14">
            <v>9.6731960734463271</v>
          </cell>
          <cell r="AY14">
            <v>7.2010174884624725</v>
          </cell>
          <cell r="AZ14">
            <v>5.5241845220595245</v>
          </cell>
          <cell r="BA14">
            <v>4.8275148423826062</v>
          </cell>
          <cell r="BJ14" t="str">
            <v xml:space="preserve"> </v>
          </cell>
        </row>
        <row r="15">
          <cell r="A15" t="str">
            <v>Combat Systems</v>
          </cell>
          <cell r="B15">
            <v>174</v>
          </cell>
          <cell r="C15">
            <v>191</v>
          </cell>
          <cell r="D15">
            <v>228</v>
          </cell>
          <cell r="E15">
            <v>323</v>
          </cell>
          <cell r="F15">
            <v>259</v>
          </cell>
          <cell r="G15">
            <v>282</v>
          </cell>
          <cell r="H15">
            <v>262</v>
          </cell>
          <cell r="I15">
            <v>308</v>
          </cell>
          <cell r="J15">
            <v>279</v>
          </cell>
          <cell r="K15">
            <v>300</v>
          </cell>
          <cell r="L15">
            <v>310</v>
          </cell>
          <cell r="M15">
            <v>336</v>
          </cell>
          <cell r="N15">
            <v>156</v>
          </cell>
          <cell r="O15">
            <v>238</v>
          </cell>
          <cell r="P15">
            <v>309</v>
          </cell>
          <cell r="Q15">
            <v>443</v>
          </cell>
          <cell r="R15">
            <v>522</v>
          </cell>
          <cell r="S15">
            <v>576</v>
          </cell>
          <cell r="T15">
            <v>677</v>
          </cell>
          <cell r="U15">
            <v>916</v>
          </cell>
          <cell r="V15">
            <v>1111</v>
          </cell>
          <cell r="W15">
            <v>1225</v>
          </cell>
          <cell r="X15">
            <v>1194</v>
          </cell>
          <cell r="Y15">
            <v>1161.5</v>
          </cell>
          <cell r="Z15">
            <v>1116.5</v>
          </cell>
          <cell r="AB15">
            <v>0.35302806499261452</v>
          </cell>
          <cell r="AC15">
            <v>0.21288209606986896</v>
          </cell>
          <cell r="AD15">
            <v>0.1026102610261026</v>
          </cell>
          <cell r="AE15">
            <v>-2.5306122448979562E-2</v>
          </cell>
          <cell r="AF15">
            <v>-2.7219430485762142E-2</v>
          </cell>
          <cell r="AG15">
            <v>-3.8743004735256159E-2</v>
          </cell>
          <cell r="BJ15" t="str">
            <v xml:space="preserve"> </v>
          </cell>
        </row>
        <row r="16">
          <cell r="A16" t="str">
            <v>Info. Systems &amp; Tech.</v>
          </cell>
          <cell r="B16">
            <v>250</v>
          </cell>
          <cell r="C16">
            <v>269</v>
          </cell>
          <cell r="D16">
            <v>254</v>
          </cell>
          <cell r="E16">
            <v>254</v>
          </cell>
          <cell r="F16">
            <v>260</v>
          </cell>
          <cell r="G16">
            <v>292</v>
          </cell>
          <cell r="H16">
            <v>270</v>
          </cell>
          <cell r="I16">
            <v>253</v>
          </cell>
          <cell r="J16">
            <v>289</v>
          </cell>
          <cell r="K16">
            <v>284</v>
          </cell>
          <cell r="L16">
            <v>265</v>
          </cell>
          <cell r="M16">
            <v>274.39999999999986</v>
          </cell>
          <cell r="N16">
            <v>217</v>
          </cell>
          <cell r="O16">
            <v>261</v>
          </cell>
          <cell r="P16">
            <v>435</v>
          </cell>
          <cell r="Q16">
            <v>533</v>
          </cell>
          <cell r="R16">
            <v>718</v>
          </cell>
          <cell r="S16">
            <v>865</v>
          </cell>
          <cell r="T16">
            <v>976</v>
          </cell>
          <cell r="U16">
            <v>1027</v>
          </cell>
          <cell r="V16">
            <v>1075</v>
          </cell>
          <cell r="W16">
            <v>1112.3999999999999</v>
          </cell>
          <cell r="X16">
            <v>1143.3</v>
          </cell>
          <cell r="Y16">
            <v>1108.8</v>
          </cell>
          <cell r="Z16">
            <v>1091.25</v>
          </cell>
          <cell r="AB16">
            <v>5.2254098360655643E-2</v>
          </cell>
          <cell r="AC16">
            <v>4.6738072054527846E-2</v>
          </cell>
          <cell r="AD16">
            <v>3.4790697674418558E-2</v>
          </cell>
          <cell r="AE16">
            <v>2.7777777777777901E-2</v>
          </cell>
          <cell r="AF16">
            <v>-3.0175806874836009E-2</v>
          </cell>
          <cell r="AG16">
            <v>-1.5827922077922052E-2</v>
          </cell>
          <cell r="AI16" t="str">
            <v>Cash Flow/NINC</v>
          </cell>
          <cell r="AO16" t="str">
            <v>NMF</v>
          </cell>
          <cell r="AP16">
            <v>1.1580397476958364</v>
          </cell>
          <cell r="AQ16">
            <v>0.96538483410681741</v>
          </cell>
          <cell r="AR16">
            <v>0.79003181336161199</v>
          </cell>
          <cell r="AS16">
            <v>0.82692307692307687</v>
          </cell>
          <cell r="AT16">
            <v>1.4950199203187251</v>
          </cell>
          <cell r="AU16">
            <v>1.263243683781581</v>
          </cell>
          <cell r="AV16">
            <v>1.2279260780287475</v>
          </cell>
          <cell r="AW16">
            <v>0.96659482758620685</v>
          </cell>
          <cell r="AX16">
            <v>1.1783653846153845</v>
          </cell>
          <cell r="AY16">
            <v>1.0654737698251322</v>
          </cell>
          <cell r="AZ16">
            <v>1.4330381683905913</v>
          </cell>
          <cell r="BA16">
            <v>1.179662633222621</v>
          </cell>
          <cell r="BJ16" t="str">
            <v xml:space="preserve"> </v>
          </cell>
        </row>
        <row r="17">
          <cell r="A17" t="str">
            <v>Aerospace</v>
          </cell>
          <cell r="B17">
            <v>173</v>
          </cell>
          <cell r="C17">
            <v>199</v>
          </cell>
          <cell r="D17">
            <v>226</v>
          </cell>
          <cell r="E17">
            <v>212</v>
          </cell>
          <cell r="F17">
            <v>236</v>
          </cell>
          <cell r="G17">
            <v>240</v>
          </cell>
          <cell r="H17">
            <v>281</v>
          </cell>
          <cell r="I17">
            <v>264</v>
          </cell>
          <cell r="J17">
            <v>200</v>
          </cell>
          <cell r="K17">
            <v>215</v>
          </cell>
          <cell r="L17">
            <v>100</v>
          </cell>
          <cell r="M17">
            <v>193.75</v>
          </cell>
          <cell r="N17">
            <v>592</v>
          </cell>
          <cell r="O17">
            <v>625</v>
          </cell>
          <cell r="P17">
            <v>447</v>
          </cell>
          <cell r="Q17">
            <v>218</v>
          </cell>
          <cell r="R17">
            <v>393</v>
          </cell>
          <cell r="S17">
            <v>495</v>
          </cell>
          <cell r="T17">
            <v>644</v>
          </cell>
          <cell r="U17">
            <v>810</v>
          </cell>
          <cell r="V17">
            <v>1021</v>
          </cell>
          <cell r="W17">
            <v>708.75</v>
          </cell>
          <cell r="X17">
            <v>742.00000000000011</v>
          </cell>
          <cell r="Y17">
            <v>915</v>
          </cell>
          <cell r="Z17">
            <v>1243.2</v>
          </cell>
          <cell r="AB17">
            <v>0.2577639751552796</v>
          </cell>
          <cell r="AC17">
            <v>0.26049382716049374</v>
          </cell>
          <cell r="AD17">
            <v>-0.30582761998041141</v>
          </cell>
          <cell r="AE17">
            <v>4.6913580246913833E-2</v>
          </cell>
          <cell r="AF17">
            <v>0.23315363881401607</v>
          </cell>
          <cell r="AG17">
            <v>0.35868852459016409</v>
          </cell>
          <cell r="AI17" t="str">
            <v>Economic P/E</v>
          </cell>
          <cell r="BJ17" t="str">
            <v xml:space="preserve"> </v>
          </cell>
        </row>
        <row r="18">
          <cell r="A18" t="str">
            <v>Resources/Corporate</v>
          </cell>
          <cell r="B18">
            <v>-14</v>
          </cell>
          <cell r="C18">
            <v>-11</v>
          </cell>
          <cell r="D18">
            <v>-17</v>
          </cell>
          <cell r="E18">
            <v>-19</v>
          </cell>
          <cell r="F18">
            <v>-16</v>
          </cell>
          <cell r="G18">
            <v>-20</v>
          </cell>
          <cell r="H18">
            <v>-20</v>
          </cell>
          <cell r="I18">
            <v>-19</v>
          </cell>
          <cell r="J18">
            <v>-26</v>
          </cell>
          <cell r="K18">
            <v>-22</v>
          </cell>
          <cell r="L18">
            <v>-21</v>
          </cell>
          <cell r="M18">
            <v>-21</v>
          </cell>
          <cell r="N18">
            <v>36</v>
          </cell>
          <cell r="O18">
            <v>52</v>
          </cell>
          <cell r="P18">
            <v>89</v>
          </cell>
          <cell r="Q18">
            <v>32</v>
          </cell>
          <cell r="R18">
            <v>6</v>
          </cell>
          <cell r="S18">
            <v>-6</v>
          </cell>
          <cell r="T18">
            <v>-47</v>
          </cell>
          <cell r="U18">
            <v>-61</v>
          </cell>
          <cell r="V18">
            <v>-75</v>
          </cell>
          <cell r="W18">
            <v>-90</v>
          </cell>
          <cell r="X18">
            <v>-70</v>
          </cell>
          <cell r="Y18">
            <v>-70</v>
          </cell>
          <cell r="Z18">
            <v>-70</v>
          </cell>
          <cell r="AB18">
            <v>0.2978723404255319</v>
          </cell>
          <cell r="AC18">
            <v>0.22950819672131151</v>
          </cell>
          <cell r="AD18">
            <v>0.19999999999999996</v>
          </cell>
          <cell r="AE18">
            <v>-0.22222222222222221</v>
          </cell>
          <cell r="AF18">
            <v>0</v>
          </cell>
          <cell r="AG18">
            <v>0</v>
          </cell>
          <cell r="AI18" t="str">
            <v>P/E</v>
          </cell>
          <cell r="AK18">
            <v>12.174534649024443</v>
          </cell>
          <cell r="AL18">
            <v>13.449647582715244</v>
          </cell>
          <cell r="AM18">
            <v>15.58448173668223</v>
          </cell>
          <cell r="AN18">
            <v>14.143499486125387</v>
          </cell>
          <cell r="AO18">
            <v>20.847534227347676</v>
          </cell>
          <cell r="AP18">
            <v>17.188859246723823</v>
          </cell>
          <cell r="AQ18">
            <v>14.34046055478221</v>
          </cell>
          <cell r="AR18">
            <v>16.836611876988339</v>
          </cell>
          <cell r="AS18">
            <v>17.986535750000002</v>
          </cell>
          <cell r="AT18">
            <v>14.321042696629215</v>
          </cell>
          <cell r="AU18">
            <v>16.446389020100504</v>
          </cell>
          <cell r="AV18">
            <v>15.367728121546964</v>
          </cell>
          <cell r="AW18">
            <v>16.016857894736841</v>
          </cell>
          <cell r="AX18">
            <v>16.204141394230767</v>
          </cell>
          <cell r="AY18">
            <v>11.663974212034383</v>
          </cell>
          <cell r="AZ18">
            <v>8.9884862520285829</v>
          </cell>
          <cell r="BA18">
            <v>8.5996631193962738</v>
          </cell>
          <cell r="BJ18" t="str">
            <v xml:space="preserve"> </v>
          </cell>
        </row>
        <row r="19">
          <cell r="A19" t="str">
            <v>Total Operating Profit</v>
          </cell>
          <cell r="B19">
            <v>681</v>
          </cell>
          <cell r="C19">
            <v>760</v>
          </cell>
          <cell r="D19">
            <v>801</v>
          </cell>
          <cell r="E19">
            <v>871</v>
          </cell>
          <cell r="F19">
            <v>861</v>
          </cell>
          <cell r="G19">
            <v>921</v>
          </cell>
          <cell r="H19">
            <v>933</v>
          </cell>
          <cell r="I19">
            <v>938</v>
          </cell>
          <cell r="J19">
            <v>905</v>
          </cell>
          <cell r="K19">
            <v>945</v>
          </cell>
          <cell r="L19">
            <v>798.15</v>
          </cell>
          <cell r="M19">
            <v>936.87499999999989</v>
          </cell>
          <cell r="N19">
            <v>1325</v>
          </cell>
          <cell r="O19">
            <v>1486</v>
          </cell>
          <cell r="P19">
            <v>1567</v>
          </cell>
          <cell r="Q19">
            <v>1442</v>
          </cell>
          <cell r="R19">
            <v>1931</v>
          </cell>
          <cell r="S19">
            <v>2179</v>
          </cell>
          <cell r="T19">
            <v>2625</v>
          </cell>
          <cell r="U19">
            <v>3113</v>
          </cell>
          <cell r="V19">
            <v>3653</v>
          </cell>
          <cell r="W19">
            <v>3585.0249999999996</v>
          </cell>
          <cell r="X19">
            <v>3652.41</v>
          </cell>
          <cell r="Y19">
            <v>3808.16</v>
          </cell>
          <cell r="Z19">
            <v>4136.2</v>
          </cell>
          <cell r="AB19">
            <v>0.18590476190476179</v>
          </cell>
          <cell r="AC19">
            <v>0.1734661098618695</v>
          </cell>
          <cell r="AD19">
            <v>-1.860799343005759E-2</v>
          </cell>
          <cell r="AE19">
            <v>1.8796242704025801E-2</v>
          </cell>
          <cell r="AF19">
            <v>4.2643076763013932E-2</v>
          </cell>
          <cell r="AG19">
            <v>8.6141338599218464E-2</v>
          </cell>
          <cell r="AI19" t="str">
            <v>EV/Sls</v>
          </cell>
          <cell r="AL19">
            <v>0.74371201499836981</v>
          </cell>
          <cell r="AM19">
            <v>0.64693088522759001</v>
          </cell>
          <cell r="AN19">
            <v>1.075859035495107</v>
          </cell>
          <cell r="AO19">
            <v>1.2605931785003317</v>
          </cell>
          <cell r="AP19">
            <v>1.4219628809018863</v>
          </cell>
          <cell r="AQ19">
            <v>1.187638981077147</v>
          </cell>
          <cell r="AR19">
            <v>1.3971134146341464</v>
          </cell>
          <cell r="AS19">
            <v>1.4638886827485382</v>
          </cell>
          <cell r="AT19">
            <v>0.99113797158255768</v>
          </cell>
          <cell r="AU19">
            <v>1.1865851436294255</v>
          </cell>
          <cell r="AV19">
            <v>1.1390212309892729</v>
          </cell>
          <cell r="AW19">
            <v>1.1825344720109712</v>
          </cell>
          <cell r="AX19">
            <v>1.2570893575624082</v>
          </cell>
          <cell r="AY19">
            <v>1.011828976109215</v>
          </cell>
          <cell r="AZ19">
            <v>0.69454297184041613</v>
          </cell>
          <cell r="BA19">
            <v>0.61257474648378984</v>
          </cell>
          <cell r="BJ19" t="str">
            <v xml:space="preserve"> </v>
          </cell>
        </row>
        <row r="20">
          <cell r="A20" t="str">
            <v>Operating Profit Margin</v>
          </cell>
          <cell r="AI20" t="str">
            <v>Current Price/Mean</v>
          </cell>
          <cell r="AJ20">
            <v>12.5234375</v>
          </cell>
          <cell r="AK20">
            <v>10.703125</v>
          </cell>
          <cell r="AL20">
            <v>13.171875</v>
          </cell>
          <cell r="AM20">
            <v>16.5625</v>
          </cell>
          <cell r="AN20">
            <v>19.328125</v>
          </cell>
          <cell r="AO20">
            <v>25.5625</v>
          </cell>
          <cell r="AP20">
            <v>30.40625</v>
          </cell>
          <cell r="AQ20">
            <v>28.8125</v>
          </cell>
          <cell r="AR20">
            <v>39.125</v>
          </cell>
          <cell r="AS20">
            <v>46.107500000000002</v>
          </cell>
          <cell r="AT20">
            <v>35.200000000000003</v>
          </cell>
          <cell r="AU20">
            <v>48.734999999999999</v>
          </cell>
          <cell r="AV20">
            <v>54.965000000000003</v>
          </cell>
          <cell r="AW20">
            <v>67.327500000000001</v>
          </cell>
          <cell r="AX20">
            <v>82.58</v>
          </cell>
          <cell r="AY20">
            <v>71.47</v>
          </cell>
          <cell r="AZ20">
            <v>55</v>
          </cell>
          <cell r="BA20">
            <v>55</v>
          </cell>
        </row>
        <row r="21">
          <cell r="A21" t="str">
            <v>Marine Systems</v>
          </cell>
          <cell r="B21">
            <v>7.7963404932378674E-2</v>
          </cell>
          <cell r="C21">
            <v>8.8050314465408799E-2</v>
          </cell>
          <cell r="D21">
            <v>8.8282504012841087E-2</v>
          </cell>
          <cell r="E21">
            <v>8.2922824302134643E-2</v>
          </cell>
          <cell r="F21">
            <v>8.8534107402031936E-2</v>
          </cell>
          <cell r="G21">
            <v>9.1104734576757537E-2</v>
          </cell>
          <cell r="H21">
            <v>9.9715099715099717E-2</v>
          </cell>
          <cell r="I21">
            <v>9.5652173913043481E-2</v>
          </cell>
          <cell r="J21">
            <v>9.7663271420011979E-2</v>
          </cell>
          <cell r="K21">
            <v>0.10338461538461538</v>
          </cell>
          <cell r="L21">
            <v>9.2999999999999999E-2</v>
          </cell>
          <cell r="M21">
            <v>9.5719178082191797E-2</v>
          </cell>
          <cell r="N21">
            <v>9.4931145619689419E-2</v>
          </cell>
          <cell r="O21">
            <v>8.58250276854928E-2</v>
          </cell>
          <cell r="P21">
            <v>7.8630136986301363E-2</v>
          </cell>
          <cell r="Q21">
            <v>5.0573636150784362E-2</v>
          </cell>
          <cell r="R21">
            <v>6.1785865425306813E-2</v>
          </cell>
          <cell r="S21">
            <v>5.3035143769968054E-2</v>
          </cell>
          <cell r="T21">
            <v>7.5910931174089064E-2</v>
          </cell>
          <cell r="U21">
            <v>8.431804526336871E-2</v>
          </cell>
          <cell r="V21">
            <v>9.3772498200143994E-2</v>
          </cell>
          <cell r="W21">
            <v>9.7500000000000003E-2</v>
          </cell>
          <cell r="X21">
            <v>9.7000000000000003E-2</v>
          </cell>
          <cell r="Y21">
            <v>9.8000000000000004E-2</v>
          </cell>
          <cell r="Z21">
            <v>9.5000000000000001E-2</v>
          </cell>
          <cell r="AA21" t="str">
            <v>- 10% goal by 2010</v>
          </cell>
        </row>
        <row r="22">
          <cell r="A22" t="str">
            <v>Combat Systems</v>
          </cell>
          <cell r="B22">
            <v>0.11096938775510204</v>
          </cell>
          <cell r="C22">
            <v>0.11156542056074767</v>
          </cell>
          <cell r="D22">
            <v>0.12179487179487179</v>
          </cell>
          <cell r="E22">
            <v>0.12211720226843101</v>
          </cell>
          <cell r="F22">
            <v>0.12969454181271908</v>
          </cell>
          <cell r="G22">
            <v>0.13995037220843673</v>
          </cell>
          <cell r="H22">
            <v>0.14162162162162162</v>
          </cell>
          <cell r="I22">
            <v>0.13207547169811321</v>
          </cell>
          <cell r="J22">
            <v>0.11591192355629414</v>
          </cell>
          <cell r="K22">
            <v>0.12474012474012475</v>
          </cell>
          <cell r="L22">
            <v>0.124</v>
          </cell>
          <cell r="M22">
            <v>0.125</v>
          </cell>
          <cell r="N22">
            <v>0.12254516889238021</v>
          </cell>
          <cell r="O22">
            <v>0.1076923076923077</v>
          </cell>
          <cell r="P22">
            <v>0.11091170136396267</v>
          </cell>
          <cell r="Q22">
            <v>0.11055652607936112</v>
          </cell>
          <cell r="R22">
            <v>0.11844792375765827</v>
          </cell>
          <cell r="S22">
            <v>0.11471818362875921</v>
          </cell>
          <cell r="T22">
            <v>0.1131539361524319</v>
          </cell>
          <cell r="U22">
            <v>0.11748108246761575</v>
          </cell>
          <cell r="V22">
            <v>0.13558701488894312</v>
          </cell>
          <cell r="W22">
            <v>0.1225</v>
          </cell>
          <cell r="X22">
            <v>0.12</v>
          </cell>
          <cell r="Y22">
            <v>0.115</v>
          </cell>
          <cell r="Z22">
            <v>0.11</v>
          </cell>
          <cell r="AA22" t="str">
            <v>- 08 boosted by MRAP; not sustainable</v>
          </cell>
          <cell r="AI22" t="str">
            <v>Date</v>
          </cell>
          <cell r="AJ22">
            <v>34334</v>
          </cell>
          <cell r="AK22">
            <v>34699</v>
          </cell>
          <cell r="AL22">
            <v>35064</v>
          </cell>
          <cell r="AM22">
            <v>35430</v>
          </cell>
          <cell r="AN22">
            <v>35795</v>
          </cell>
          <cell r="AO22">
            <v>36160</v>
          </cell>
          <cell r="AP22">
            <v>36525</v>
          </cell>
          <cell r="AQ22">
            <v>36891</v>
          </cell>
          <cell r="AR22">
            <v>37256</v>
          </cell>
          <cell r="AS22">
            <v>37621</v>
          </cell>
          <cell r="AT22">
            <v>37986</v>
          </cell>
          <cell r="AU22">
            <v>38352</v>
          </cell>
          <cell r="AV22">
            <v>38717</v>
          </cell>
          <cell r="AW22">
            <v>39082</v>
          </cell>
          <cell r="AX22">
            <v>39447</v>
          </cell>
          <cell r="AY22">
            <v>39813</v>
          </cell>
          <cell r="AZ22">
            <v>40178</v>
          </cell>
          <cell r="BA22">
            <v>40543</v>
          </cell>
        </row>
        <row r="23">
          <cell r="A23" t="str">
            <v>Info. Systems &amp; Tech.</v>
          </cell>
          <cell r="B23">
            <v>0.10499790004199916</v>
          </cell>
          <cell r="C23">
            <v>0.11213005418924551</v>
          </cell>
          <cell r="D23">
            <v>0.10578925447730113</v>
          </cell>
          <cell r="E23">
            <v>0.10405571487095452</v>
          </cell>
          <cell r="F23">
            <v>0.11059123777116121</v>
          </cell>
          <cell r="G23">
            <v>0.1138401559454191</v>
          </cell>
          <cell r="H23">
            <v>0.10739856801909307</v>
          </cell>
          <cell r="I23">
            <v>9.7009202453987725E-2</v>
          </cell>
          <cell r="J23">
            <v>0.10574460300036589</v>
          </cell>
          <cell r="K23">
            <v>0.10696798493408663</v>
          </cell>
          <cell r="L23">
            <v>0.1</v>
          </cell>
          <cell r="M23">
            <v>9.9348298334540133E-2</v>
          </cell>
          <cell r="N23">
            <v>9.2854086435601196E-2</v>
          </cell>
          <cell r="O23">
            <v>9.6989966555183951E-2</v>
          </cell>
          <cell r="P23">
            <v>0.11856091578086672</v>
          </cell>
          <cell r="Q23">
            <v>0.10994224422442245</v>
          </cell>
          <cell r="R23">
            <v>0.1068134483784588</v>
          </cell>
          <cell r="S23">
            <v>0.11052900587784309</v>
          </cell>
          <cell r="T23">
            <v>0.10815602836879433</v>
          </cell>
          <cell r="U23">
            <v>0.1067345666181667</v>
          </cell>
          <cell r="V23">
            <v>0.10709304642359035</v>
          </cell>
          <cell r="W23">
            <v>0.10299999999999999</v>
          </cell>
          <cell r="X23">
            <v>0.10299999999999999</v>
          </cell>
          <cell r="Y23">
            <v>9.9000000000000005E-2</v>
          </cell>
          <cell r="Z23">
            <v>9.7000000000000003E-2</v>
          </cell>
          <cell r="AA23" t="str">
            <v>- low 10% biz going forward</v>
          </cell>
          <cell r="AI23" t="str">
            <v>High Stock Price</v>
          </cell>
          <cell r="AJ23">
            <v>15</v>
          </cell>
          <cell r="AK23">
            <v>11.906250000000002</v>
          </cell>
          <cell r="AL23">
            <v>15.75</v>
          </cell>
          <cell r="AM23">
            <v>18.875</v>
          </cell>
          <cell r="AN23">
            <v>22.875</v>
          </cell>
          <cell r="AO23">
            <v>31</v>
          </cell>
          <cell r="AP23">
            <v>37.71875</v>
          </cell>
          <cell r="AQ23">
            <v>39.5</v>
          </cell>
          <cell r="AR23">
            <v>48</v>
          </cell>
          <cell r="AS23">
            <v>55.59</v>
          </cell>
          <cell r="AT23">
            <v>45.400000000000006</v>
          </cell>
          <cell r="AU23">
            <v>54.99</v>
          </cell>
          <cell r="AV23">
            <v>61.134999999999998</v>
          </cell>
          <cell r="AW23">
            <v>77.98</v>
          </cell>
          <cell r="AX23">
            <v>94.55</v>
          </cell>
          <cell r="AY23">
            <v>95.13</v>
          </cell>
          <cell r="AZ23">
            <v>55</v>
          </cell>
          <cell r="BA23">
            <v>55</v>
          </cell>
        </row>
        <row r="24">
          <cell r="A24" t="str">
            <v>Aerospace</v>
          </cell>
          <cell r="B24">
            <v>0.15813528336380256</v>
          </cell>
          <cell r="C24">
            <v>0.16473509933774835</v>
          </cell>
          <cell r="D24">
            <v>0.17186311787072242</v>
          </cell>
          <cell r="E24">
            <v>0.1750619322873658</v>
          </cell>
          <cell r="F24">
            <v>0.18451915559030493</v>
          </cell>
          <cell r="G24">
            <v>0.18058690744920994</v>
          </cell>
          <cell r="H24">
            <v>0.20481049562682216</v>
          </cell>
          <cell r="I24">
            <v>0.17232375979112272</v>
          </cell>
          <cell r="J24">
            <v>0.13745704467353953</v>
          </cell>
          <cell r="K24">
            <v>0.1519434628975265</v>
          </cell>
          <cell r="L24">
            <v>0.1</v>
          </cell>
          <cell r="M24">
            <v>0.14039855072463769</v>
          </cell>
          <cell r="N24">
            <v>0.19544404093760318</v>
          </cell>
          <cell r="O24">
            <v>0.19142419601837674</v>
          </cell>
          <cell r="P24">
            <v>0.13590757069017939</v>
          </cell>
          <cell r="Q24">
            <v>7.3998642226748138E-2</v>
          </cell>
          <cell r="R24">
            <v>0.13047808764940239</v>
          </cell>
          <cell r="S24">
            <v>0.14418875618992136</v>
          </cell>
          <cell r="T24">
            <v>0.15646258503401361</v>
          </cell>
          <cell r="U24">
            <v>0.16777133388566695</v>
          </cell>
          <cell r="V24">
            <v>0.18523222060957911</v>
          </cell>
          <cell r="W24">
            <v>0.13500000000000001</v>
          </cell>
          <cell r="X24">
            <v>0.14000000000000001</v>
          </cell>
          <cell r="Y24">
            <v>0.15</v>
          </cell>
          <cell r="Z24">
            <v>0.16800000000000001</v>
          </cell>
          <cell r="AI24" t="str">
            <v>Low Stock Price</v>
          </cell>
          <cell r="AJ24">
            <v>10.046875</v>
          </cell>
          <cell r="AK24">
            <v>9.5</v>
          </cell>
          <cell r="AL24">
            <v>10.59375</v>
          </cell>
          <cell r="AM24">
            <v>14.25</v>
          </cell>
          <cell r="AN24">
            <v>15.781250000000002</v>
          </cell>
          <cell r="AO24">
            <v>20.125</v>
          </cell>
          <cell r="AP24">
            <v>23.093750000000004</v>
          </cell>
          <cell r="AQ24">
            <v>18.125</v>
          </cell>
          <cell r="AR24">
            <v>30.25</v>
          </cell>
          <cell r="AS24">
            <v>36.625</v>
          </cell>
          <cell r="AT24">
            <v>25</v>
          </cell>
          <cell r="AU24">
            <v>42.480000000000004</v>
          </cell>
          <cell r="AV24">
            <v>48.795000000000002</v>
          </cell>
          <cell r="AW24">
            <v>56.675000000000004</v>
          </cell>
          <cell r="AX24">
            <v>70.61</v>
          </cell>
          <cell r="AY24">
            <v>47.81</v>
          </cell>
          <cell r="AZ24">
            <v>55</v>
          </cell>
          <cell r="BA24">
            <v>55</v>
          </cell>
        </row>
        <row r="25">
          <cell r="A25" t="str">
            <v>Resources/Corporate</v>
          </cell>
        </row>
        <row r="26">
          <cell r="A26" t="str">
            <v>Total Op Profit Margin</v>
          </cell>
          <cell r="B26">
            <v>0.10809523809523809</v>
          </cell>
          <cell r="C26">
            <v>0.1153087543620088</v>
          </cell>
          <cell r="D26">
            <v>0.11720807726075505</v>
          </cell>
          <cell r="E26">
            <v>0.11590153027278775</v>
          </cell>
          <cell r="F26">
            <v>0.12291220556745182</v>
          </cell>
          <cell r="G26">
            <v>0.12611255648363687</v>
          </cell>
          <cell r="H26">
            <v>0.13067226890756303</v>
          </cell>
          <cell r="I26">
            <v>0.11946001018848701</v>
          </cell>
          <cell r="J26">
            <v>0.10951113262342692</v>
          </cell>
          <cell r="K26">
            <v>0.11666666666666667</v>
          </cell>
          <cell r="L26">
            <v>0.10365584415584415</v>
          </cell>
          <cell r="M26">
            <v>0.11105678046467519</v>
          </cell>
          <cell r="N26">
            <v>0.12857836001940806</v>
          </cell>
          <cell r="O26">
            <v>0.12327857972457276</v>
          </cell>
          <cell r="P26">
            <v>0.11454678362573099</v>
          </cell>
          <cell r="Q26">
            <v>8.8314551690347867E-2</v>
          </cell>
          <cell r="R26">
            <v>0.10234259062963748</v>
          </cell>
          <cell r="S26">
            <v>0.10388557806912992</v>
          </cell>
          <cell r="T26">
            <v>0.10908864231392594</v>
          </cell>
          <cell r="U26">
            <v>0.11428046989720998</v>
          </cell>
          <cell r="V26">
            <v>0.12467576791808874</v>
          </cell>
          <cell r="W26">
            <v>0.11030846153846152</v>
          </cell>
          <cell r="X26">
            <v>0.11074620982413584</v>
          </cell>
          <cell r="Y26">
            <v>0.11047751668117203</v>
          </cell>
          <cell r="Z26">
            <v>0.11254965986394558</v>
          </cell>
          <cell r="AI26" t="str">
            <v>General Dynamics</v>
          </cell>
        </row>
        <row r="27">
          <cell r="A27" t="str">
            <v>Interest, net</v>
          </cell>
          <cell r="B27">
            <v>-26</v>
          </cell>
          <cell r="C27">
            <v>-21</v>
          </cell>
          <cell r="D27">
            <v>-12</v>
          </cell>
          <cell r="E27">
            <v>-11</v>
          </cell>
          <cell r="F27">
            <v>-19</v>
          </cell>
          <cell r="G27">
            <v>-12</v>
          </cell>
          <cell r="H27">
            <v>-11</v>
          </cell>
          <cell r="I27">
            <v>-24</v>
          </cell>
          <cell r="J27">
            <v>-39</v>
          </cell>
          <cell r="K27">
            <v>-38</v>
          </cell>
          <cell r="L27">
            <v>-37</v>
          </cell>
          <cell r="M27">
            <v>-35.714400000000012</v>
          </cell>
          <cell r="N27">
            <v>-60</v>
          </cell>
          <cell r="O27">
            <v>-56</v>
          </cell>
          <cell r="P27">
            <v>-45</v>
          </cell>
          <cell r="Q27">
            <v>-98</v>
          </cell>
          <cell r="R27">
            <v>-148</v>
          </cell>
          <cell r="S27">
            <v>-118</v>
          </cell>
          <cell r="T27">
            <v>-101</v>
          </cell>
          <cell r="U27">
            <v>-70</v>
          </cell>
          <cell r="V27">
            <v>-66</v>
          </cell>
          <cell r="W27">
            <v>-149.71440000000001</v>
          </cell>
          <cell r="X27">
            <v>-127.88593463454089</v>
          </cell>
          <cell r="Y27">
            <v>-93.130242168874673</v>
          </cell>
          <cell r="Z27">
            <v>-71.430517660267554</v>
          </cell>
          <cell r="AB27">
            <v>-0.30693069306930698</v>
          </cell>
          <cell r="AC27">
            <v>-5.7142857142857162E-2</v>
          </cell>
          <cell r="AD27">
            <v>1.2684000000000002</v>
          </cell>
          <cell r="AE27">
            <v>-0.14580070698248881</v>
          </cell>
          <cell r="AF27">
            <v>-0.27177103224828758</v>
          </cell>
          <cell r="AG27">
            <v>-0.23300405972593341</v>
          </cell>
          <cell r="AI27" t="str">
            <v>Key Ratios</v>
          </cell>
        </row>
        <row r="28">
          <cell r="A28" t="str">
            <v>Other, net</v>
          </cell>
          <cell r="B28">
            <v>1</v>
          </cell>
          <cell r="C28">
            <v>1</v>
          </cell>
          <cell r="D28">
            <v>2</v>
          </cell>
          <cell r="E28">
            <v>0</v>
          </cell>
          <cell r="F28">
            <v>3</v>
          </cell>
          <cell r="G28">
            <v>0</v>
          </cell>
          <cell r="H28">
            <v>0</v>
          </cell>
          <cell r="I28">
            <v>14</v>
          </cell>
          <cell r="J28">
            <v>3</v>
          </cell>
          <cell r="K28">
            <v>0</v>
          </cell>
          <cell r="L28">
            <v>0</v>
          </cell>
          <cell r="M28">
            <v>0</v>
          </cell>
          <cell r="N28">
            <v>-7</v>
          </cell>
          <cell r="O28">
            <v>-5</v>
          </cell>
          <cell r="P28">
            <v>47</v>
          </cell>
          <cell r="Q28">
            <v>3</v>
          </cell>
          <cell r="R28">
            <v>-9</v>
          </cell>
          <cell r="S28">
            <v>8</v>
          </cell>
          <cell r="T28">
            <v>3</v>
          </cell>
          <cell r="U28">
            <v>4</v>
          </cell>
          <cell r="V28">
            <v>17</v>
          </cell>
          <cell r="W28">
            <v>3</v>
          </cell>
          <cell r="X28">
            <v>0</v>
          </cell>
          <cell r="Y28">
            <v>0</v>
          </cell>
          <cell r="Z28">
            <v>0</v>
          </cell>
          <cell r="BQ28" t="str">
            <v>mstag:otherNonOperatingIncomeExpense</v>
          </cell>
          <cell r="BR28">
            <v>6</v>
          </cell>
          <cell r="BS28" t="str">
            <v>ISO4217:USD</v>
          </cell>
          <cell r="BT28" t="b">
            <v>0</v>
          </cell>
          <cell r="BU28" t="b">
            <v>0</v>
          </cell>
        </row>
        <row r="29">
          <cell r="A29" t="str">
            <v>Pretax Income</v>
          </cell>
          <cell r="B29">
            <v>656</v>
          </cell>
          <cell r="C29">
            <v>740</v>
          </cell>
          <cell r="D29">
            <v>791</v>
          </cell>
          <cell r="E29">
            <v>860</v>
          </cell>
          <cell r="F29">
            <v>845</v>
          </cell>
          <cell r="G29">
            <v>909</v>
          </cell>
          <cell r="H29">
            <v>922</v>
          </cell>
          <cell r="I29">
            <v>928</v>
          </cell>
          <cell r="J29">
            <v>869</v>
          </cell>
          <cell r="K29">
            <v>907</v>
          </cell>
          <cell r="L29">
            <v>761.15</v>
          </cell>
          <cell r="M29">
            <v>901.16059999999993</v>
          </cell>
          <cell r="N29">
            <v>1258</v>
          </cell>
          <cell r="O29">
            <v>1425</v>
          </cell>
          <cell r="P29">
            <v>1569</v>
          </cell>
          <cell r="Q29">
            <v>1347</v>
          </cell>
          <cell r="R29">
            <v>1774</v>
          </cell>
          <cell r="S29">
            <v>2069</v>
          </cell>
          <cell r="T29">
            <v>2527</v>
          </cell>
          <cell r="U29">
            <v>3047</v>
          </cell>
          <cell r="V29">
            <v>3604</v>
          </cell>
          <cell r="W29">
            <v>3438.3105999999998</v>
          </cell>
          <cell r="X29">
            <v>3524.5240653654591</v>
          </cell>
          <cell r="Y29">
            <v>3715.0297578311252</v>
          </cell>
          <cell r="Z29">
            <v>4064.7694823397323</v>
          </cell>
          <cell r="AB29">
            <v>0.20577760189948546</v>
          </cell>
          <cell r="AC29">
            <v>0.18280275680997704</v>
          </cell>
          <cell r="AD29">
            <v>-4.5973751387347495E-2</v>
          </cell>
          <cell r="AE29">
            <v>2.5074368024069482E-2</v>
          </cell>
          <cell r="AF29">
            <v>5.4051465937688947E-2</v>
          </cell>
          <cell r="AG29">
            <v>9.4141836622269492E-2</v>
          </cell>
          <cell r="AI29" t="str">
            <v>($USD in Millions)</v>
          </cell>
          <cell r="AO29" t="str">
            <v>1998</v>
          </cell>
          <cell r="AP29">
            <v>1999</v>
          </cell>
          <cell r="AQ29">
            <v>2000</v>
          </cell>
          <cell r="AR29">
            <v>2001</v>
          </cell>
          <cell r="AS29">
            <v>2002</v>
          </cell>
          <cell r="AT29">
            <v>2003</v>
          </cell>
          <cell r="AU29">
            <v>2004</v>
          </cell>
          <cell r="AV29">
            <v>2005</v>
          </cell>
          <cell r="AW29">
            <v>2006</v>
          </cell>
          <cell r="AX29">
            <v>2007</v>
          </cell>
          <cell r="AY29" t="str">
            <v>2008A</v>
          </cell>
          <cell r="AZ29" t="str">
            <v>2009E</v>
          </cell>
          <cell r="BA29" t="str">
            <v>2010E</v>
          </cell>
        </row>
        <row r="30">
          <cell r="A30" t="str">
            <v>Effective Tax Rate</v>
          </cell>
          <cell r="B30">
            <v>0.32926829268292684</v>
          </cell>
          <cell r="C30">
            <v>0.3</v>
          </cell>
          <cell r="D30">
            <v>0.31226300000000001</v>
          </cell>
          <cell r="E30">
            <v>0.32790693837209323</v>
          </cell>
          <cell r="F30">
            <v>0.32189349112426036</v>
          </cell>
          <cell r="G30">
            <v>0.33333333333333331</v>
          </cell>
          <cell r="H30">
            <v>0.31236442516268981</v>
          </cell>
          <cell r="I30">
            <v>0.32112068965517238</v>
          </cell>
          <cell r="J30">
            <v>0.31726121979286537</v>
          </cell>
          <cell r="K30">
            <v>0.31477398015435504</v>
          </cell>
          <cell r="L30">
            <v>0.316</v>
          </cell>
          <cell r="M30">
            <v>0.31143924499140313</v>
          </cell>
          <cell r="N30">
            <v>0.35699999999999998</v>
          </cell>
          <cell r="O30">
            <v>0.33824561403508774</v>
          </cell>
          <cell r="P30">
            <v>0.33715742511153601</v>
          </cell>
          <cell r="Q30">
            <v>0.27319970304380103</v>
          </cell>
          <cell r="R30">
            <v>0.32694475760992109</v>
          </cell>
          <cell r="S30">
            <v>0.3001449975833736</v>
          </cell>
          <cell r="T30">
            <v>0.32330827067669171</v>
          </cell>
          <cell r="U30">
            <v>0.31736133902198882</v>
          </cell>
          <cell r="V30">
            <v>0.32214206437291898</v>
          </cell>
          <cell r="W30">
            <v>0.31480000000000002</v>
          </cell>
          <cell r="X30">
            <v>0.316</v>
          </cell>
          <cell r="Y30">
            <v>0.31900000000000001</v>
          </cell>
          <cell r="Z30">
            <v>0.34499999999999997</v>
          </cell>
          <cell r="AI30" t="str">
            <v>Operating Profit Margin</v>
          </cell>
          <cell r="AO30">
            <v>0.10357000663570007</v>
          </cell>
          <cell r="AP30">
            <v>0.12702310525728319</v>
          </cell>
          <cell r="AQ30">
            <v>0.12857836001940806</v>
          </cell>
          <cell r="AR30">
            <v>0.12327857972457276</v>
          </cell>
          <cell r="AS30">
            <v>0.11454678362573099</v>
          </cell>
          <cell r="AT30">
            <v>8.8314551690347867E-2</v>
          </cell>
          <cell r="AU30">
            <v>0.10234259062963748</v>
          </cell>
          <cell r="AV30">
            <v>0.10388557806912992</v>
          </cell>
          <cell r="AW30">
            <v>0.10908864231392594</v>
          </cell>
          <cell r="AX30">
            <v>0.11428046989720998</v>
          </cell>
          <cell r="AY30">
            <v>0.12467576791808874</v>
          </cell>
          <cell r="AZ30">
            <v>0.11030846153846152</v>
          </cell>
          <cell r="BA30">
            <v>0.11074620982413584</v>
          </cell>
        </row>
        <row r="31">
          <cell r="A31" t="str">
            <v>Pretax Margin</v>
          </cell>
          <cell r="B31">
            <v>0.10412698412698412</v>
          </cell>
          <cell r="C31">
            <v>0.11227431345774541</v>
          </cell>
          <cell r="D31">
            <v>0.1157448053848405</v>
          </cell>
          <cell r="E31">
            <v>0.11443779108449767</v>
          </cell>
          <cell r="F31">
            <v>0.1206281227694504</v>
          </cell>
          <cell r="G31">
            <v>0.12446939613857319</v>
          </cell>
          <cell r="H31">
            <v>0.12913165266106444</v>
          </cell>
          <cell r="I31">
            <v>0.11818644931227713</v>
          </cell>
          <cell r="J31">
            <v>0.10515488867376573</v>
          </cell>
          <cell r="K31">
            <v>0.1119753086419753</v>
          </cell>
          <cell r="L31">
            <v>9.8850649350649342E-2</v>
          </cell>
          <cell r="M31">
            <v>0.10682321005215742</v>
          </cell>
          <cell r="N31">
            <v>0.12207666181465308</v>
          </cell>
          <cell r="O31">
            <v>0.11821801891488302</v>
          </cell>
          <cell r="P31">
            <v>0.11469298245614035</v>
          </cell>
          <cell r="Q31">
            <v>8.2496325330720238E-2</v>
          </cell>
          <cell r="R31">
            <v>9.402162391350434E-2</v>
          </cell>
          <cell r="S31">
            <v>9.8641239570917763E-2</v>
          </cell>
          <cell r="T31">
            <v>0.10501599966753937</v>
          </cell>
          <cell r="U31">
            <v>0.1118575624082232</v>
          </cell>
          <cell r="V31">
            <v>0.12300341296928327</v>
          </cell>
          <cell r="W31">
            <v>0.10579417230769231</v>
          </cell>
          <cell r="X31">
            <v>0.1068685283615967</v>
          </cell>
          <cell r="Y31">
            <v>0.10777574000090297</v>
          </cell>
          <cell r="Z31">
            <v>0.11060597230856414</v>
          </cell>
          <cell r="AB31">
            <v>6.5147813307904645E-2</v>
          </cell>
          <cell r="AC31">
            <v>9.964324558033355E-2</v>
          </cell>
          <cell r="AD31">
            <v>-0.13990864355843935</v>
          </cell>
          <cell r="AE31">
            <v>1.0155153450038146E-2</v>
          </cell>
          <cell r="AF31">
            <v>8.489043998403778E-3</v>
          </cell>
          <cell r="AG31">
            <v>2.6260383901214324E-2</v>
          </cell>
          <cell r="AI31" t="str">
            <v>NINC Profit Margin</v>
          </cell>
          <cell r="AO31">
            <v>6.5807670869276705E-2</v>
          </cell>
          <cell r="AP31">
            <v>7.9809130483312868E-2</v>
          </cell>
          <cell r="AQ31">
            <v>7.8495293546821929E-2</v>
          </cell>
          <cell r="AR31">
            <v>7.8231292517006792E-2</v>
          </cell>
          <cell r="AS31">
            <v>7.6023391812865493E-2</v>
          </cell>
          <cell r="AT31">
            <v>5.9958353748162663E-2</v>
          </cell>
          <cell r="AU31">
            <v>6.3281746873012509E-2</v>
          </cell>
          <cell r="AV31">
            <v>6.9034564958283667E-2</v>
          </cell>
          <cell r="AW31">
            <v>7.1063458421643202E-2</v>
          </cell>
          <cell r="AX31">
            <v>7.63582966226138E-2</v>
          </cell>
          <cell r="AY31">
            <v>8.337883959044369E-2</v>
          </cell>
          <cell r="AZ31">
            <v>7.2490166865230771E-2</v>
          </cell>
          <cell r="BA31">
            <v>7.3098073399332136E-2</v>
          </cell>
        </row>
        <row r="32">
          <cell r="AI32" t="str">
            <v>Asset turnover</v>
          </cell>
          <cell r="AO32">
            <v>1.2894878044915385</v>
          </cell>
          <cell r="AP32">
            <v>1.2999429702438861</v>
          </cell>
          <cell r="AQ32">
            <v>1.2902216101164392</v>
          </cell>
          <cell r="AR32">
            <v>1.2651133501259446</v>
          </cell>
          <cell r="AS32">
            <v>1.2</v>
          </cell>
          <cell r="AT32">
            <v>1.1698789138066921</v>
          </cell>
          <cell r="AU32">
            <v>1.1188661902926438</v>
          </cell>
          <cell r="AV32">
            <v>1.1263559231017077</v>
          </cell>
          <cell r="AW32">
            <v>1.1437874322654245</v>
          </cell>
          <cell r="AX32">
            <v>1.1324284437423351</v>
          </cell>
          <cell r="AY32">
            <v>1.083059180127897</v>
          </cell>
          <cell r="AZ32">
            <v>1.0893479400566479</v>
          </cell>
          <cell r="BA32">
            <v>1.0193773497897507</v>
          </cell>
        </row>
        <row r="33">
          <cell r="A33" t="str">
            <v>Net Income</v>
          </cell>
          <cell r="B33">
            <v>439.99999999999994</v>
          </cell>
          <cell r="C33">
            <v>518</v>
          </cell>
          <cell r="D33">
            <v>543.99996700000008</v>
          </cell>
          <cell r="E33">
            <v>578.0000329999998</v>
          </cell>
          <cell r="F33">
            <v>573</v>
          </cell>
          <cell r="G33">
            <v>606.00000000000011</v>
          </cell>
          <cell r="H33">
            <v>634</v>
          </cell>
          <cell r="I33">
            <v>630</v>
          </cell>
          <cell r="J33">
            <v>593.29999999999995</v>
          </cell>
          <cell r="K33">
            <v>621.5</v>
          </cell>
          <cell r="L33">
            <v>520.62659999999994</v>
          </cell>
          <cell r="M33">
            <v>620.50382312000011</v>
          </cell>
          <cell r="N33">
            <v>808.89400000000001</v>
          </cell>
          <cell r="O33">
            <v>942.99999999999989</v>
          </cell>
          <cell r="P33">
            <v>1040</v>
          </cell>
          <cell r="Q33">
            <v>979</v>
          </cell>
          <cell r="R33">
            <v>1194</v>
          </cell>
          <cell r="S33">
            <v>1448</v>
          </cell>
          <cell r="T33">
            <v>1710.0000000000002</v>
          </cell>
          <cell r="U33">
            <v>2080</v>
          </cell>
          <cell r="V33">
            <v>2443</v>
          </cell>
          <cell r="W33">
            <v>2355.9304231199999</v>
          </cell>
          <cell r="X33">
            <v>2410.7744607099739</v>
          </cell>
          <cell r="Y33">
            <v>2529.9352650829965</v>
          </cell>
          <cell r="Z33">
            <v>2662.4240109325247</v>
          </cell>
          <cell r="AB33">
            <v>0.21637426900584789</v>
          </cell>
          <cell r="AC33">
            <v>0.1745192307692307</v>
          </cell>
          <cell r="AD33">
            <v>-3.5640432615636541E-2</v>
          </cell>
          <cell r="AE33">
            <v>2.3279141460104347E-2</v>
          </cell>
          <cell r="AF33">
            <v>4.9428433192348242E-2</v>
          </cell>
          <cell r="AG33">
            <v>5.2368433168262118E-2</v>
          </cell>
          <cell r="AI33" t="str">
            <v>Asset leverage</v>
          </cell>
          <cell r="AO33">
            <v>2.5272612008281574</v>
          </cell>
          <cell r="AP33">
            <v>2.4225163386323492</v>
          </cell>
          <cell r="AQ33">
            <v>2.0908376963350785</v>
          </cell>
          <cell r="AR33">
            <v>2.4445671378091873</v>
          </cell>
          <cell r="AS33">
            <v>2.2563954606655128</v>
          </cell>
          <cell r="AT33">
            <v>2.7331531835838541</v>
          </cell>
          <cell r="AU33">
            <v>2.4403950479899845</v>
          </cell>
          <cell r="AV33">
            <v>2.4186617556783303</v>
          </cell>
          <cell r="AW33">
            <v>2.276991960923985</v>
          </cell>
          <cell r="AX33">
            <v>2.1866927260367097</v>
          </cell>
          <cell r="AY33">
            <v>2.8223415895752511</v>
          </cell>
          <cell r="AZ33">
            <v>2.8332188466414219</v>
          </cell>
          <cell r="BA33">
            <v>2.6834126267744729</v>
          </cell>
        </row>
        <row r="34">
          <cell r="A34" t="str">
            <v>Net Margin</v>
          </cell>
          <cell r="B34">
            <v>6.9841269841269829E-2</v>
          </cell>
          <cell r="C34">
            <v>7.8592019420421794E-2</v>
          </cell>
          <cell r="D34">
            <v>7.9601985220954061E-2</v>
          </cell>
          <cell r="E34">
            <v>7.6912845375914807E-2</v>
          </cell>
          <cell r="F34">
            <v>8.1798715203426131E-2</v>
          </cell>
          <cell r="G34">
            <v>8.2979597425715479E-2</v>
          </cell>
          <cell r="H34">
            <v>8.8795518207282917E-2</v>
          </cell>
          <cell r="I34">
            <v>8.0234335201222612E-2</v>
          </cell>
          <cell r="J34">
            <v>7.1793320425943843E-2</v>
          </cell>
          <cell r="K34">
            <v>7.6728395061728391E-2</v>
          </cell>
          <cell r="L34">
            <v>6.7613844155844149E-2</v>
          </cell>
          <cell r="M34">
            <v>7.3554270165955435E-2</v>
          </cell>
          <cell r="N34">
            <v>7.8495293546821929E-2</v>
          </cell>
          <cell r="O34">
            <v>7.8231292517006792E-2</v>
          </cell>
          <cell r="P34">
            <v>7.6023391812865493E-2</v>
          </cell>
          <cell r="Q34">
            <v>5.9958353748162663E-2</v>
          </cell>
          <cell r="R34">
            <v>6.3281746873012509E-2</v>
          </cell>
          <cell r="S34">
            <v>6.9034564958283667E-2</v>
          </cell>
          <cell r="T34">
            <v>7.1063458421643202E-2</v>
          </cell>
          <cell r="U34">
            <v>7.63582966226138E-2</v>
          </cell>
          <cell r="V34">
            <v>8.337883959044369E-2</v>
          </cell>
          <cell r="W34">
            <v>7.2490166865230771E-2</v>
          </cell>
          <cell r="X34">
            <v>7.3098073399332136E-2</v>
          </cell>
          <cell r="Y34">
            <v>7.3395278940614928E-2</v>
          </cell>
          <cell r="Z34">
            <v>7.2446911862109512E-2</v>
          </cell>
          <cell r="AI34" t="str">
            <v>ROA</v>
          </cell>
          <cell r="AO34">
            <v>0.13355226046784294</v>
          </cell>
          <cell r="AP34">
            <v>0.16512279273775449</v>
          </cell>
          <cell r="AQ34">
            <v>0.16589457869037186</v>
          </cell>
          <cell r="AR34">
            <v>0.15596137699412257</v>
          </cell>
          <cell r="AS34">
            <v>0.13745614035087719</v>
          </cell>
          <cell r="AT34">
            <v>0.10331733180482912</v>
          </cell>
          <cell r="AU34">
            <v>0.11450766448246212</v>
          </cell>
          <cell r="AV34">
            <v>0.11701213618300935</v>
          </cell>
          <cell r="AW34">
            <v>0.12477421808156669</v>
          </cell>
          <cell r="AX34">
            <v>0.12941445467584028</v>
          </cell>
          <cell r="AY34">
            <v>0.13503123498318118</v>
          </cell>
          <cell r="AZ34">
            <v>0.12016429534774103</v>
          </cell>
          <cell r="BA34">
            <v>0.11289217786978724</v>
          </cell>
        </row>
        <row r="35">
          <cell r="A35" t="str">
            <v>% Ch Y/Y</v>
          </cell>
          <cell r="B35">
            <v>0.13695090439276489</v>
          </cell>
          <cell r="C35">
            <v>0.23333333333333317</v>
          </cell>
          <cell r="D35">
            <v>0.23636356136363657</v>
          </cell>
          <cell r="E35">
            <v>0.24838020086393045</v>
          </cell>
          <cell r="F35">
            <v>0.30227272727272747</v>
          </cell>
          <cell r="G35">
            <v>0.16988416988417021</v>
          </cell>
          <cell r="H35">
            <v>0.16544124716831088</v>
          </cell>
          <cell r="I35">
            <v>8.9965335694021098E-2</v>
          </cell>
          <cell r="J35">
            <v>3.5427574171029486E-2</v>
          </cell>
          <cell r="K35">
            <v>2.5577557755775304E-2</v>
          </cell>
          <cell r="L35">
            <v>-0.17882239747634077</v>
          </cell>
          <cell r="M35">
            <v>-1.5073296634920519E-2</v>
          </cell>
          <cell r="N35">
            <v>0.13130445728031778</v>
          </cell>
          <cell r="O35">
            <v>0.16578933704539764</v>
          </cell>
          <cell r="P35">
            <v>0.10286320254506906</v>
          </cell>
          <cell r="Q35">
            <v>-5.8653846153846154E-2</v>
          </cell>
          <cell r="R35">
            <v>0.21961184882533197</v>
          </cell>
          <cell r="S35">
            <v>0.21273031825795644</v>
          </cell>
          <cell r="T35">
            <v>0.18093922651933717</v>
          </cell>
          <cell r="U35">
            <v>0.2163742690058478</v>
          </cell>
          <cell r="V35">
            <v>0.17451923076923076</v>
          </cell>
          <cell r="W35">
            <v>-3.5640432615636562E-2</v>
          </cell>
          <cell r="X35">
            <v>2.3279141460104381E-2</v>
          </cell>
          <cell r="Y35">
            <v>4.9428433192348332E-2</v>
          </cell>
          <cell r="Z35">
            <v>5.2368433168262028E-2</v>
          </cell>
          <cell r="AI35" t="str">
            <v>ROE</v>
          </cell>
          <cell r="AO35">
            <v>0.22421921772552567</v>
          </cell>
          <cell r="AP35">
            <v>0.25600071607590402</v>
          </cell>
          <cell r="AQ35">
            <v>0.23141009869832643</v>
          </cell>
          <cell r="AR35">
            <v>0.22592237661715378</v>
          </cell>
          <cell r="AS35">
            <v>0.21383777115246222</v>
          </cell>
          <cell r="AT35">
            <v>0.18057553956834532</v>
          </cell>
          <cell r="AU35">
            <v>0.18718535469107553</v>
          </cell>
          <cell r="AV35">
            <v>0.19055693230729098</v>
          </cell>
          <cell r="AW35">
            <v>0.20654351212997996</v>
          </cell>
          <cell r="AX35">
            <v>0.19263718453345682</v>
          </cell>
          <cell r="AY35">
            <v>0.22537922185051099</v>
          </cell>
          <cell r="AZ35">
            <v>0.22332157245457723</v>
          </cell>
          <cell r="BA35">
            <v>0.20520089620180493</v>
          </cell>
        </row>
        <row r="36">
          <cell r="AI36" t="str">
            <v>ROIC (net debt)</v>
          </cell>
          <cell r="AO36">
            <v>0.21070042308874484</v>
          </cell>
          <cell r="AP36">
            <v>0.21526309440201399</v>
          </cell>
          <cell r="AQ36">
            <v>0.20740782654133647</v>
          </cell>
          <cell r="AR36">
            <v>0.19254582428566502</v>
          </cell>
          <cell r="AS36">
            <v>0.17302731940319924</v>
          </cell>
          <cell r="AT36">
            <v>0.1359956528458022</v>
          </cell>
          <cell r="AU36">
            <v>0.1390009322380843</v>
          </cell>
          <cell r="AV36">
            <v>0.16448153138307042</v>
          </cell>
          <cell r="AW36">
            <v>0.17690583085418099</v>
          </cell>
          <cell r="AX36">
            <v>0.18770154430738012</v>
          </cell>
          <cell r="AY36">
            <v>0.20624594791505452</v>
          </cell>
          <cell r="AZ36">
            <v>0.20580412795609931</v>
          </cell>
          <cell r="BA36">
            <v>0.22267558708186294</v>
          </cell>
        </row>
        <row r="37">
          <cell r="A37" t="str">
            <v>EPS, Cont. Ops</v>
          </cell>
          <cell r="B37">
            <v>1.074743527112848</v>
          </cell>
          <cell r="C37">
            <v>1.2668134018097335</v>
          </cell>
          <cell r="D37">
            <v>1.3356247655290943</v>
          </cell>
          <cell r="E37">
            <v>1.4204965175718847</v>
          </cell>
          <cell r="F37">
            <v>1.4186679871255261</v>
          </cell>
          <cell r="G37">
            <v>1.5082130413140868</v>
          </cell>
          <cell r="H37">
            <v>1.585792896448224</v>
          </cell>
          <cell r="I37">
            <v>1.6170431211498972</v>
          </cell>
          <cell r="J37">
            <v>1.5350582147477361</v>
          </cell>
          <cell r="K37">
            <v>1.6059431524547803</v>
          </cell>
          <cell r="L37">
            <v>1.352276883116883</v>
          </cell>
          <cell r="M37">
            <v>1.6260975273969744</v>
          </cell>
          <cell r="N37">
            <v>2.0091753601589666</v>
          </cell>
          <cell r="O37">
            <v>2.3238048299654999</v>
          </cell>
          <cell r="P37">
            <v>2.5634452704434758</v>
          </cell>
          <cell r="Q37">
            <v>2.457921587531132</v>
          </cell>
          <cell r="R37">
            <v>2.9632644552209539</v>
          </cell>
          <cell r="S37">
            <v>3.5766509900011854</v>
          </cell>
          <cell r="T37">
            <v>4.2035398230088497</v>
          </cell>
          <cell r="U37">
            <v>5.0962280562055158</v>
          </cell>
          <cell r="V37">
            <v>6.1274140958113872</v>
          </cell>
          <cell r="W37">
            <v>6.1189391025198736</v>
          </cell>
          <cell r="X37">
            <v>6.3955993666716093</v>
          </cell>
          <cell r="Y37">
            <v>6.7478850962203394</v>
          </cell>
          <cell r="Z37">
            <v>7.0518691945372236</v>
          </cell>
          <cell r="AB37">
            <v>0.21236583231836481</v>
          </cell>
          <cell r="AC37">
            <v>0.20234299333410499</v>
          </cell>
          <cell r="AD37">
            <v>-1.3831272309973164E-3</v>
          </cell>
          <cell r="AE37">
            <v>4.5213763287463182E-2</v>
          </cell>
          <cell r="AF37">
            <v>5.508251992526958E-2</v>
          </cell>
          <cell r="AG37">
            <v>4.5048795879341963E-2</v>
          </cell>
          <cell r="AI37" t="str">
            <v>ROIC (total debt)</v>
          </cell>
          <cell r="AO37">
            <v>0.18108603072525903</v>
          </cell>
          <cell r="AP37">
            <v>0.20640569395017797</v>
          </cell>
          <cell r="AQ37">
            <v>0.19881155136415887</v>
          </cell>
          <cell r="AR37">
            <v>0.18155951196999537</v>
          </cell>
          <cell r="AS37">
            <v>0.16292209180994149</v>
          </cell>
          <cell r="AT37">
            <v>0.1262746698451013</v>
          </cell>
          <cell r="AU37">
            <v>0.12651463822725981</v>
          </cell>
          <cell r="AV37">
            <v>0.1396644666744376</v>
          </cell>
          <cell r="AW37">
            <v>0.14794890720978821</v>
          </cell>
          <cell r="AX37">
            <v>0.15664480481970486</v>
          </cell>
          <cell r="AY37">
            <v>0.17374903085286963</v>
          </cell>
          <cell r="AZ37">
            <v>0.16881927570715685</v>
          </cell>
          <cell r="BA37">
            <v>0.15860523057067782</v>
          </cell>
          <cell r="BQ37" t="str">
            <v>mstag:adjEpsForConsensus</v>
          </cell>
          <cell r="BR37">
            <v>0</v>
          </cell>
          <cell r="BS37" t="str">
            <v>ISO4217:USD</v>
          </cell>
          <cell r="BT37" t="b">
            <v>0</v>
          </cell>
          <cell r="BU37" t="b">
            <v>0</v>
          </cell>
        </row>
        <row r="38">
          <cell r="A38" t="str">
            <v>EPS, Disc. &amp; 1-time</v>
          </cell>
          <cell r="B38">
            <v>-1.4655593551538839E-2</v>
          </cell>
          <cell r="C38">
            <v>-0.01</v>
          </cell>
          <cell r="E38">
            <v>2.4576062914721062E-3</v>
          </cell>
          <cell r="F38">
            <v>2.4758603614756128E-3</v>
          </cell>
          <cell r="G38">
            <v>8.7108013937282222E-2</v>
          </cell>
          <cell r="I38">
            <v>-4.8767967145790549E-2</v>
          </cell>
          <cell r="J38">
            <v>-7.7619663648124193E-3</v>
          </cell>
          <cell r="K38">
            <v>-7.7519379844961239E-3</v>
          </cell>
          <cell r="N38">
            <v>0.22500000000000001</v>
          </cell>
          <cell r="O38">
            <v>0</v>
          </cell>
          <cell r="P38">
            <v>-0.30317670025437266</v>
          </cell>
          <cell r="Q38">
            <v>5.5234192978227688E-2</v>
          </cell>
          <cell r="R38">
            <v>5.459951257526046E-2</v>
          </cell>
          <cell r="S38">
            <v>3.2110816899181917E-2</v>
          </cell>
          <cell r="T38">
            <v>0.35889872173058013</v>
          </cell>
          <cell r="U38">
            <v>-1.9600877139251984E-2</v>
          </cell>
          <cell r="V38">
            <v>4.0130423877602212E-2</v>
          </cell>
          <cell r="W38">
            <v>-1.5513904349308542E-2</v>
          </cell>
        </row>
        <row r="39">
          <cell r="A39" t="str">
            <v>EPS, Reported</v>
          </cell>
          <cell r="B39">
            <v>1.0600879335613091</v>
          </cell>
          <cell r="C39">
            <v>1.2568134018097334</v>
          </cell>
          <cell r="D39">
            <v>1.3356247655290943</v>
          </cell>
          <cell r="E39">
            <v>1.4229541238633567</v>
          </cell>
          <cell r="F39">
            <v>1.4211438474870017</v>
          </cell>
          <cell r="G39">
            <v>1.595321055251369</v>
          </cell>
          <cell r="H39">
            <v>1.585792896448224</v>
          </cell>
          <cell r="I39">
            <v>1.5682751540041067</v>
          </cell>
          <cell r="J39">
            <v>1.5272962483829235</v>
          </cell>
          <cell r="K39">
            <v>1.5981912144702841</v>
          </cell>
          <cell r="L39">
            <v>1.352276883116883</v>
          </cell>
          <cell r="M39">
            <v>1.6260975273969744</v>
          </cell>
          <cell r="N39">
            <v>2.2341753601589667</v>
          </cell>
          <cell r="O39">
            <v>2.3238048299654999</v>
          </cell>
          <cell r="P39">
            <v>2.260268570189103</v>
          </cell>
          <cell r="Q39">
            <v>2.5131557805093596</v>
          </cell>
          <cell r="R39">
            <v>3.0178639677962145</v>
          </cell>
          <cell r="S39">
            <v>3.6087618069003673</v>
          </cell>
          <cell r="T39">
            <v>4.5624385447394298</v>
          </cell>
          <cell r="U39">
            <v>5.0766271790662634</v>
          </cell>
          <cell r="V39">
            <v>6.1675445196889891</v>
          </cell>
          <cell r="W39">
            <v>6.1034251981705649</v>
          </cell>
          <cell r="X39">
            <v>6.3955993666716093</v>
          </cell>
          <cell r="Y39">
            <v>6.7478850962203394</v>
          </cell>
          <cell r="Z39">
            <v>7.0518691945372236</v>
          </cell>
          <cell r="AB39">
            <v>0.11270039679103228</v>
          </cell>
          <cell r="AC39">
            <v>0.21489018242686408</v>
          </cell>
          <cell r="AD39">
            <v>-1.039624786067328E-2</v>
          </cell>
          <cell r="AE39">
            <v>4.7870524994493291E-2</v>
          </cell>
          <cell r="AF39">
            <v>5.508251992526958E-2</v>
          </cell>
          <cell r="AG39">
            <v>4.5048795879341963E-2</v>
          </cell>
          <cell r="AI39" t="str">
            <v>ROIC Analysis in Detail</v>
          </cell>
        </row>
        <row r="40">
          <cell r="A40" t="str">
            <v>% Ch Y/Y</v>
          </cell>
          <cell r="B40">
            <v>0.12334304061278317</v>
          </cell>
          <cell r="C40">
            <v>0.22747465011820325</v>
          </cell>
          <cell r="D40">
            <v>0.23599042726578853</v>
          </cell>
          <cell r="E40">
            <v>0.25390264952835695</v>
          </cell>
          <cell r="F40">
            <v>0.34059053262944361</v>
          </cell>
          <cell r="G40">
            <v>0.26933803614299912</v>
          </cell>
          <cell r="H40">
            <v>0.18730420203014742</v>
          </cell>
          <cell r="I40">
            <v>0.10212629325406475</v>
          </cell>
          <cell r="N40">
            <v>0.13580045114929051</v>
          </cell>
          <cell r="O40">
            <v>0.15659632108052524</v>
          </cell>
          <cell r="P40">
            <v>0.10312416834142391</v>
          </cell>
          <cell r="Q40">
            <v>-4.1164788704105337E-2</v>
          </cell>
          <cell r="R40">
            <v>0.20559763592678948</v>
          </cell>
          <cell r="S40">
            <v>0.20699689280162303</v>
          </cell>
          <cell r="T40">
            <v>0.17527257615019809</v>
          </cell>
          <cell r="U40">
            <v>0.21236583231836481</v>
          </cell>
          <cell r="V40">
            <v>0.20234299333410499</v>
          </cell>
          <cell r="W40">
            <v>-1.3831272309973164E-3</v>
          </cell>
          <cell r="X40">
            <v>4.5213763287463182E-2</v>
          </cell>
          <cell r="Y40">
            <v>5.508251992526958E-2</v>
          </cell>
          <cell r="Z40">
            <v>4.5048795879341963E-2</v>
          </cell>
          <cell r="AO40" t="str">
            <v>1998</v>
          </cell>
          <cell r="AP40">
            <v>1999</v>
          </cell>
          <cell r="AQ40">
            <v>2000</v>
          </cell>
          <cell r="AR40">
            <v>2001</v>
          </cell>
          <cell r="AS40">
            <v>2002</v>
          </cell>
          <cell r="AT40">
            <v>2003</v>
          </cell>
          <cell r="AU40">
            <v>2004</v>
          </cell>
          <cell r="AV40">
            <v>2005</v>
          </cell>
          <cell r="AW40">
            <v>2006</v>
          </cell>
          <cell r="AX40">
            <v>2007</v>
          </cell>
          <cell r="AY40" t="str">
            <v>2008A</v>
          </cell>
          <cell r="AZ40" t="str">
            <v>2009E</v>
          </cell>
          <cell r="BA40" t="str">
            <v>2010E</v>
          </cell>
        </row>
        <row r="41">
          <cell r="AI41" t="str">
            <v>Pretax Income</v>
          </cell>
          <cell r="AO41">
            <v>766.4</v>
          </cell>
          <cell r="AP41">
            <v>1126</v>
          </cell>
          <cell r="AQ41">
            <v>1258</v>
          </cell>
          <cell r="AR41">
            <v>1425</v>
          </cell>
          <cell r="AS41">
            <v>1569</v>
          </cell>
          <cell r="AT41">
            <v>1347</v>
          </cell>
          <cell r="AU41">
            <v>1774</v>
          </cell>
          <cell r="AV41">
            <v>2069</v>
          </cell>
          <cell r="AW41">
            <v>2527</v>
          </cell>
          <cell r="AX41">
            <v>3047</v>
          </cell>
          <cell r="AY41">
            <v>3604</v>
          </cell>
          <cell r="AZ41">
            <v>3438.3105999999998</v>
          </cell>
          <cell r="BA41">
            <v>3524.5240653654591</v>
          </cell>
        </row>
        <row r="42">
          <cell r="A42" t="str">
            <v>Avg. Diluted Shares</v>
          </cell>
          <cell r="B42">
            <v>409.4</v>
          </cell>
          <cell r="C42">
            <v>408.9</v>
          </cell>
          <cell r="D42">
            <v>407.3</v>
          </cell>
          <cell r="E42">
            <v>406.9</v>
          </cell>
          <cell r="F42">
            <v>403.9</v>
          </cell>
          <cell r="G42">
            <v>401.8</v>
          </cell>
          <cell r="H42">
            <v>399.8</v>
          </cell>
          <cell r="I42">
            <v>389.6</v>
          </cell>
          <cell r="J42">
            <v>386.5</v>
          </cell>
          <cell r="K42">
            <v>387</v>
          </cell>
          <cell r="L42">
            <v>385</v>
          </cell>
          <cell r="M42">
            <v>381.5907795600001</v>
          </cell>
          <cell r="N42">
            <v>402.6</v>
          </cell>
          <cell r="O42">
            <v>405.8</v>
          </cell>
          <cell r="P42">
            <v>405.70400000000001</v>
          </cell>
          <cell r="Q42">
            <v>398.30399999999997</v>
          </cell>
          <cell r="R42">
            <v>402.93400000000003</v>
          </cell>
          <cell r="S42">
            <v>404.84800000000001</v>
          </cell>
          <cell r="T42">
            <v>406.8</v>
          </cell>
          <cell r="U42">
            <v>408.14499999999998</v>
          </cell>
          <cell r="V42">
            <v>398.7</v>
          </cell>
          <cell r="W42">
            <v>385.02269489000003</v>
          </cell>
          <cell r="X42">
            <v>376.94269489000004</v>
          </cell>
          <cell r="Y42">
            <v>374.92269489</v>
          </cell>
          <cell r="Z42">
            <v>377.54869489000004</v>
          </cell>
          <cell r="AI42" t="str">
            <v>Interest Expense, net</v>
          </cell>
          <cell r="AO42">
            <v>-17</v>
          </cell>
          <cell r="AP42">
            <v>-34</v>
          </cell>
          <cell r="AQ42">
            <v>-60</v>
          </cell>
          <cell r="AR42">
            <v>-56</v>
          </cell>
          <cell r="AS42">
            <v>-45</v>
          </cell>
          <cell r="AT42">
            <v>-98</v>
          </cell>
          <cell r="AU42">
            <v>-148</v>
          </cell>
          <cell r="AV42">
            <v>-118</v>
          </cell>
          <cell r="AW42">
            <v>-101</v>
          </cell>
          <cell r="AX42">
            <v>-70</v>
          </cell>
          <cell r="AY42">
            <v>-66</v>
          </cell>
          <cell r="AZ42">
            <v>-149.71440000000001</v>
          </cell>
          <cell r="BA42">
            <v>-127.88593463454089</v>
          </cell>
        </row>
        <row r="43">
          <cell r="A43" t="str">
            <v>Previous EPS</v>
          </cell>
          <cell r="W43">
            <v>6.1189391025198736</v>
          </cell>
          <cell r="X43">
            <v>6.3955993666716093</v>
          </cell>
          <cell r="Y43">
            <v>6.7478850962203394</v>
          </cell>
          <cell r="Z43">
            <v>7.0518691945372236</v>
          </cell>
          <cell r="AA43" t="str">
            <v>MS published forecast (8/09)</v>
          </cell>
          <cell r="AI43" t="str">
            <v>Tax Rate</v>
          </cell>
          <cell r="AO43">
            <v>0.35299999999999998</v>
          </cell>
          <cell r="AP43">
            <v>0.36499999999999999</v>
          </cell>
          <cell r="AQ43">
            <v>0.35699999999999998</v>
          </cell>
          <cell r="AR43">
            <v>0.33824561403508774</v>
          </cell>
          <cell r="AS43">
            <v>0.33715742511153601</v>
          </cell>
          <cell r="AT43">
            <v>0.27319970304380103</v>
          </cell>
          <cell r="AU43">
            <v>0.32694475760992109</v>
          </cell>
          <cell r="AV43">
            <v>0.3001449975833736</v>
          </cell>
          <cell r="AW43">
            <v>0.32330827067669171</v>
          </cell>
          <cell r="AX43">
            <v>0.31736133902198882</v>
          </cell>
          <cell r="AY43">
            <v>0.32214206437291898</v>
          </cell>
          <cell r="AZ43">
            <v>0.31480000000000002</v>
          </cell>
          <cell r="BA43">
            <v>0.316</v>
          </cell>
        </row>
        <row r="44">
          <cell r="A44" t="str">
            <v>Balance Sheet Highlights</v>
          </cell>
          <cell r="Q44" t="str">
            <v xml:space="preserve"> </v>
          </cell>
          <cell r="R44" t="str">
            <v xml:space="preserve"> </v>
          </cell>
          <cell r="S44" t="str">
            <v xml:space="preserve"> </v>
          </cell>
          <cell r="T44" t="str">
            <v xml:space="preserve"> </v>
          </cell>
          <cell r="U44" t="str">
            <v xml:space="preserve"> </v>
          </cell>
          <cell r="AI44" t="str">
            <v>Net Operating Earnings</v>
          </cell>
          <cell r="AO44">
            <v>506.85980000000001</v>
          </cell>
          <cell r="AP44">
            <v>736.6</v>
          </cell>
          <cell r="AQ44">
            <v>847.47400000000005</v>
          </cell>
          <cell r="AR44">
            <v>980.05824561403494</v>
          </cell>
          <cell r="AS44">
            <v>1069.8279158699809</v>
          </cell>
          <cell r="AT44">
            <v>1050.2264291017075</v>
          </cell>
          <cell r="AU44">
            <v>1293.6121758737315</v>
          </cell>
          <cell r="AV44">
            <v>1530.5828902851617</v>
          </cell>
          <cell r="AW44">
            <v>1778.3458646616543</v>
          </cell>
          <cell r="AX44">
            <v>2127.7847062684609</v>
          </cell>
          <cell r="AY44">
            <v>2487.7386237513874</v>
          </cell>
          <cell r="AZ44">
            <v>2458.5147299999999</v>
          </cell>
          <cell r="BA44">
            <v>2498.2484399999998</v>
          </cell>
        </row>
        <row r="45">
          <cell r="A45" t="str">
            <v>Total  Debt</v>
          </cell>
          <cell r="B45">
            <v>2790</v>
          </cell>
          <cell r="C45">
            <v>2789</v>
          </cell>
          <cell r="D45">
            <v>2796</v>
          </cell>
          <cell r="E45">
            <v>2791</v>
          </cell>
          <cell r="F45">
            <v>2790</v>
          </cell>
          <cell r="G45">
            <v>2289</v>
          </cell>
          <cell r="H45">
            <v>2139</v>
          </cell>
          <cell r="I45">
            <v>4024</v>
          </cell>
          <cell r="J45">
            <v>3882</v>
          </cell>
          <cell r="K45">
            <v>3915</v>
          </cell>
          <cell r="N45">
            <v>513</v>
          </cell>
          <cell r="O45">
            <v>1935</v>
          </cell>
          <cell r="P45">
            <v>1471</v>
          </cell>
          <cell r="Q45">
            <v>4043</v>
          </cell>
          <cell r="R45">
            <v>3297</v>
          </cell>
          <cell r="S45">
            <v>3287</v>
          </cell>
          <cell r="T45">
            <v>2781</v>
          </cell>
          <cell r="U45">
            <v>2791</v>
          </cell>
          <cell r="V45">
            <v>4024</v>
          </cell>
          <cell r="W45">
            <v>4003</v>
          </cell>
          <cell r="X45">
            <v>4003</v>
          </cell>
          <cell r="Y45">
            <v>4003</v>
          </cell>
          <cell r="Z45">
            <v>4003</v>
          </cell>
          <cell r="AI45" t="str">
            <v>Average Shareholders' Equity</v>
          </cell>
          <cell r="AO45">
            <v>2211.5</v>
          </cell>
          <cell r="AP45">
            <v>2792.7</v>
          </cell>
          <cell r="AQ45">
            <v>3495.2</v>
          </cell>
          <cell r="AR45">
            <v>4174</v>
          </cell>
          <cell r="AS45">
            <v>4863.5</v>
          </cell>
          <cell r="AT45">
            <v>5560</v>
          </cell>
          <cell r="AU45">
            <v>6555</v>
          </cell>
          <cell r="AV45">
            <v>7667</v>
          </cell>
          <cell r="AW45">
            <v>8986</v>
          </cell>
          <cell r="AX45">
            <v>10797.5</v>
          </cell>
          <cell r="AY45">
            <v>10910.5</v>
          </cell>
          <cell r="AZ45">
            <v>10549.497736494701</v>
          </cell>
          <cell r="BA45">
            <v>11748.362240772558</v>
          </cell>
        </row>
        <row r="46">
          <cell r="A46" t="str">
            <v>Cash</v>
          </cell>
          <cell r="B46">
            <v>1492</v>
          </cell>
          <cell r="C46">
            <v>1794</v>
          </cell>
          <cell r="D46">
            <v>2033</v>
          </cell>
          <cell r="E46">
            <v>2891</v>
          </cell>
          <cell r="F46">
            <v>2605</v>
          </cell>
          <cell r="G46">
            <v>2740</v>
          </cell>
          <cell r="H46">
            <v>2617</v>
          </cell>
          <cell r="I46">
            <v>1621</v>
          </cell>
          <cell r="J46">
            <v>1126</v>
          </cell>
          <cell r="K46">
            <v>1614</v>
          </cell>
          <cell r="N46">
            <v>177</v>
          </cell>
          <cell r="O46">
            <v>439</v>
          </cell>
          <cell r="P46">
            <v>328</v>
          </cell>
          <cell r="Q46">
            <v>861</v>
          </cell>
          <cell r="R46">
            <v>976</v>
          </cell>
          <cell r="S46">
            <v>2331</v>
          </cell>
          <cell r="T46">
            <v>1604</v>
          </cell>
          <cell r="U46">
            <v>2891</v>
          </cell>
          <cell r="V46">
            <v>1621</v>
          </cell>
          <cell r="W46">
            <v>3613.2032682729555</v>
          </cell>
          <cell r="X46">
            <v>5451.0628915562675</v>
          </cell>
          <cell r="Y46">
            <v>7469.7704194132839</v>
          </cell>
          <cell r="Z46">
            <v>9758.1478190695889</v>
          </cell>
          <cell r="AI46" t="str">
            <v>Average Debt</v>
          </cell>
          <cell r="AO46">
            <v>587.5</v>
          </cell>
          <cell r="AP46">
            <v>776</v>
          </cell>
          <cell r="AQ46">
            <v>767.5</v>
          </cell>
          <cell r="AR46">
            <v>1224</v>
          </cell>
          <cell r="AS46">
            <v>1703</v>
          </cell>
          <cell r="AT46">
            <v>2757</v>
          </cell>
          <cell r="AU46">
            <v>3670</v>
          </cell>
          <cell r="AV46">
            <v>3292</v>
          </cell>
          <cell r="AW46">
            <v>3034</v>
          </cell>
          <cell r="AX46">
            <v>2786</v>
          </cell>
          <cell r="AY46">
            <v>3407.5</v>
          </cell>
          <cell r="AZ46">
            <v>4013.5</v>
          </cell>
          <cell r="BA46">
            <v>4003</v>
          </cell>
        </row>
        <row r="47">
          <cell r="A47" t="str">
            <v>Net Debt (Cash)</v>
          </cell>
          <cell r="B47">
            <v>1298</v>
          </cell>
          <cell r="C47">
            <v>995</v>
          </cell>
          <cell r="D47">
            <v>763</v>
          </cell>
          <cell r="E47">
            <v>-100</v>
          </cell>
          <cell r="F47">
            <v>185</v>
          </cell>
          <cell r="G47">
            <v>-451</v>
          </cell>
          <cell r="H47">
            <v>-478</v>
          </cell>
          <cell r="I47">
            <v>2403</v>
          </cell>
          <cell r="J47">
            <v>2756</v>
          </cell>
          <cell r="K47">
            <v>2301</v>
          </cell>
          <cell r="N47">
            <v>336</v>
          </cell>
          <cell r="O47">
            <v>1496</v>
          </cell>
          <cell r="P47">
            <v>1143</v>
          </cell>
          <cell r="Q47">
            <v>3182</v>
          </cell>
          <cell r="R47">
            <v>2321</v>
          </cell>
          <cell r="S47">
            <v>960</v>
          </cell>
          <cell r="T47">
            <v>1177</v>
          </cell>
          <cell r="U47">
            <v>-100</v>
          </cell>
          <cell r="V47">
            <v>2403</v>
          </cell>
          <cell r="W47">
            <v>389.79673172704452</v>
          </cell>
          <cell r="X47">
            <v>-1448.0628915562675</v>
          </cell>
          <cell r="Y47">
            <v>-3466.7704194132839</v>
          </cell>
          <cell r="Z47">
            <v>-5755.1478190695889</v>
          </cell>
          <cell r="AB47">
            <v>3.3062930186822381E-3</v>
          </cell>
          <cell r="AC47">
            <v>-2.3141285572529369E-2</v>
          </cell>
          <cell r="AD47">
            <v>-3.4304753222974549E-2</v>
          </cell>
          <cell r="AE47">
            <v>-2.0985775922399585E-2</v>
          </cell>
          <cell r="AF47">
            <v>-5.3589047549774671E-3</v>
          </cell>
          <cell r="AI47" t="str">
            <v>Average Cash</v>
          </cell>
          <cell r="AO47">
            <v>393.40539999999987</v>
          </cell>
          <cell r="AP47">
            <v>146.84079999999983</v>
          </cell>
          <cell r="AQ47">
            <v>176.67289999999991</v>
          </cell>
          <cell r="AR47">
            <v>308</v>
          </cell>
          <cell r="AS47">
            <v>383.5</v>
          </cell>
          <cell r="AT47">
            <v>594.5</v>
          </cell>
          <cell r="AU47">
            <v>918.5</v>
          </cell>
          <cell r="AV47">
            <v>1653.5</v>
          </cell>
          <cell r="AW47">
            <v>1967.5</v>
          </cell>
          <cell r="AX47">
            <v>2247.5</v>
          </cell>
          <cell r="AY47">
            <v>2256</v>
          </cell>
          <cell r="AZ47">
            <v>2617.1016341364775</v>
          </cell>
          <cell r="BA47">
            <v>4532.1330799146117</v>
          </cell>
        </row>
        <row r="48">
          <cell r="A48" t="str">
            <v>Net Cash/Share</v>
          </cell>
          <cell r="W48">
            <v>-1.0123993647657794</v>
          </cell>
          <cell r="X48">
            <v>3.8415995619144265</v>
          </cell>
          <cell r="Y48">
            <v>9.246627282539972</v>
          </cell>
          <cell r="Z48">
            <v>15.243458385537179</v>
          </cell>
        </row>
        <row r="49">
          <cell r="A49" t="str">
            <v>Equity</v>
          </cell>
          <cell r="B49">
            <v>10075</v>
          </cell>
          <cell r="C49">
            <v>10622</v>
          </cell>
          <cell r="D49">
            <v>10910</v>
          </cell>
          <cell r="E49">
            <v>11768</v>
          </cell>
          <cell r="F49">
            <v>11777</v>
          </cell>
          <cell r="G49">
            <v>12184</v>
          </cell>
          <cell r="H49">
            <v>12134</v>
          </cell>
          <cell r="I49">
            <v>10053</v>
          </cell>
          <cell r="J49">
            <v>10271</v>
          </cell>
          <cell r="K49">
            <v>11001</v>
          </cell>
          <cell r="N49">
            <v>3820</v>
          </cell>
          <cell r="O49">
            <v>4528</v>
          </cell>
          <cell r="P49">
            <v>5199</v>
          </cell>
          <cell r="Q49">
            <v>5921</v>
          </cell>
          <cell r="R49">
            <v>7189</v>
          </cell>
          <cell r="S49">
            <v>8145</v>
          </cell>
          <cell r="T49">
            <v>9827</v>
          </cell>
          <cell r="U49">
            <v>11768</v>
          </cell>
          <cell r="V49">
            <v>10053</v>
          </cell>
          <cell r="W49">
            <v>11045.995472989402</v>
          </cell>
          <cell r="X49">
            <v>12450.729008555714</v>
          </cell>
          <cell r="Y49">
            <v>14359.208323980685</v>
          </cell>
          <cell r="Z49">
            <v>16588.097423049381</v>
          </cell>
          <cell r="AI49" t="str">
            <v>Average Minority Interests</v>
          </cell>
          <cell r="AO49">
            <v>0</v>
          </cell>
          <cell r="AP49">
            <v>0</v>
          </cell>
          <cell r="AQ49">
            <v>0</v>
          </cell>
          <cell r="AR49">
            <v>0</v>
          </cell>
          <cell r="AS49">
            <v>0</v>
          </cell>
          <cell r="AT49">
            <v>0</v>
          </cell>
          <cell r="AU49">
            <v>0</v>
          </cell>
          <cell r="AV49">
            <v>0</v>
          </cell>
          <cell r="AW49">
            <v>0</v>
          </cell>
          <cell r="AX49">
            <v>0</v>
          </cell>
          <cell r="AY49">
            <v>0</v>
          </cell>
          <cell r="AZ49">
            <v>0</v>
          </cell>
          <cell r="BA49">
            <v>0</v>
          </cell>
        </row>
        <row r="50">
          <cell r="A50" t="str">
            <v>Net Debt(Cash)/Cap</v>
          </cell>
          <cell r="B50">
            <v>0.11412995691550162</v>
          </cell>
          <cell r="C50">
            <v>8.565034001893776E-2</v>
          </cell>
          <cell r="D50">
            <v>6.5364516405379935E-2</v>
          </cell>
          <cell r="E50">
            <v>-8.5704490915323971E-3</v>
          </cell>
          <cell r="F50">
            <v>1.5465641197124227E-2</v>
          </cell>
          <cell r="G50">
            <v>-3.84385920054547E-2</v>
          </cell>
          <cell r="H50">
            <v>-4.1008922443376804E-2</v>
          </cell>
          <cell r="I50">
            <v>0.19291907514450868</v>
          </cell>
          <cell r="J50">
            <v>0.21156060489752054</v>
          </cell>
          <cell r="K50">
            <v>0.17298150654036987</v>
          </cell>
          <cell r="N50">
            <v>8.0846968238691044E-2</v>
          </cell>
          <cell r="O50">
            <v>0.24833997343957503</v>
          </cell>
          <cell r="P50">
            <v>0.18022705771050143</v>
          </cell>
          <cell r="Q50">
            <v>0.34955509172800175</v>
          </cell>
          <cell r="R50">
            <v>0.24405888538380652</v>
          </cell>
          <cell r="S50">
            <v>0.10543657331136738</v>
          </cell>
          <cell r="T50">
            <v>0.1069611050527081</v>
          </cell>
          <cell r="U50">
            <v>-8.5704490915323971E-3</v>
          </cell>
          <cell r="V50">
            <v>0.19291907514450868</v>
          </cell>
          <cell r="W50">
            <v>3.4085678084136685E-2</v>
          </cell>
          <cell r="X50">
            <v>-0.13161018212839951</v>
          </cell>
          <cell r="Y50">
            <v>-0.31827314048396849</v>
          </cell>
          <cell r="Z50">
            <v>-0.53126323203380099</v>
          </cell>
          <cell r="AI50" t="str">
            <v>Average "Invested Capital" (net debt)</v>
          </cell>
          <cell r="AO50">
            <v>2405.5946000000004</v>
          </cell>
          <cell r="AP50">
            <v>3421.8591999999999</v>
          </cell>
          <cell r="AQ50">
            <v>4086.0270999999998</v>
          </cell>
          <cell r="AR50">
            <v>5090</v>
          </cell>
          <cell r="AS50">
            <v>6183</v>
          </cell>
          <cell r="AT50">
            <v>7722.5</v>
          </cell>
          <cell r="AU50">
            <v>9306.5</v>
          </cell>
          <cell r="AV50">
            <v>9305.5</v>
          </cell>
          <cell r="AW50">
            <v>10052.5</v>
          </cell>
          <cell r="AX50">
            <v>11336</v>
          </cell>
          <cell r="AY50">
            <v>12062</v>
          </cell>
          <cell r="AZ50">
            <v>11945.896102358223</v>
          </cell>
          <cell r="BA50">
            <v>11219.229160857947</v>
          </cell>
        </row>
        <row r="51">
          <cell r="AB51">
            <v>3.5958288385473658E-3</v>
          </cell>
          <cell r="AC51">
            <v>0.44177714080974551</v>
          </cell>
          <cell r="AD51">
            <v>-5.2186878727634722E-3</v>
          </cell>
          <cell r="AE51">
            <v>0</v>
          </cell>
          <cell r="AF51">
            <v>0</v>
          </cell>
          <cell r="AI51" t="str">
            <v>Average "Invested Capital" (total debt)</v>
          </cell>
          <cell r="AO51">
            <v>2799</v>
          </cell>
          <cell r="AP51">
            <v>3568.7</v>
          </cell>
          <cell r="AQ51">
            <v>4262.7</v>
          </cell>
          <cell r="AR51">
            <v>5398</v>
          </cell>
          <cell r="AS51">
            <v>6566.5</v>
          </cell>
          <cell r="AT51">
            <v>8317</v>
          </cell>
          <cell r="AU51">
            <v>10225</v>
          </cell>
          <cell r="AV51">
            <v>10959</v>
          </cell>
          <cell r="AW51">
            <v>12020</v>
          </cell>
          <cell r="AX51">
            <v>13583.5</v>
          </cell>
          <cell r="AY51">
            <v>14318</v>
          </cell>
          <cell r="AZ51">
            <v>14562.997736494701</v>
          </cell>
          <cell r="BA51">
            <v>15751.362240772558</v>
          </cell>
        </row>
        <row r="52">
          <cell r="A52" t="str">
            <v>Total Debt to Equity</v>
          </cell>
          <cell r="B52">
            <v>0.21686746987951808</v>
          </cell>
          <cell r="C52">
            <v>0.20796361196033109</v>
          </cell>
          <cell r="D52">
            <v>0.20399824894206917</v>
          </cell>
          <cell r="E52">
            <v>0.1917027268356343</v>
          </cell>
          <cell r="F52">
            <v>0.1915287979680099</v>
          </cell>
          <cell r="G52">
            <v>0.15815656740136808</v>
          </cell>
          <cell r="H52">
            <v>0.14986337840678204</v>
          </cell>
          <cell r="I52">
            <v>0.28585636144064785</v>
          </cell>
          <cell r="J52">
            <v>0.2742881367907864</v>
          </cell>
          <cell r="K52">
            <v>0.26246983105390187</v>
          </cell>
          <cell r="N52">
            <v>0.11839372259404569</v>
          </cell>
          <cell r="O52">
            <v>0.29939656506266438</v>
          </cell>
          <cell r="P52">
            <v>0.22053973013493253</v>
          </cell>
          <cell r="Q52">
            <v>0.405760738659173</v>
          </cell>
          <cell r="R52">
            <v>0.3144192256341789</v>
          </cell>
          <cell r="S52">
            <v>0.28752624212736178</v>
          </cell>
          <cell r="T52">
            <v>0.22057423857868019</v>
          </cell>
          <cell r="U52">
            <v>0.1917027268356343</v>
          </cell>
          <cell r="V52">
            <v>0.28585636144064785</v>
          </cell>
          <cell r="W52">
            <v>0.26599782073061023</v>
          </cell>
          <cell r="X52">
            <v>0.24328831463788511</v>
          </cell>
          <cell r="Y52">
            <v>0.21800210134704551</v>
          </cell>
          <cell r="Z52">
            <v>0.19440440292022021</v>
          </cell>
          <cell r="AB52">
            <v>0.80236907730673312</v>
          </cell>
          <cell r="AC52">
            <v>-0.43929436181252157</v>
          </cell>
          <cell r="AD52">
            <v>1.228996464079553</v>
          </cell>
          <cell r="AE52">
            <v>0.50865104640563863</v>
          </cell>
          <cell r="AF52">
            <v>0.37033282646289178</v>
          </cell>
          <cell r="AI52" t="str">
            <v xml:space="preserve">ROIC (net debt) </v>
          </cell>
          <cell r="AO52">
            <v>0.21070042308874484</v>
          </cell>
          <cell r="AP52">
            <v>0.21526309440201399</v>
          </cell>
          <cell r="AQ52">
            <v>0.20740782654133647</v>
          </cell>
          <cell r="AR52">
            <v>0.19254582428566502</v>
          </cell>
          <cell r="AS52">
            <v>0.17302731940319924</v>
          </cell>
          <cell r="AT52">
            <v>0.1359956528458022</v>
          </cell>
          <cell r="AU52">
            <v>0.1390009322380843</v>
          </cell>
          <cell r="AV52">
            <v>0.16448153138307042</v>
          </cell>
          <cell r="AW52">
            <v>0.17690583085418099</v>
          </cell>
          <cell r="AX52">
            <v>0.18770154430738012</v>
          </cell>
          <cell r="AY52">
            <v>0.20624594791505452</v>
          </cell>
          <cell r="AZ52">
            <v>0.20580412795609931</v>
          </cell>
          <cell r="BA52">
            <v>0.22267558708186294</v>
          </cell>
        </row>
        <row r="53">
          <cell r="A53" t="str">
            <v>Orders ($B)</v>
          </cell>
          <cell r="Q53">
            <v>25</v>
          </cell>
          <cell r="R53">
            <v>19.600000000000001</v>
          </cell>
          <cell r="S53">
            <v>22</v>
          </cell>
          <cell r="AB53">
            <v>-1.0849617672047578</v>
          </cell>
          <cell r="AC53">
            <v>-25.03</v>
          </cell>
          <cell r="AD53">
            <v>-0.8377874607877468</v>
          </cell>
          <cell r="AE53">
            <v>-4.7149179910781669</v>
          </cell>
          <cell r="AF53">
            <v>1.3940744836624215</v>
          </cell>
          <cell r="AI53" t="str">
            <v>ROIC  (total debt)</v>
          </cell>
          <cell r="AO53">
            <v>0.18108603072525903</v>
          </cell>
          <cell r="AP53">
            <v>0.20640569395017797</v>
          </cell>
          <cell r="AQ53">
            <v>0.19881155136415887</v>
          </cell>
          <cell r="AR53">
            <v>0.18155951196999537</v>
          </cell>
          <cell r="AS53">
            <v>0.16292209180994149</v>
          </cell>
          <cell r="AT53">
            <v>0.1262746698451013</v>
          </cell>
          <cell r="AU53">
            <v>0.12651463822725981</v>
          </cell>
          <cell r="AV53">
            <v>0.1396644666744376</v>
          </cell>
          <cell r="AW53">
            <v>0.14794890720978821</v>
          </cell>
          <cell r="AX53">
            <v>0.15664480481970486</v>
          </cell>
          <cell r="AY53">
            <v>0.17374903085286963</v>
          </cell>
          <cell r="AZ53">
            <v>0.16881927570715685</v>
          </cell>
          <cell r="BA53">
            <v>0.15860523057067782</v>
          </cell>
          <cell r="BN53">
            <v>2000</v>
          </cell>
          <cell r="BO53" t="str">
            <v>2005E</v>
          </cell>
        </row>
        <row r="54">
          <cell r="A54" t="str">
            <v>Book:bill</v>
          </cell>
          <cell r="Q54">
            <v>1.531112199902009</v>
          </cell>
          <cell r="R54">
            <v>1.0387958448166208</v>
          </cell>
          <cell r="S54">
            <v>1.0488676996424313</v>
          </cell>
          <cell r="AB54">
            <v>0.19751704487636101</v>
          </cell>
          <cell r="AC54">
            <v>-0.14573419442556079</v>
          </cell>
          <cell r="AD54">
            <v>9.8776034317059835E-2</v>
          </cell>
          <cell r="AE54">
            <v>0.12717129379613512</v>
          </cell>
          <cell r="AF54">
            <v>0.15328253583493212</v>
          </cell>
          <cell r="AI54" t="str">
            <v>Total Debt</v>
          </cell>
          <cell r="AN54">
            <v>645</v>
          </cell>
          <cell r="AO54">
            <v>530</v>
          </cell>
          <cell r="AP54">
            <v>1022</v>
          </cell>
          <cell r="AQ54">
            <v>513</v>
          </cell>
          <cell r="AR54">
            <v>1935</v>
          </cell>
          <cell r="AS54">
            <v>1471</v>
          </cell>
          <cell r="AT54">
            <v>4043</v>
          </cell>
          <cell r="AU54">
            <v>3297</v>
          </cell>
          <cell r="AV54">
            <v>3287</v>
          </cell>
          <cell r="AW54">
            <v>2781</v>
          </cell>
          <cell r="AX54">
            <v>2791</v>
          </cell>
          <cell r="AY54">
            <v>4024</v>
          </cell>
          <cell r="AZ54">
            <v>4003</v>
          </cell>
          <cell r="BA54">
            <v>4003</v>
          </cell>
          <cell r="BM54" t="str">
            <v>Net Margin</v>
          </cell>
          <cell r="BN54">
            <v>12.789907811741873</v>
          </cell>
          <cell r="BO54">
            <v>10.426698450536351</v>
          </cell>
        </row>
        <row r="55">
          <cell r="A55" t="str">
            <v>Funded Backlog</v>
          </cell>
          <cell r="BM55" t="str">
            <v>Asset Turnover</v>
          </cell>
          <cell r="BN55">
            <v>1.2902216101164392</v>
          </cell>
          <cell r="BO55">
            <v>1.0647208121827412</v>
          </cell>
        </row>
        <row r="56">
          <cell r="A56" t="str">
            <v>Marine Systems</v>
          </cell>
          <cell r="B56">
            <v>8.9269999999999996</v>
          </cell>
          <cell r="C56">
            <v>8.2899999999999991</v>
          </cell>
          <cell r="D56">
            <v>8.1059999999999999</v>
          </cell>
          <cell r="E56">
            <v>7.6210000000000004</v>
          </cell>
          <cell r="F56">
            <v>9.5519999999999996</v>
          </cell>
          <cell r="G56">
            <v>8.8989999999999991</v>
          </cell>
          <cell r="H56">
            <v>7.907</v>
          </cell>
          <cell r="I56">
            <v>10.481999999999999</v>
          </cell>
          <cell r="J56">
            <v>9.4309999999999992</v>
          </cell>
          <cell r="K56">
            <v>8.6449999999999996</v>
          </cell>
          <cell r="N56">
            <v>7.2469999999999999</v>
          </cell>
          <cell r="O56">
            <v>6.702</v>
          </cell>
          <cell r="P56">
            <v>7.2619999999999996</v>
          </cell>
          <cell r="Q56">
            <v>8.7750000000000004</v>
          </cell>
          <cell r="R56">
            <v>9.8989999999999991</v>
          </cell>
          <cell r="S56">
            <v>8.4190000000000005</v>
          </cell>
          <cell r="T56">
            <v>8.1739999999999995</v>
          </cell>
          <cell r="U56">
            <v>7.6210000000000004</v>
          </cell>
          <cell r="V56">
            <v>10.481999999999999</v>
          </cell>
          <cell r="BM56" t="str">
            <v>Leverage Ratio</v>
          </cell>
          <cell r="BN56">
            <v>2.0908376963350785</v>
          </cell>
          <cell r="BO56">
            <v>2.4186617556783303</v>
          </cell>
          <cell r="BQ56" t="str">
            <v>mstag:defenseBacklog</v>
          </cell>
          <cell r="BR56">
            <v>6</v>
          </cell>
          <cell r="BS56" t="str">
            <v>ISO4217:USD</v>
          </cell>
          <cell r="BT56" t="b">
            <v>0</v>
          </cell>
          <cell r="BU56" t="b">
            <v>0</v>
          </cell>
        </row>
        <row r="57">
          <cell r="A57" t="str">
            <v>Combat Systems</v>
          </cell>
          <cell r="B57">
            <v>10.55</v>
          </cell>
          <cell r="C57">
            <v>10.712</v>
          </cell>
          <cell r="D57">
            <v>11.371</v>
          </cell>
          <cell r="E57">
            <v>10.824</v>
          </cell>
          <cell r="F57">
            <v>11.116</v>
          </cell>
          <cell r="G57">
            <v>10.611000000000001</v>
          </cell>
          <cell r="H57">
            <v>12.54</v>
          </cell>
          <cell r="I57">
            <v>12.127000000000001</v>
          </cell>
          <cell r="J57">
            <v>11.746</v>
          </cell>
          <cell r="K57">
            <v>11.494</v>
          </cell>
          <cell r="N57">
            <v>1.597</v>
          </cell>
          <cell r="O57">
            <v>3.4340000000000002</v>
          </cell>
          <cell r="P57">
            <v>4.2329999999999997</v>
          </cell>
          <cell r="Q57">
            <v>5.8259999999999996</v>
          </cell>
          <cell r="R57">
            <v>6.3979999999999997</v>
          </cell>
          <cell r="S57">
            <v>6.9539999999999997</v>
          </cell>
          <cell r="T57">
            <v>10.086</v>
          </cell>
          <cell r="U57">
            <v>10.824</v>
          </cell>
          <cell r="V57">
            <v>12.127000000000001</v>
          </cell>
          <cell r="AI57" t="str">
            <v>General Dynamics</v>
          </cell>
          <cell r="BM57" t="str">
            <v>ROE</v>
          </cell>
          <cell r="BN57">
            <v>23.141009869832644</v>
          </cell>
          <cell r="BO57">
            <v>19.055693230729098</v>
          </cell>
          <cell r="BQ57" t="str">
            <v>mstag:defenseBacklog</v>
          </cell>
          <cell r="BR57">
            <v>6</v>
          </cell>
          <cell r="BS57" t="str">
            <v>ISO4217:USD</v>
          </cell>
          <cell r="BT57" t="b">
            <v>0</v>
          </cell>
          <cell r="BU57" t="b">
            <v>0</v>
          </cell>
        </row>
        <row r="58">
          <cell r="A58" t="str">
            <v>Info. Systems &amp; Tech.</v>
          </cell>
          <cell r="B58">
            <v>7.343</v>
          </cell>
          <cell r="C58">
            <v>6.98</v>
          </cell>
          <cell r="D58">
            <v>7.1840000000000002</v>
          </cell>
          <cell r="E58">
            <v>7.1580000000000004</v>
          </cell>
          <cell r="F58">
            <v>7.5819999999999999</v>
          </cell>
          <cell r="G58">
            <v>7.5309999999999997</v>
          </cell>
          <cell r="H58">
            <v>7.7610000000000001</v>
          </cell>
          <cell r="I58">
            <v>7.242</v>
          </cell>
          <cell r="J58">
            <v>7.7949999999999999</v>
          </cell>
          <cell r="K58">
            <v>8.2080000000000002</v>
          </cell>
          <cell r="N58">
            <v>1.7689999999999999</v>
          </cell>
          <cell r="O58">
            <v>4.7290000000000001</v>
          </cell>
          <cell r="P58">
            <v>5.1050000000000004</v>
          </cell>
          <cell r="Q58">
            <v>5.95</v>
          </cell>
          <cell r="R58">
            <v>7.0709999999999997</v>
          </cell>
          <cell r="S58">
            <v>6.96</v>
          </cell>
          <cell r="T58">
            <v>7.548</v>
          </cell>
          <cell r="U58">
            <v>7.1580000000000004</v>
          </cell>
          <cell r="V58">
            <v>7.242</v>
          </cell>
          <cell r="AI58" t="str">
            <v xml:space="preserve">DuPont Analysis </v>
          </cell>
          <cell r="BQ58" t="str">
            <v>mstag:defenseBacklog</v>
          </cell>
          <cell r="BR58">
            <v>6</v>
          </cell>
          <cell r="BS58" t="str">
            <v>ISO4217:USD</v>
          </cell>
          <cell r="BT58" t="b">
            <v>0</v>
          </cell>
          <cell r="BU58" t="b">
            <v>0</v>
          </cell>
        </row>
        <row r="59">
          <cell r="A59" t="str">
            <v>Aerospace</v>
          </cell>
          <cell r="B59">
            <v>7.7160000000000002</v>
          </cell>
          <cell r="C59">
            <v>9.4269999999999996</v>
          </cell>
          <cell r="D59">
            <v>10.241</v>
          </cell>
          <cell r="E59">
            <v>11.590999999999999</v>
          </cell>
          <cell r="F59">
            <v>11.802</v>
          </cell>
          <cell r="G59">
            <v>18.195</v>
          </cell>
          <cell r="H59">
            <v>21.466000000000001</v>
          </cell>
          <cell r="I59">
            <v>21.861000000000001</v>
          </cell>
          <cell r="J59">
            <v>20.178999999999998</v>
          </cell>
          <cell r="K59">
            <v>19.306000000000001</v>
          </cell>
          <cell r="N59">
            <v>3.3359999999999999</v>
          </cell>
          <cell r="O59">
            <v>4.1980000000000004</v>
          </cell>
          <cell r="P59">
            <v>4.5</v>
          </cell>
          <cell r="Q59">
            <v>4.1269999999999998</v>
          </cell>
          <cell r="R59">
            <v>4.6520000000000001</v>
          </cell>
          <cell r="S59">
            <v>5.8529999999999998</v>
          </cell>
          <cell r="T59">
            <v>6.9409999999999998</v>
          </cell>
          <cell r="U59">
            <v>11.590999999999999</v>
          </cell>
          <cell r="V59">
            <v>21.861000000000001</v>
          </cell>
          <cell r="AO59">
            <v>1998</v>
          </cell>
          <cell r="AP59">
            <v>1999</v>
          </cell>
          <cell r="AQ59">
            <v>2000</v>
          </cell>
          <cell r="AR59">
            <v>2001</v>
          </cell>
          <cell r="AS59">
            <v>2002</v>
          </cell>
          <cell r="AT59" t="str">
            <v>2003A</v>
          </cell>
          <cell r="AU59" t="str">
            <v>2004E</v>
          </cell>
          <cell r="AV59" t="str">
            <v>2005E</v>
          </cell>
          <cell r="AW59" t="str">
            <v>2006E</v>
          </cell>
          <cell r="AX59" t="str">
            <v>2006E</v>
          </cell>
          <cell r="AY59" t="str">
            <v>2006E</v>
          </cell>
          <cell r="AZ59" t="str">
            <v>2006E</v>
          </cell>
          <cell r="BA59" t="str">
            <v>2006E</v>
          </cell>
          <cell r="BQ59" t="str">
            <v>mstag:commercialBacklog</v>
          </cell>
          <cell r="BR59">
            <v>6</v>
          </cell>
          <cell r="BS59" t="str">
            <v>ISO4217:USD</v>
          </cell>
          <cell r="BT59" t="b">
            <v>0</v>
          </cell>
          <cell r="BU59" t="b">
            <v>0</v>
          </cell>
        </row>
        <row r="60">
          <cell r="A60" t="str">
            <v>Resources/Corporate</v>
          </cell>
          <cell r="B60">
            <v>0</v>
          </cell>
          <cell r="C60">
            <v>0</v>
          </cell>
          <cell r="D60">
            <v>0</v>
          </cell>
          <cell r="E60">
            <v>0</v>
          </cell>
          <cell r="F60">
            <v>0</v>
          </cell>
          <cell r="G60">
            <v>0</v>
          </cell>
          <cell r="H60">
            <v>0</v>
          </cell>
          <cell r="I60">
            <v>0</v>
          </cell>
          <cell r="J60">
            <v>0</v>
          </cell>
          <cell r="K60">
            <v>0</v>
          </cell>
          <cell r="N60">
            <v>0.41699999999999982</v>
          </cell>
          <cell r="O60">
            <v>0.30499999999999972</v>
          </cell>
          <cell r="P60">
            <v>0.19999999999999929</v>
          </cell>
          <cell r="Q60">
            <v>0.16300000000000001</v>
          </cell>
          <cell r="R60">
            <v>0.2</v>
          </cell>
          <cell r="S60">
            <v>0</v>
          </cell>
          <cell r="T60">
            <v>0</v>
          </cell>
          <cell r="U60">
            <v>0</v>
          </cell>
          <cell r="V60">
            <v>0</v>
          </cell>
          <cell r="X60">
            <v>6.0606060606060606</v>
          </cell>
          <cell r="AI60" t="str">
            <v>Net Margin</v>
          </cell>
          <cell r="AO60">
            <v>0.10396814863968148</v>
          </cell>
          <cell r="AP60">
            <v>0.12947873646612346</v>
          </cell>
          <cell r="AQ60">
            <v>0.12789907811741874</v>
          </cell>
          <cell r="AR60">
            <v>0.12286377965820475</v>
          </cell>
          <cell r="AS60">
            <v>0.11798245614035088</v>
          </cell>
          <cell r="AT60">
            <v>8.8498285154336109E-2</v>
          </cell>
          <cell r="AU60">
            <v>0.10186559253762985</v>
          </cell>
          <cell r="AV60">
            <v>0.10426698450536352</v>
          </cell>
          <cell r="AW60">
            <v>0.109213315047999</v>
          </cell>
          <cell r="AX60">
            <v>0.1144273127753304</v>
          </cell>
          <cell r="AY60">
            <v>0.12525597269624572</v>
          </cell>
          <cell r="AZ60">
            <v>0.11040076923076922</v>
          </cell>
          <cell r="BA60">
            <v>0.11074620982413584</v>
          </cell>
          <cell r="BQ60" t="str">
            <v>mstag:commercialBacklog</v>
          </cell>
          <cell r="BR60">
            <v>6</v>
          </cell>
          <cell r="BS60" t="str">
            <v>ISO4217:USD</v>
          </cell>
          <cell r="BT60" t="b">
            <v>0</v>
          </cell>
          <cell r="BU60" t="b">
            <v>0</v>
          </cell>
        </row>
        <row r="61">
          <cell r="A61" t="str">
            <v>Total</v>
          </cell>
          <cell r="B61">
            <v>34.536000000000001</v>
          </cell>
          <cell r="C61">
            <v>35.408999999999999</v>
          </cell>
          <cell r="D61">
            <v>36.902000000000001</v>
          </cell>
          <cell r="E61">
            <v>37.194000000000003</v>
          </cell>
          <cell r="F61">
            <v>40.052</v>
          </cell>
          <cell r="G61">
            <v>45.235999999999997</v>
          </cell>
          <cell r="H61">
            <v>49.673999999999999</v>
          </cell>
          <cell r="I61">
            <v>51.712000000000003</v>
          </cell>
          <cell r="J61">
            <v>49.150999999999996</v>
          </cell>
          <cell r="K61">
            <v>47.653000000000006</v>
          </cell>
          <cell r="N61">
            <v>14.366</v>
          </cell>
          <cell r="O61">
            <v>19.367999999999999</v>
          </cell>
          <cell r="P61">
            <v>21.3</v>
          </cell>
          <cell r="Q61">
            <v>24.840999999999998</v>
          </cell>
          <cell r="R61">
            <v>28.219999999999995</v>
          </cell>
          <cell r="S61">
            <v>28.186</v>
          </cell>
          <cell r="T61">
            <v>32.749000000000002</v>
          </cell>
          <cell r="U61">
            <v>37.194000000000003</v>
          </cell>
          <cell r="V61">
            <v>51.712000000000003</v>
          </cell>
          <cell r="AI61" t="str">
            <v>Asset Turnover</v>
          </cell>
          <cell r="AO61">
            <v>1.2345707735759845</v>
          </cell>
          <cell r="AP61">
            <v>1.1664839361790194</v>
          </cell>
          <cell r="AQ61">
            <v>1.2902216101164392</v>
          </cell>
          <cell r="AR61">
            <v>1.0889872617219261</v>
          </cell>
          <cell r="AS61">
            <v>1.1661409939476601</v>
          </cell>
          <cell r="AT61">
            <v>1.0089600197738366</v>
          </cell>
          <cell r="AU61">
            <v>1.0754673962608299</v>
          </cell>
          <cell r="AV61">
            <v>1.0647208121827412</v>
          </cell>
          <cell r="AW61">
            <v>1.0753932785126921</v>
          </cell>
          <cell r="AX61">
            <v>1.0585629347530408</v>
          </cell>
          <cell r="AY61">
            <v>1.0326719063898777</v>
          </cell>
          <cell r="AZ61">
            <v>1.0384805765047622</v>
          </cell>
          <cell r="BA61">
            <v>0.98711650041536958</v>
          </cell>
        </row>
        <row r="62">
          <cell r="A62" t="str">
            <v>% ch. y/y</v>
          </cell>
          <cell r="B62">
            <v>0.17573364199632313</v>
          </cell>
          <cell r="C62">
            <v>0.15958213256484144</v>
          </cell>
          <cell r="D62">
            <v>0.16421112408114324</v>
          </cell>
          <cell r="E62">
            <v>0.1357293352468778</v>
          </cell>
          <cell r="F62">
            <v>0.15971739634005089</v>
          </cell>
          <cell r="G62">
            <v>0.27752831201107053</v>
          </cell>
          <cell r="H62">
            <v>0.34610590211912617</v>
          </cell>
          <cell r="I62">
            <v>0.39033177394203356</v>
          </cell>
          <cell r="J62">
            <v>0.2271796664336363</v>
          </cell>
          <cell r="K62">
            <v>5.343089574675064E-2</v>
          </cell>
          <cell r="N62">
            <v>0.22786324786324785</v>
          </cell>
          <cell r="O62">
            <v>0.3481832103577891</v>
          </cell>
          <cell r="P62">
            <v>9.9752168525402807E-2</v>
          </cell>
          <cell r="Q62">
            <v>0.16624413145539885</v>
          </cell>
          <cell r="R62">
            <v>0.13602511976168419</v>
          </cell>
          <cell r="S62">
            <v>-1.2048192771082489E-3</v>
          </cell>
          <cell r="T62">
            <v>0.16188888100475429</v>
          </cell>
          <cell r="U62">
            <v>0.1357293352468778</v>
          </cell>
          <cell r="AI62" t="str">
            <v>Leverage Ratio</v>
          </cell>
          <cell r="AO62">
            <v>2.5272612008281574</v>
          </cell>
          <cell r="AP62">
            <v>2.4225163386323492</v>
          </cell>
          <cell r="AQ62">
            <v>2.0908376963350785</v>
          </cell>
          <cell r="AR62">
            <v>2.4445671378091873</v>
          </cell>
          <cell r="AS62">
            <v>2.2563954606655128</v>
          </cell>
          <cell r="AT62">
            <v>2.7331531835838541</v>
          </cell>
          <cell r="AU62">
            <v>2.4403950479899845</v>
          </cell>
          <cell r="AV62">
            <v>2.4186617556783303</v>
          </cell>
          <cell r="AW62">
            <v>2.276991960923985</v>
          </cell>
          <cell r="AX62">
            <v>2.1866927260367097</v>
          </cell>
          <cell r="AY62">
            <v>2.8223415895752511</v>
          </cell>
          <cell r="AZ62">
            <v>2.8332188466414219</v>
          </cell>
          <cell r="BA62">
            <v>2.6834126267744729</v>
          </cell>
        </row>
        <row r="63">
          <cell r="A63" t="str">
            <v>% ch. sequentially</v>
          </cell>
          <cell r="B63">
            <v>5.4566551650432116E-2</v>
          </cell>
          <cell r="C63">
            <v>2.5277970813064599E-2</v>
          </cell>
          <cell r="D63">
            <v>4.2164421474766289E-2</v>
          </cell>
          <cell r="E63">
            <v>7.9128502520189326E-3</v>
          </cell>
          <cell r="F63">
            <v>7.6840350594181706E-2</v>
          </cell>
          <cell r="G63">
            <v>0.12943173873963842</v>
          </cell>
          <cell r="H63">
            <v>9.8107701830400629E-2</v>
          </cell>
          <cell r="I63">
            <v>4.1027499295406056E-2</v>
          </cell>
          <cell r="J63">
            <v>-4.9524288366336822E-2</v>
          </cell>
          <cell r="K63">
            <v>-3.0477508087322525E-2</v>
          </cell>
          <cell r="N63">
            <v>0.22786324786324785</v>
          </cell>
          <cell r="O63">
            <v>0.3481832103577891</v>
          </cell>
          <cell r="P63">
            <v>9.9752168525402807E-2</v>
          </cell>
          <cell r="Q63">
            <v>0.16624413145539885</v>
          </cell>
          <cell r="R63">
            <v>0.13602511976168419</v>
          </cell>
          <cell r="S63">
            <v>-1.2048192771082489E-3</v>
          </cell>
          <cell r="T63">
            <v>0.16188888100475429</v>
          </cell>
          <cell r="U63">
            <v>0.1357293352468778</v>
          </cell>
          <cell r="AI63" t="str">
            <v>ROE</v>
          </cell>
          <cell r="AO63">
            <v>0.22421921772552567</v>
          </cell>
          <cell r="AP63">
            <v>0.25600071607590402</v>
          </cell>
          <cell r="AQ63">
            <v>0.23141009869832643</v>
          </cell>
          <cell r="AR63">
            <v>0.22592237661715378</v>
          </cell>
          <cell r="AS63">
            <v>0.21383777115246222</v>
          </cell>
          <cell r="AT63">
            <v>0.18057553956834532</v>
          </cell>
          <cell r="AU63">
            <v>0.18718535469107553</v>
          </cell>
          <cell r="AV63">
            <v>0.19055693230729098</v>
          </cell>
          <cell r="AW63">
            <v>0.20654351212997996</v>
          </cell>
          <cell r="AX63">
            <v>0.19263718453345682</v>
          </cell>
          <cell r="AY63">
            <v>0.22537922185051099</v>
          </cell>
          <cell r="AZ63">
            <v>0.22332157245457723</v>
          </cell>
          <cell r="BA63">
            <v>0.20520089620180493</v>
          </cell>
        </row>
        <row r="65">
          <cell r="A65" t="str">
            <v>Total (Funded &amp; Unfunded) Backlog</v>
          </cell>
        </row>
        <row r="66">
          <cell r="A66" t="str">
            <v>Marine Systems</v>
          </cell>
          <cell r="B66">
            <v>13.372</v>
          </cell>
          <cell r="C66">
            <v>12.666</v>
          </cell>
          <cell r="D66">
            <v>12.747</v>
          </cell>
          <cell r="E66">
            <v>12.06</v>
          </cell>
          <cell r="F66">
            <v>12.608000000000001</v>
          </cell>
          <cell r="G66">
            <v>12.138</v>
          </cell>
          <cell r="H66">
            <v>11.48</v>
          </cell>
          <cell r="I66">
            <v>26.445</v>
          </cell>
          <cell r="J66">
            <v>25.462</v>
          </cell>
          <cell r="K66">
            <v>24.369</v>
          </cell>
          <cell r="N66">
            <v>11.211</v>
          </cell>
          <cell r="O66">
            <v>10.06</v>
          </cell>
          <cell r="P66">
            <v>11.6</v>
          </cell>
          <cell r="Q66">
            <v>18.163</v>
          </cell>
          <cell r="R66">
            <v>16.841999999999999</v>
          </cell>
          <cell r="S66">
            <v>15.433</v>
          </cell>
          <cell r="T66">
            <v>14.025</v>
          </cell>
          <cell r="U66">
            <v>12.06</v>
          </cell>
          <cell r="V66">
            <v>26.445</v>
          </cell>
          <cell r="BD66" t="str">
            <v xml:space="preserve"> </v>
          </cell>
        </row>
        <row r="67">
          <cell r="A67" t="str">
            <v>Combat Systems</v>
          </cell>
          <cell r="B67">
            <v>12.359</v>
          </cell>
          <cell r="C67">
            <v>12.843</v>
          </cell>
          <cell r="D67">
            <v>13.566000000000001</v>
          </cell>
          <cell r="E67">
            <v>12.901</v>
          </cell>
          <cell r="F67">
            <v>14.287000000000001</v>
          </cell>
          <cell r="G67">
            <v>13.847</v>
          </cell>
          <cell r="H67">
            <v>15.84</v>
          </cell>
          <cell r="I67">
            <v>14.958</v>
          </cell>
          <cell r="J67">
            <v>14.47</v>
          </cell>
          <cell r="K67">
            <v>12.858000000000001</v>
          </cell>
          <cell r="N67">
            <v>1.7729999999999999</v>
          </cell>
          <cell r="O67">
            <v>5.194</v>
          </cell>
          <cell r="P67">
            <v>4.9000000000000004</v>
          </cell>
          <cell r="Q67">
            <v>8.2590000000000003</v>
          </cell>
          <cell r="R67">
            <v>8.7159999999999993</v>
          </cell>
          <cell r="S67">
            <v>9.3279999999999994</v>
          </cell>
          <cell r="T67">
            <v>11.968999999999999</v>
          </cell>
          <cell r="U67">
            <v>12.901</v>
          </cell>
          <cell r="V67">
            <v>14.958</v>
          </cell>
          <cell r="AI67" t="str">
            <v>Est. GD Bottom-Up Valuation - 2004</v>
          </cell>
        </row>
        <row r="68">
          <cell r="A68" t="str">
            <v>Info. Systems &amp; Tech.</v>
          </cell>
          <cell r="B68">
            <v>9.4540000000000006</v>
          </cell>
          <cell r="C68">
            <v>8.9510000000000005</v>
          </cell>
          <cell r="D68">
            <v>9.3070000000000004</v>
          </cell>
          <cell r="E68">
            <v>9.6150000000000002</v>
          </cell>
          <cell r="F68">
            <v>10.42</v>
          </cell>
          <cell r="G68">
            <v>10.481</v>
          </cell>
          <cell r="H68">
            <v>11.085000000000001</v>
          </cell>
          <cell r="I68">
            <v>10.244999999999999</v>
          </cell>
          <cell r="J68">
            <v>10.423999999999999</v>
          </cell>
          <cell r="K68">
            <v>10.505000000000001</v>
          </cell>
          <cell r="N68">
            <v>1.9419999999999999</v>
          </cell>
          <cell r="O68">
            <v>4.9710000000000001</v>
          </cell>
          <cell r="P68">
            <v>5.3</v>
          </cell>
          <cell r="Q68">
            <v>7.4790000000000001</v>
          </cell>
          <cell r="R68">
            <v>9.3469999999999995</v>
          </cell>
          <cell r="S68">
            <v>9.375</v>
          </cell>
          <cell r="T68">
            <v>9.98</v>
          </cell>
          <cell r="U68">
            <v>9.6150000000000002</v>
          </cell>
          <cell r="V68">
            <v>10.244999999999999</v>
          </cell>
        </row>
        <row r="69">
          <cell r="A69" t="str">
            <v>Aerospace</v>
          </cell>
          <cell r="B69">
            <v>8.4459999999999997</v>
          </cell>
          <cell r="C69">
            <v>10.135</v>
          </cell>
          <cell r="D69">
            <v>10.928000000000001</v>
          </cell>
          <cell r="E69">
            <v>12.256</v>
          </cell>
          <cell r="F69">
            <v>12.452</v>
          </cell>
          <cell r="G69">
            <v>18.829000000000001</v>
          </cell>
          <cell r="H69">
            <v>22.084</v>
          </cell>
          <cell r="I69">
            <v>22.478999999999999</v>
          </cell>
          <cell r="J69">
            <v>20.768999999999998</v>
          </cell>
          <cell r="K69">
            <v>19.876000000000001</v>
          </cell>
          <cell r="N69">
            <v>4.37</v>
          </cell>
          <cell r="O69">
            <v>6.2729999999999997</v>
          </cell>
          <cell r="P69">
            <v>6.8</v>
          </cell>
          <cell r="Q69">
            <v>6.524</v>
          </cell>
          <cell r="R69">
            <v>6.8440000000000003</v>
          </cell>
          <cell r="S69">
            <v>6.6180000000000003</v>
          </cell>
          <cell r="T69">
            <v>7.6929999999999996</v>
          </cell>
          <cell r="U69">
            <v>12.256</v>
          </cell>
          <cell r="V69">
            <v>22.478999999999999</v>
          </cell>
        </row>
        <row r="70">
          <cell r="A70" t="str">
            <v>Resources/Corporate</v>
          </cell>
          <cell r="B70">
            <v>0</v>
          </cell>
          <cell r="C70">
            <v>0</v>
          </cell>
          <cell r="D70">
            <v>0</v>
          </cell>
          <cell r="E70">
            <v>0</v>
          </cell>
          <cell r="F70">
            <v>0</v>
          </cell>
          <cell r="G70">
            <v>0</v>
          </cell>
          <cell r="H70">
            <v>0</v>
          </cell>
          <cell r="I70">
            <v>0</v>
          </cell>
          <cell r="J70">
            <v>0</v>
          </cell>
          <cell r="K70">
            <v>0</v>
          </cell>
          <cell r="N70">
            <v>0.44600000000000001</v>
          </cell>
          <cell r="O70">
            <v>0.33400000000000002</v>
          </cell>
          <cell r="P70">
            <v>0.3</v>
          </cell>
          <cell r="Q70">
            <v>0.22</v>
          </cell>
          <cell r="R70">
            <v>0.25800000000000001</v>
          </cell>
          <cell r="S70">
            <v>0</v>
          </cell>
          <cell r="T70">
            <v>0</v>
          </cell>
          <cell r="U70">
            <v>0</v>
          </cell>
          <cell r="V70">
            <v>0</v>
          </cell>
        </row>
        <row r="71">
          <cell r="A71" t="str">
            <v>Total</v>
          </cell>
          <cell r="B71">
            <v>43.631</v>
          </cell>
          <cell r="C71">
            <v>44.594999999999999</v>
          </cell>
          <cell r="D71">
            <v>46.548000000000002</v>
          </cell>
          <cell r="E71">
            <v>46.832000000000001</v>
          </cell>
          <cell r="F71">
            <v>49.767000000000003</v>
          </cell>
          <cell r="G71">
            <v>55.295000000000002</v>
          </cell>
          <cell r="H71">
            <v>60.489000000000004</v>
          </cell>
          <cell r="I71">
            <v>74.126999999999995</v>
          </cell>
          <cell r="J71">
            <v>71.125</v>
          </cell>
          <cell r="K71">
            <v>67.608000000000004</v>
          </cell>
          <cell r="N71">
            <v>19.742000000000001</v>
          </cell>
          <cell r="O71">
            <v>26.832000000000001</v>
          </cell>
          <cell r="P71">
            <v>28.900000000000002</v>
          </cell>
          <cell r="Q71">
            <v>40.645000000000003</v>
          </cell>
          <cell r="R71">
            <v>42.007000000000005</v>
          </cell>
          <cell r="S71">
            <v>40.753999999999998</v>
          </cell>
          <cell r="T71">
            <v>43.667000000000002</v>
          </cell>
          <cell r="U71">
            <v>46.832000000000001</v>
          </cell>
          <cell r="V71">
            <v>74.126999999999995</v>
          </cell>
          <cell r="AI71" t="str">
            <v>Core Opns</v>
          </cell>
          <cell r="AJ71" t="str">
            <v>EPS</v>
          </cell>
          <cell r="AK71" t="str">
            <v>EPS</v>
          </cell>
          <cell r="AL71" t="str">
            <v>EPS</v>
          </cell>
          <cell r="AM71" t="str">
            <v>EPS</v>
          </cell>
          <cell r="AN71" t="str">
            <v>EPS</v>
          </cell>
          <cell r="AO71" t="str">
            <v>EPS</v>
          </cell>
        </row>
        <row r="72">
          <cell r="A72" t="str">
            <v>IDIQ contracts</v>
          </cell>
          <cell r="B72">
            <v>11.016999999999999</v>
          </cell>
          <cell r="C72">
            <v>11.016</v>
          </cell>
          <cell r="D72">
            <v>15.144</v>
          </cell>
          <cell r="E72">
            <v>14.506</v>
          </cell>
          <cell r="F72">
            <v>14.632</v>
          </cell>
          <cell r="G72">
            <v>17.434000000000001</v>
          </cell>
          <cell r="H72">
            <v>17.695</v>
          </cell>
          <cell r="I72">
            <v>16.847000000000001</v>
          </cell>
          <cell r="J72">
            <v>17.946999999999999</v>
          </cell>
          <cell r="K72">
            <v>17.696999999999999</v>
          </cell>
          <cell r="P72">
            <v>3.0030000000000001</v>
          </cell>
          <cell r="Q72">
            <v>6.6790000000000003</v>
          </cell>
          <cell r="R72">
            <v>6.3979999999999997</v>
          </cell>
          <cell r="S72">
            <v>12.919</v>
          </cell>
          <cell r="T72">
            <v>13.089</v>
          </cell>
          <cell r="U72">
            <v>14.506</v>
          </cell>
          <cell r="V72">
            <v>16.847000000000001</v>
          </cell>
          <cell r="AI72" t="str">
            <v>Defense</v>
          </cell>
          <cell r="AJ72">
            <v>2.3922800217563136</v>
          </cell>
          <cell r="AK72">
            <v>2.3922800217563136</v>
          </cell>
          <cell r="AL72">
            <v>2.8071051451860196</v>
          </cell>
          <cell r="AM72">
            <v>3.2750123834660396</v>
          </cell>
          <cell r="AN72">
            <v>3.8880879171065916</v>
          </cell>
          <cell r="AO72">
            <v>4.562092783789268</v>
          </cell>
          <cell r="AP72">
            <v>38.276480348101018</v>
          </cell>
        </row>
        <row r="73">
          <cell r="A73" t="str">
            <v>Total Backlog (incl IDIQ)</v>
          </cell>
          <cell r="B73">
            <v>54.647999999999996</v>
          </cell>
          <cell r="C73">
            <v>55.610999999999997</v>
          </cell>
          <cell r="D73">
            <v>61.692</v>
          </cell>
          <cell r="E73">
            <v>61.338000000000001</v>
          </cell>
          <cell r="F73">
            <v>64.399000000000001</v>
          </cell>
          <cell r="G73">
            <v>72.728999999999999</v>
          </cell>
          <cell r="H73">
            <v>78.183999999999997</v>
          </cell>
          <cell r="I73">
            <v>90.97399999999999</v>
          </cell>
          <cell r="J73">
            <v>89.072000000000003</v>
          </cell>
          <cell r="K73">
            <v>85.305000000000007</v>
          </cell>
          <cell r="P73">
            <v>31.903000000000002</v>
          </cell>
          <cell r="Q73">
            <v>47.324000000000005</v>
          </cell>
          <cell r="R73">
            <v>48.405000000000001</v>
          </cell>
          <cell r="S73">
            <v>53.673000000000002</v>
          </cell>
          <cell r="T73">
            <v>56.756</v>
          </cell>
          <cell r="U73">
            <v>61.338000000000001</v>
          </cell>
          <cell r="V73">
            <v>90.97399999999999</v>
          </cell>
          <cell r="AI73" t="str">
            <v>Comml Aero</v>
          </cell>
          <cell r="AJ73">
            <v>0.5683082347463877</v>
          </cell>
          <cell r="AK73">
            <v>0.5683082347463877</v>
          </cell>
          <cell r="AL73">
            <v>0.78574730811620674</v>
          </cell>
          <cell r="AM73">
            <v>1.0116752057133986</v>
          </cell>
          <cell r="AN73">
            <v>1.3135952060963361</v>
          </cell>
          <cell r="AO73">
            <v>1.6961448514553545</v>
          </cell>
          <cell r="AP73">
            <v>10.797856460181366</v>
          </cell>
        </row>
        <row r="74">
          <cell r="U74">
            <v>8.0731552611177593E-2</v>
          </cell>
          <cell r="V74">
            <v>0.4831588900844499</v>
          </cell>
          <cell r="AI74" t="str">
            <v>Other</v>
          </cell>
          <cell r="AJ74">
            <v>2.6761987182527987E-3</v>
          </cell>
          <cell r="AK74">
            <v>2.6761987182527987E-3</v>
          </cell>
          <cell r="AL74">
            <v>-1.6201463301040782E-2</v>
          </cell>
          <cell r="AM74">
            <v>-8.3147766170588708E-2</v>
          </cell>
          <cell r="AN74">
            <v>-0.1054550669974119</v>
          </cell>
          <cell r="AO74">
            <v>-0.13082353943323571</v>
          </cell>
          <cell r="AP74">
            <v>4.2819179492044779E-2</v>
          </cell>
        </row>
        <row r="75">
          <cell r="A75" t="str">
            <v>GAC backlog ($B), Netjets, firm</v>
          </cell>
          <cell r="C75">
            <v>0.48100000000000009</v>
          </cell>
          <cell r="D75">
            <v>-0.52199999999999891</v>
          </cell>
          <cell r="E75">
            <v>0.11699999999999933</v>
          </cell>
          <cell r="F75">
            <v>-1.0830000000000002</v>
          </cell>
          <cell r="G75">
            <v>5.0480000000000009</v>
          </cell>
          <cell r="H75">
            <v>1.8829999999999989</v>
          </cell>
          <cell r="I75">
            <v>-1.1370000000000005</v>
          </cell>
          <cell r="J75">
            <v>-3.1650000000000009</v>
          </cell>
          <cell r="K75">
            <v>-2.3079999999999972</v>
          </cell>
          <cell r="O75">
            <v>1.8051400000000002</v>
          </cell>
          <cell r="P75">
            <v>2.3850000000000002</v>
          </cell>
          <cell r="Q75">
            <v>2.1</v>
          </cell>
          <cell r="R75">
            <v>1.9</v>
          </cell>
          <cell r="S75">
            <v>1.6</v>
          </cell>
          <cell r="AI75" t="str">
            <v>Total</v>
          </cell>
          <cell r="AJ75">
            <v>2.9632644552209539</v>
          </cell>
          <cell r="AK75">
            <v>2.9632644552209539</v>
          </cell>
          <cell r="AL75">
            <v>3.5766509900011858</v>
          </cell>
          <cell r="AM75">
            <v>4.2035398230088497</v>
          </cell>
          <cell r="AN75">
            <v>5.0962280562055158</v>
          </cell>
          <cell r="AO75">
            <v>6.1274140958113872</v>
          </cell>
          <cell r="AP75">
            <v>49.117155987774424</v>
          </cell>
          <cell r="BM75" t="str">
            <v xml:space="preserve"> </v>
          </cell>
          <cell r="BN75" t="str">
            <v xml:space="preserve"> </v>
          </cell>
          <cell r="BO75" t="str">
            <v xml:space="preserve"> </v>
          </cell>
        </row>
        <row r="76">
          <cell r="BM76" t="str">
            <v xml:space="preserve"> </v>
          </cell>
          <cell r="BN76" t="str">
            <v xml:space="preserve"> </v>
          </cell>
          <cell r="BO76" t="str">
            <v xml:space="preserve"> </v>
          </cell>
        </row>
        <row r="77">
          <cell r="BM77" t="str">
            <v xml:space="preserve"> </v>
          </cell>
          <cell r="BN77" t="str">
            <v xml:space="preserve"> </v>
          </cell>
          <cell r="BO77" t="str">
            <v xml:space="preserve"> </v>
          </cell>
        </row>
        <row r="78">
          <cell r="B78">
            <v>2007</v>
          </cell>
          <cell r="F78" t="str">
            <v>2008A</v>
          </cell>
          <cell r="J78" t="str">
            <v>2009E</v>
          </cell>
          <cell r="AI78" t="str">
            <v xml:space="preserve">GD Risks/Watchlist </v>
          </cell>
          <cell r="BM78" t="str">
            <v xml:space="preserve"> </v>
          </cell>
          <cell r="BN78" t="str">
            <v xml:space="preserve"> </v>
          </cell>
          <cell r="BO78" t="str">
            <v xml:space="preserve"> </v>
          </cell>
        </row>
        <row r="79">
          <cell r="B79" t="str">
            <v>Q1</v>
          </cell>
          <cell r="C79" t="str">
            <v>Q2</v>
          </cell>
          <cell r="D79" t="str">
            <v>Q3</v>
          </cell>
          <cell r="E79" t="str">
            <v>Q4</v>
          </cell>
          <cell r="F79" t="str">
            <v>Q1</v>
          </cell>
          <cell r="G79" t="str">
            <v>Q2</v>
          </cell>
          <cell r="H79" t="str">
            <v>Q3</v>
          </cell>
          <cell r="I79" t="str">
            <v>Q4</v>
          </cell>
          <cell r="J79" t="str">
            <v>Q1</v>
          </cell>
          <cell r="K79" t="str">
            <v>Q2A</v>
          </cell>
          <cell r="L79" t="str">
            <v>Q3E</v>
          </cell>
          <cell r="M79" t="str">
            <v>Q4E</v>
          </cell>
          <cell r="N79">
            <v>2000</v>
          </cell>
          <cell r="O79">
            <v>2001</v>
          </cell>
          <cell r="P79">
            <v>2002</v>
          </cell>
          <cell r="Q79">
            <v>2003</v>
          </cell>
          <cell r="R79">
            <v>2004</v>
          </cell>
          <cell r="S79">
            <v>2005</v>
          </cell>
          <cell r="T79">
            <v>2006</v>
          </cell>
          <cell r="U79">
            <v>2007</v>
          </cell>
          <cell r="V79" t="str">
            <v>2008A</v>
          </cell>
          <cell r="W79" t="str">
            <v>2009E</v>
          </cell>
          <cell r="X79" t="str">
            <v>2010E</v>
          </cell>
          <cell r="Y79" t="str">
            <v>2011E</v>
          </cell>
          <cell r="Z79" t="str">
            <v>2012E</v>
          </cell>
          <cell r="BM79" t="str">
            <v xml:space="preserve"> </v>
          </cell>
          <cell r="BN79" t="str">
            <v xml:space="preserve"> </v>
          </cell>
          <cell r="BO79" t="str">
            <v xml:space="preserve"> </v>
          </cell>
        </row>
        <row r="80">
          <cell r="A80" t="str">
            <v>Gulfstream Deliveries (Green)</v>
          </cell>
          <cell r="AI80" t="str">
            <v>Item</v>
          </cell>
          <cell r="AJ80" t="str">
            <v>Since</v>
          </cell>
          <cell r="AK80" t="str">
            <v>Risk/Opportunity</v>
          </cell>
          <cell r="AL80" t="str">
            <v>Next deadline to watch</v>
          </cell>
        </row>
        <row r="81">
          <cell r="A81" t="str">
            <v>Large Cabin Aircraft</v>
          </cell>
          <cell r="B81">
            <v>19</v>
          </cell>
          <cell r="C81">
            <v>20</v>
          </cell>
          <cell r="D81">
            <v>21</v>
          </cell>
          <cell r="E81">
            <v>19</v>
          </cell>
          <cell r="F81">
            <v>22</v>
          </cell>
          <cell r="G81">
            <v>22</v>
          </cell>
          <cell r="H81">
            <v>23</v>
          </cell>
          <cell r="I81">
            <v>20</v>
          </cell>
          <cell r="J81">
            <v>22</v>
          </cell>
          <cell r="K81">
            <v>20</v>
          </cell>
          <cell r="L81">
            <v>42</v>
          </cell>
          <cell r="N81">
            <v>71</v>
          </cell>
          <cell r="O81">
            <v>71</v>
          </cell>
          <cell r="P81">
            <v>61</v>
          </cell>
          <cell r="Q81">
            <v>50</v>
          </cell>
          <cell r="R81">
            <v>56</v>
          </cell>
          <cell r="S81">
            <v>63</v>
          </cell>
          <cell r="T81">
            <v>71</v>
          </cell>
          <cell r="U81">
            <v>79</v>
          </cell>
          <cell r="V81">
            <v>87</v>
          </cell>
          <cell r="W81">
            <v>72</v>
          </cell>
          <cell r="X81">
            <v>70</v>
          </cell>
          <cell r="Y81">
            <v>70</v>
          </cell>
          <cell r="Z81">
            <v>111</v>
          </cell>
          <cell r="AI81" t="str">
            <v>A-12</v>
          </cell>
          <cell r="AJ81">
            <v>1991</v>
          </cell>
          <cell r="AK81" t="str">
            <v>lawsuit</v>
          </cell>
          <cell r="AM81" t="str">
            <v xml:space="preserve">- $1.4B (progress payments) + $1.1B (interest) split between BA = $1.2B (pretax), $700MM a.t. -- </v>
          </cell>
          <cell r="BQ81" t="str">
            <v>mstag:businessJetDeliveriesLongRange</v>
          </cell>
          <cell r="BR81">
            <v>0</v>
          </cell>
          <cell r="BS81" t="str">
            <v>ms_eqr_gcim_Decimal:ms_eqr_gcim_decimal</v>
          </cell>
          <cell r="BT81" t="b">
            <v>0</v>
          </cell>
          <cell r="BU81" t="b">
            <v>0</v>
          </cell>
        </row>
        <row r="82">
          <cell r="A82" t="str">
            <v>Midsize Aircraft</v>
          </cell>
          <cell r="B82">
            <v>11</v>
          </cell>
          <cell r="C82">
            <v>16</v>
          </cell>
          <cell r="D82">
            <v>16</v>
          </cell>
          <cell r="E82">
            <v>16</v>
          </cell>
          <cell r="F82">
            <v>15</v>
          </cell>
          <cell r="G82">
            <v>17</v>
          </cell>
          <cell r="H82">
            <v>16</v>
          </cell>
          <cell r="I82">
            <v>21</v>
          </cell>
          <cell r="J82">
            <v>9</v>
          </cell>
          <cell r="K82">
            <v>6</v>
          </cell>
          <cell r="L82">
            <v>15</v>
          </cell>
          <cell r="N82">
            <v>0</v>
          </cell>
          <cell r="O82">
            <v>13</v>
          </cell>
          <cell r="P82">
            <v>24</v>
          </cell>
          <cell r="Q82">
            <v>24</v>
          </cell>
          <cell r="R82">
            <v>22</v>
          </cell>
          <cell r="S82">
            <v>26</v>
          </cell>
          <cell r="T82">
            <v>42</v>
          </cell>
          <cell r="U82">
            <v>59</v>
          </cell>
          <cell r="V82">
            <v>69</v>
          </cell>
          <cell r="W82">
            <v>20</v>
          </cell>
          <cell r="X82">
            <v>22</v>
          </cell>
          <cell r="Y82">
            <v>0</v>
          </cell>
          <cell r="Z82">
            <v>0.58571428571428563</v>
          </cell>
          <cell r="AI82" t="str">
            <v>Galaxy</v>
          </cell>
          <cell r="AJ82" t="str">
            <v>2001</v>
          </cell>
          <cell r="AK82" t="str">
            <v>payments</v>
          </cell>
          <cell r="AL82" t="str">
            <v>2006</v>
          </cell>
          <cell r="AM82" t="str">
            <v>- $300MM thru 2006 contingent on specific rev targets (which are highly unlikely to be achieved thx to 2001 downturn)</v>
          </cell>
          <cell r="BQ82" t="str">
            <v>mstag:businessJetDeliveriesMidRange</v>
          </cell>
          <cell r="BR82">
            <v>0</v>
          </cell>
          <cell r="BS82" t="str">
            <v>ms_eqr_gcim_Decimal:ms_eqr_gcim_decimal</v>
          </cell>
          <cell r="BT82" t="b">
            <v>0</v>
          </cell>
          <cell r="BU82" t="b">
            <v>0</v>
          </cell>
        </row>
        <row r="83">
          <cell r="A83" t="str">
            <v>Total</v>
          </cell>
          <cell r="B83">
            <v>30</v>
          </cell>
          <cell r="C83">
            <v>36</v>
          </cell>
          <cell r="D83">
            <v>37</v>
          </cell>
          <cell r="E83">
            <v>35</v>
          </cell>
          <cell r="F83">
            <v>37</v>
          </cell>
          <cell r="G83">
            <v>39</v>
          </cell>
          <cell r="H83">
            <v>39</v>
          </cell>
          <cell r="I83">
            <v>41</v>
          </cell>
          <cell r="J83">
            <v>31</v>
          </cell>
          <cell r="K83">
            <v>26</v>
          </cell>
          <cell r="L83">
            <v>57</v>
          </cell>
          <cell r="N83">
            <v>71</v>
          </cell>
          <cell r="O83">
            <v>84</v>
          </cell>
          <cell r="P83">
            <v>85</v>
          </cell>
          <cell r="Q83">
            <v>74</v>
          </cell>
          <cell r="R83">
            <v>78</v>
          </cell>
          <cell r="S83">
            <v>89</v>
          </cell>
          <cell r="T83">
            <v>113</v>
          </cell>
          <cell r="U83">
            <v>138</v>
          </cell>
          <cell r="V83">
            <v>156</v>
          </cell>
          <cell r="W83">
            <v>92</v>
          </cell>
          <cell r="X83">
            <v>92</v>
          </cell>
          <cell r="Y83">
            <v>70</v>
          </cell>
          <cell r="Z83">
            <v>111.58571428571429</v>
          </cell>
          <cell r="AI83" t="str">
            <v>tax benefit</v>
          </cell>
          <cell r="AK83" t="str">
            <v>refund</v>
          </cell>
          <cell r="AM83" t="str">
            <v>- $100MM seeking recovery</v>
          </cell>
        </row>
        <row r="84">
          <cell r="A84" t="str">
            <v>Gulfstream Deliveries (Completions)</v>
          </cell>
        </row>
        <row r="85">
          <cell r="A85" t="str">
            <v>Large Cabin Aircraft</v>
          </cell>
          <cell r="B85">
            <v>20</v>
          </cell>
          <cell r="C85">
            <v>20</v>
          </cell>
          <cell r="D85">
            <v>22</v>
          </cell>
          <cell r="E85">
            <v>20</v>
          </cell>
          <cell r="F85">
            <v>20</v>
          </cell>
          <cell r="G85">
            <v>24</v>
          </cell>
          <cell r="H85">
            <v>22</v>
          </cell>
          <cell r="I85">
            <v>21</v>
          </cell>
          <cell r="J85">
            <v>18</v>
          </cell>
          <cell r="K85">
            <v>22</v>
          </cell>
          <cell r="N85">
            <v>77</v>
          </cell>
          <cell r="O85">
            <v>71</v>
          </cell>
          <cell r="P85">
            <v>68</v>
          </cell>
          <cell r="Q85">
            <v>49</v>
          </cell>
          <cell r="R85">
            <v>52</v>
          </cell>
          <cell r="S85">
            <v>60</v>
          </cell>
          <cell r="T85">
            <v>71</v>
          </cell>
          <cell r="U85">
            <v>82</v>
          </cell>
          <cell r="V85">
            <v>87</v>
          </cell>
          <cell r="W85">
            <v>72</v>
          </cell>
          <cell r="X85">
            <v>70</v>
          </cell>
          <cell r="Y85">
            <v>70</v>
          </cell>
          <cell r="Z85">
            <v>111</v>
          </cell>
        </row>
        <row r="86">
          <cell r="A86" t="str">
            <v>Midsize Aircraft</v>
          </cell>
          <cell r="B86">
            <v>10</v>
          </cell>
          <cell r="C86">
            <v>16</v>
          </cell>
          <cell r="D86">
            <v>13</v>
          </cell>
          <cell r="E86">
            <v>17</v>
          </cell>
          <cell r="F86">
            <v>16</v>
          </cell>
          <cell r="G86">
            <v>16</v>
          </cell>
          <cell r="H86">
            <v>16</v>
          </cell>
          <cell r="I86">
            <v>17</v>
          </cell>
          <cell r="J86">
            <v>16</v>
          </cell>
          <cell r="K86">
            <v>9</v>
          </cell>
          <cell r="N86">
            <v>0</v>
          </cell>
          <cell r="O86">
            <v>0</v>
          </cell>
          <cell r="P86">
            <v>26</v>
          </cell>
          <cell r="Q86">
            <v>25</v>
          </cell>
          <cell r="R86">
            <v>25</v>
          </cell>
          <cell r="S86">
            <v>24</v>
          </cell>
          <cell r="T86">
            <v>33</v>
          </cell>
          <cell r="U86">
            <v>56</v>
          </cell>
          <cell r="V86">
            <v>65</v>
          </cell>
          <cell r="W86">
            <v>20</v>
          </cell>
          <cell r="X86">
            <v>22</v>
          </cell>
          <cell r="Y86">
            <v>25</v>
          </cell>
          <cell r="Z86">
            <v>52</v>
          </cell>
          <cell r="AI86" t="str">
            <v>EPS Possibilities Next Year</v>
          </cell>
        </row>
        <row r="87">
          <cell r="A87" t="str">
            <v>Total</v>
          </cell>
          <cell r="B87">
            <v>30</v>
          </cell>
          <cell r="C87">
            <v>36</v>
          </cell>
          <cell r="D87">
            <v>35</v>
          </cell>
          <cell r="E87">
            <v>37</v>
          </cell>
          <cell r="F87">
            <v>36</v>
          </cell>
          <cell r="G87">
            <v>40</v>
          </cell>
          <cell r="H87">
            <v>38</v>
          </cell>
          <cell r="I87">
            <v>38</v>
          </cell>
          <cell r="J87">
            <v>34</v>
          </cell>
          <cell r="K87">
            <v>31</v>
          </cell>
          <cell r="N87">
            <v>77</v>
          </cell>
          <cell r="O87">
            <v>71</v>
          </cell>
          <cell r="P87">
            <v>94</v>
          </cell>
          <cell r="Q87">
            <v>74</v>
          </cell>
          <cell r="R87">
            <v>77</v>
          </cell>
          <cell r="S87">
            <v>84</v>
          </cell>
          <cell r="T87">
            <v>104</v>
          </cell>
          <cell r="U87">
            <v>138</v>
          </cell>
          <cell r="V87">
            <v>152</v>
          </cell>
          <cell r="W87">
            <v>92</v>
          </cell>
          <cell r="X87">
            <v>92</v>
          </cell>
          <cell r="Y87">
            <v>95</v>
          </cell>
          <cell r="Z87">
            <v>163</v>
          </cell>
        </row>
        <row r="88">
          <cell r="AV88" t="str">
            <v>Low</v>
          </cell>
          <cell r="AW88" t="str">
            <v>High</v>
          </cell>
        </row>
        <row r="89">
          <cell r="A89" t="str">
            <v>Preowned Units</v>
          </cell>
          <cell r="B89">
            <v>2</v>
          </cell>
          <cell r="C89">
            <v>3</v>
          </cell>
          <cell r="D89">
            <v>3</v>
          </cell>
          <cell r="E89">
            <v>0</v>
          </cell>
          <cell r="F89">
            <v>1</v>
          </cell>
          <cell r="G89">
            <v>1</v>
          </cell>
          <cell r="H89">
            <v>0</v>
          </cell>
          <cell r="I89">
            <v>0</v>
          </cell>
          <cell r="J89">
            <v>0</v>
          </cell>
          <cell r="K89">
            <v>2</v>
          </cell>
          <cell r="N89">
            <v>16</v>
          </cell>
          <cell r="O89">
            <v>13</v>
          </cell>
          <cell r="P89">
            <v>36</v>
          </cell>
          <cell r="Q89">
            <v>31</v>
          </cell>
          <cell r="R89">
            <v>15</v>
          </cell>
          <cell r="S89">
            <v>12</v>
          </cell>
          <cell r="T89">
            <v>11</v>
          </cell>
          <cell r="U89">
            <v>8</v>
          </cell>
          <cell r="V89">
            <v>2</v>
          </cell>
          <cell r="AI89" t="str">
            <v>2009 EPS</v>
          </cell>
          <cell r="AV89">
            <v>6.1189391025198736</v>
          </cell>
          <cell r="AW89">
            <v>6.55</v>
          </cell>
        </row>
        <row r="90">
          <cell r="AI90" t="str">
            <v>Jet Aviation</v>
          </cell>
          <cell r="AV90">
            <v>0.15</v>
          </cell>
          <cell r="AW90">
            <v>0.2</v>
          </cell>
        </row>
        <row r="91">
          <cell r="A91" t="str">
            <v>Revenue Growth, Total</v>
          </cell>
          <cell r="AI91" t="str">
            <v>Additional deployment</v>
          </cell>
          <cell r="AV91">
            <v>7.0000000000000007E-2</v>
          </cell>
          <cell r="AW91">
            <v>0.15</v>
          </cell>
        </row>
        <row r="92">
          <cell r="A92" t="str">
            <v>Marine Systems</v>
          </cell>
          <cell r="B92">
            <v>-1.4117647058823568E-2</v>
          </cell>
          <cell r="C92">
            <v>4.7393364928909332E-3</v>
          </cell>
          <cell r="D92">
            <v>2.0475020475020367E-2</v>
          </cell>
          <cell r="E92">
            <v>3.395585738539908E-2</v>
          </cell>
          <cell r="F92">
            <v>9.6260938743038871E-2</v>
          </cell>
          <cell r="G92">
            <v>9.5911949685534514E-2</v>
          </cell>
          <cell r="H92">
            <v>0.12680577849117181</v>
          </cell>
          <cell r="I92">
            <v>0.13300492610837433</v>
          </cell>
          <cell r="J92">
            <v>0.21117561683599417</v>
          </cell>
          <cell r="K92">
            <v>0.1657101865136299</v>
          </cell>
          <cell r="N92">
            <v>0.10524611398963724</v>
          </cell>
          <cell r="O92">
            <v>5.8306475241722833E-2</v>
          </cell>
          <cell r="P92">
            <v>1.0520487264673362E-2</v>
          </cell>
          <cell r="Q92">
            <v>0.17013698630136975</v>
          </cell>
          <cell r="R92">
            <v>0.10653242800280971</v>
          </cell>
          <cell r="S92">
            <v>-6.5594583157003727E-3</v>
          </cell>
          <cell r="T92">
            <v>5.2183173588924436E-2</v>
          </cell>
          <cell r="U92">
            <v>1.0728744939271229E-2</v>
          </cell>
          <cell r="V92">
            <v>0.11275786100540763</v>
          </cell>
          <cell r="W92">
            <v>0.16090712742980551</v>
          </cell>
          <cell r="X92">
            <v>2.7906976744185963E-2</v>
          </cell>
          <cell r="Y92">
            <v>6.6365007541478116E-2</v>
          </cell>
          <cell r="Z92">
            <v>0.12446958981612455</v>
          </cell>
          <cell r="AI92" t="str">
            <v>total EPS</v>
          </cell>
          <cell r="AV92">
            <v>6.3389391025198734</v>
          </cell>
          <cell r="AW92">
            <v>6.8999999999999995</v>
          </cell>
        </row>
        <row r="93">
          <cell r="A93" t="str">
            <v>Combat Systems</v>
          </cell>
          <cell r="B93">
            <v>0.14536157779401027</v>
          </cell>
          <cell r="C93">
            <v>0.18559556786703602</v>
          </cell>
          <cell r="D93">
            <v>0.37142857142857144</v>
          </cell>
          <cell r="E93">
            <v>0.46537396121883656</v>
          </cell>
          <cell r="F93">
            <v>0.27359693877551017</v>
          </cell>
          <cell r="G93">
            <v>0.17698598130841114</v>
          </cell>
          <cell r="H93">
            <v>-1.175213675213671E-2</v>
          </cell>
          <cell r="I93">
            <v>-0.11833648393194707</v>
          </cell>
          <cell r="J93">
            <v>0.20530796194291434</v>
          </cell>
          <cell r="K93">
            <v>0.19354838709677424</v>
          </cell>
          <cell r="N93">
            <v>-1.317829457364339E-2</v>
          </cell>
          <cell r="O93">
            <v>0.7360565593087196</v>
          </cell>
          <cell r="P93">
            <v>0.26063348416289589</v>
          </cell>
          <cell r="Q93">
            <v>0.43826274228284268</v>
          </cell>
          <cell r="R93">
            <v>9.9825305714998702E-2</v>
          </cell>
          <cell r="S93">
            <v>0.1393238030406172</v>
          </cell>
          <cell r="T93">
            <v>0.19159529974108747</v>
          </cell>
          <cell r="U93">
            <v>0.30319237840548219</v>
          </cell>
          <cell r="V93">
            <v>5.0917019366423011E-2</v>
          </cell>
          <cell r="W93">
            <v>0.22040517451794006</v>
          </cell>
          <cell r="X93">
            <v>-5.0000000000000044E-3</v>
          </cell>
          <cell r="Y93">
            <v>1.5075376884422065E-2</v>
          </cell>
          <cell r="Z93">
            <v>4.9504950495049549E-3</v>
          </cell>
        </row>
        <row r="94">
          <cell r="A94" t="str">
            <v>Info. Systems &amp; Tech.</v>
          </cell>
          <cell r="B94">
            <v>0.20679168778509882</v>
          </cell>
          <cell r="C94">
            <v>0.11219286045433474</v>
          </cell>
          <cell r="D94">
            <v>2.0868113522538589E-3</v>
          </cell>
          <cell r="E94">
            <v>-2.2818254603682919E-2</v>
          </cell>
          <cell r="F94">
            <v>-1.2599748005039935E-2</v>
          </cell>
          <cell r="G94">
            <v>6.9195498124218435E-2</v>
          </cell>
          <cell r="H94">
            <v>4.7063723448563133E-2</v>
          </cell>
          <cell r="I94">
            <v>6.841458418680868E-2</v>
          </cell>
          <cell r="J94">
            <v>0.16248404934070604</v>
          </cell>
          <cell r="K94">
            <v>3.5087719298245723E-2</v>
          </cell>
          <cell r="N94">
            <v>0.64345991561181437</v>
          </cell>
          <cell r="O94">
            <v>0.1514762516046213</v>
          </cell>
          <cell r="P94">
            <v>0.36343366778149377</v>
          </cell>
          <cell r="Q94">
            <v>0.32134096484055608</v>
          </cell>
          <cell r="R94">
            <v>0.38655115511551164</v>
          </cell>
          <cell r="S94">
            <v>0.16423683427551317</v>
          </cell>
          <cell r="T94">
            <v>0.15307947866087401</v>
          </cell>
          <cell r="U94">
            <v>6.6267730496453847E-2</v>
          </cell>
          <cell r="V94">
            <v>4.3234254832675179E-2</v>
          </cell>
          <cell r="W94">
            <v>7.5911536162582172E-2</v>
          </cell>
          <cell r="X94">
            <v>2.7777777777777679E-2</v>
          </cell>
          <cell r="Y94">
            <v>9.009009009008917E-3</v>
          </cell>
          <cell r="Z94">
            <v>4.4642857142858094E-3</v>
          </cell>
          <cell r="AI94" t="str">
            <v>Growth y/y 2009</v>
          </cell>
          <cell r="AV94">
            <v>3.4521088896714458E-2</v>
          </cell>
          <cell r="AW94">
            <v>0.12608677855096184</v>
          </cell>
        </row>
        <row r="95">
          <cell r="A95" t="str">
            <v>Aerospace</v>
          </cell>
          <cell r="B95">
            <v>0.17761033369214219</v>
          </cell>
          <cell r="C95">
            <v>0.13214620431115276</v>
          </cell>
          <cell r="D95">
            <v>0.20975160993560249</v>
          </cell>
          <cell r="E95">
            <v>0.17231364956437556</v>
          </cell>
          <cell r="F95">
            <v>0.16910420475319921</v>
          </cell>
          <cell r="G95">
            <v>0.10016556291390732</v>
          </cell>
          <cell r="H95">
            <v>4.3346007604562642E-2</v>
          </cell>
          <cell r="I95">
            <v>0.26507018992568132</v>
          </cell>
          <cell r="J95">
            <v>0.13760750586395631</v>
          </cell>
          <cell r="K95">
            <v>6.4710308502633485E-2</v>
          </cell>
          <cell r="N95">
            <v>4.1251289102784527E-2</v>
          </cell>
          <cell r="O95">
            <v>7.7913502806206569E-2</v>
          </cell>
          <cell r="P95">
            <v>7.3506891271055697E-3</v>
          </cell>
          <cell r="Q95">
            <v>-0.10428701733049561</v>
          </cell>
          <cell r="R95">
            <v>2.2403258655804503E-2</v>
          </cell>
          <cell r="S95">
            <v>0.1397742363877823</v>
          </cell>
          <cell r="T95">
            <v>0.19895135450043688</v>
          </cell>
          <cell r="U95">
            <v>0.17298347910592815</v>
          </cell>
          <cell r="V95">
            <v>0.14167357083678533</v>
          </cell>
          <cell r="W95">
            <v>-4.7532656023222097E-2</v>
          </cell>
          <cell r="X95">
            <v>9.52380952380949E-3</v>
          </cell>
          <cell r="Y95">
            <v>0.15094339622641506</v>
          </cell>
          <cell r="Z95">
            <v>0.21311475409836067</v>
          </cell>
        </row>
        <row r="96">
          <cell r="A96" t="str">
            <v>Resources/Corporate</v>
          </cell>
          <cell r="B96" t="str">
            <v>NM</v>
          </cell>
          <cell r="C96" t="str">
            <v>NM</v>
          </cell>
          <cell r="D96" t="str">
            <v>NM</v>
          </cell>
          <cell r="E96" t="str">
            <v>NM</v>
          </cell>
          <cell r="F96" t="str">
            <v>NM</v>
          </cell>
          <cell r="G96" t="str">
            <v>NM</v>
          </cell>
          <cell r="H96" t="str">
            <v>NM</v>
          </cell>
          <cell r="I96" t="str">
            <v>NM</v>
          </cell>
          <cell r="J96" t="str">
            <v>NM</v>
          </cell>
          <cell r="K96" t="str">
            <v>NM</v>
          </cell>
          <cell r="N96">
            <v>1.2000000000000011E-2</v>
          </cell>
          <cell r="O96">
            <v>9.0909090909090828E-2</v>
          </cell>
          <cell r="P96">
            <v>3.6231884057970953E-2</v>
          </cell>
          <cell r="Q96">
            <v>-0.1048951048951049</v>
          </cell>
          <cell r="R96">
            <v>-0.99609375</v>
          </cell>
          <cell r="S96">
            <v>-1</v>
          </cell>
          <cell r="T96" t="str">
            <v>NM</v>
          </cell>
          <cell r="U96" t="str">
            <v>NM</v>
          </cell>
          <cell r="V96" t="str">
            <v>NM</v>
          </cell>
          <cell r="W96" t="str">
            <v>NM</v>
          </cell>
          <cell r="X96" t="str">
            <v>NM</v>
          </cell>
          <cell r="Y96" t="str">
            <v>NM</v>
          </cell>
          <cell r="Z96" t="str">
            <v>NM</v>
          </cell>
        </row>
        <row r="97">
          <cell r="A97" t="str">
            <v>Total</v>
          </cell>
          <cell r="B97">
            <v>0.13595384060584204</v>
          </cell>
          <cell r="C97">
            <v>0.11071789686552069</v>
          </cell>
          <cell r="D97">
            <v>0.12605042016806722</v>
          </cell>
          <cell r="E97">
            <v>0.15366902057107779</v>
          </cell>
          <cell r="F97">
            <v>0.11190476190476195</v>
          </cell>
          <cell r="G97">
            <v>0.10802609619177672</v>
          </cell>
          <cell r="H97">
            <v>4.4776119402984982E-2</v>
          </cell>
          <cell r="I97">
            <v>4.4843646041250906E-2</v>
          </cell>
          <cell r="J97">
            <v>0.17972876516773728</v>
          </cell>
          <cell r="K97">
            <v>0.10913323291797883</v>
          </cell>
          <cell r="N97">
            <v>0.15023998214086398</v>
          </cell>
          <cell r="O97">
            <v>0.16972343522561872</v>
          </cell>
          <cell r="P97">
            <v>0.13489298158287699</v>
          </cell>
          <cell r="Q97">
            <v>0.19356725146198839</v>
          </cell>
          <cell r="R97">
            <v>0.15556099951004421</v>
          </cell>
          <cell r="S97">
            <v>0.11167055331778664</v>
          </cell>
          <cell r="T97">
            <v>0.14722288438617404</v>
          </cell>
          <cell r="U97">
            <v>0.13202842538336856</v>
          </cell>
          <cell r="V97">
            <v>7.562408223201178E-2</v>
          </cell>
          <cell r="W97">
            <v>0.10921501706484649</v>
          </cell>
          <cell r="X97">
            <v>1.4769230769230868E-2</v>
          </cell>
          <cell r="Y97">
            <v>4.5178896300788418E-2</v>
          </cell>
          <cell r="Z97">
            <v>6.6144473455178376E-2</v>
          </cell>
        </row>
        <row r="98">
          <cell r="A98" t="str">
            <v>Revenue Growth, Organic</v>
          </cell>
        </row>
        <row r="99">
          <cell r="A99" t="str">
            <v>Marine Systems</v>
          </cell>
          <cell r="N99">
            <v>0.10524611398963724</v>
          </cell>
          <cell r="O99">
            <v>5.8306475241722833E-2</v>
          </cell>
          <cell r="P99">
            <v>1.0520487264673362E-2</v>
          </cell>
          <cell r="Q99">
            <v>0.17013698630136975</v>
          </cell>
        </row>
        <row r="100">
          <cell r="A100" t="str">
            <v>Combat Systems</v>
          </cell>
          <cell r="N100">
            <v>-1.317829457364339E-2</v>
          </cell>
          <cell r="P100">
            <v>0.25</v>
          </cell>
          <cell r="Q100">
            <v>0.06</v>
          </cell>
        </row>
        <row r="101">
          <cell r="A101" t="str">
            <v>Info. Systems &amp; Tech.</v>
          </cell>
          <cell r="O101">
            <v>7.0000000000000007E-2</v>
          </cell>
          <cell r="P101">
            <v>0.16</v>
          </cell>
          <cell r="Q101">
            <v>0.2</v>
          </cell>
        </row>
        <row r="102">
          <cell r="A102" t="str">
            <v>Aerospace</v>
          </cell>
          <cell r="N102">
            <v>4.1251289102784527E-2</v>
          </cell>
          <cell r="P102">
            <v>7.3506891271055697E-3</v>
          </cell>
          <cell r="Q102">
            <v>-0.10428701733049561</v>
          </cell>
        </row>
        <row r="103">
          <cell r="A103" t="str">
            <v>Resources/Corporate</v>
          </cell>
          <cell r="N103">
            <v>1.2000000000000011E-2</v>
          </cell>
          <cell r="O103">
            <v>9.0909090909090828E-2</v>
          </cell>
          <cell r="P103">
            <v>3.6231884057970953E-2</v>
          </cell>
          <cell r="Q103">
            <v>-0.1048951048951049</v>
          </cell>
        </row>
        <row r="104">
          <cell r="A104" t="str">
            <v>Total</v>
          </cell>
          <cell r="O104">
            <v>7.0000000000000007E-2</v>
          </cell>
          <cell r="P104">
            <v>0.06</v>
          </cell>
          <cell r="Q104">
            <v>0.08</v>
          </cell>
        </row>
        <row r="105">
          <cell r="A105" t="str">
            <v>EPS, Qtrly as % of Total</v>
          </cell>
          <cell r="B105">
            <v>0.21088999849686216</v>
          </cell>
          <cell r="C105">
            <v>0.24857863263540078</v>
          </cell>
          <cell r="D105">
            <v>0.26208104323407311</v>
          </cell>
          <cell r="E105">
            <v>0.27873488036748884</v>
          </cell>
          <cell r="F105">
            <v>0.23152800919645813</v>
          </cell>
          <cell r="G105">
            <v>0.2461418500089752</v>
          </cell>
          <cell r="H105">
            <v>0.25880295858121444</v>
          </cell>
          <cell r="I105">
            <v>0.26390302595270732</v>
          </cell>
          <cell r="J105">
            <v>0.25086999380588304</v>
          </cell>
          <cell r="K105">
            <v>0.26245450813416793</v>
          </cell>
          <cell r="L105">
            <v>0.22099858496058483</v>
          </cell>
          <cell r="M105">
            <v>0.26574827762664321</v>
          </cell>
        </row>
        <row r="107">
          <cell r="A107" t="str">
            <v>Working Capital</v>
          </cell>
        </row>
        <row r="108">
          <cell r="A108" t="str">
            <v>Inventory</v>
          </cell>
          <cell r="B108">
            <v>1604</v>
          </cell>
          <cell r="C108">
            <v>1595</v>
          </cell>
          <cell r="D108">
            <v>1556</v>
          </cell>
          <cell r="E108">
            <v>1621</v>
          </cell>
          <cell r="F108">
            <v>1663</v>
          </cell>
          <cell r="G108">
            <v>1672</v>
          </cell>
          <cell r="H108">
            <v>1725</v>
          </cell>
          <cell r="I108">
            <v>2029</v>
          </cell>
          <cell r="J108">
            <v>2083</v>
          </cell>
          <cell r="K108">
            <v>2138</v>
          </cell>
          <cell r="N108">
            <v>953</v>
          </cell>
          <cell r="O108">
            <v>1289</v>
          </cell>
          <cell r="P108">
            <v>1405</v>
          </cell>
          <cell r="Q108">
            <v>1159</v>
          </cell>
          <cell r="R108">
            <v>1195</v>
          </cell>
          <cell r="S108">
            <v>1293</v>
          </cell>
          <cell r="T108">
            <v>1484</v>
          </cell>
          <cell r="U108">
            <v>1621</v>
          </cell>
          <cell r="V108">
            <v>2029</v>
          </cell>
          <cell r="W108">
            <v>2100</v>
          </cell>
          <cell r="X108">
            <v>2120</v>
          </cell>
          <cell r="Y108">
            <v>2440</v>
          </cell>
          <cell r="Z108">
            <v>2960</v>
          </cell>
        </row>
        <row r="109">
          <cell r="A109" t="str">
            <v>Accounts Receivables</v>
          </cell>
          <cell r="B109">
            <v>2304</v>
          </cell>
          <cell r="C109">
            <v>2539</v>
          </cell>
          <cell r="D109">
            <v>2432</v>
          </cell>
          <cell r="E109">
            <v>2874</v>
          </cell>
          <cell r="F109">
            <v>2976</v>
          </cell>
          <cell r="G109">
            <v>2962</v>
          </cell>
          <cell r="H109">
            <v>3103</v>
          </cell>
          <cell r="I109">
            <v>3469</v>
          </cell>
          <cell r="J109">
            <v>3795</v>
          </cell>
          <cell r="K109">
            <v>3649</v>
          </cell>
          <cell r="N109">
            <v>798</v>
          </cell>
          <cell r="O109">
            <v>968</v>
          </cell>
          <cell r="P109">
            <v>1074</v>
          </cell>
          <cell r="Q109">
            <v>1344</v>
          </cell>
          <cell r="R109">
            <v>1450</v>
          </cell>
          <cell r="S109">
            <v>2004</v>
          </cell>
          <cell r="T109">
            <v>2341</v>
          </cell>
          <cell r="U109">
            <v>2874</v>
          </cell>
          <cell r="V109">
            <v>3469</v>
          </cell>
          <cell r="W109">
            <v>3069.4444444444443</v>
          </cell>
          <cell r="X109">
            <v>3114.7777777777778</v>
          </cell>
          <cell r="Y109">
            <v>3255.5</v>
          </cell>
          <cell r="Z109">
            <v>3470.833333333333</v>
          </cell>
        </row>
        <row r="110">
          <cell r="A110" t="str">
            <v>Accounts Payable</v>
          </cell>
          <cell r="B110">
            <v>-1924</v>
          </cell>
          <cell r="C110">
            <v>-1819</v>
          </cell>
          <cell r="D110">
            <v>-1926</v>
          </cell>
          <cell r="E110">
            <v>-2318</v>
          </cell>
          <cell r="F110">
            <v>-2091</v>
          </cell>
          <cell r="G110">
            <v>-2115</v>
          </cell>
          <cell r="H110">
            <v>-2064</v>
          </cell>
          <cell r="I110">
            <v>-2443</v>
          </cell>
          <cell r="J110">
            <v>-2596</v>
          </cell>
          <cell r="K110">
            <v>-2427</v>
          </cell>
          <cell r="N110">
            <v>-717</v>
          </cell>
          <cell r="O110">
            <v>-890</v>
          </cell>
          <cell r="P110">
            <v>-1056</v>
          </cell>
          <cell r="Q110">
            <v>-1288</v>
          </cell>
          <cell r="R110">
            <v>-1505</v>
          </cell>
          <cell r="S110">
            <v>-1686</v>
          </cell>
          <cell r="T110">
            <v>-1956</v>
          </cell>
          <cell r="U110">
            <v>-2318</v>
          </cell>
          <cell r="V110">
            <v>-2443</v>
          </cell>
          <cell r="W110">
            <v>-2827.5</v>
          </cell>
          <cell r="X110">
            <v>-2869.2599999999998</v>
          </cell>
          <cell r="Y110">
            <v>-2998.89</v>
          </cell>
          <cell r="Z110">
            <v>-3197.25</v>
          </cell>
        </row>
        <row r="111">
          <cell r="A111" t="str">
            <v>Working Capital</v>
          </cell>
          <cell r="B111">
            <v>1984</v>
          </cell>
          <cell r="C111">
            <v>2315</v>
          </cell>
          <cell r="D111">
            <v>2062</v>
          </cell>
          <cell r="E111">
            <v>2177</v>
          </cell>
          <cell r="F111">
            <v>2548</v>
          </cell>
          <cell r="G111">
            <v>2519</v>
          </cell>
          <cell r="H111">
            <v>2764</v>
          </cell>
          <cell r="I111">
            <v>3055</v>
          </cell>
          <cell r="J111">
            <v>3282</v>
          </cell>
          <cell r="K111">
            <v>3360</v>
          </cell>
          <cell r="N111">
            <v>1034</v>
          </cell>
          <cell r="O111">
            <v>1367</v>
          </cell>
          <cell r="P111">
            <v>1423</v>
          </cell>
          <cell r="Q111">
            <v>1215</v>
          </cell>
          <cell r="R111">
            <v>1140</v>
          </cell>
          <cell r="S111">
            <v>1611</v>
          </cell>
          <cell r="T111">
            <v>1869</v>
          </cell>
          <cell r="U111">
            <v>2177</v>
          </cell>
          <cell r="V111">
            <v>3055</v>
          </cell>
          <cell r="W111">
            <v>2341.9444444444443</v>
          </cell>
          <cell r="X111">
            <v>2365.5177777777776</v>
          </cell>
          <cell r="Y111">
            <v>2696.61</v>
          </cell>
          <cell r="Z111">
            <v>3233.583333333333</v>
          </cell>
        </row>
        <row r="112">
          <cell r="A112" t="str">
            <v>Inventory Turns</v>
          </cell>
          <cell r="B112">
            <v>13.032418952618453</v>
          </cell>
          <cell r="C112">
            <v>14.62319749216301</v>
          </cell>
          <cell r="D112">
            <v>15.508997429305913</v>
          </cell>
          <cell r="E112">
            <v>16.394818013571868</v>
          </cell>
          <cell r="F112">
            <v>14.778111846061336</v>
          </cell>
          <cell r="G112">
            <v>15.267942583732058</v>
          </cell>
          <cell r="H112">
            <v>14.39304347826087</v>
          </cell>
          <cell r="I112">
            <v>13.630359783144407</v>
          </cell>
          <cell r="J112">
            <v>14.131541046567451</v>
          </cell>
          <cell r="K112">
            <v>13.386342376052385</v>
          </cell>
          <cell r="N112">
            <v>8.7932843651626449</v>
          </cell>
          <cell r="O112">
            <v>7.5717610550814589</v>
          </cell>
          <cell r="P112">
            <v>7.9864768683274026</v>
          </cell>
          <cell r="Q112">
            <v>11.920621225194132</v>
          </cell>
          <cell r="R112">
            <v>13.205857740585774</v>
          </cell>
          <cell r="S112">
            <v>13.527455529775715</v>
          </cell>
          <cell r="T112">
            <v>13.434636118598382</v>
          </cell>
          <cell r="U112">
            <v>14.884022208513263</v>
          </cell>
          <cell r="V112">
            <v>12.640216855593888</v>
          </cell>
          <cell r="W112">
            <v>13.769035714285714</v>
          </cell>
          <cell r="X112">
            <v>13.833768867924528</v>
          </cell>
          <cell r="Y112">
            <v>12.56632786885246</v>
          </cell>
          <cell r="Z112">
            <v>11.018175675675675</v>
          </cell>
        </row>
        <row r="113">
          <cell r="A113" t="str">
            <v>Receivables Turnover</v>
          </cell>
          <cell r="B113">
            <v>10.9375</v>
          </cell>
          <cell r="C113">
            <v>10.383615596691611</v>
          </cell>
          <cell r="D113">
            <v>11.240131578947368</v>
          </cell>
          <cell r="E113">
            <v>10.45929018789144</v>
          </cell>
          <cell r="F113">
            <v>9.4153225806451619</v>
          </cell>
          <cell r="G113">
            <v>9.8622552329507087</v>
          </cell>
          <cell r="H113">
            <v>9.2039961327747335</v>
          </cell>
          <cell r="I113">
            <v>9.0539060247910061</v>
          </cell>
          <cell r="J113">
            <v>8.7104084321475632</v>
          </cell>
          <cell r="K113">
            <v>8.8791449712249939</v>
          </cell>
          <cell r="N113">
            <v>12.913533834586467</v>
          </cell>
          <cell r="O113">
            <v>12.452479338842975</v>
          </cell>
          <cell r="P113">
            <v>12.737430167597765</v>
          </cell>
          <cell r="Q113">
            <v>12.148809523809524</v>
          </cell>
          <cell r="R113">
            <v>13.012413793103448</v>
          </cell>
          <cell r="S113">
            <v>10.466566866267465</v>
          </cell>
          <cell r="T113">
            <v>10.2789406236651</v>
          </cell>
          <cell r="U113">
            <v>9.4780793319415455</v>
          </cell>
          <cell r="V113">
            <v>8.4462381089651188</v>
          </cell>
          <cell r="W113">
            <v>10.588235294117647</v>
          </cell>
          <cell r="X113">
            <v>10.588235294117647</v>
          </cell>
          <cell r="Y113">
            <v>10.588235294117647</v>
          </cell>
          <cell r="Z113">
            <v>10.588235294117649</v>
          </cell>
        </row>
        <row r="114">
          <cell r="A114" t="str">
            <v>Days Sales Outstanding</v>
          </cell>
          <cell r="B114">
            <v>32.914285714285711</v>
          </cell>
          <cell r="C114">
            <v>34.670004551661357</v>
          </cell>
          <cell r="D114">
            <v>32.028094820017557</v>
          </cell>
          <cell r="E114">
            <v>34.419161676646709</v>
          </cell>
          <cell r="F114">
            <v>38.235546038543902</v>
          </cell>
          <cell r="G114">
            <v>36.502807065589487</v>
          </cell>
          <cell r="H114">
            <v>39.113445378151262</v>
          </cell>
          <cell r="I114">
            <v>39.761844116148751</v>
          </cell>
          <cell r="J114">
            <v>41.329864472410456</v>
          </cell>
          <cell r="K114">
            <v>40.544444444444444</v>
          </cell>
          <cell r="N114">
            <v>27.877729257641921</v>
          </cell>
          <cell r="O114">
            <v>28.909905425584867</v>
          </cell>
          <cell r="P114">
            <v>28.263157894736842</v>
          </cell>
          <cell r="Q114">
            <v>29.63253307202352</v>
          </cell>
          <cell r="R114">
            <v>27.665889336442653</v>
          </cell>
          <cell r="S114">
            <v>34.395232419547085</v>
          </cell>
          <cell r="T114">
            <v>35.023064455803514</v>
          </cell>
          <cell r="U114">
            <v>37.982378854625551</v>
          </cell>
          <cell r="V114">
            <v>42.622525597269629</v>
          </cell>
          <cell r="W114">
            <v>34</v>
          </cell>
          <cell r="X114">
            <v>34</v>
          </cell>
          <cell r="Y114">
            <v>34</v>
          </cell>
          <cell r="Z114">
            <v>34</v>
          </cell>
        </row>
        <row r="115">
          <cell r="A115" t="str">
            <v>Working Capital Turnover</v>
          </cell>
          <cell r="B115">
            <v>12.701612903225806</v>
          </cell>
          <cell r="C115">
            <v>11.388336933045357</v>
          </cell>
          <cell r="D115">
            <v>13.257032007759458</v>
          </cell>
          <cell r="E115">
            <v>13.807992650436381</v>
          </cell>
          <cell r="F115">
            <v>10.996860282574568</v>
          </cell>
          <cell r="G115">
            <v>11.596665343390233</v>
          </cell>
          <cell r="H115">
            <v>10.332850940665702</v>
          </cell>
          <cell r="I115">
            <v>10.280851063829788</v>
          </cell>
          <cell r="J115">
            <v>10.071907373552712</v>
          </cell>
          <cell r="K115">
            <v>9.6428571428571423</v>
          </cell>
          <cell r="N115">
            <v>9.9661508704061887</v>
          </cell>
          <cell r="O115">
            <v>8.8178493050475488</v>
          </cell>
          <cell r="P115">
            <v>9.6134926212227683</v>
          </cell>
          <cell r="Q115">
            <v>13.438683127572016</v>
          </cell>
          <cell r="R115">
            <v>16.550877192982455</v>
          </cell>
          <cell r="S115">
            <v>13.019863438857852</v>
          </cell>
          <cell r="T115">
            <v>12.874799357945426</v>
          </cell>
          <cell r="U115">
            <v>12.51263206247129</v>
          </cell>
          <cell r="V115">
            <v>9.5908346972176766</v>
          </cell>
          <cell r="W115">
            <v>13.877357371604793</v>
          </cell>
          <cell r="X115">
            <v>13.941979345842068</v>
          </cell>
          <cell r="Y115">
            <v>12.782716076852047</v>
          </cell>
          <cell r="Z115">
            <v>11.365100636548721</v>
          </cell>
        </row>
        <row r="117">
          <cell r="A117" t="str">
            <v>COGS</v>
          </cell>
          <cell r="B117">
            <v>5226</v>
          </cell>
          <cell r="C117">
            <v>5831</v>
          </cell>
          <cell r="D117">
            <v>6033</v>
          </cell>
          <cell r="E117">
            <v>6644</v>
          </cell>
          <cell r="F117">
            <v>6144</v>
          </cell>
          <cell r="G117">
            <v>6382</v>
          </cell>
          <cell r="H117">
            <v>6207</v>
          </cell>
          <cell r="I117">
            <v>6914</v>
          </cell>
          <cell r="J117">
            <v>7359</v>
          </cell>
          <cell r="K117">
            <v>7155</v>
          </cell>
          <cell r="L117">
            <v>6901.85</v>
          </cell>
          <cell r="M117">
            <v>7499.125</v>
          </cell>
          <cell r="N117">
            <v>8380</v>
          </cell>
          <cell r="O117">
            <v>9760</v>
          </cell>
          <cell r="P117">
            <v>11221</v>
          </cell>
          <cell r="Q117">
            <v>13816</v>
          </cell>
          <cell r="R117">
            <v>15781</v>
          </cell>
          <cell r="S117">
            <v>17491</v>
          </cell>
          <cell r="T117">
            <v>19937</v>
          </cell>
          <cell r="U117">
            <v>24127</v>
          </cell>
          <cell r="V117">
            <v>25647</v>
          </cell>
          <cell r="W117">
            <v>28914.974999999999</v>
          </cell>
          <cell r="X117">
            <v>29327.59</v>
          </cell>
          <cell r="Y117">
            <v>30661.84</v>
          </cell>
          <cell r="Z117">
            <v>32613.8</v>
          </cell>
          <cell r="BQ117" t="str">
            <v>mstag:costOfSalesWithoutDepreciation</v>
          </cell>
          <cell r="BR117">
            <v>6</v>
          </cell>
          <cell r="BS117" t="str">
            <v>ISO4217:USD</v>
          </cell>
          <cell r="BT117" t="b">
            <v>0</v>
          </cell>
          <cell r="BU117" t="b">
            <v>0</v>
          </cell>
        </row>
        <row r="118">
          <cell r="A118" t="str">
            <v>COGS/Sales</v>
          </cell>
          <cell r="B118">
            <v>0.82952380952380955</v>
          </cell>
          <cell r="C118">
            <v>0.88469124563799117</v>
          </cell>
          <cell r="D118">
            <v>0.88279192273924501</v>
          </cell>
          <cell r="E118">
            <v>0.88409846972721229</v>
          </cell>
          <cell r="F118">
            <v>0.87708779443254814</v>
          </cell>
          <cell r="G118">
            <v>0.87388744351636316</v>
          </cell>
          <cell r="H118">
            <v>0.86932773109243699</v>
          </cell>
          <cell r="I118">
            <v>0.88053998981151294</v>
          </cell>
          <cell r="J118">
            <v>0.89048886737657307</v>
          </cell>
          <cell r="K118">
            <v>0.8833333333333333</v>
          </cell>
          <cell r="L118">
            <v>0.89634415584415594</v>
          </cell>
          <cell r="M118">
            <v>0.88894321953532485</v>
          </cell>
          <cell r="N118">
            <v>0.81319747695293543</v>
          </cell>
          <cell r="O118">
            <v>0.80968972955035667</v>
          </cell>
          <cell r="P118">
            <v>0.82024853801169595</v>
          </cell>
          <cell r="Q118">
            <v>0.84615384615384615</v>
          </cell>
          <cell r="R118">
            <v>0.83638965444138225</v>
          </cell>
          <cell r="S118">
            <v>0.83389749702026217</v>
          </cell>
          <cell r="T118">
            <v>0.82853343307152061</v>
          </cell>
          <cell r="U118">
            <v>0.88571953010279003</v>
          </cell>
          <cell r="V118">
            <v>0.87532423208191124</v>
          </cell>
          <cell r="W118">
            <v>0.88969153846153837</v>
          </cell>
          <cell r="X118">
            <v>0.88925379017586414</v>
          </cell>
          <cell r="Y118">
            <v>0.88952248331882799</v>
          </cell>
          <cell r="Z118">
            <v>0.88745034013605439</v>
          </cell>
        </row>
        <row r="119">
          <cell r="A119" t="str">
            <v>G&amp;A</v>
          </cell>
          <cell r="B119">
            <v>393</v>
          </cell>
          <cell r="N119">
            <v>647</v>
          </cell>
          <cell r="O119">
            <v>808</v>
          </cell>
          <cell r="P119">
            <v>892</v>
          </cell>
          <cell r="Q119">
            <v>1070</v>
          </cell>
          <cell r="R119">
            <v>1156</v>
          </cell>
          <cell r="S119">
            <v>1305</v>
          </cell>
          <cell r="T119">
            <v>1501</v>
          </cell>
          <cell r="U119">
            <v>0</v>
          </cell>
          <cell r="V119">
            <v>0</v>
          </cell>
          <cell r="W119">
            <v>0</v>
          </cell>
          <cell r="X119">
            <v>0</v>
          </cell>
          <cell r="Y119">
            <v>0</v>
          </cell>
          <cell r="Z119">
            <v>0</v>
          </cell>
          <cell r="BQ119" t="str">
            <v>mstag:sellingGeneralAndAdministrativeExpenses</v>
          </cell>
          <cell r="BR119">
            <v>6</v>
          </cell>
          <cell r="BS119" t="str">
            <v>ISO4217:USD</v>
          </cell>
          <cell r="BT119" t="b">
            <v>0</v>
          </cell>
          <cell r="BU119" t="b">
            <v>0</v>
          </cell>
        </row>
        <row r="120">
          <cell r="A120" t="str">
            <v>G&amp;A/Sales</v>
          </cell>
          <cell r="B120">
            <v>6.2380952380952384E-2</v>
          </cell>
          <cell r="N120">
            <v>6.2785055798156228E-2</v>
          </cell>
          <cell r="O120">
            <v>6.7031690725070522E-2</v>
          </cell>
          <cell r="P120">
            <v>6.5204678362573099E-2</v>
          </cell>
          <cell r="Q120">
            <v>6.5531602155805974E-2</v>
          </cell>
          <cell r="R120">
            <v>6.1267754928980282E-2</v>
          </cell>
          <cell r="S120">
            <v>6.2216924910607867E-2</v>
          </cell>
          <cell r="T120">
            <v>6.2377924614553465E-2</v>
          </cell>
          <cell r="U120">
            <v>0</v>
          </cell>
          <cell r="V120">
            <v>0</v>
          </cell>
          <cell r="W120">
            <v>0</v>
          </cell>
          <cell r="X120">
            <v>0</v>
          </cell>
          <cell r="Y120">
            <v>0</v>
          </cell>
          <cell r="Z120">
            <v>0</v>
          </cell>
        </row>
        <row r="121">
          <cell r="A121" t="str">
            <v>Employees</v>
          </cell>
          <cell r="B121">
            <v>82600</v>
          </cell>
          <cell r="C121">
            <v>82900</v>
          </cell>
          <cell r="D121">
            <v>83000</v>
          </cell>
          <cell r="E121">
            <v>83500</v>
          </cell>
          <cell r="F121">
            <v>84000</v>
          </cell>
          <cell r="G121">
            <v>84600</v>
          </cell>
          <cell r="H121">
            <v>85600</v>
          </cell>
          <cell r="I121">
            <v>92300</v>
          </cell>
          <cell r="J121">
            <v>92900</v>
          </cell>
          <cell r="K121">
            <v>92000</v>
          </cell>
          <cell r="N121">
            <v>42900</v>
          </cell>
          <cell r="O121">
            <v>51000</v>
          </cell>
          <cell r="P121">
            <v>53400</v>
          </cell>
          <cell r="Q121">
            <v>65600</v>
          </cell>
          <cell r="R121">
            <v>70000</v>
          </cell>
          <cell r="S121">
            <v>70900</v>
          </cell>
          <cell r="T121">
            <v>81000</v>
          </cell>
          <cell r="U121">
            <v>83500</v>
          </cell>
          <cell r="V121">
            <v>92300</v>
          </cell>
          <cell r="BQ121" t="str">
            <v>mstag:totalNumberOfEmployees</v>
          </cell>
          <cell r="BR121">
            <v>0</v>
          </cell>
          <cell r="BS121" t="str">
            <v>ms_eqr_gcim_Decimal:ms_eqr_gcim_decimal</v>
          </cell>
          <cell r="BT121" t="b">
            <v>0</v>
          </cell>
          <cell r="BU121" t="b">
            <v>0</v>
          </cell>
        </row>
        <row r="122">
          <cell r="A122" t="str">
            <v>Sales/Employee ($K)</v>
          </cell>
          <cell r="B122">
            <v>305.08474576271186</v>
          </cell>
          <cell r="C122">
            <v>318.02171290711698</v>
          </cell>
          <cell r="D122">
            <v>329.34939759036143</v>
          </cell>
          <cell r="E122">
            <v>360</v>
          </cell>
          <cell r="F122">
            <v>333.57142857142856</v>
          </cell>
          <cell r="G122">
            <v>345.29550827423168</v>
          </cell>
          <cell r="H122">
            <v>333.64485981308411</v>
          </cell>
          <cell r="I122">
            <v>340.28169014084506</v>
          </cell>
          <cell r="J122">
            <v>355.82346609257263</v>
          </cell>
          <cell r="K122">
            <v>352.17391304347825</v>
          </cell>
          <cell r="N122">
            <v>240.20979020979021</v>
          </cell>
          <cell r="O122">
            <v>236.35294117647058</v>
          </cell>
          <cell r="P122">
            <v>256.17977528089887</v>
          </cell>
          <cell r="Q122">
            <v>248.90243902439028</v>
          </cell>
          <cell r="R122">
            <v>269.54285714285714</v>
          </cell>
          <cell r="S122">
            <v>295.83921015514807</v>
          </cell>
          <cell r="T122">
            <v>297.07407407407408</v>
          </cell>
          <cell r="U122">
            <v>326.22754491017963</v>
          </cell>
          <cell r="V122">
            <v>317.44312026002166</v>
          </cell>
        </row>
        <row r="123">
          <cell r="A123" t="str">
            <v>R&amp;D (included in Overhead)</v>
          </cell>
          <cell r="B123">
            <v>95</v>
          </cell>
          <cell r="C123">
            <v>98</v>
          </cell>
          <cell r="D123">
            <v>113</v>
          </cell>
          <cell r="E123">
            <v>124</v>
          </cell>
          <cell r="F123">
            <v>110</v>
          </cell>
          <cell r="G123">
            <v>124</v>
          </cell>
          <cell r="H123">
            <v>115</v>
          </cell>
          <cell r="I123">
            <v>125</v>
          </cell>
          <cell r="J123">
            <v>138</v>
          </cell>
          <cell r="K123">
            <v>119</v>
          </cell>
          <cell r="N123">
            <v>143</v>
          </cell>
          <cell r="O123">
            <v>203</v>
          </cell>
          <cell r="P123">
            <v>251</v>
          </cell>
          <cell r="Q123">
            <v>276</v>
          </cell>
          <cell r="R123">
            <v>326</v>
          </cell>
          <cell r="S123">
            <v>344</v>
          </cell>
          <cell r="T123">
            <v>377</v>
          </cell>
          <cell r="U123">
            <v>430</v>
          </cell>
          <cell r="V123">
            <v>474</v>
          </cell>
        </row>
        <row r="124">
          <cell r="A124" t="str">
            <v>R&amp;D/Sales</v>
          </cell>
          <cell r="B124">
            <v>1.507936507936508E-2</v>
          </cell>
          <cell r="C124">
            <v>1.4868760430890608E-2</v>
          </cell>
          <cell r="D124">
            <v>1.6534972197834358E-2</v>
          </cell>
          <cell r="E124">
            <v>1.6500332667997337E-2</v>
          </cell>
          <cell r="F124">
            <v>1.5703069236259814E-2</v>
          </cell>
          <cell r="G124">
            <v>1.6979323565657949E-2</v>
          </cell>
          <cell r="H124">
            <v>1.6106442577030811E-2</v>
          </cell>
          <cell r="I124">
            <v>1.5919510952623537E-2</v>
          </cell>
          <cell r="J124">
            <v>1.6698935140367861E-2</v>
          </cell>
          <cell r="K124">
            <v>1.4691358024691358E-2</v>
          </cell>
          <cell r="N124">
            <v>1.3876758854924794E-2</v>
          </cell>
          <cell r="O124">
            <v>1.6840882694541232E-2</v>
          </cell>
          <cell r="P124">
            <v>1.8347953216374269E-2</v>
          </cell>
          <cell r="Q124">
            <v>1.6903478686918178E-2</v>
          </cell>
          <cell r="R124">
            <v>1.7277930888276446E-2</v>
          </cell>
          <cell r="S124">
            <v>1.640047675804529E-2</v>
          </cell>
          <cell r="T124">
            <v>1.5667206915180983E-2</v>
          </cell>
          <cell r="U124">
            <v>1.5785609397944201E-2</v>
          </cell>
          <cell r="V124">
            <v>1.6177474402730374E-2</v>
          </cell>
        </row>
        <row r="126">
          <cell r="A126" t="str">
            <v>Customers by Revenues</v>
          </cell>
        </row>
        <row r="127">
          <cell r="A127" t="str">
            <v>US Government (Defense)</v>
          </cell>
        </row>
        <row r="128">
          <cell r="A128" t="str">
            <v>Direct</v>
          </cell>
          <cell r="N128">
            <v>6056</v>
          </cell>
          <cell r="O128">
            <v>7138</v>
          </cell>
          <cell r="P128">
            <v>8385</v>
          </cell>
          <cell r="Q128">
            <v>10405</v>
          </cell>
          <cell r="R128">
            <v>12473</v>
          </cell>
          <cell r="S128">
            <v>13801</v>
          </cell>
          <cell r="T128">
            <v>15957</v>
          </cell>
          <cell r="U128">
            <v>18447</v>
          </cell>
          <cell r="V128">
            <v>19864</v>
          </cell>
        </row>
        <row r="129">
          <cell r="A129" t="str">
            <v>Foreign Military Sales</v>
          </cell>
          <cell r="N129">
            <v>124</v>
          </cell>
          <cell r="O129">
            <v>181</v>
          </cell>
          <cell r="P129">
            <v>421</v>
          </cell>
          <cell r="Q129">
            <v>502</v>
          </cell>
          <cell r="R129">
            <v>382</v>
          </cell>
          <cell r="S129">
            <v>409</v>
          </cell>
          <cell r="T129">
            <v>458</v>
          </cell>
          <cell r="U129">
            <v>310</v>
          </cell>
          <cell r="V129">
            <v>282</v>
          </cell>
        </row>
        <row r="130">
          <cell r="A130" t="str">
            <v>Subtotal US Gov</v>
          </cell>
          <cell r="N130">
            <v>6180</v>
          </cell>
          <cell r="O130">
            <v>7319</v>
          </cell>
          <cell r="P130">
            <v>8806</v>
          </cell>
          <cell r="Q130">
            <v>10907</v>
          </cell>
          <cell r="R130">
            <v>12855</v>
          </cell>
          <cell r="S130">
            <v>14210</v>
          </cell>
          <cell r="T130">
            <v>16415</v>
          </cell>
          <cell r="U130">
            <v>18757</v>
          </cell>
          <cell r="V130">
            <v>20146</v>
          </cell>
        </row>
        <row r="131">
          <cell r="A131" t="str">
            <v>US Commercial</v>
          </cell>
          <cell r="N131">
            <v>3209</v>
          </cell>
          <cell r="O131">
            <v>3555</v>
          </cell>
          <cell r="P131">
            <v>3157</v>
          </cell>
          <cell r="Q131">
            <v>2910</v>
          </cell>
          <cell r="R131">
            <v>2777</v>
          </cell>
          <cell r="S131">
            <v>3396</v>
          </cell>
          <cell r="T131">
            <v>3833</v>
          </cell>
          <cell r="U131">
            <v>3813.6000000000004</v>
          </cell>
          <cell r="V131">
            <v>4102</v>
          </cell>
        </row>
        <row r="132">
          <cell r="A132" t="str">
            <v>Int'l Defense</v>
          </cell>
          <cell r="N132">
            <v>515.25</v>
          </cell>
          <cell r="O132">
            <v>482.16</v>
          </cell>
          <cell r="P132">
            <v>957.60000000000014</v>
          </cell>
          <cell r="Q132">
            <v>1796.08</v>
          </cell>
          <cell r="R132">
            <v>2264.16</v>
          </cell>
          <cell r="S132">
            <v>2307.25</v>
          </cell>
          <cell r="T132">
            <v>2406.3000000000002</v>
          </cell>
          <cell r="U132">
            <v>2724</v>
          </cell>
          <cell r="V132">
            <v>2637</v>
          </cell>
        </row>
        <row r="133">
          <cell r="A133" t="str">
            <v>Int'l Commercial</v>
          </cell>
          <cell r="N133">
            <v>400.75</v>
          </cell>
          <cell r="O133">
            <v>697.84000000000015</v>
          </cell>
          <cell r="P133">
            <v>759.39999999999964</v>
          </cell>
          <cell r="Q133">
            <v>714.92000000000007</v>
          </cell>
          <cell r="R133">
            <v>971.84000000000015</v>
          </cell>
          <cell r="S133">
            <v>1061.75</v>
          </cell>
          <cell r="T133">
            <v>1408.7000000000007</v>
          </cell>
          <cell r="U133">
            <v>1906.8000000000002</v>
          </cell>
          <cell r="V133">
            <v>2344</v>
          </cell>
        </row>
        <row r="134">
          <cell r="A134" t="str">
            <v>Total</v>
          </cell>
          <cell r="N134">
            <v>10305</v>
          </cell>
          <cell r="O134">
            <v>12054</v>
          </cell>
          <cell r="P134">
            <v>13680</v>
          </cell>
          <cell r="Q134">
            <v>16328</v>
          </cell>
          <cell r="R134">
            <v>18868</v>
          </cell>
          <cell r="S134">
            <v>20975</v>
          </cell>
          <cell r="T134">
            <v>24063</v>
          </cell>
          <cell r="U134">
            <v>27201.399999999998</v>
          </cell>
          <cell r="V134">
            <v>29229</v>
          </cell>
        </row>
        <row r="135">
          <cell r="A135" t="str">
            <v>Customers as % of Revenues</v>
          </cell>
        </row>
        <row r="136">
          <cell r="A136" t="str">
            <v>US Government (Defense)</v>
          </cell>
        </row>
        <row r="137">
          <cell r="A137" t="str">
            <v>Direct</v>
          </cell>
          <cell r="N137">
            <v>0.5876758854924794</v>
          </cell>
          <cell r="O137">
            <v>0.59216857474697193</v>
          </cell>
          <cell r="P137">
            <v>0.61293859649122806</v>
          </cell>
          <cell r="Q137">
            <v>0.6372488975992161</v>
          </cell>
          <cell r="R137">
            <v>0.66106635573457706</v>
          </cell>
          <cell r="S137">
            <v>0.65797377830750892</v>
          </cell>
          <cell r="T137">
            <v>0.66313427253459667</v>
          </cell>
          <cell r="U137">
            <v>0.67720264317180612</v>
          </cell>
          <cell r="V137">
            <v>0.67795221843003417</v>
          </cell>
        </row>
        <row r="138">
          <cell r="A138" t="str">
            <v>Foreign Military Sales</v>
          </cell>
          <cell r="N138">
            <v>1.2032993692382339E-2</v>
          </cell>
          <cell r="O138">
            <v>1.5015762402521985E-2</v>
          </cell>
          <cell r="P138">
            <v>3.077485380116959E-2</v>
          </cell>
          <cell r="Q138">
            <v>3.0744732974032338E-2</v>
          </cell>
          <cell r="R138">
            <v>2.0245919016323936E-2</v>
          </cell>
          <cell r="S138">
            <v>1.9499404052443384E-2</v>
          </cell>
          <cell r="T138">
            <v>1.9033370735153557E-2</v>
          </cell>
          <cell r="U138">
            <v>1.1380323054331865E-2</v>
          </cell>
          <cell r="V138">
            <v>9.6245733788395908E-3</v>
          </cell>
        </row>
        <row r="139">
          <cell r="A139" t="str">
            <v>Subtotal US Gov</v>
          </cell>
          <cell r="N139">
            <v>0.59970887918486171</v>
          </cell>
          <cell r="O139">
            <v>0.60718433714949394</v>
          </cell>
          <cell r="P139">
            <v>0.64371345029239768</v>
          </cell>
          <cell r="Q139">
            <v>0.66799363057324845</v>
          </cell>
          <cell r="R139">
            <v>0.68131227475090095</v>
          </cell>
          <cell r="S139">
            <v>0.67747318235995235</v>
          </cell>
          <cell r="T139">
            <v>0.68216764326975021</v>
          </cell>
          <cell r="U139">
            <v>0.68858296622613802</v>
          </cell>
          <cell r="V139">
            <v>0.68757679180887377</v>
          </cell>
        </row>
        <row r="140">
          <cell r="A140" t="str">
            <v>US Commercial</v>
          </cell>
          <cell r="N140">
            <v>0.31140223192624938</v>
          </cell>
          <cell r="O140">
            <v>0.29492284718765555</v>
          </cell>
          <cell r="P140">
            <v>0.23077485380116958</v>
          </cell>
          <cell r="Q140">
            <v>0.17822146006859382</v>
          </cell>
          <cell r="R140">
            <v>0.14718041127835488</v>
          </cell>
          <cell r="S140">
            <v>0.16190703218116806</v>
          </cell>
          <cell r="T140">
            <v>0.15929019656734406</v>
          </cell>
          <cell r="U140">
            <v>0.14000000000000001</v>
          </cell>
          <cell r="V140">
            <v>0.14000000000000001</v>
          </cell>
        </row>
        <row r="141">
          <cell r="A141" t="str">
            <v>Int'l Defense</v>
          </cell>
          <cell r="N141">
            <v>0.05</v>
          </cell>
          <cell r="O141">
            <v>0.04</v>
          </cell>
          <cell r="P141">
            <v>7.0000000000000007E-2</v>
          </cell>
          <cell r="Q141">
            <v>0.11</v>
          </cell>
          <cell r="R141">
            <v>0.12</v>
          </cell>
          <cell r="S141">
            <v>0.11</v>
          </cell>
          <cell r="T141">
            <v>0.1</v>
          </cell>
          <cell r="U141">
            <v>0.1</v>
          </cell>
          <cell r="V141">
            <v>0.09</v>
          </cell>
        </row>
        <row r="142">
          <cell r="A142" t="str">
            <v>Int'l Commercial</v>
          </cell>
          <cell r="N142">
            <v>3.888888888888889E-2</v>
          </cell>
          <cell r="O142">
            <v>5.7892815662850518E-2</v>
          </cell>
          <cell r="P142">
            <v>5.551169590643272E-2</v>
          </cell>
          <cell r="Q142">
            <v>4.3784909358157771E-2</v>
          </cell>
          <cell r="R142">
            <v>5.1507313970744123E-2</v>
          </cell>
          <cell r="S142">
            <v>5.0619785458879615E-2</v>
          </cell>
          <cell r="T142">
            <v>5.8542160162905733E-2</v>
          </cell>
          <cell r="U142">
            <v>7.0000000000000007E-2</v>
          </cell>
          <cell r="V142">
            <v>0.08</v>
          </cell>
        </row>
        <row r="143">
          <cell r="A143" t="str">
            <v>Total</v>
          </cell>
          <cell r="N143">
            <v>1</v>
          </cell>
          <cell r="O143">
            <v>1</v>
          </cell>
          <cell r="P143">
            <v>1</v>
          </cell>
          <cell r="Q143">
            <v>1</v>
          </cell>
          <cell r="R143">
            <v>1</v>
          </cell>
          <cell r="S143">
            <v>1</v>
          </cell>
          <cell r="T143">
            <v>1</v>
          </cell>
          <cell r="U143">
            <v>0.99858296622613796</v>
          </cell>
          <cell r="V143">
            <v>0.99757679180887371</v>
          </cell>
        </row>
        <row r="144">
          <cell r="A144" t="str">
            <v xml:space="preserve">Government Contracts </v>
          </cell>
        </row>
        <row r="145">
          <cell r="A145" t="str">
            <v>Cost-reimburesable</v>
          </cell>
          <cell r="O145">
            <v>0.42</v>
          </cell>
          <cell r="P145">
            <v>0.46</v>
          </cell>
          <cell r="Q145">
            <v>0.47</v>
          </cell>
          <cell r="R145">
            <v>0.47</v>
          </cell>
          <cell r="S145">
            <v>0.46</v>
          </cell>
          <cell r="T145">
            <v>0.48</v>
          </cell>
          <cell r="U145">
            <v>0.47000000000000003</v>
          </cell>
          <cell r="V145">
            <v>0.47000000000000003</v>
          </cell>
        </row>
        <row r="146">
          <cell r="A146" t="str">
            <v>Fixed-price</v>
          </cell>
          <cell r="O146">
            <v>0.57999999999999996</v>
          </cell>
          <cell r="P146">
            <v>0.54</v>
          </cell>
          <cell r="Q146">
            <v>0.53</v>
          </cell>
          <cell r="R146">
            <v>0.53</v>
          </cell>
          <cell r="S146">
            <v>0.54</v>
          </cell>
          <cell r="T146">
            <v>0.52</v>
          </cell>
          <cell r="U146">
            <v>0.53</v>
          </cell>
          <cell r="V146">
            <v>0.53</v>
          </cell>
        </row>
        <row r="150">
          <cell r="A150" t="str">
            <v>General Dynamics</v>
          </cell>
        </row>
        <row r="151">
          <cell r="A151" t="str">
            <v>Cash Flow Model</v>
          </cell>
        </row>
        <row r="152">
          <cell r="A152" t="str">
            <v>($USD in Millions, Except EPS)</v>
          </cell>
          <cell r="B152">
            <v>2007</v>
          </cell>
          <cell r="F152" t="str">
            <v>2008A</v>
          </cell>
          <cell r="J152" t="str">
            <v>2009E</v>
          </cell>
        </row>
        <row r="153">
          <cell r="B153" t="str">
            <v>Q1</v>
          </cell>
          <cell r="C153" t="str">
            <v>Q2</v>
          </cell>
          <cell r="D153" t="str">
            <v>Q3</v>
          </cell>
          <cell r="E153" t="str">
            <v>Q4</v>
          </cell>
          <cell r="F153" t="str">
            <v>Q1</v>
          </cell>
          <cell r="G153" t="str">
            <v>Q2</v>
          </cell>
          <cell r="H153" t="str">
            <v>Q3</v>
          </cell>
          <cell r="I153" t="str">
            <v>Q4</v>
          </cell>
          <cell r="J153" t="str">
            <v>Q1</v>
          </cell>
          <cell r="K153" t="str">
            <v>Q2A</v>
          </cell>
          <cell r="L153" t="str">
            <v>Q3E</v>
          </cell>
          <cell r="M153" t="str">
            <v>Q4E</v>
          </cell>
          <cell r="N153">
            <v>2000</v>
          </cell>
          <cell r="O153">
            <v>2001</v>
          </cell>
          <cell r="P153">
            <v>2002</v>
          </cell>
          <cell r="Q153">
            <v>2003</v>
          </cell>
          <cell r="R153">
            <v>2004</v>
          </cell>
          <cell r="S153">
            <v>2005</v>
          </cell>
          <cell r="T153">
            <v>2006</v>
          </cell>
          <cell r="U153">
            <v>2007</v>
          </cell>
          <cell r="V153" t="str">
            <v>2008A</v>
          </cell>
          <cell r="W153" t="str">
            <v>2009E</v>
          </cell>
          <cell r="X153" t="str">
            <v>2010E</v>
          </cell>
          <cell r="Y153" t="str">
            <v>2011E</v>
          </cell>
          <cell r="Z153" t="str">
            <v>2012E</v>
          </cell>
        </row>
        <row r="154">
          <cell r="A154" t="str">
            <v>Cash Flows from Operating Activities:</v>
          </cell>
        </row>
        <row r="155">
          <cell r="A155" t="str">
            <v>Net earnings</v>
          </cell>
          <cell r="B155">
            <v>434</v>
          </cell>
          <cell r="C155">
            <v>513</v>
          </cell>
          <cell r="D155">
            <v>546</v>
          </cell>
          <cell r="E155">
            <v>579.0000329999998</v>
          </cell>
          <cell r="F155">
            <v>572</v>
          </cell>
          <cell r="G155">
            <v>641</v>
          </cell>
          <cell r="H155">
            <v>634</v>
          </cell>
          <cell r="I155">
            <v>612</v>
          </cell>
          <cell r="J155">
            <v>590</v>
          </cell>
          <cell r="K155">
            <v>618</v>
          </cell>
          <cell r="N155">
            <v>899.47900000000004</v>
          </cell>
          <cell r="O155">
            <v>943</v>
          </cell>
          <cell r="P155">
            <v>1040</v>
          </cell>
          <cell r="Q155">
            <v>1004</v>
          </cell>
          <cell r="R155">
            <v>1227</v>
          </cell>
          <cell r="S155">
            <v>1461</v>
          </cell>
          <cell r="T155">
            <v>1856</v>
          </cell>
          <cell r="U155">
            <v>2080</v>
          </cell>
          <cell r="V155">
            <v>2459</v>
          </cell>
          <cell r="W155">
            <v>2355.9304231199999</v>
          </cell>
          <cell r="X155">
            <v>2410.7744607099739</v>
          </cell>
          <cell r="Y155">
            <v>2529.9352650829965</v>
          </cell>
          <cell r="Z155">
            <v>2662.4240109325247</v>
          </cell>
          <cell r="BQ155" t="str">
            <v>mstag:netIncomeReported</v>
          </cell>
          <cell r="BR155">
            <v>6</v>
          </cell>
          <cell r="BS155" t="str">
            <v>ISO4217:USD</v>
          </cell>
          <cell r="BT155" t="b">
            <v>0</v>
          </cell>
          <cell r="BU155" t="b">
            <v>0</v>
          </cell>
        </row>
        <row r="156">
          <cell r="A156" t="str">
            <v>Adjustments to reconcile net earnings</v>
          </cell>
        </row>
        <row r="157">
          <cell r="A157" t="str">
            <v>Depreciation, depletion and amortization - PPE</v>
          </cell>
          <cell r="B157">
            <v>62</v>
          </cell>
          <cell r="C157">
            <v>70</v>
          </cell>
          <cell r="D157">
            <v>69</v>
          </cell>
          <cell r="E157">
            <v>77</v>
          </cell>
          <cell r="F157">
            <v>69</v>
          </cell>
          <cell r="G157">
            <v>77</v>
          </cell>
          <cell r="H157">
            <v>77</v>
          </cell>
          <cell r="I157">
            <v>78</v>
          </cell>
          <cell r="J157">
            <v>85</v>
          </cell>
          <cell r="K157">
            <v>86</v>
          </cell>
          <cell r="N157">
            <v>145</v>
          </cell>
          <cell r="O157">
            <v>164</v>
          </cell>
          <cell r="P157">
            <v>177</v>
          </cell>
          <cell r="Q157">
            <v>204</v>
          </cell>
          <cell r="R157">
            <v>213</v>
          </cell>
          <cell r="S157">
            <v>226</v>
          </cell>
          <cell r="T157">
            <v>251</v>
          </cell>
          <cell r="U157">
            <v>278</v>
          </cell>
          <cell r="V157">
            <v>301</v>
          </cell>
          <cell r="W157">
            <v>368.125</v>
          </cell>
          <cell r="X157">
            <v>402.5</v>
          </cell>
          <cell r="Y157">
            <v>440</v>
          </cell>
          <cell r="Z157">
            <v>477.5</v>
          </cell>
          <cell r="BQ157" t="str">
            <v>mstag:depreciation</v>
          </cell>
          <cell r="BR157">
            <v>6</v>
          </cell>
          <cell r="BS157" t="str">
            <v>ISO4217:USD</v>
          </cell>
          <cell r="BT157" t="b">
            <v>0</v>
          </cell>
          <cell r="BU157" t="b">
            <v>0</v>
          </cell>
        </row>
        <row r="158">
          <cell r="A158" t="str">
            <v>Amortization</v>
          </cell>
          <cell r="B158">
            <v>39</v>
          </cell>
          <cell r="C158">
            <v>36</v>
          </cell>
          <cell r="D158">
            <v>36</v>
          </cell>
          <cell r="E158">
            <v>34</v>
          </cell>
          <cell r="F158">
            <v>33</v>
          </cell>
          <cell r="G158">
            <v>34</v>
          </cell>
          <cell r="H158">
            <v>36</v>
          </cell>
          <cell r="I158">
            <v>43</v>
          </cell>
          <cell r="J158">
            <v>54</v>
          </cell>
          <cell r="K158">
            <v>54</v>
          </cell>
          <cell r="N158">
            <v>81</v>
          </cell>
          <cell r="O158">
            <v>100</v>
          </cell>
          <cell r="P158">
            <v>31</v>
          </cell>
          <cell r="Q158">
            <v>66</v>
          </cell>
          <cell r="R158">
            <v>93</v>
          </cell>
          <cell r="S158">
            <v>101</v>
          </cell>
          <cell r="T158">
            <v>133</v>
          </cell>
          <cell r="U158">
            <v>145</v>
          </cell>
          <cell r="V158">
            <v>146</v>
          </cell>
          <cell r="W158">
            <v>130</v>
          </cell>
          <cell r="X158">
            <v>130</v>
          </cell>
          <cell r="Y158">
            <v>130</v>
          </cell>
          <cell r="Z158">
            <v>130</v>
          </cell>
          <cell r="BQ158" t="str">
            <v>mstag:amortizationOfOtherIntangibles</v>
          </cell>
          <cell r="BR158">
            <v>6</v>
          </cell>
          <cell r="BS158" t="str">
            <v>ISO4217:USD</v>
          </cell>
          <cell r="BT158" t="b">
            <v>0</v>
          </cell>
          <cell r="BU158" t="b">
            <v>0</v>
          </cell>
        </row>
        <row r="159">
          <cell r="A159" t="str">
            <v>Recognition of pension gains previously deferred</v>
          </cell>
          <cell r="B159">
            <v>0</v>
          </cell>
          <cell r="C159">
            <v>0</v>
          </cell>
          <cell r="D159">
            <v>0</v>
          </cell>
          <cell r="E159">
            <v>0</v>
          </cell>
          <cell r="F159">
            <v>0</v>
          </cell>
          <cell r="G159">
            <v>0</v>
          </cell>
          <cell r="H159">
            <v>0</v>
          </cell>
          <cell r="I159">
            <v>0</v>
          </cell>
          <cell r="J159">
            <v>0</v>
          </cell>
          <cell r="K159">
            <v>0</v>
          </cell>
          <cell r="N159">
            <v>0</v>
          </cell>
          <cell r="O159">
            <v>0</v>
          </cell>
          <cell r="P159">
            <v>0</v>
          </cell>
          <cell r="Q159">
            <v>0</v>
          </cell>
          <cell r="R159">
            <v>0</v>
          </cell>
          <cell r="S159">
            <v>0</v>
          </cell>
          <cell r="T159">
            <v>0</v>
          </cell>
          <cell r="U159">
            <v>0</v>
          </cell>
          <cell r="V159">
            <v>0</v>
          </cell>
          <cell r="W159">
            <v>0</v>
          </cell>
          <cell r="X159">
            <v>0</v>
          </cell>
          <cell r="Y159">
            <v>0</v>
          </cell>
          <cell r="Z159">
            <v>0</v>
          </cell>
          <cell r="BQ159" t="str">
            <v>mstag:otherCashFlow</v>
          </cell>
          <cell r="BR159">
            <v>6</v>
          </cell>
          <cell r="BS159" t="str">
            <v>ISO4217:USD</v>
          </cell>
          <cell r="BT159" t="b">
            <v>0</v>
          </cell>
          <cell r="BU159" t="b">
            <v>0</v>
          </cell>
        </row>
        <row r="160">
          <cell r="A160" t="str">
            <v>Amortization of debt issuance costs</v>
          </cell>
          <cell r="B160">
            <v>0</v>
          </cell>
          <cell r="C160">
            <v>0</v>
          </cell>
          <cell r="D160">
            <v>0</v>
          </cell>
          <cell r="E160">
            <v>0</v>
          </cell>
          <cell r="F160">
            <v>0</v>
          </cell>
          <cell r="G160">
            <v>0</v>
          </cell>
          <cell r="H160">
            <v>0</v>
          </cell>
          <cell r="I160">
            <v>0</v>
          </cell>
          <cell r="J160">
            <v>0</v>
          </cell>
          <cell r="K160">
            <v>0</v>
          </cell>
          <cell r="N160">
            <v>0</v>
          </cell>
          <cell r="O160">
            <v>0</v>
          </cell>
          <cell r="P160">
            <v>0</v>
          </cell>
          <cell r="Q160">
            <v>0</v>
          </cell>
          <cell r="R160">
            <v>0</v>
          </cell>
          <cell r="S160">
            <v>0</v>
          </cell>
          <cell r="T160">
            <v>0</v>
          </cell>
          <cell r="U160">
            <v>0</v>
          </cell>
          <cell r="V160">
            <v>0</v>
          </cell>
          <cell r="W160">
            <v>0</v>
          </cell>
          <cell r="X160">
            <v>0</v>
          </cell>
          <cell r="Y160">
            <v>0</v>
          </cell>
          <cell r="Z160">
            <v>0</v>
          </cell>
          <cell r="BQ160" t="str">
            <v>mstag:amortizationOfDiscountPremiumOnDebtCashFlowStatement</v>
          </cell>
          <cell r="BR160">
            <v>6</v>
          </cell>
          <cell r="BS160" t="str">
            <v>ISO4217:USD</v>
          </cell>
          <cell r="BT160" t="b">
            <v>0</v>
          </cell>
          <cell r="BU160" t="b">
            <v>0</v>
          </cell>
        </row>
        <row r="161">
          <cell r="A161" t="str">
            <v>Stock-based compensation expense</v>
          </cell>
          <cell r="B161">
            <v>19</v>
          </cell>
          <cell r="C161">
            <v>22</v>
          </cell>
          <cell r="D161">
            <v>23</v>
          </cell>
          <cell r="E161">
            <v>22</v>
          </cell>
          <cell r="F161">
            <v>23</v>
          </cell>
          <cell r="G161">
            <v>27</v>
          </cell>
          <cell r="H161">
            <v>28</v>
          </cell>
          <cell r="I161">
            <v>27</v>
          </cell>
          <cell r="J161">
            <v>28</v>
          </cell>
          <cell r="K161">
            <v>30</v>
          </cell>
          <cell r="R161">
            <v>51</v>
          </cell>
          <cell r="S161">
            <v>39</v>
          </cell>
          <cell r="T161">
            <v>61</v>
          </cell>
          <cell r="U161">
            <v>86</v>
          </cell>
          <cell r="V161">
            <v>105</v>
          </cell>
          <cell r="W161">
            <v>0</v>
          </cell>
          <cell r="X161">
            <v>0</v>
          </cell>
          <cell r="Y161">
            <v>0</v>
          </cell>
          <cell r="Z161">
            <v>0</v>
          </cell>
          <cell r="BQ161" t="str">
            <v>mstag:stockBasedCompensationChargePreTax</v>
          </cell>
          <cell r="BR161">
            <v>6</v>
          </cell>
          <cell r="BS161" t="str">
            <v>ISO4217:USD</v>
          </cell>
          <cell r="BT161" t="b">
            <v>0</v>
          </cell>
        </row>
        <row r="162">
          <cell r="A162" t="str">
            <v>Excess tax benefit from stock-based comp</v>
          </cell>
          <cell r="B162">
            <v>-18</v>
          </cell>
          <cell r="C162">
            <v>-8</v>
          </cell>
          <cell r="D162">
            <v>-7</v>
          </cell>
          <cell r="E162">
            <v>-34</v>
          </cell>
          <cell r="F162">
            <v>-15</v>
          </cell>
          <cell r="G162">
            <v>-9</v>
          </cell>
          <cell r="H162">
            <v>-7</v>
          </cell>
          <cell r="I162">
            <v>0</v>
          </cell>
          <cell r="J162">
            <v>-1</v>
          </cell>
          <cell r="K162">
            <v>0</v>
          </cell>
          <cell r="R162">
            <v>-2</v>
          </cell>
          <cell r="S162">
            <v>-2</v>
          </cell>
          <cell r="T162">
            <v>-47</v>
          </cell>
          <cell r="U162">
            <v>-67</v>
          </cell>
          <cell r="V162">
            <v>-31</v>
          </cell>
          <cell r="W162">
            <v>0</v>
          </cell>
          <cell r="X162">
            <v>0</v>
          </cell>
          <cell r="Y162">
            <v>0</v>
          </cell>
          <cell r="Z162">
            <v>0</v>
          </cell>
          <cell r="BQ162" t="str">
            <v>mstag:netIncreaseInIncomeTaxPayableReceivable</v>
          </cell>
          <cell r="BR162">
            <v>6</v>
          </cell>
          <cell r="BS162" t="str">
            <v>ISO4217:USD</v>
          </cell>
          <cell r="BT162" t="b">
            <v>0</v>
          </cell>
          <cell r="BU162" t="b">
            <v>0</v>
          </cell>
        </row>
        <row r="163">
          <cell r="A163" t="str">
            <v>Deferred income tax provision</v>
          </cell>
          <cell r="B163">
            <v>24</v>
          </cell>
          <cell r="C163">
            <v>29</v>
          </cell>
          <cell r="D163">
            <v>-3</v>
          </cell>
          <cell r="E163">
            <v>72</v>
          </cell>
          <cell r="F163">
            <v>-1</v>
          </cell>
          <cell r="G163">
            <v>27</v>
          </cell>
          <cell r="H163">
            <v>57</v>
          </cell>
          <cell r="I163">
            <v>113</v>
          </cell>
          <cell r="J163">
            <v>40</v>
          </cell>
          <cell r="K163">
            <v>46</v>
          </cell>
          <cell r="N163">
            <v>128</v>
          </cell>
          <cell r="O163">
            <v>114</v>
          </cell>
          <cell r="P163">
            <v>177</v>
          </cell>
          <cell r="Q163">
            <v>137</v>
          </cell>
          <cell r="R163">
            <v>279</v>
          </cell>
          <cell r="S163">
            <v>141</v>
          </cell>
          <cell r="T163">
            <v>45</v>
          </cell>
          <cell r="U163">
            <v>122</v>
          </cell>
          <cell r="V163">
            <v>196</v>
          </cell>
          <cell r="W163">
            <v>0</v>
          </cell>
          <cell r="X163">
            <v>0</v>
          </cell>
          <cell r="Y163">
            <v>0</v>
          </cell>
          <cell r="Z163">
            <v>0</v>
          </cell>
          <cell r="BQ163" t="str">
            <v>mstag:deferredTax</v>
          </cell>
          <cell r="BR163">
            <v>6</v>
          </cell>
          <cell r="BS163" t="str">
            <v>ISO4217:USD</v>
          </cell>
          <cell r="BT163" t="b">
            <v>0</v>
          </cell>
          <cell r="BU163" t="b">
            <v>0</v>
          </cell>
        </row>
        <row r="164">
          <cell r="A164" t="str">
            <v>Discontinued ops, net of tax</v>
          </cell>
          <cell r="B164">
            <v>6</v>
          </cell>
          <cell r="C164">
            <v>5</v>
          </cell>
          <cell r="D164">
            <v>-2</v>
          </cell>
          <cell r="E164">
            <v>-1</v>
          </cell>
          <cell r="F164">
            <v>1</v>
          </cell>
          <cell r="G164">
            <v>0</v>
          </cell>
          <cell r="H164">
            <v>0</v>
          </cell>
          <cell r="I164">
            <v>18</v>
          </cell>
          <cell r="J164">
            <v>3</v>
          </cell>
          <cell r="K164">
            <v>3</v>
          </cell>
          <cell r="R164">
            <v>-33</v>
          </cell>
          <cell r="S164">
            <v>-13</v>
          </cell>
          <cell r="T164">
            <v>-146</v>
          </cell>
          <cell r="U164">
            <v>0</v>
          </cell>
          <cell r="V164">
            <v>19</v>
          </cell>
          <cell r="W164">
            <v>0</v>
          </cell>
          <cell r="X164">
            <v>0</v>
          </cell>
          <cell r="Y164">
            <v>0</v>
          </cell>
          <cell r="Z164">
            <v>0</v>
          </cell>
          <cell r="BQ164" t="str">
            <v>mstag:netCashFlowFromDiscontinuedOperations</v>
          </cell>
          <cell r="BR164">
            <v>6</v>
          </cell>
          <cell r="BS164" t="str">
            <v>ISO4217:USD</v>
          </cell>
          <cell r="BT164" t="b">
            <v>0</v>
          </cell>
        </row>
        <row r="165">
          <cell r="A165" t="str">
            <v>Decrease (increase) in assets, net of effect of bus. acq.</v>
          </cell>
        </row>
        <row r="166">
          <cell r="A166" t="str">
            <v>Accounts receivable</v>
          </cell>
          <cell r="B166">
            <v>74</v>
          </cell>
          <cell r="C166">
            <v>-260</v>
          </cell>
          <cell r="D166">
            <v>107</v>
          </cell>
          <cell r="E166">
            <v>-440</v>
          </cell>
          <cell r="F166">
            <v>-97</v>
          </cell>
          <cell r="G166">
            <v>14</v>
          </cell>
          <cell r="H166">
            <v>-124</v>
          </cell>
          <cell r="I166">
            <v>-179</v>
          </cell>
          <cell r="J166">
            <v>-292</v>
          </cell>
          <cell r="K166">
            <v>143</v>
          </cell>
          <cell r="N166">
            <v>-39</v>
          </cell>
          <cell r="O166">
            <v>-25</v>
          </cell>
          <cell r="P166">
            <v>-95</v>
          </cell>
          <cell r="Q166">
            <v>61</v>
          </cell>
          <cell r="R166">
            <v>-65</v>
          </cell>
          <cell r="S166">
            <v>-555</v>
          </cell>
          <cell r="T166">
            <v>-160</v>
          </cell>
          <cell r="U166">
            <v>-519</v>
          </cell>
          <cell r="V166">
            <v>-386</v>
          </cell>
          <cell r="W166">
            <v>399.55555555555566</v>
          </cell>
          <cell r="X166">
            <v>-45.333333333333485</v>
          </cell>
          <cell r="Y166">
            <v>-140.72222222222217</v>
          </cell>
          <cell r="Z166">
            <v>-215.33333333333303</v>
          </cell>
          <cell r="BQ166" t="str">
            <v>mstag:netDecreaseInTradeReceivables</v>
          </cell>
          <cell r="BR166">
            <v>6</v>
          </cell>
          <cell r="BS166" t="str">
            <v>ISO4217:USD</v>
          </cell>
          <cell r="BT166" t="b">
            <v>0</v>
          </cell>
          <cell r="BU166" t="b">
            <v>0</v>
          </cell>
        </row>
        <row r="167">
          <cell r="A167" t="str">
            <v>Contracts in process</v>
          </cell>
          <cell r="B167">
            <v>-119</v>
          </cell>
          <cell r="C167">
            <v>-69</v>
          </cell>
          <cell r="D167">
            <v>69</v>
          </cell>
          <cell r="E167">
            <v>-316</v>
          </cell>
          <cell r="F167">
            <v>-41</v>
          </cell>
          <cell r="G167">
            <v>-122</v>
          </cell>
          <cell r="H167">
            <v>145</v>
          </cell>
          <cell r="I167">
            <v>91</v>
          </cell>
          <cell r="J167">
            <v>64</v>
          </cell>
          <cell r="K167">
            <v>-141</v>
          </cell>
          <cell r="N167">
            <v>-82</v>
          </cell>
          <cell r="O167">
            <v>-225</v>
          </cell>
          <cell r="P167">
            <v>-178</v>
          </cell>
          <cell r="Q167">
            <v>-452</v>
          </cell>
          <cell r="R167">
            <v>-281</v>
          </cell>
          <cell r="S167">
            <v>-196</v>
          </cell>
          <cell r="T167">
            <v>-390</v>
          </cell>
          <cell r="U167">
            <v>-435</v>
          </cell>
          <cell r="V167">
            <v>73</v>
          </cell>
          <cell r="W167">
            <v>-1109</v>
          </cell>
          <cell r="X167">
            <v>-86</v>
          </cell>
          <cell r="Y167">
            <v>-138</v>
          </cell>
          <cell r="Z167">
            <v>-196</v>
          </cell>
          <cell r="BQ167" t="str">
            <v>mstag:netDecreaseInOtherAssets</v>
          </cell>
          <cell r="BR167">
            <v>6</v>
          </cell>
          <cell r="BS167" t="str">
            <v>ISO4217:USD</v>
          </cell>
          <cell r="BT167" t="b">
            <v>0</v>
          </cell>
          <cell r="BU167" t="b">
            <v>0</v>
          </cell>
        </row>
        <row r="168">
          <cell r="A168" t="str">
            <v>Inventories</v>
          </cell>
          <cell r="B168">
            <v>-92</v>
          </cell>
          <cell r="C168">
            <v>-8</v>
          </cell>
          <cell r="D168">
            <v>30</v>
          </cell>
          <cell r="E168">
            <v>-65</v>
          </cell>
          <cell r="F168">
            <v>-42</v>
          </cell>
          <cell r="G168">
            <v>-31</v>
          </cell>
          <cell r="H168">
            <v>-52</v>
          </cell>
          <cell r="I168">
            <v>-58</v>
          </cell>
          <cell r="J168">
            <v>-64</v>
          </cell>
          <cell r="K168">
            <v>-51</v>
          </cell>
          <cell r="N168">
            <v>11</v>
          </cell>
          <cell r="O168">
            <v>-223</v>
          </cell>
          <cell r="P168">
            <v>-141</v>
          </cell>
          <cell r="Q168">
            <v>189</v>
          </cell>
          <cell r="R168">
            <v>-62</v>
          </cell>
          <cell r="S168">
            <v>-122</v>
          </cell>
          <cell r="T168">
            <v>-237</v>
          </cell>
          <cell r="U168">
            <v>-135</v>
          </cell>
          <cell r="V168">
            <v>-183</v>
          </cell>
          <cell r="W168">
            <v>-71</v>
          </cell>
          <cell r="X168">
            <v>-20</v>
          </cell>
          <cell r="Y168">
            <v>-320</v>
          </cell>
          <cell r="Z168">
            <v>-520</v>
          </cell>
          <cell r="BQ168" t="str">
            <v>mstag:netDecreaseInInventories</v>
          </cell>
          <cell r="BR168">
            <v>6</v>
          </cell>
          <cell r="BS168" t="str">
            <v>ISO4217:USD</v>
          </cell>
          <cell r="BT168" t="b">
            <v>0</v>
          </cell>
          <cell r="BU168" t="b">
            <v>0</v>
          </cell>
        </row>
        <row r="169">
          <cell r="A169" t="str">
            <v>Other current assets</v>
          </cell>
          <cell r="B169">
            <v>0</v>
          </cell>
          <cell r="C169">
            <v>-38</v>
          </cell>
          <cell r="D169">
            <v>38</v>
          </cell>
          <cell r="E169">
            <v>0</v>
          </cell>
          <cell r="F169">
            <v>0</v>
          </cell>
          <cell r="G169">
            <v>0</v>
          </cell>
          <cell r="H169">
            <v>0</v>
          </cell>
          <cell r="I169">
            <v>0</v>
          </cell>
          <cell r="J169">
            <v>0</v>
          </cell>
          <cell r="K169">
            <v>0</v>
          </cell>
          <cell r="O169">
            <v>0</v>
          </cell>
          <cell r="P169">
            <v>0</v>
          </cell>
          <cell r="Q169">
            <v>0</v>
          </cell>
          <cell r="R169">
            <v>0</v>
          </cell>
          <cell r="S169">
            <v>0</v>
          </cell>
          <cell r="T169">
            <v>0</v>
          </cell>
          <cell r="U169">
            <v>0</v>
          </cell>
          <cell r="V169">
            <v>0</v>
          </cell>
          <cell r="W169">
            <v>-98.199841272000072</v>
          </cell>
          <cell r="X169">
            <v>-108.02792349956826</v>
          </cell>
          <cell r="Y169">
            <v>0</v>
          </cell>
          <cell r="Z169">
            <v>0</v>
          </cell>
          <cell r="BQ169" t="str">
            <v>mstag:netDecreaseInOtherAssets</v>
          </cell>
          <cell r="BR169">
            <v>6</v>
          </cell>
          <cell r="BS169" t="str">
            <v>ISO4217:USD</v>
          </cell>
          <cell r="BT169" t="b">
            <v>0</v>
          </cell>
          <cell r="BU169" t="b">
            <v>0</v>
          </cell>
        </row>
        <row r="170">
          <cell r="A170" t="str">
            <v>Increase (decrease) in liabilities, net of effects</v>
          </cell>
        </row>
        <row r="171">
          <cell r="A171" t="str">
            <v>Accounts payable</v>
          </cell>
          <cell r="B171">
            <v>-54</v>
          </cell>
          <cell r="C171">
            <v>-105</v>
          </cell>
          <cell r="D171">
            <v>107</v>
          </cell>
          <cell r="E171">
            <v>392</v>
          </cell>
          <cell r="F171">
            <v>-231</v>
          </cell>
          <cell r="G171">
            <v>24</v>
          </cell>
          <cell r="H171">
            <v>-52</v>
          </cell>
          <cell r="I171">
            <v>221</v>
          </cell>
          <cell r="J171">
            <v>151</v>
          </cell>
          <cell r="K171">
            <v>-169</v>
          </cell>
          <cell r="N171">
            <v>76</v>
          </cell>
          <cell r="O171">
            <v>169</v>
          </cell>
          <cell r="P171">
            <v>241</v>
          </cell>
          <cell r="Q171">
            <v>324</v>
          </cell>
          <cell r="R171">
            <v>164</v>
          </cell>
          <cell r="S171">
            <v>187</v>
          </cell>
          <cell r="T171">
            <v>180</v>
          </cell>
          <cell r="U171">
            <v>340</v>
          </cell>
          <cell r="V171">
            <v>-38</v>
          </cell>
          <cell r="W171">
            <v>384.5</v>
          </cell>
          <cell r="X171">
            <v>41.759999999999764</v>
          </cell>
          <cell r="Y171">
            <v>129.63000000000011</v>
          </cell>
          <cell r="Z171">
            <v>198.36000000000013</v>
          </cell>
          <cell r="BQ171" t="str">
            <v>mstag:netIncreaseInTradeAndOtherPayables</v>
          </cell>
          <cell r="BR171">
            <v>6</v>
          </cell>
          <cell r="BS171" t="str">
            <v>ISO4217:USD</v>
          </cell>
          <cell r="BT171" t="b">
            <v>0</v>
          </cell>
          <cell r="BU171" t="b">
            <v>0</v>
          </cell>
        </row>
        <row r="172">
          <cell r="A172" t="str">
            <v>Customer deposits</v>
          </cell>
          <cell r="B172">
            <v>90</v>
          </cell>
          <cell r="C172">
            <v>327</v>
          </cell>
          <cell r="D172">
            <v>-81</v>
          </cell>
          <cell r="E172">
            <v>657</v>
          </cell>
          <cell r="F172">
            <v>52</v>
          </cell>
          <cell r="G172">
            <v>496</v>
          </cell>
          <cell r="H172">
            <v>211</v>
          </cell>
          <cell r="I172">
            <v>90</v>
          </cell>
          <cell r="J172">
            <v>-512</v>
          </cell>
          <cell r="K172">
            <v>82</v>
          </cell>
          <cell r="N172">
            <v>44</v>
          </cell>
          <cell r="O172">
            <v>0</v>
          </cell>
          <cell r="P172">
            <v>2</v>
          </cell>
          <cell r="Q172">
            <v>-10</v>
          </cell>
          <cell r="R172">
            <v>391</v>
          </cell>
          <cell r="S172">
            <v>954</v>
          </cell>
          <cell r="T172">
            <v>399</v>
          </cell>
          <cell r="U172">
            <v>993</v>
          </cell>
          <cell r="V172">
            <v>849</v>
          </cell>
          <cell r="W172">
            <v>1273.5</v>
          </cell>
          <cell r="X172">
            <v>344</v>
          </cell>
          <cell r="Y172">
            <v>260.75</v>
          </cell>
          <cell r="Z172">
            <v>399</v>
          </cell>
          <cell r="BQ172" t="str">
            <v>mstag:netIncreaseInCustomerAdvancesAndDeposits</v>
          </cell>
          <cell r="BR172">
            <v>6</v>
          </cell>
          <cell r="BS172" t="str">
            <v>ISO4217:USD</v>
          </cell>
          <cell r="BT172" t="b">
            <v>0</v>
          </cell>
          <cell r="BU172" t="b">
            <v>0</v>
          </cell>
        </row>
        <row r="173">
          <cell r="A173" t="str">
            <v>Current income taxes</v>
          </cell>
          <cell r="B173">
            <v>161</v>
          </cell>
          <cell r="C173">
            <v>-161</v>
          </cell>
          <cell r="D173">
            <v>0</v>
          </cell>
          <cell r="E173">
            <v>0</v>
          </cell>
          <cell r="F173">
            <v>230</v>
          </cell>
          <cell r="G173">
            <v>-230</v>
          </cell>
          <cell r="H173">
            <v>0</v>
          </cell>
          <cell r="I173">
            <v>0</v>
          </cell>
          <cell r="J173">
            <v>192</v>
          </cell>
          <cell r="K173">
            <v>-192</v>
          </cell>
          <cell r="N173">
            <v>0</v>
          </cell>
          <cell r="O173">
            <v>27</v>
          </cell>
          <cell r="P173">
            <v>0</v>
          </cell>
          <cell r="Q173">
            <v>0</v>
          </cell>
          <cell r="R173">
            <v>0</v>
          </cell>
          <cell r="S173">
            <v>0</v>
          </cell>
          <cell r="T173">
            <v>0</v>
          </cell>
          <cell r="U173">
            <v>0</v>
          </cell>
          <cell r="V173">
            <v>0</v>
          </cell>
          <cell r="W173">
            <v>0</v>
          </cell>
          <cell r="X173">
            <v>0</v>
          </cell>
          <cell r="Y173">
            <v>0</v>
          </cell>
          <cell r="Z173">
            <v>0</v>
          </cell>
          <cell r="BQ173" t="str">
            <v>mstag:netIncreaseInIncomeTaxPayableReceivable</v>
          </cell>
          <cell r="BR173">
            <v>6</v>
          </cell>
          <cell r="BS173" t="str">
            <v>ISO4217:USD</v>
          </cell>
          <cell r="BT173" t="b">
            <v>0</v>
          </cell>
          <cell r="BU173" t="b">
            <v>0</v>
          </cell>
        </row>
        <row r="174">
          <cell r="A174" t="str">
            <v>Other current/noncurrent liabilities</v>
          </cell>
          <cell r="B174">
            <v>-85</v>
          </cell>
          <cell r="C174">
            <v>31</v>
          </cell>
          <cell r="D174">
            <v>54</v>
          </cell>
          <cell r="E174">
            <v>66</v>
          </cell>
          <cell r="F174">
            <v>-140</v>
          </cell>
          <cell r="G174">
            <v>113</v>
          </cell>
          <cell r="H174">
            <v>-112</v>
          </cell>
          <cell r="I174">
            <v>-64</v>
          </cell>
          <cell r="J174">
            <v>-127</v>
          </cell>
          <cell r="K174">
            <v>-36</v>
          </cell>
          <cell r="N174">
            <v>0</v>
          </cell>
          <cell r="O174">
            <v>0</v>
          </cell>
          <cell r="P174">
            <v>-42</v>
          </cell>
          <cell r="Q174">
            <v>108</v>
          </cell>
          <cell r="R174">
            <v>-183</v>
          </cell>
          <cell r="S174">
            <v>-129</v>
          </cell>
          <cell r="T174">
            <v>116</v>
          </cell>
          <cell r="U174">
            <v>0</v>
          </cell>
          <cell r="V174">
            <v>-203</v>
          </cell>
          <cell r="W174">
            <v>0</v>
          </cell>
          <cell r="X174">
            <v>0</v>
          </cell>
          <cell r="Y174">
            <v>0</v>
          </cell>
          <cell r="Z174">
            <v>0</v>
          </cell>
          <cell r="BQ174" t="str">
            <v>mstag:netIncreaseInOtherLiabilitiesOperating</v>
          </cell>
          <cell r="BR174">
            <v>6</v>
          </cell>
          <cell r="BS174" t="str">
            <v>ISO4217:USD</v>
          </cell>
          <cell r="BT174" t="b">
            <v>0</v>
          </cell>
          <cell r="BU174" t="b">
            <v>0</v>
          </cell>
        </row>
        <row r="175">
          <cell r="A175" t="str">
            <v>Other, net</v>
          </cell>
          <cell r="B175">
            <v>-19</v>
          </cell>
          <cell r="C175">
            <v>21</v>
          </cell>
          <cell r="D175">
            <v>-32</v>
          </cell>
          <cell r="E175">
            <v>28</v>
          </cell>
          <cell r="F175">
            <v>18</v>
          </cell>
          <cell r="G175">
            <v>-36</v>
          </cell>
          <cell r="H175">
            <v>22</v>
          </cell>
          <cell r="I175">
            <v>-187</v>
          </cell>
          <cell r="J175">
            <v>-57</v>
          </cell>
          <cell r="K175">
            <v>136</v>
          </cell>
          <cell r="N175">
            <v>-194</v>
          </cell>
          <cell r="O175">
            <v>55</v>
          </cell>
          <cell r="P175">
            <v>-89</v>
          </cell>
          <cell r="Q175">
            <v>64</v>
          </cell>
          <cell r="R175">
            <v>-32</v>
          </cell>
          <cell r="S175">
            <v>-59</v>
          </cell>
          <cell r="T175">
            <v>95</v>
          </cell>
          <cell r="U175">
            <v>64</v>
          </cell>
          <cell r="V175">
            <v>-183</v>
          </cell>
          <cell r="W175">
            <v>292.72708099999983</v>
          </cell>
          <cell r="X175">
            <v>324.22734454990001</v>
          </cell>
          <cell r="Y175">
            <v>348.57043465426796</v>
          </cell>
          <cell r="Z175">
            <v>385.96163392094161</v>
          </cell>
          <cell r="BQ175" t="str">
            <v>mstag:otherCashFlow</v>
          </cell>
          <cell r="BR175">
            <v>6</v>
          </cell>
          <cell r="BS175" t="str">
            <v>ISO4217:USD</v>
          </cell>
          <cell r="BT175" t="b">
            <v>0</v>
          </cell>
          <cell r="BU175" t="b">
            <v>0</v>
          </cell>
        </row>
        <row r="176">
          <cell r="A176" t="str">
            <v>Net cash provided by operating activities</v>
          </cell>
          <cell r="B176">
            <v>522</v>
          </cell>
          <cell r="C176">
            <v>405</v>
          </cell>
          <cell r="D176">
            <v>954</v>
          </cell>
          <cell r="E176">
            <v>1071.0000329999998</v>
          </cell>
          <cell r="F176">
            <v>431</v>
          </cell>
          <cell r="G176">
            <v>1025</v>
          </cell>
          <cell r="H176">
            <v>863</v>
          </cell>
          <cell r="I176">
            <v>805</v>
          </cell>
          <cell r="J176">
            <v>154</v>
          </cell>
          <cell r="K176">
            <v>609</v>
          </cell>
          <cell r="N176">
            <v>1069.479</v>
          </cell>
          <cell r="O176">
            <v>1099</v>
          </cell>
          <cell r="P176">
            <v>1123</v>
          </cell>
          <cell r="Q176">
            <v>1695</v>
          </cell>
          <cell r="R176">
            <v>1760</v>
          </cell>
          <cell r="S176">
            <v>2033</v>
          </cell>
          <cell r="T176">
            <v>2156</v>
          </cell>
          <cell r="U176">
            <v>2952</v>
          </cell>
          <cell r="V176">
            <v>3124</v>
          </cell>
          <cell r="W176">
            <v>3926.1382184035556</v>
          </cell>
          <cell r="X176">
            <v>3393.9005484269719</v>
          </cell>
          <cell r="Y176">
            <v>3240.1634775150424</v>
          </cell>
          <cell r="Z176">
            <v>3321.9123115201332</v>
          </cell>
        </row>
        <row r="177">
          <cell r="A177" t="str">
            <v>Net cash used by discontinued operations</v>
          </cell>
          <cell r="B177">
            <v>-9</v>
          </cell>
          <cell r="C177">
            <v>1</v>
          </cell>
          <cell r="D177">
            <v>-15</v>
          </cell>
          <cell r="E177">
            <v>-4</v>
          </cell>
          <cell r="F177">
            <v>-1</v>
          </cell>
          <cell r="G177">
            <v>-4</v>
          </cell>
          <cell r="H177">
            <v>0</v>
          </cell>
          <cell r="I177">
            <v>-9</v>
          </cell>
          <cell r="J177">
            <v>-6</v>
          </cell>
          <cell r="K177">
            <v>-3</v>
          </cell>
          <cell r="O177">
            <v>2</v>
          </cell>
          <cell r="P177">
            <v>-1</v>
          </cell>
          <cell r="Q177">
            <v>26</v>
          </cell>
          <cell r="R177">
            <v>43</v>
          </cell>
          <cell r="S177">
            <v>23</v>
          </cell>
          <cell r="T177">
            <v>-28</v>
          </cell>
          <cell r="U177">
            <v>-27</v>
          </cell>
          <cell r="V177">
            <v>-14</v>
          </cell>
          <cell r="W177">
            <v>0</v>
          </cell>
          <cell r="X177">
            <v>0</v>
          </cell>
          <cell r="Y177">
            <v>0</v>
          </cell>
          <cell r="Z177">
            <v>0</v>
          </cell>
          <cell r="BQ177" t="str">
            <v>mstag:gainsLossesFromSaleOfOperatingAssetsOneTime</v>
          </cell>
          <cell r="BR177">
            <v>6</v>
          </cell>
          <cell r="BS177" t="str">
            <v>ISO4217:USD</v>
          </cell>
          <cell r="BT177" t="b">
            <v>1</v>
          </cell>
          <cell r="BU177" t="b">
            <v>0</v>
          </cell>
        </row>
        <row r="178">
          <cell r="A178" t="str">
            <v>Net cash provided by operating activities</v>
          </cell>
          <cell r="B178">
            <v>513</v>
          </cell>
          <cell r="C178">
            <v>406</v>
          </cell>
          <cell r="D178">
            <v>939</v>
          </cell>
          <cell r="E178">
            <v>1067.0000329999998</v>
          </cell>
          <cell r="F178">
            <v>430</v>
          </cell>
          <cell r="G178">
            <v>1021</v>
          </cell>
          <cell r="H178">
            <v>863</v>
          </cell>
          <cell r="I178">
            <v>796</v>
          </cell>
          <cell r="J178">
            <v>148</v>
          </cell>
          <cell r="K178">
            <v>606</v>
          </cell>
          <cell r="N178">
            <v>1069.479</v>
          </cell>
          <cell r="O178">
            <v>1101</v>
          </cell>
          <cell r="P178">
            <v>1122</v>
          </cell>
          <cell r="Q178">
            <v>1721</v>
          </cell>
          <cell r="R178">
            <v>1803</v>
          </cell>
          <cell r="S178">
            <v>2056</v>
          </cell>
          <cell r="T178">
            <v>2128</v>
          </cell>
          <cell r="U178">
            <v>2925</v>
          </cell>
          <cell r="V178">
            <v>3110</v>
          </cell>
          <cell r="W178">
            <v>3926.1382184035556</v>
          </cell>
          <cell r="X178">
            <v>3393.9005484269719</v>
          </cell>
          <cell r="Y178">
            <v>3240.1634775150424</v>
          </cell>
          <cell r="Z178">
            <v>3321.9123115201332</v>
          </cell>
        </row>
        <row r="180">
          <cell r="A180" t="str">
            <v>Cash Flows from Investing Activities:</v>
          </cell>
        </row>
        <row r="181">
          <cell r="A181" t="str">
            <v>Business acquisitions, net of cash acquired</v>
          </cell>
          <cell r="B181">
            <v>-298</v>
          </cell>
          <cell r="C181">
            <v>-1</v>
          </cell>
          <cell r="D181">
            <v>0</v>
          </cell>
          <cell r="E181">
            <v>-31</v>
          </cell>
          <cell r="F181">
            <v>-65</v>
          </cell>
          <cell r="G181">
            <v>-1</v>
          </cell>
          <cell r="H181">
            <v>-237</v>
          </cell>
          <cell r="I181">
            <v>-2921</v>
          </cell>
          <cell r="J181">
            <v>-168</v>
          </cell>
          <cell r="K181">
            <v>3</v>
          </cell>
          <cell r="N181">
            <v>-71</v>
          </cell>
          <cell r="O181">
            <v>-1451</v>
          </cell>
          <cell r="P181">
            <v>-275</v>
          </cell>
          <cell r="Q181">
            <v>-3044</v>
          </cell>
          <cell r="R181">
            <v>-543</v>
          </cell>
          <cell r="S181">
            <v>-277</v>
          </cell>
          <cell r="T181">
            <v>-2342</v>
          </cell>
          <cell r="U181">
            <v>-330</v>
          </cell>
          <cell r="V181">
            <v>-3224</v>
          </cell>
          <cell r="W181">
            <v>0</v>
          </cell>
          <cell r="X181">
            <v>0</v>
          </cell>
          <cell r="Y181">
            <v>0</v>
          </cell>
          <cell r="Z181">
            <v>0</v>
          </cell>
          <cell r="BQ181" t="str">
            <v>mstag:netDisposalsAcquisitions</v>
          </cell>
          <cell r="BR181">
            <v>6</v>
          </cell>
          <cell r="BS181" t="str">
            <v>ISO4217:USD</v>
          </cell>
          <cell r="BT181" t="b">
            <v>0</v>
          </cell>
          <cell r="BU181" t="b">
            <v>0</v>
          </cell>
        </row>
        <row r="182">
          <cell r="A182" t="str">
            <v>Purchases of available-for-sale securities</v>
          </cell>
          <cell r="B182">
            <v>0</v>
          </cell>
          <cell r="C182">
            <v>0</v>
          </cell>
          <cell r="D182">
            <v>-511</v>
          </cell>
          <cell r="E182">
            <v>-2287</v>
          </cell>
          <cell r="F182">
            <v>-973</v>
          </cell>
          <cell r="G182">
            <v>-274</v>
          </cell>
          <cell r="H182">
            <v>-118</v>
          </cell>
          <cell r="I182">
            <v>-41</v>
          </cell>
          <cell r="J182">
            <v>-86</v>
          </cell>
          <cell r="K182">
            <v>-21</v>
          </cell>
          <cell r="N182">
            <v>-23</v>
          </cell>
          <cell r="O182">
            <v>-45</v>
          </cell>
          <cell r="P182">
            <v>-41</v>
          </cell>
          <cell r="Q182">
            <v>-30</v>
          </cell>
          <cell r="R182">
            <v>0</v>
          </cell>
          <cell r="S182">
            <v>0</v>
          </cell>
          <cell r="T182">
            <v>0</v>
          </cell>
          <cell r="U182">
            <v>-2798</v>
          </cell>
          <cell r="V182">
            <v>-1406</v>
          </cell>
          <cell r="W182">
            <v>0</v>
          </cell>
          <cell r="X182">
            <v>0</v>
          </cell>
          <cell r="Y182">
            <v>0</v>
          </cell>
          <cell r="Z182">
            <v>0</v>
          </cell>
          <cell r="BQ182" t="str">
            <v>mstag:proceedsFromSaleOfFundsUsedTopurchaseSecuritiesAndOtherInvestments</v>
          </cell>
          <cell r="BR182">
            <v>6</v>
          </cell>
          <cell r="BS182" t="str">
            <v>ISO4217:USD</v>
          </cell>
          <cell r="BT182" t="b">
            <v>0</v>
          </cell>
          <cell r="BU182" t="b">
            <v>0</v>
          </cell>
        </row>
        <row r="183">
          <cell r="A183" t="str">
            <v>Sales/maturities of available-for-sale securities</v>
          </cell>
          <cell r="B183">
            <v>0</v>
          </cell>
          <cell r="C183">
            <v>0</v>
          </cell>
          <cell r="D183">
            <v>298</v>
          </cell>
          <cell r="E183">
            <v>2321</v>
          </cell>
          <cell r="F183">
            <v>968</v>
          </cell>
          <cell r="G183">
            <v>218</v>
          </cell>
          <cell r="H183">
            <v>155</v>
          </cell>
          <cell r="I183">
            <v>82</v>
          </cell>
          <cell r="J183">
            <v>49</v>
          </cell>
          <cell r="K183">
            <v>105</v>
          </cell>
          <cell r="N183">
            <v>29</v>
          </cell>
          <cell r="O183">
            <v>42</v>
          </cell>
          <cell r="P183">
            <v>39</v>
          </cell>
          <cell r="Q183">
            <v>31</v>
          </cell>
          <cell r="R183">
            <v>0</v>
          </cell>
          <cell r="S183">
            <v>0</v>
          </cell>
          <cell r="T183">
            <v>0</v>
          </cell>
          <cell r="U183">
            <v>2619</v>
          </cell>
          <cell r="V183">
            <v>1423</v>
          </cell>
          <cell r="W183">
            <v>0</v>
          </cell>
          <cell r="X183">
            <v>0</v>
          </cell>
          <cell r="Y183">
            <v>0</v>
          </cell>
          <cell r="Z183">
            <v>0</v>
          </cell>
          <cell r="BQ183" t="str">
            <v>mstag:proceedsFromSaleOfFundsUsedTopurchaseSecuritiesAndOtherInvestments</v>
          </cell>
          <cell r="BR183">
            <v>6</v>
          </cell>
          <cell r="BS183" t="str">
            <v>ISO4217:USD</v>
          </cell>
          <cell r="BT183" t="b">
            <v>0</v>
          </cell>
          <cell r="BU183" t="b">
            <v>0</v>
          </cell>
        </row>
        <row r="184">
          <cell r="A184" t="str">
            <v>Capital expenditures</v>
          </cell>
          <cell r="B184">
            <v>-53</v>
          </cell>
          <cell r="C184">
            <v>-113</v>
          </cell>
          <cell r="D184">
            <v>-128</v>
          </cell>
          <cell r="E184">
            <v>-180</v>
          </cell>
          <cell r="F184">
            <v>-85</v>
          </cell>
          <cell r="G184">
            <v>-115</v>
          </cell>
          <cell r="H184">
            <v>-114</v>
          </cell>
          <cell r="I184">
            <v>-176</v>
          </cell>
          <cell r="J184">
            <v>-81</v>
          </cell>
          <cell r="K184">
            <v>-89</v>
          </cell>
          <cell r="N184">
            <v>-288.39999999999998</v>
          </cell>
          <cell r="O184">
            <v>-356</v>
          </cell>
          <cell r="P184">
            <v>-262</v>
          </cell>
          <cell r="Q184">
            <v>-220</v>
          </cell>
          <cell r="R184">
            <v>-253</v>
          </cell>
          <cell r="S184">
            <v>-262</v>
          </cell>
          <cell r="T184">
            <v>-334</v>
          </cell>
          <cell r="U184">
            <v>-474</v>
          </cell>
          <cell r="V184">
            <v>-490</v>
          </cell>
          <cell r="W184">
            <v>-550</v>
          </cell>
          <cell r="X184">
            <v>-550</v>
          </cell>
          <cell r="Y184">
            <v>-600</v>
          </cell>
          <cell r="Z184">
            <v>-600</v>
          </cell>
          <cell r="BQ184" t="str">
            <v>mstag:capitalExpenditures</v>
          </cell>
          <cell r="BR184">
            <v>6</v>
          </cell>
          <cell r="BS184" t="str">
            <v>ISO4217:USD</v>
          </cell>
          <cell r="BT184" t="b">
            <v>1</v>
          </cell>
          <cell r="BU184" t="b">
            <v>0</v>
          </cell>
        </row>
        <row r="185">
          <cell r="A185" t="str">
            <v>Proceeds from sale of assets</v>
          </cell>
          <cell r="B185">
            <v>0</v>
          </cell>
          <cell r="C185">
            <v>93</v>
          </cell>
          <cell r="D185">
            <v>-93</v>
          </cell>
          <cell r="E185">
            <v>0</v>
          </cell>
          <cell r="F185">
            <v>31</v>
          </cell>
          <cell r="G185">
            <v>-1</v>
          </cell>
          <cell r="H185">
            <v>0</v>
          </cell>
          <cell r="I185">
            <v>4</v>
          </cell>
          <cell r="J185">
            <v>1</v>
          </cell>
          <cell r="K185">
            <v>-1</v>
          </cell>
          <cell r="N185">
            <v>33</v>
          </cell>
          <cell r="O185">
            <v>96</v>
          </cell>
          <cell r="P185">
            <v>133</v>
          </cell>
          <cell r="Q185">
            <v>34</v>
          </cell>
          <cell r="R185">
            <v>24</v>
          </cell>
          <cell r="S185">
            <v>361</v>
          </cell>
          <cell r="T185">
            <v>380</v>
          </cell>
          <cell r="U185">
            <v>0</v>
          </cell>
          <cell r="V185">
            <v>34</v>
          </cell>
          <cell r="W185">
            <v>0</v>
          </cell>
          <cell r="X185">
            <v>0</v>
          </cell>
          <cell r="Y185">
            <v>0</v>
          </cell>
          <cell r="Z185">
            <v>0</v>
          </cell>
          <cell r="BQ185" t="str">
            <v>mstag:proceedsFromSaleOfPpeAndIntangibleAssets</v>
          </cell>
          <cell r="BR185">
            <v>6</v>
          </cell>
          <cell r="BS185" t="str">
            <v>ISO4217:USD</v>
          </cell>
          <cell r="BT185" t="b">
            <v>0</v>
          </cell>
          <cell r="BU185" t="b">
            <v>0</v>
          </cell>
        </row>
        <row r="186">
          <cell r="A186" t="str">
            <v>Other</v>
          </cell>
          <cell r="B186">
            <v>10</v>
          </cell>
          <cell r="C186">
            <v>-17</v>
          </cell>
          <cell r="D186">
            <v>123</v>
          </cell>
          <cell r="E186">
            <v>15</v>
          </cell>
          <cell r="F186">
            <v>0</v>
          </cell>
          <cell r="G186">
            <v>1</v>
          </cell>
          <cell r="H186">
            <v>0</v>
          </cell>
          <cell r="I186">
            <v>0</v>
          </cell>
          <cell r="J186">
            <v>0</v>
          </cell>
          <cell r="K186">
            <v>1</v>
          </cell>
          <cell r="N186">
            <v>-9.4</v>
          </cell>
          <cell r="O186">
            <v>-32</v>
          </cell>
          <cell r="P186">
            <v>8</v>
          </cell>
          <cell r="Q186">
            <v>1</v>
          </cell>
          <cell r="R186">
            <v>-14</v>
          </cell>
          <cell r="S186">
            <v>-3</v>
          </cell>
          <cell r="T186">
            <v>-20</v>
          </cell>
          <cell r="U186">
            <v>131</v>
          </cell>
          <cell r="V186">
            <v>1</v>
          </cell>
          <cell r="W186">
            <v>0</v>
          </cell>
          <cell r="X186">
            <v>0</v>
          </cell>
          <cell r="Y186">
            <v>0</v>
          </cell>
          <cell r="Z186">
            <v>0</v>
          </cell>
          <cell r="BQ186" t="str">
            <v>mstag:otherCashFlow</v>
          </cell>
          <cell r="BR186">
            <v>6</v>
          </cell>
          <cell r="BS186" t="str">
            <v>ISO4217:USD</v>
          </cell>
          <cell r="BT186" t="b">
            <v>0</v>
          </cell>
          <cell r="BU186" t="b">
            <v>0</v>
          </cell>
        </row>
        <row r="187">
          <cell r="A187" t="str">
            <v>Net cash (used) provided by investing activities</v>
          </cell>
          <cell r="B187">
            <v>-341</v>
          </cell>
          <cell r="C187">
            <v>-38</v>
          </cell>
          <cell r="D187">
            <v>-311</v>
          </cell>
          <cell r="E187">
            <v>-162</v>
          </cell>
          <cell r="F187">
            <v>-124</v>
          </cell>
          <cell r="G187">
            <v>-172</v>
          </cell>
          <cell r="H187">
            <v>-314</v>
          </cell>
          <cell r="I187">
            <v>-3052</v>
          </cell>
          <cell r="J187">
            <v>-285</v>
          </cell>
          <cell r="K187">
            <v>-2</v>
          </cell>
          <cell r="N187">
            <v>-329.79999999999995</v>
          </cell>
          <cell r="O187">
            <v>-1746</v>
          </cell>
          <cell r="P187">
            <v>-398</v>
          </cell>
          <cell r="Q187">
            <v>-3228</v>
          </cell>
          <cell r="R187">
            <v>-786</v>
          </cell>
          <cell r="S187">
            <v>-181</v>
          </cell>
          <cell r="T187">
            <v>-2316</v>
          </cell>
          <cell r="U187">
            <v>-852</v>
          </cell>
          <cell r="V187">
            <v>-3662</v>
          </cell>
          <cell r="W187">
            <v>-550</v>
          </cell>
          <cell r="X187">
            <v>-550</v>
          </cell>
          <cell r="Y187">
            <v>-600</v>
          </cell>
          <cell r="Z187">
            <v>-600</v>
          </cell>
        </row>
        <row r="189">
          <cell r="A189" t="str">
            <v>Cash Flows from Financing Activities:</v>
          </cell>
        </row>
        <row r="190">
          <cell r="A190" t="str">
            <v>Net repayments from commercial paper</v>
          </cell>
          <cell r="B190">
            <v>0</v>
          </cell>
          <cell r="C190">
            <v>0</v>
          </cell>
          <cell r="D190">
            <v>0</v>
          </cell>
          <cell r="E190">
            <v>0</v>
          </cell>
          <cell r="F190">
            <v>0</v>
          </cell>
          <cell r="G190">
            <v>0</v>
          </cell>
          <cell r="H190">
            <v>0</v>
          </cell>
          <cell r="I190">
            <v>904</v>
          </cell>
          <cell r="J190">
            <v>-139</v>
          </cell>
          <cell r="K190">
            <v>-714</v>
          </cell>
          <cell r="N190">
            <v>-508</v>
          </cell>
          <cell r="O190">
            <v>825</v>
          </cell>
          <cell r="P190">
            <v>-451</v>
          </cell>
          <cell r="Q190">
            <v>-529</v>
          </cell>
          <cell r="R190">
            <v>-182</v>
          </cell>
          <cell r="S190">
            <v>0</v>
          </cell>
          <cell r="T190">
            <v>0</v>
          </cell>
          <cell r="U190">
            <v>0</v>
          </cell>
          <cell r="V190">
            <v>904</v>
          </cell>
          <cell r="W190">
            <v>0</v>
          </cell>
          <cell r="X190">
            <v>0</v>
          </cell>
          <cell r="Y190">
            <v>0</v>
          </cell>
          <cell r="Z190">
            <v>0</v>
          </cell>
          <cell r="BQ190" t="str">
            <v>mstag:proceedsFromIssuanceAndCashUsedToRepayShortTermBorrowings</v>
          </cell>
          <cell r="BR190">
            <v>6</v>
          </cell>
          <cell r="BS190" t="str">
            <v>ISO4217:USD</v>
          </cell>
          <cell r="BT190" t="b">
            <v>0</v>
          </cell>
          <cell r="BU190" t="b">
            <v>0</v>
          </cell>
        </row>
        <row r="191">
          <cell r="A191" t="str">
            <v>Proceeds from issuance of fixed-rate notes</v>
          </cell>
          <cell r="B191">
            <v>0</v>
          </cell>
          <cell r="C191">
            <v>0</v>
          </cell>
          <cell r="D191">
            <v>0</v>
          </cell>
          <cell r="E191">
            <v>0</v>
          </cell>
          <cell r="F191">
            <v>0</v>
          </cell>
          <cell r="G191">
            <v>0</v>
          </cell>
          <cell r="H191">
            <v>0</v>
          </cell>
          <cell r="I191">
            <v>495</v>
          </cell>
          <cell r="J191">
            <v>0</v>
          </cell>
          <cell r="K191">
            <v>747</v>
          </cell>
          <cell r="O191">
            <v>0</v>
          </cell>
          <cell r="P191">
            <v>0</v>
          </cell>
          <cell r="Q191">
            <v>3094</v>
          </cell>
          <cell r="R191">
            <v>0</v>
          </cell>
          <cell r="S191">
            <v>0</v>
          </cell>
          <cell r="T191">
            <v>0</v>
          </cell>
          <cell r="U191">
            <v>0</v>
          </cell>
          <cell r="V191">
            <v>495</v>
          </cell>
          <cell r="W191">
            <v>0</v>
          </cell>
          <cell r="X191">
            <v>0</v>
          </cell>
          <cell r="Y191">
            <v>0</v>
          </cell>
          <cell r="Z191">
            <v>0</v>
          </cell>
          <cell r="BQ191" t="str">
            <v>mstag:proceedsFromIssuanceAndCashUsedToRepayLongTermDebt</v>
          </cell>
          <cell r="BR191">
            <v>6</v>
          </cell>
          <cell r="BS191" t="str">
            <v>ISO4217:USD</v>
          </cell>
          <cell r="BT191" t="b">
            <v>0</v>
          </cell>
          <cell r="BU191" t="b">
            <v>0</v>
          </cell>
        </row>
        <row r="192">
          <cell r="A192" t="str">
            <v>Repayment of finance operations debt</v>
          </cell>
          <cell r="B192">
            <v>0</v>
          </cell>
          <cell r="C192">
            <v>0</v>
          </cell>
          <cell r="D192">
            <v>0</v>
          </cell>
          <cell r="E192">
            <v>0</v>
          </cell>
          <cell r="F192">
            <v>0</v>
          </cell>
          <cell r="G192">
            <v>-500</v>
          </cell>
          <cell r="H192">
            <v>0</v>
          </cell>
          <cell r="I192">
            <v>350</v>
          </cell>
          <cell r="J192">
            <v>0</v>
          </cell>
          <cell r="K192">
            <v>0</v>
          </cell>
          <cell r="N192">
            <v>-18</v>
          </cell>
          <cell r="O192">
            <v>-20</v>
          </cell>
          <cell r="P192">
            <v>0</v>
          </cell>
          <cell r="Q192">
            <v>0</v>
          </cell>
          <cell r="R192">
            <v>-500</v>
          </cell>
          <cell r="S192">
            <v>0</v>
          </cell>
          <cell r="T192">
            <v>-500</v>
          </cell>
          <cell r="U192">
            <v>0</v>
          </cell>
          <cell r="V192">
            <v>-150</v>
          </cell>
          <cell r="W192">
            <v>-21</v>
          </cell>
          <cell r="X192">
            <v>0</v>
          </cell>
          <cell r="Y192">
            <v>0</v>
          </cell>
          <cell r="Z192">
            <v>0</v>
          </cell>
          <cell r="BQ192" t="str">
            <v>mstag:proceedsFromIssuanceAndCashUsedToRepayLongTermDebt</v>
          </cell>
          <cell r="BR192">
            <v>6</v>
          </cell>
          <cell r="BS192" t="str">
            <v>ISO4217:USD</v>
          </cell>
          <cell r="BT192" t="b">
            <v>0</v>
          </cell>
          <cell r="BU192" t="b">
            <v>0</v>
          </cell>
        </row>
        <row r="193">
          <cell r="A193" t="str">
            <v>Net repayments of other debt</v>
          </cell>
          <cell r="B193">
            <v>0</v>
          </cell>
          <cell r="C193">
            <v>0</v>
          </cell>
          <cell r="D193">
            <v>0</v>
          </cell>
          <cell r="E193">
            <v>0</v>
          </cell>
          <cell r="F193">
            <v>0</v>
          </cell>
          <cell r="G193">
            <v>0</v>
          </cell>
          <cell r="H193">
            <v>-150</v>
          </cell>
          <cell r="I193">
            <v>150</v>
          </cell>
          <cell r="J193">
            <v>0</v>
          </cell>
          <cell r="K193">
            <v>0</v>
          </cell>
          <cell r="N193">
            <v>-10</v>
          </cell>
          <cell r="O193">
            <v>-133</v>
          </cell>
          <cell r="P193">
            <v>-98</v>
          </cell>
          <cell r="Q193">
            <v>-40</v>
          </cell>
          <cell r="R193">
            <v>-65</v>
          </cell>
          <cell r="S193">
            <v>0</v>
          </cell>
          <cell r="T193">
            <v>0</v>
          </cell>
          <cell r="U193">
            <v>0</v>
          </cell>
          <cell r="V193">
            <v>0</v>
          </cell>
          <cell r="W193">
            <v>0</v>
          </cell>
          <cell r="X193">
            <v>0</v>
          </cell>
          <cell r="Y193">
            <v>0</v>
          </cell>
          <cell r="Z193">
            <v>0</v>
          </cell>
          <cell r="BQ193" t="str">
            <v>mstag:proceedsFromIssuanceAndCashUsedToRepayShortTermBorrowings</v>
          </cell>
          <cell r="BR193">
            <v>6</v>
          </cell>
          <cell r="BS193" t="str">
            <v>ISO4217:USD</v>
          </cell>
          <cell r="BT193" t="b">
            <v>0</v>
          </cell>
          <cell r="BU193" t="b">
            <v>0</v>
          </cell>
        </row>
        <row r="194">
          <cell r="A194" t="str">
            <v>Dividends paid</v>
          </cell>
          <cell r="B194">
            <v>-93</v>
          </cell>
          <cell r="C194">
            <v>-117</v>
          </cell>
          <cell r="D194">
            <v>-118</v>
          </cell>
          <cell r="E194">
            <v>-117</v>
          </cell>
          <cell r="F194">
            <v>-117</v>
          </cell>
          <cell r="G194">
            <v>-140</v>
          </cell>
          <cell r="H194">
            <v>-140</v>
          </cell>
          <cell r="I194">
            <v>-136</v>
          </cell>
          <cell r="J194">
            <v>-136</v>
          </cell>
          <cell r="K194">
            <v>-147</v>
          </cell>
          <cell r="N194">
            <v>-202</v>
          </cell>
          <cell r="O194">
            <v>-219</v>
          </cell>
          <cell r="P194">
            <v>-236</v>
          </cell>
          <cell r="Q194">
            <v>-249</v>
          </cell>
          <cell r="R194">
            <v>-278</v>
          </cell>
          <cell r="S194">
            <v>-314</v>
          </cell>
          <cell r="T194">
            <v>-359</v>
          </cell>
          <cell r="U194">
            <v>-445</v>
          </cell>
          <cell r="V194">
            <v>-533</v>
          </cell>
          <cell r="W194">
            <v>-592.9349501306001</v>
          </cell>
          <cell r="X194">
            <v>-638.54092514366016</v>
          </cell>
          <cell r="Y194">
            <v>-698.63094965802611</v>
          </cell>
          <cell r="Z194">
            <v>-773.87666186382899</v>
          </cell>
          <cell r="BQ194" t="str">
            <v>mstag:cashDividendsPaid</v>
          </cell>
          <cell r="BR194">
            <v>6</v>
          </cell>
          <cell r="BS194" t="str">
            <v>ISO4217:USD</v>
          </cell>
          <cell r="BT194" t="b">
            <v>1</v>
          </cell>
          <cell r="BU194" t="b">
            <v>0</v>
          </cell>
        </row>
        <row r="195">
          <cell r="A195" t="str">
            <v>Purchases/Issuance of common stock</v>
          </cell>
          <cell r="B195">
            <v>-153</v>
          </cell>
          <cell r="C195">
            <v>0</v>
          </cell>
          <cell r="D195">
            <v>-313</v>
          </cell>
          <cell r="E195">
            <v>-39</v>
          </cell>
          <cell r="F195">
            <v>-519</v>
          </cell>
          <cell r="G195">
            <v>-141</v>
          </cell>
          <cell r="H195">
            <v>-387</v>
          </cell>
          <cell r="I195">
            <v>-475</v>
          </cell>
          <cell r="J195">
            <v>-109</v>
          </cell>
          <cell r="K195">
            <v>0</v>
          </cell>
          <cell r="N195">
            <v>-208</v>
          </cell>
          <cell r="O195">
            <v>-113</v>
          </cell>
          <cell r="P195">
            <v>-100</v>
          </cell>
          <cell r="Q195">
            <v>-300</v>
          </cell>
          <cell r="R195">
            <v>0</v>
          </cell>
          <cell r="S195">
            <v>-348</v>
          </cell>
          <cell r="T195">
            <v>-85</v>
          </cell>
          <cell r="U195">
            <v>-505</v>
          </cell>
          <cell r="V195">
            <v>-1522</v>
          </cell>
          <cell r="W195">
            <v>-770</v>
          </cell>
          <cell r="X195">
            <v>-367.5</v>
          </cell>
          <cell r="Y195">
            <v>77.175000000000182</v>
          </cell>
          <cell r="Z195">
            <v>340.34175000000005</v>
          </cell>
          <cell r="BQ195" t="str">
            <v>mstag:proceedsFromIssuanceFundsUsedToRepurchaseCommonStock</v>
          </cell>
          <cell r="BR195">
            <v>6</v>
          </cell>
          <cell r="BS195" t="str">
            <v>ISO4217:USD</v>
          </cell>
          <cell r="BT195" t="b">
            <v>0</v>
          </cell>
          <cell r="BU195" t="b">
            <v>0</v>
          </cell>
        </row>
        <row r="196">
          <cell r="A196" t="str">
            <v>Proceeds from option exercises</v>
          </cell>
          <cell r="B196">
            <v>58</v>
          </cell>
          <cell r="C196">
            <v>44</v>
          </cell>
          <cell r="D196">
            <v>26</v>
          </cell>
          <cell r="E196">
            <v>79</v>
          </cell>
          <cell r="F196">
            <v>30</v>
          </cell>
          <cell r="G196">
            <v>59</v>
          </cell>
          <cell r="H196">
            <v>59</v>
          </cell>
          <cell r="I196">
            <v>-4</v>
          </cell>
          <cell r="J196">
            <v>27</v>
          </cell>
          <cell r="K196">
            <v>3</v>
          </cell>
          <cell r="N196">
            <v>111</v>
          </cell>
          <cell r="O196">
            <v>68</v>
          </cell>
          <cell r="P196">
            <v>49</v>
          </cell>
          <cell r="Q196">
            <v>65</v>
          </cell>
          <cell r="R196">
            <v>169</v>
          </cell>
          <cell r="S196">
            <v>148</v>
          </cell>
          <cell r="T196">
            <v>253</v>
          </cell>
          <cell r="U196">
            <v>207</v>
          </cell>
          <cell r="V196">
            <v>144</v>
          </cell>
          <cell r="W196">
            <v>0</v>
          </cell>
          <cell r="X196">
            <v>0</v>
          </cell>
          <cell r="Y196">
            <v>0</v>
          </cell>
          <cell r="Z196">
            <v>0</v>
          </cell>
          <cell r="BQ196" t="str">
            <v>mstag:proceedsFromIssuanceFundsUsedToRepurchaseCommonStock</v>
          </cell>
          <cell r="BR196">
            <v>6</v>
          </cell>
          <cell r="BS196" t="str">
            <v>ISO4217:USD</v>
          </cell>
          <cell r="BT196" t="b">
            <v>0</v>
          </cell>
          <cell r="BU196" t="b">
            <v>0</v>
          </cell>
        </row>
        <row r="197">
          <cell r="A197" t="str">
            <v>Other</v>
          </cell>
          <cell r="B197">
            <v>-96</v>
          </cell>
          <cell r="C197">
            <v>7</v>
          </cell>
          <cell r="D197">
            <v>16</v>
          </cell>
          <cell r="E197">
            <v>30</v>
          </cell>
          <cell r="F197">
            <v>14</v>
          </cell>
          <cell r="G197">
            <v>8</v>
          </cell>
          <cell r="H197">
            <v>-54</v>
          </cell>
          <cell r="I197">
            <v>-24</v>
          </cell>
          <cell r="J197">
            <v>-1</v>
          </cell>
          <cell r="K197">
            <v>-5</v>
          </cell>
          <cell r="N197">
            <v>0</v>
          </cell>
          <cell r="O197">
            <v>500</v>
          </cell>
          <cell r="P197">
            <v>0</v>
          </cell>
          <cell r="Q197">
            <v>0</v>
          </cell>
          <cell r="R197">
            <v>-46</v>
          </cell>
          <cell r="S197">
            <v>-6</v>
          </cell>
          <cell r="T197">
            <v>152</v>
          </cell>
          <cell r="U197">
            <v>-43</v>
          </cell>
          <cell r="V197">
            <v>-56</v>
          </cell>
          <cell r="W197">
            <v>0</v>
          </cell>
          <cell r="X197">
            <v>0</v>
          </cell>
          <cell r="Y197">
            <v>0</v>
          </cell>
          <cell r="Z197">
            <v>0</v>
          </cell>
          <cell r="BQ197" t="str">
            <v>mstag:otherCashFlow</v>
          </cell>
          <cell r="BR197">
            <v>6</v>
          </cell>
          <cell r="BS197" t="str">
            <v>ISO4217:USD</v>
          </cell>
          <cell r="BT197" t="b">
            <v>0</v>
          </cell>
          <cell r="BU197" t="b">
            <v>0</v>
          </cell>
        </row>
        <row r="198">
          <cell r="A198" t="str">
            <v>Net cash (used) provided by financing activities</v>
          </cell>
          <cell r="B198">
            <v>-284</v>
          </cell>
          <cell r="C198">
            <v>-66</v>
          </cell>
          <cell r="D198">
            <v>-389</v>
          </cell>
          <cell r="E198">
            <v>-47</v>
          </cell>
          <cell r="F198">
            <v>-592</v>
          </cell>
          <cell r="G198">
            <v>-714</v>
          </cell>
          <cell r="H198">
            <v>-672</v>
          </cell>
          <cell r="I198">
            <v>1260</v>
          </cell>
          <cell r="J198">
            <v>-358</v>
          </cell>
          <cell r="K198">
            <v>-116</v>
          </cell>
          <cell r="N198">
            <v>-835</v>
          </cell>
          <cell r="O198">
            <v>908</v>
          </cell>
          <cell r="P198">
            <v>-836</v>
          </cell>
          <cell r="Q198">
            <v>2041</v>
          </cell>
          <cell r="R198">
            <v>-902</v>
          </cell>
          <cell r="S198">
            <v>-520</v>
          </cell>
          <cell r="T198">
            <v>-539</v>
          </cell>
          <cell r="U198">
            <v>-786</v>
          </cell>
          <cell r="V198">
            <v>-718</v>
          </cell>
          <cell r="W198">
            <v>-1383.9349501306001</v>
          </cell>
          <cell r="X198">
            <v>-1006.0409251436602</v>
          </cell>
          <cell r="Y198">
            <v>-621.45594965802593</v>
          </cell>
          <cell r="Z198">
            <v>-433.53491186382894</v>
          </cell>
        </row>
        <row r="200">
          <cell r="A200" t="str">
            <v>Net (decrease) increase in cash and equivalents</v>
          </cell>
          <cell r="B200">
            <v>-112</v>
          </cell>
          <cell r="C200">
            <v>302</v>
          </cell>
          <cell r="D200">
            <v>239</v>
          </cell>
          <cell r="E200">
            <v>858.0000329999998</v>
          </cell>
          <cell r="F200">
            <v>-286</v>
          </cell>
          <cell r="G200">
            <v>135</v>
          </cell>
          <cell r="H200">
            <v>-123</v>
          </cell>
          <cell r="I200">
            <v>-996</v>
          </cell>
          <cell r="J200">
            <v>-495</v>
          </cell>
          <cell r="K200">
            <v>488</v>
          </cell>
          <cell r="N200">
            <v>-95.320999999999913</v>
          </cell>
          <cell r="O200">
            <v>263</v>
          </cell>
          <cell r="P200">
            <v>-112</v>
          </cell>
          <cell r="Q200">
            <v>534</v>
          </cell>
          <cell r="R200">
            <v>115</v>
          </cell>
          <cell r="S200">
            <v>1355</v>
          </cell>
          <cell r="T200">
            <v>-727</v>
          </cell>
          <cell r="U200">
            <v>1287</v>
          </cell>
          <cell r="V200">
            <v>-1270</v>
          </cell>
          <cell r="W200">
            <v>1992.2032682729555</v>
          </cell>
          <cell r="X200">
            <v>1837.8596232833117</v>
          </cell>
          <cell r="Y200">
            <v>2018.7075278570164</v>
          </cell>
          <cell r="Z200">
            <v>2288.3773996563041</v>
          </cell>
        </row>
        <row r="201">
          <cell r="A201" t="str">
            <v>Cash and equivalents at beginning of period</v>
          </cell>
          <cell r="B201">
            <v>1604</v>
          </cell>
          <cell r="C201">
            <v>1492</v>
          </cell>
          <cell r="D201">
            <v>1794</v>
          </cell>
          <cell r="E201">
            <v>2033</v>
          </cell>
          <cell r="F201">
            <v>2891</v>
          </cell>
          <cell r="G201">
            <v>2605</v>
          </cell>
          <cell r="H201">
            <v>2740</v>
          </cell>
          <cell r="I201">
            <v>2617</v>
          </cell>
          <cell r="J201">
            <v>1621</v>
          </cell>
          <cell r="K201">
            <v>1126</v>
          </cell>
          <cell r="N201">
            <v>268.73199999999997</v>
          </cell>
          <cell r="O201">
            <v>176</v>
          </cell>
          <cell r="P201">
            <v>439</v>
          </cell>
          <cell r="Q201">
            <v>327</v>
          </cell>
          <cell r="R201">
            <v>861</v>
          </cell>
          <cell r="S201">
            <v>976</v>
          </cell>
          <cell r="T201">
            <v>2331</v>
          </cell>
          <cell r="U201">
            <v>1604</v>
          </cell>
          <cell r="V201">
            <v>2891</v>
          </cell>
          <cell r="W201">
            <v>1621</v>
          </cell>
          <cell r="X201">
            <v>3613.2032682729555</v>
          </cell>
          <cell r="Y201">
            <v>5451.0628915562675</v>
          </cell>
          <cell r="Z201">
            <v>7469.7704194132839</v>
          </cell>
        </row>
        <row r="202">
          <cell r="A202" t="str">
            <v>Cash and equivalents at end of period</v>
          </cell>
          <cell r="B202">
            <v>1492</v>
          </cell>
          <cell r="C202">
            <v>1794</v>
          </cell>
          <cell r="D202">
            <v>2033</v>
          </cell>
          <cell r="E202">
            <v>2891.0000329999998</v>
          </cell>
          <cell r="F202">
            <v>2605</v>
          </cell>
          <cell r="G202">
            <v>2740</v>
          </cell>
          <cell r="H202">
            <v>2617</v>
          </cell>
          <cell r="I202">
            <v>1621</v>
          </cell>
          <cell r="J202">
            <v>1126</v>
          </cell>
          <cell r="K202">
            <v>1614</v>
          </cell>
          <cell r="N202">
            <v>176</v>
          </cell>
          <cell r="O202">
            <v>439</v>
          </cell>
          <cell r="P202">
            <v>327</v>
          </cell>
          <cell r="Q202">
            <v>861</v>
          </cell>
          <cell r="R202">
            <v>976</v>
          </cell>
          <cell r="S202">
            <v>2331</v>
          </cell>
          <cell r="T202">
            <v>1604</v>
          </cell>
          <cell r="U202">
            <v>2891</v>
          </cell>
          <cell r="V202">
            <v>1621</v>
          </cell>
          <cell r="W202">
            <v>3613.2032682729555</v>
          </cell>
          <cell r="X202">
            <v>5451.0628915562675</v>
          </cell>
          <cell r="Y202">
            <v>7469.7704194132839</v>
          </cell>
          <cell r="Z202">
            <v>9758.1478190695889</v>
          </cell>
        </row>
        <row r="204">
          <cell r="A204" t="str">
            <v>FCF (OpCash -Capex)</v>
          </cell>
          <cell r="B204">
            <v>469</v>
          </cell>
          <cell r="C204">
            <v>292</v>
          </cell>
          <cell r="D204">
            <v>826</v>
          </cell>
          <cell r="E204">
            <v>891.0000329999998</v>
          </cell>
          <cell r="F204">
            <v>346</v>
          </cell>
          <cell r="G204">
            <v>910</v>
          </cell>
          <cell r="H204">
            <v>749</v>
          </cell>
          <cell r="I204">
            <v>629</v>
          </cell>
          <cell r="J204">
            <v>73</v>
          </cell>
          <cell r="K204">
            <v>520</v>
          </cell>
          <cell r="N204">
            <v>781.07900000000006</v>
          </cell>
          <cell r="O204">
            <v>743</v>
          </cell>
          <cell r="P204">
            <v>861</v>
          </cell>
          <cell r="Q204">
            <v>1475</v>
          </cell>
          <cell r="R204">
            <v>1507</v>
          </cell>
          <cell r="S204">
            <v>1771</v>
          </cell>
          <cell r="T204">
            <v>1822</v>
          </cell>
          <cell r="U204">
            <v>2478</v>
          </cell>
          <cell r="V204">
            <v>2634</v>
          </cell>
          <cell r="W204">
            <v>3376.1382184035556</v>
          </cell>
          <cell r="X204">
            <v>2843.9005484269719</v>
          </cell>
          <cell r="Y204">
            <v>2640.1634775150424</v>
          </cell>
          <cell r="Z204">
            <v>2721.9123115201332</v>
          </cell>
        </row>
        <row r="205">
          <cell r="A205" t="str">
            <v>FCF Conversion</v>
          </cell>
          <cell r="B205">
            <v>1.0659090909090911</v>
          </cell>
          <cell r="C205">
            <v>0.56370656370656369</v>
          </cell>
          <cell r="D205">
            <v>1.5183824450489349</v>
          </cell>
          <cell r="E205">
            <v>1.5415224604321089</v>
          </cell>
          <cell r="F205">
            <v>0.60383944153577662</v>
          </cell>
          <cell r="G205">
            <v>1.5016501650165013</v>
          </cell>
          <cell r="H205">
            <v>1.1813880126182965</v>
          </cell>
          <cell r="I205">
            <v>0.99841269841269842</v>
          </cell>
          <cell r="J205">
            <v>0.12304062025956515</v>
          </cell>
          <cell r="K205">
            <v>0.83668543845534993</v>
          </cell>
          <cell r="N205">
            <v>0.96561354145289746</v>
          </cell>
          <cell r="O205">
            <v>0.78791092258748685</v>
          </cell>
          <cell r="P205">
            <v>0.82788461538461533</v>
          </cell>
          <cell r="Q205">
            <v>1.5066394279877426</v>
          </cell>
          <cell r="R205">
            <v>1.26214405360134</v>
          </cell>
          <cell r="S205">
            <v>1.2230662983425415</v>
          </cell>
          <cell r="T205">
            <v>1.0654970760233917</v>
          </cell>
          <cell r="U205">
            <v>1.1913461538461538</v>
          </cell>
          <cell r="V205">
            <v>1.0781825624232502</v>
          </cell>
          <cell r="W205">
            <v>1.4330381683905913</v>
          </cell>
          <cell r="X205">
            <v>1.179662633222621</v>
          </cell>
          <cell r="Y205">
            <v>1.0435695782233503</v>
          </cell>
          <cell r="Z205">
            <v>1.0223436613940289</v>
          </cell>
        </row>
        <row r="207">
          <cell r="A207" t="str">
            <v>Income taxes</v>
          </cell>
          <cell r="B207">
            <v>26</v>
          </cell>
          <cell r="C207">
            <v>339</v>
          </cell>
          <cell r="D207">
            <v>238</v>
          </cell>
          <cell r="E207">
            <v>156</v>
          </cell>
          <cell r="F207">
            <v>41</v>
          </cell>
          <cell r="G207">
            <v>475</v>
          </cell>
          <cell r="H207">
            <v>212</v>
          </cell>
          <cell r="I207">
            <v>113</v>
          </cell>
          <cell r="J207">
            <v>41</v>
          </cell>
          <cell r="K207">
            <v>475</v>
          </cell>
          <cell r="Q207">
            <v>268</v>
          </cell>
          <cell r="R207">
            <v>304</v>
          </cell>
          <cell r="S207">
            <v>522</v>
          </cell>
          <cell r="T207">
            <v>743</v>
          </cell>
          <cell r="U207">
            <v>759</v>
          </cell>
          <cell r="V207">
            <v>841</v>
          </cell>
        </row>
        <row r="208">
          <cell r="A208" t="str">
            <v>Interest</v>
          </cell>
          <cell r="B208">
            <v>33</v>
          </cell>
          <cell r="C208">
            <v>33</v>
          </cell>
          <cell r="D208">
            <v>50</v>
          </cell>
          <cell r="E208">
            <v>15</v>
          </cell>
          <cell r="F208">
            <v>35</v>
          </cell>
          <cell r="G208">
            <v>31</v>
          </cell>
          <cell r="H208">
            <v>34</v>
          </cell>
          <cell r="I208">
            <v>33</v>
          </cell>
          <cell r="N208">
            <v>72</v>
          </cell>
          <cell r="O208">
            <v>68</v>
          </cell>
          <cell r="P208">
            <v>58</v>
          </cell>
          <cell r="Q208">
            <v>108</v>
          </cell>
          <cell r="R208">
            <v>157</v>
          </cell>
          <cell r="S208">
            <v>154</v>
          </cell>
          <cell r="T208">
            <v>156</v>
          </cell>
          <cell r="U208">
            <v>131</v>
          </cell>
          <cell r="V208">
            <v>133</v>
          </cell>
        </row>
        <row r="210">
          <cell r="A210" t="str">
            <v>General Dynamics</v>
          </cell>
        </row>
        <row r="211">
          <cell r="A211" t="str">
            <v>Cash Flow Model</v>
          </cell>
        </row>
        <row r="212">
          <cell r="A212" t="str">
            <v>($USD in Millions, Except EPS)</v>
          </cell>
          <cell r="B212">
            <v>2007</v>
          </cell>
          <cell r="F212" t="str">
            <v>2008A</v>
          </cell>
          <cell r="J212" t="str">
            <v>2009E</v>
          </cell>
        </row>
        <row r="213">
          <cell r="B213" t="str">
            <v>Q1</v>
          </cell>
          <cell r="C213" t="str">
            <v>Q2</v>
          </cell>
          <cell r="D213" t="str">
            <v>Q3</v>
          </cell>
          <cell r="E213" t="str">
            <v>Q4</v>
          </cell>
          <cell r="F213" t="str">
            <v>Q1</v>
          </cell>
          <cell r="G213" t="str">
            <v>Q2</v>
          </cell>
          <cell r="H213" t="str">
            <v>Q3</v>
          </cell>
          <cell r="I213" t="str">
            <v>Q4</v>
          </cell>
          <cell r="J213" t="str">
            <v>Q1</v>
          </cell>
          <cell r="K213" t="str">
            <v>Q2A</v>
          </cell>
          <cell r="L213" t="str">
            <v>Q3E</v>
          </cell>
          <cell r="M213" t="str">
            <v>Q4E</v>
          </cell>
          <cell r="N213">
            <v>2000</v>
          </cell>
          <cell r="O213">
            <v>2001</v>
          </cell>
          <cell r="P213">
            <v>2002</v>
          </cell>
          <cell r="Q213">
            <v>2003</v>
          </cell>
          <cell r="R213">
            <v>2004</v>
          </cell>
          <cell r="S213">
            <v>2005</v>
          </cell>
          <cell r="T213">
            <v>2006</v>
          </cell>
          <cell r="U213">
            <v>2007</v>
          </cell>
          <cell r="V213" t="str">
            <v>2008A</v>
          </cell>
          <cell r="W213" t="str">
            <v>2009E</v>
          </cell>
          <cell r="X213" t="str">
            <v>2010E</v>
          </cell>
          <cell r="Y213" t="str">
            <v>2011E</v>
          </cell>
          <cell r="Z213" t="str">
            <v>2012E</v>
          </cell>
          <cell r="AA213" t="str">
            <v>Comments</v>
          </cell>
        </row>
        <row r="214">
          <cell r="A214" t="str">
            <v>Operations</v>
          </cell>
        </row>
        <row r="215">
          <cell r="A215" t="str">
            <v>Net Income</v>
          </cell>
          <cell r="B215">
            <v>434</v>
          </cell>
          <cell r="C215">
            <v>513</v>
          </cell>
          <cell r="D215">
            <v>546</v>
          </cell>
          <cell r="E215">
            <v>579.0000329999998</v>
          </cell>
          <cell r="F215">
            <v>572</v>
          </cell>
          <cell r="G215">
            <v>641</v>
          </cell>
          <cell r="H215">
            <v>634</v>
          </cell>
          <cell r="I215">
            <v>612</v>
          </cell>
          <cell r="J215">
            <v>590</v>
          </cell>
          <cell r="K215">
            <v>618</v>
          </cell>
          <cell r="N215">
            <v>808.89400000000001</v>
          </cell>
          <cell r="O215">
            <v>942.99999999999989</v>
          </cell>
          <cell r="P215">
            <v>1040</v>
          </cell>
          <cell r="Q215">
            <v>1004</v>
          </cell>
          <cell r="R215">
            <v>1227</v>
          </cell>
          <cell r="S215">
            <v>1461</v>
          </cell>
          <cell r="T215">
            <v>1856</v>
          </cell>
          <cell r="U215">
            <v>2080</v>
          </cell>
          <cell r="V215">
            <v>2459</v>
          </cell>
          <cell r="W215">
            <v>2355.9304231199999</v>
          </cell>
          <cell r="X215">
            <v>2410.7744607099739</v>
          </cell>
          <cell r="Y215">
            <v>2529.9352650829965</v>
          </cell>
          <cell r="Z215">
            <v>2662.4240109325247</v>
          </cell>
        </row>
        <row r="216">
          <cell r="A216" t="str">
            <v>Depreciation/Depletion</v>
          </cell>
          <cell r="B216">
            <v>62</v>
          </cell>
          <cell r="C216">
            <v>70</v>
          </cell>
          <cell r="D216">
            <v>69</v>
          </cell>
          <cell r="E216">
            <v>77</v>
          </cell>
          <cell r="F216">
            <v>69</v>
          </cell>
          <cell r="G216">
            <v>77</v>
          </cell>
          <cell r="H216">
            <v>77</v>
          </cell>
          <cell r="I216">
            <v>78</v>
          </cell>
          <cell r="J216">
            <v>85</v>
          </cell>
          <cell r="K216">
            <v>86</v>
          </cell>
          <cell r="N216">
            <v>145</v>
          </cell>
          <cell r="O216">
            <v>164</v>
          </cell>
          <cell r="P216">
            <v>177</v>
          </cell>
          <cell r="Q216">
            <v>204</v>
          </cell>
          <cell r="R216">
            <v>213</v>
          </cell>
          <cell r="S216">
            <v>226</v>
          </cell>
          <cell r="T216">
            <v>251</v>
          </cell>
          <cell r="U216">
            <v>278</v>
          </cell>
          <cell r="V216">
            <v>301</v>
          </cell>
          <cell r="W216">
            <v>368.125</v>
          </cell>
          <cell r="X216">
            <v>402.5</v>
          </cell>
          <cell r="Y216">
            <v>440</v>
          </cell>
          <cell r="Z216">
            <v>477.5</v>
          </cell>
        </row>
        <row r="217">
          <cell r="A217" t="str">
            <v>Intang/Goodwill Amort</v>
          </cell>
          <cell r="B217">
            <v>39</v>
          </cell>
          <cell r="C217">
            <v>36</v>
          </cell>
          <cell r="D217">
            <v>36</v>
          </cell>
          <cell r="E217">
            <v>34</v>
          </cell>
          <cell r="F217">
            <v>33</v>
          </cell>
          <cell r="G217">
            <v>34</v>
          </cell>
          <cell r="H217">
            <v>36</v>
          </cell>
          <cell r="I217">
            <v>43</v>
          </cell>
          <cell r="J217">
            <v>54</v>
          </cell>
          <cell r="K217">
            <v>54</v>
          </cell>
          <cell r="N217">
            <v>81</v>
          </cell>
          <cell r="O217">
            <v>100</v>
          </cell>
          <cell r="P217">
            <v>31</v>
          </cell>
          <cell r="Q217">
            <v>66</v>
          </cell>
          <cell r="R217">
            <v>93</v>
          </cell>
          <cell r="S217">
            <v>101</v>
          </cell>
          <cell r="T217">
            <v>133</v>
          </cell>
          <cell r="U217">
            <v>145</v>
          </cell>
          <cell r="V217">
            <v>146</v>
          </cell>
          <cell r="W217">
            <v>130</v>
          </cell>
          <cell r="X217">
            <v>130</v>
          </cell>
          <cell r="Y217">
            <v>130</v>
          </cell>
          <cell r="Z217">
            <v>130</v>
          </cell>
          <cell r="AA217" t="str">
            <v>- GTE=$20-25</v>
          </cell>
        </row>
        <row r="218">
          <cell r="A218" t="str">
            <v>Pension and OPEB</v>
          </cell>
          <cell r="N218">
            <v>18</v>
          </cell>
          <cell r="O218">
            <v>25</v>
          </cell>
          <cell r="P218">
            <v>28</v>
          </cell>
          <cell r="AA218" t="str">
            <v>- 54% of plan in USG sec//26% stock/14% corp bonds//6% mortgages</v>
          </cell>
        </row>
        <row r="219">
          <cell r="A219" t="str">
            <v>Capex</v>
          </cell>
          <cell r="B219">
            <v>-53</v>
          </cell>
          <cell r="C219">
            <v>-113</v>
          </cell>
          <cell r="D219">
            <v>-128</v>
          </cell>
          <cell r="E219">
            <v>-180</v>
          </cell>
          <cell r="F219">
            <v>-85</v>
          </cell>
          <cell r="G219">
            <v>-115</v>
          </cell>
          <cell r="H219">
            <v>-114</v>
          </cell>
          <cell r="I219">
            <v>-176</v>
          </cell>
          <cell r="J219">
            <v>-81</v>
          </cell>
          <cell r="K219">
            <v>-89</v>
          </cell>
          <cell r="N219">
            <v>-288</v>
          </cell>
          <cell r="O219">
            <v>-356</v>
          </cell>
          <cell r="P219">
            <v>-262</v>
          </cell>
          <cell r="Q219">
            <v>-220</v>
          </cell>
          <cell r="R219">
            <v>-253</v>
          </cell>
          <cell r="S219">
            <v>-262</v>
          </cell>
          <cell r="T219">
            <v>-334</v>
          </cell>
          <cell r="U219">
            <v>-474</v>
          </cell>
          <cell r="V219">
            <v>-490</v>
          </cell>
          <cell r="W219">
            <v>-550</v>
          </cell>
          <cell r="X219">
            <v>-550</v>
          </cell>
          <cell r="Y219">
            <v>-600</v>
          </cell>
          <cell r="Z219">
            <v>-600</v>
          </cell>
          <cell r="AA219" t="str">
            <v>- BIW cpx total $200MM</v>
          </cell>
        </row>
        <row r="220">
          <cell r="A220" t="str">
            <v>Deferred Taxes</v>
          </cell>
          <cell r="B220">
            <v>24</v>
          </cell>
          <cell r="C220">
            <v>29</v>
          </cell>
          <cell r="D220">
            <v>-3</v>
          </cell>
          <cell r="E220">
            <v>72</v>
          </cell>
          <cell r="F220">
            <v>-1</v>
          </cell>
          <cell r="G220">
            <v>27</v>
          </cell>
          <cell r="H220">
            <v>57</v>
          </cell>
          <cell r="I220">
            <v>113</v>
          </cell>
          <cell r="J220">
            <v>40</v>
          </cell>
          <cell r="K220">
            <v>46</v>
          </cell>
          <cell r="N220">
            <v>128</v>
          </cell>
          <cell r="O220">
            <v>114</v>
          </cell>
          <cell r="P220">
            <v>177</v>
          </cell>
          <cell r="Q220">
            <v>137</v>
          </cell>
          <cell r="R220">
            <v>279</v>
          </cell>
          <cell r="S220">
            <v>141</v>
          </cell>
          <cell r="T220">
            <v>45</v>
          </cell>
          <cell r="U220">
            <v>122</v>
          </cell>
          <cell r="V220">
            <v>196</v>
          </cell>
          <cell r="W220">
            <v>0</v>
          </cell>
          <cell r="X220">
            <v>0</v>
          </cell>
          <cell r="Y220">
            <v>0</v>
          </cell>
          <cell r="Z220">
            <v>0</v>
          </cell>
        </row>
        <row r="221">
          <cell r="A221" t="str">
            <v>Dividends</v>
          </cell>
          <cell r="B221">
            <v>-93</v>
          </cell>
          <cell r="C221">
            <v>-117</v>
          </cell>
          <cell r="D221">
            <v>-118</v>
          </cell>
          <cell r="E221">
            <v>-117</v>
          </cell>
          <cell r="F221">
            <v>-117</v>
          </cell>
          <cell r="G221">
            <v>-140</v>
          </cell>
          <cell r="H221">
            <v>-140</v>
          </cell>
          <cell r="I221">
            <v>-136</v>
          </cell>
          <cell r="J221">
            <v>-136</v>
          </cell>
          <cell r="K221">
            <v>-147</v>
          </cell>
          <cell r="N221">
            <v>-202</v>
          </cell>
          <cell r="O221">
            <v>-219</v>
          </cell>
          <cell r="P221">
            <v>-236</v>
          </cell>
          <cell r="Q221">
            <v>-249</v>
          </cell>
          <cell r="R221">
            <v>-278</v>
          </cell>
          <cell r="S221">
            <v>-314</v>
          </cell>
          <cell r="T221">
            <v>-359</v>
          </cell>
          <cell r="U221">
            <v>-445</v>
          </cell>
          <cell r="V221">
            <v>-533</v>
          </cell>
          <cell r="W221">
            <v>-592.9349501306001</v>
          </cell>
          <cell r="X221">
            <v>-638.54092514366016</v>
          </cell>
          <cell r="Y221">
            <v>-698.63094965802611</v>
          </cell>
          <cell r="Z221">
            <v>-773.87666186382899</v>
          </cell>
        </row>
        <row r="222">
          <cell r="A222" t="str">
            <v>Receivables</v>
          </cell>
          <cell r="B222">
            <v>74</v>
          </cell>
          <cell r="C222">
            <v>-260</v>
          </cell>
          <cell r="D222">
            <v>107</v>
          </cell>
          <cell r="E222">
            <v>-440</v>
          </cell>
          <cell r="F222">
            <v>-97</v>
          </cell>
          <cell r="G222">
            <v>14</v>
          </cell>
          <cell r="H222">
            <v>-124</v>
          </cell>
          <cell r="I222">
            <v>-179</v>
          </cell>
          <cell r="J222">
            <v>-292</v>
          </cell>
          <cell r="K222">
            <v>143</v>
          </cell>
          <cell r="O222">
            <v>-25</v>
          </cell>
          <cell r="P222">
            <v>-95</v>
          </cell>
          <cell r="Q222">
            <v>61</v>
          </cell>
          <cell r="R222">
            <v>-65</v>
          </cell>
          <cell r="S222">
            <v>-555</v>
          </cell>
          <cell r="T222">
            <v>-160</v>
          </cell>
          <cell r="U222">
            <v>-519</v>
          </cell>
          <cell r="V222">
            <v>-386</v>
          </cell>
          <cell r="W222">
            <v>399.55555555555566</v>
          </cell>
          <cell r="X222">
            <v>-45.333333333333485</v>
          </cell>
          <cell r="Y222">
            <v>-140.72222222222217</v>
          </cell>
          <cell r="Z222">
            <v>-215.33333333333303</v>
          </cell>
        </row>
        <row r="223">
          <cell r="A223" t="str">
            <v>Contracts in Progress</v>
          </cell>
          <cell r="B223">
            <v>-119</v>
          </cell>
          <cell r="C223">
            <v>-69</v>
          </cell>
          <cell r="D223">
            <v>69</v>
          </cell>
          <cell r="E223">
            <v>-316</v>
          </cell>
          <cell r="F223">
            <v>-41</v>
          </cell>
          <cell r="G223">
            <v>-122</v>
          </cell>
          <cell r="H223">
            <v>145</v>
          </cell>
          <cell r="I223">
            <v>91</v>
          </cell>
          <cell r="J223">
            <v>64</v>
          </cell>
          <cell r="K223">
            <v>-141</v>
          </cell>
          <cell r="O223">
            <v>-225</v>
          </cell>
          <cell r="P223">
            <v>-178</v>
          </cell>
          <cell r="Q223">
            <v>-452</v>
          </cell>
          <cell r="R223">
            <v>-281</v>
          </cell>
          <cell r="S223">
            <v>-196</v>
          </cell>
          <cell r="T223">
            <v>-390</v>
          </cell>
          <cell r="U223">
            <v>-435</v>
          </cell>
          <cell r="V223">
            <v>73</v>
          </cell>
          <cell r="W223">
            <v>-1109</v>
          </cell>
          <cell r="X223">
            <v>-86</v>
          </cell>
          <cell r="Y223">
            <v>-138</v>
          </cell>
          <cell r="Z223">
            <v>-196</v>
          </cell>
        </row>
        <row r="224">
          <cell r="A224" t="str">
            <v>Inventories</v>
          </cell>
          <cell r="B224">
            <v>-92</v>
          </cell>
          <cell r="C224">
            <v>-8</v>
          </cell>
          <cell r="D224">
            <v>30</v>
          </cell>
          <cell r="E224">
            <v>-65</v>
          </cell>
          <cell r="F224">
            <v>-42</v>
          </cell>
          <cell r="G224">
            <v>-31</v>
          </cell>
          <cell r="H224">
            <v>-52</v>
          </cell>
          <cell r="I224">
            <v>-58</v>
          </cell>
          <cell r="J224">
            <v>-64</v>
          </cell>
          <cell r="K224">
            <v>-51</v>
          </cell>
          <cell r="O224">
            <v>-223</v>
          </cell>
          <cell r="P224">
            <v>-141</v>
          </cell>
          <cell r="Q224">
            <v>189</v>
          </cell>
          <cell r="R224">
            <v>-62</v>
          </cell>
          <cell r="S224">
            <v>-122</v>
          </cell>
          <cell r="T224">
            <v>-237</v>
          </cell>
          <cell r="U224">
            <v>-135</v>
          </cell>
          <cell r="V224">
            <v>-183</v>
          </cell>
          <cell r="W224">
            <v>-71</v>
          </cell>
          <cell r="X224">
            <v>-20</v>
          </cell>
          <cell r="Y224">
            <v>-320</v>
          </cell>
          <cell r="Z224">
            <v>-520</v>
          </cell>
        </row>
        <row r="225">
          <cell r="A225" t="str">
            <v>Other Current Assets</v>
          </cell>
          <cell r="B225">
            <v>0</v>
          </cell>
          <cell r="C225">
            <v>-38</v>
          </cell>
          <cell r="D225">
            <v>38</v>
          </cell>
          <cell r="E225">
            <v>0</v>
          </cell>
          <cell r="F225">
            <v>0</v>
          </cell>
          <cell r="G225">
            <v>0</v>
          </cell>
          <cell r="H225">
            <v>0</v>
          </cell>
          <cell r="I225">
            <v>0</v>
          </cell>
          <cell r="J225">
            <v>0</v>
          </cell>
          <cell r="K225">
            <v>0</v>
          </cell>
          <cell r="O225">
            <v>0</v>
          </cell>
          <cell r="P225">
            <v>0</v>
          </cell>
          <cell r="Q225">
            <v>0</v>
          </cell>
          <cell r="R225">
            <v>0</v>
          </cell>
          <cell r="S225">
            <v>0</v>
          </cell>
          <cell r="T225">
            <v>0</v>
          </cell>
          <cell r="U225">
            <v>0</v>
          </cell>
          <cell r="V225">
            <v>0</v>
          </cell>
          <cell r="W225">
            <v>-98.199841272000072</v>
          </cell>
          <cell r="X225">
            <v>-108.02792349956826</v>
          </cell>
          <cell r="Y225">
            <v>0</v>
          </cell>
          <cell r="Z225">
            <v>0</v>
          </cell>
        </row>
        <row r="226">
          <cell r="A226" t="str">
            <v>Accounts Payable</v>
          </cell>
          <cell r="B226">
            <v>-54</v>
          </cell>
          <cell r="C226">
            <v>-105</v>
          </cell>
          <cell r="D226">
            <v>107</v>
          </cell>
          <cell r="E226">
            <v>392</v>
          </cell>
          <cell r="F226">
            <v>-231</v>
          </cell>
          <cell r="G226">
            <v>24</v>
          </cell>
          <cell r="H226">
            <v>-52</v>
          </cell>
          <cell r="I226">
            <v>221</v>
          </cell>
          <cell r="J226">
            <v>151</v>
          </cell>
          <cell r="K226">
            <v>-169</v>
          </cell>
          <cell r="O226">
            <v>256</v>
          </cell>
          <cell r="P226">
            <v>132</v>
          </cell>
          <cell r="Q226">
            <v>324</v>
          </cell>
          <cell r="R226">
            <v>164</v>
          </cell>
          <cell r="S226">
            <v>187</v>
          </cell>
          <cell r="T226">
            <v>180</v>
          </cell>
          <cell r="U226">
            <v>340</v>
          </cell>
          <cell r="V226">
            <v>-38</v>
          </cell>
          <cell r="W226">
            <v>384.5</v>
          </cell>
          <cell r="X226">
            <v>41.759999999999764</v>
          </cell>
          <cell r="Y226">
            <v>129.63000000000011</v>
          </cell>
          <cell r="Z226">
            <v>198.36000000000013</v>
          </cell>
        </row>
        <row r="227">
          <cell r="A227" t="str">
            <v>Other Current Liabilities</v>
          </cell>
          <cell r="B227">
            <v>145</v>
          </cell>
          <cell r="C227">
            <v>238</v>
          </cell>
          <cell r="D227">
            <v>-60</v>
          </cell>
          <cell r="E227">
            <v>734</v>
          </cell>
          <cell r="F227">
            <v>168</v>
          </cell>
          <cell r="G227">
            <v>357</v>
          </cell>
          <cell r="H227">
            <v>142</v>
          </cell>
          <cell r="I227">
            <v>-125</v>
          </cell>
          <cell r="J227">
            <v>-480</v>
          </cell>
          <cell r="K227">
            <v>20</v>
          </cell>
          <cell r="O227">
            <v>-28</v>
          </cell>
          <cell r="P227">
            <v>-49</v>
          </cell>
          <cell r="Q227">
            <v>188</v>
          </cell>
          <cell r="R227">
            <v>235</v>
          </cell>
          <cell r="S227">
            <v>813</v>
          </cell>
          <cell r="T227">
            <v>450</v>
          </cell>
          <cell r="U227">
            <v>1049</v>
          </cell>
          <cell r="V227">
            <v>542</v>
          </cell>
          <cell r="W227">
            <v>1566.2270809999998</v>
          </cell>
          <cell r="X227">
            <v>668.22734454989995</v>
          </cell>
          <cell r="Y227">
            <v>609.32043465426796</v>
          </cell>
          <cell r="Z227">
            <v>784.96163392094161</v>
          </cell>
        </row>
        <row r="228">
          <cell r="A228" t="str">
            <v>Total W.C.</v>
          </cell>
          <cell r="B228">
            <v>-46</v>
          </cell>
          <cell r="C228">
            <v>-242</v>
          </cell>
          <cell r="D228">
            <v>291</v>
          </cell>
          <cell r="E228">
            <v>305</v>
          </cell>
          <cell r="F228">
            <v>-243</v>
          </cell>
          <cell r="G228">
            <v>242</v>
          </cell>
          <cell r="H228">
            <v>59</v>
          </cell>
          <cell r="I228">
            <v>-50</v>
          </cell>
          <cell r="J228">
            <v>-621</v>
          </cell>
          <cell r="K228">
            <v>-198</v>
          </cell>
          <cell r="N228">
            <v>-112</v>
          </cell>
          <cell r="O228">
            <v>-245</v>
          </cell>
          <cell r="P228">
            <v>-331</v>
          </cell>
          <cell r="Q228">
            <v>310</v>
          </cell>
          <cell r="R228">
            <v>-9</v>
          </cell>
          <cell r="S228">
            <v>127</v>
          </cell>
          <cell r="T228">
            <v>-157</v>
          </cell>
          <cell r="U228">
            <v>300</v>
          </cell>
          <cell r="V228">
            <v>8</v>
          </cell>
          <cell r="W228">
            <v>1072.0827952835552</v>
          </cell>
          <cell r="X228">
            <v>450.62608771699797</v>
          </cell>
          <cell r="Y228">
            <v>140.22821243204589</v>
          </cell>
          <cell r="Z228">
            <v>51.988300587608705</v>
          </cell>
        </row>
        <row r="229">
          <cell r="A229" t="str">
            <v>- subtotal</v>
          </cell>
          <cell r="B229">
            <v>367</v>
          </cell>
          <cell r="C229">
            <v>176</v>
          </cell>
          <cell r="D229">
            <v>693</v>
          </cell>
          <cell r="E229">
            <v>770.0000329999998</v>
          </cell>
          <cell r="F229">
            <v>228</v>
          </cell>
          <cell r="G229">
            <v>766</v>
          </cell>
          <cell r="H229">
            <v>609</v>
          </cell>
          <cell r="I229">
            <v>484</v>
          </cell>
          <cell r="J229">
            <v>-69</v>
          </cell>
          <cell r="K229">
            <v>370</v>
          </cell>
          <cell r="N229">
            <v>578.89400000000001</v>
          </cell>
          <cell r="O229">
            <v>526</v>
          </cell>
          <cell r="P229">
            <v>624</v>
          </cell>
          <cell r="Q229">
            <v>1252</v>
          </cell>
          <cell r="R229">
            <v>1272</v>
          </cell>
          <cell r="S229">
            <v>1480</v>
          </cell>
          <cell r="T229">
            <v>1435</v>
          </cell>
          <cell r="U229">
            <v>2006</v>
          </cell>
          <cell r="V229">
            <v>2087</v>
          </cell>
          <cell r="W229">
            <v>2783.203268272955</v>
          </cell>
          <cell r="X229">
            <v>2205.3596232833115</v>
          </cell>
          <cell r="Y229">
            <v>1941.5325278570162</v>
          </cell>
          <cell r="Z229">
            <v>1948.0356496563045</v>
          </cell>
        </row>
        <row r="230">
          <cell r="A230" t="str">
            <v>Non-Opns/Discretionary</v>
          </cell>
        </row>
        <row r="231">
          <cell r="A231" t="str">
            <v>Real Estate &amp; Asset Sales</v>
          </cell>
          <cell r="B231">
            <v>0</v>
          </cell>
          <cell r="C231">
            <v>93</v>
          </cell>
          <cell r="D231">
            <v>-93</v>
          </cell>
          <cell r="E231">
            <v>0</v>
          </cell>
          <cell r="F231">
            <v>31</v>
          </cell>
          <cell r="G231">
            <v>-1</v>
          </cell>
          <cell r="H231">
            <v>0</v>
          </cell>
          <cell r="I231">
            <v>4</v>
          </cell>
          <cell r="J231">
            <v>1</v>
          </cell>
          <cell r="K231">
            <v>-1</v>
          </cell>
          <cell r="N231">
            <v>33</v>
          </cell>
          <cell r="O231">
            <v>96</v>
          </cell>
          <cell r="P231">
            <v>133</v>
          </cell>
          <cell r="Q231">
            <v>34</v>
          </cell>
          <cell r="R231">
            <v>24</v>
          </cell>
          <cell r="S231">
            <v>361</v>
          </cell>
          <cell r="T231">
            <v>380</v>
          </cell>
          <cell r="U231">
            <v>0</v>
          </cell>
          <cell r="V231">
            <v>34</v>
          </cell>
          <cell r="W231">
            <v>0</v>
          </cell>
          <cell r="X231">
            <v>0</v>
          </cell>
          <cell r="Y231">
            <v>0</v>
          </cell>
          <cell r="Z231">
            <v>0</v>
          </cell>
        </row>
        <row r="232">
          <cell r="A232" t="str">
            <v>R&amp;D Tax refund</v>
          </cell>
          <cell r="B232">
            <v>0</v>
          </cell>
          <cell r="C232">
            <v>0</v>
          </cell>
          <cell r="N232">
            <v>0</v>
          </cell>
          <cell r="O232">
            <v>0</v>
          </cell>
          <cell r="P232">
            <v>0</v>
          </cell>
          <cell r="Q232">
            <v>0</v>
          </cell>
          <cell r="R232">
            <v>0</v>
          </cell>
          <cell r="S232">
            <v>0</v>
          </cell>
          <cell r="T232">
            <v>0</v>
          </cell>
          <cell r="U232">
            <v>0</v>
          </cell>
          <cell r="V232">
            <v>0</v>
          </cell>
          <cell r="W232">
            <v>0</v>
          </cell>
          <cell r="X232">
            <v>0</v>
          </cell>
          <cell r="Y232">
            <v>0</v>
          </cell>
          <cell r="Z232">
            <v>0</v>
          </cell>
        </row>
        <row r="233">
          <cell r="A233" t="str">
            <v>Acquis./Divests</v>
          </cell>
          <cell r="B233">
            <v>-298</v>
          </cell>
          <cell r="C233">
            <v>-1</v>
          </cell>
          <cell r="D233">
            <v>0</v>
          </cell>
          <cell r="E233">
            <v>-31</v>
          </cell>
          <cell r="F233">
            <v>-65</v>
          </cell>
          <cell r="G233">
            <v>-1</v>
          </cell>
          <cell r="H233">
            <v>-237</v>
          </cell>
          <cell r="I233">
            <v>-2921</v>
          </cell>
          <cell r="J233">
            <v>-168</v>
          </cell>
          <cell r="K233">
            <v>3</v>
          </cell>
          <cell r="N233">
            <v>-71</v>
          </cell>
          <cell r="O233">
            <v>-1451</v>
          </cell>
          <cell r="P233">
            <v>-275</v>
          </cell>
          <cell r="Q233">
            <v>-3044</v>
          </cell>
          <cell r="R233">
            <v>-543</v>
          </cell>
          <cell r="S233">
            <v>-277</v>
          </cell>
          <cell r="T233">
            <v>-2342</v>
          </cell>
          <cell r="U233">
            <v>-330</v>
          </cell>
          <cell r="V233">
            <v>-3224</v>
          </cell>
          <cell r="W233">
            <v>0</v>
          </cell>
          <cell r="X233">
            <v>0</v>
          </cell>
          <cell r="Y233">
            <v>0</v>
          </cell>
          <cell r="Z233">
            <v>0</v>
          </cell>
          <cell r="AA233" t="str">
            <v>- VNX deal @ $35/sh, GM Def</v>
          </cell>
        </row>
        <row r="234">
          <cell r="A234" t="str">
            <v>Stock Repurchase</v>
          </cell>
          <cell r="B234">
            <v>-95</v>
          </cell>
          <cell r="C234">
            <v>44</v>
          </cell>
          <cell r="D234">
            <v>-287</v>
          </cell>
          <cell r="E234">
            <v>40</v>
          </cell>
          <cell r="F234">
            <v>-489</v>
          </cell>
          <cell r="G234">
            <v>-82</v>
          </cell>
          <cell r="H234">
            <v>-328</v>
          </cell>
          <cell r="I234">
            <v>-479</v>
          </cell>
          <cell r="J234">
            <v>-82</v>
          </cell>
          <cell r="K234">
            <v>3</v>
          </cell>
          <cell r="N234">
            <v>-97</v>
          </cell>
          <cell r="O234">
            <v>-45</v>
          </cell>
          <cell r="P234">
            <v>-51</v>
          </cell>
          <cell r="Q234">
            <v>-235</v>
          </cell>
          <cell r="R234">
            <v>169</v>
          </cell>
          <cell r="S234">
            <v>-200</v>
          </cell>
          <cell r="T234">
            <v>168</v>
          </cell>
          <cell r="U234">
            <v>-298</v>
          </cell>
          <cell r="V234">
            <v>-1378</v>
          </cell>
          <cell r="W234">
            <v>-770</v>
          </cell>
          <cell r="X234">
            <v>-367.5</v>
          </cell>
          <cell r="Y234">
            <v>77.175000000000182</v>
          </cell>
          <cell r="Z234">
            <v>340.34175000000005</v>
          </cell>
        </row>
        <row r="235">
          <cell r="A235" t="str">
            <v>Securities sales (purchases)</v>
          </cell>
          <cell r="B235">
            <v>0</v>
          </cell>
          <cell r="C235">
            <v>0</v>
          </cell>
          <cell r="D235">
            <v>-213</v>
          </cell>
          <cell r="E235">
            <v>34</v>
          </cell>
          <cell r="F235">
            <v>-5</v>
          </cell>
          <cell r="G235">
            <v>-56</v>
          </cell>
          <cell r="H235">
            <v>37</v>
          </cell>
          <cell r="I235">
            <v>41</v>
          </cell>
          <cell r="J235">
            <v>-37</v>
          </cell>
          <cell r="K235">
            <v>84</v>
          </cell>
          <cell r="N235">
            <v>6</v>
          </cell>
          <cell r="O235">
            <v>-3</v>
          </cell>
          <cell r="P235">
            <v>-2</v>
          </cell>
          <cell r="Q235">
            <v>1</v>
          </cell>
          <cell r="R235">
            <v>0</v>
          </cell>
          <cell r="S235">
            <v>0</v>
          </cell>
          <cell r="T235">
            <v>0</v>
          </cell>
          <cell r="U235">
            <v>-179</v>
          </cell>
          <cell r="V235">
            <v>17</v>
          </cell>
          <cell r="W235">
            <v>0</v>
          </cell>
          <cell r="X235">
            <v>0</v>
          </cell>
          <cell r="Y235">
            <v>0</v>
          </cell>
          <cell r="Z235">
            <v>0</v>
          </cell>
        </row>
        <row r="236">
          <cell r="A236" t="str">
            <v>A-12/Restruct.</v>
          </cell>
          <cell r="B236">
            <v>0</v>
          </cell>
          <cell r="C236">
            <v>0</v>
          </cell>
          <cell r="D236">
            <v>0</v>
          </cell>
          <cell r="E236">
            <v>0</v>
          </cell>
          <cell r="F236">
            <v>0</v>
          </cell>
          <cell r="G236">
            <v>0</v>
          </cell>
          <cell r="H236">
            <v>0</v>
          </cell>
          <cell r="I236">
            <v>0</v>
          </cell>
          <cell r="J236">
            <v>0</v>
          </cell>
          <cell r="K236">
            <v>0</v>
          </cell>
          <cell r="N236">
            <v>-6</v>
          </cell>
          <cell r="O236">
            <v>-6</v>
          </cell>
          <cell r="P236">
            <v>-6.4</v>
          </cell>
          <cell r="Q236">
            <v>0</v>
          </cell>
          <cell r="R236">
            <v>0</v>
          </cell>
          <cell r="S236">
            <v>0</v>
          </cell>
          <cell r="T236">
            <v>0</v>
          </cell>
          <cell r="U236">
            <v>0</v>
          </cell>
          <cell r="V236">
            <v>0</v>
          </cell>
          <cell r="W236">
            <v>0</v>
          </cell>
          <cell r="X236">
            <v>0</v>
          </cell>
          <cell r="Y236">
            <v>0</v>
          </cell>
          <cell r="Z236">
            <v>0</v>
          </cell>
          <cell r="AA236" t="str">
            <v>- Assumes no payment but expenses end</v>
          </cell>
        </row>
        <row r="237">
          <cell r="A237" t="str">
            <v>Finance operations leases</v>
          </cell>
          <cell r="B237">
            <v>0</v>
          </cell>
          <cell r="C237">
            <v>0</v>
          </cell>
          <cell r="D237">
            <v>0</v>
          </cell>
          <cell r="E237">
            <v>0</v>
          </cell>
          <cell r="F237">
            <v>0</v>
          </cell>
          <cell r="G237">
            <v>0</v>
          </cell>
          <cell r="H237">
            <v>0</v>
          </cell>
          <cell r="I237">
            <v>0</v>
          </cell>
          <cell r="J237">
            <v>0</v>
          </cell>
          <cell r="K237">
            <v>0</v>
          </cell>
          <cell r="N237">
            <v>5</v>
          </cell>
          <cell r="O237">
            <v>7</v>
          </cell>
          <cell r="P237">
            <v>8.5</v>
          </cell>
          <cell r="Q237">
            <v>0</v>
          </cell>
          <cell r="R237">
            <v>0</v>
          </cell>
          <cell r="S237">
            <v>0</v>
          </cell>
          <cell r="T237">
            <v>0</v>
          </cell>
          <cell r="U237">
            <v>0</v>
          </cell>
          <cell r="V237">
            <v>0</v>
          </cell>
          <cell r="W237">
            <v>0</v>
          </cell>
          <cell r="X237">
            <v>0</v>
          </cell>
          <cell r="Y237">
            <v>0</v>
          </cell>
          <cell r="Z237">
            <v>0</v>
          </cell>
        </row>
        <row r="238">
          <cell r="A238" t="str">
            <v>Other</v>
          </cell>
          <cell r="B238">
            <v>-86</v>
          </cell>
          <cell r="C238">
            <v>-10</v>
          </cell>
          <cell r="D238">
            <v>139</v>
          </cell>
          <cell r="E238">
            <v>45</v>
          </cell>
          <cell r="F238">
            <v>14</v>
          </cell>
          <cell r="G238">
            <v>9</v>
          </cell>
          <cell r="H238">
            <v>-54</v>
          </cell>
          <cell r="I238">
            <v>-24</v>
          </cell>
          <cell r="J238">
            <v>-1</v>
          </cell>
          <cell r="K238">
            <v>-4</v>
          </cell>
          <cell r="N238">
            <v>-8</v>
          </cell>
          <cell r="O238">
            <v>-33</v>
          </cell>
          <cell r="P238">
            <v>5.9</v>
          </cell>
          <cell r="Q238">
            <v>1</v>
          </cell>
          <cell r="R238">
            <v>-60</v>
          </cell>
          <cell r="S238">
            <v>-9</v>
          </cell>
          <cell r="T238">
            <v>132</v>
          </cell>
          <cell r="U238">
            <v>88</v>
          </cell>
          <cell r="V238">
            <v>-55</v>
          </cell>
          <cell r="W238">
            <v>0</v>
          </cell>
          <cell r="X238">
            <v>0</v>
          </cell>
          <cell r="Y238">
            <v>0</v>
          </cell>
          <cell r="Z238">
            <v>0</v>
          </cell>
        </row>
        <row r="239">
          <cell r="A239" t="str">
            <v>- subtotal</v>
          </cell>
          <cell r="B239">
            <v>-479</v>
          </cell>
          <cell r="C239">
            <v>126</v>
          </cell>
          <cell r="D239">
            <v>-454</v>
          </cell>
          <cell r="E239">
            <v>88</v>
          </cell>
          <cell r="F239">
            <v>-514</v>
          </cell>
          <cell r="G239">
            <v>-131</v>
          </cell>
          <cell r="H239">
            <v>-582</v>
          </cell>
          <cell r="I239">
            <v>-3379</v>
          </cell>
          <cell r="J239">
            <v>-287</v>
          </cell>
          <cell r="K239">
            <v>85</v>
          </cell>
          <cell r="N239">
            <v>-138</v>
          </cell>
          <cell r="O239">
            <v>-1435</v>
          </cell>
          <cell r="P239">
            <v>-187</v>
          </cell>
          <cell r="Q239">
            <v>-3243</v>
          </cell>
          <cell r="R239">
            <v>-410</v>
          </cell>
          <cell r="S239">
            <v>-125</v>
          </cell>
          <cell r="T239">
            <v>-1662</v>
          </cell>
          <cell r="U239">
            <v>-719</v>
          </cell>
          <cell r="V239">
            <v>-4606</v>
          </cell>
          <cell r="W239">
            <v>-770</v>
          </cell>
          <cell r="X239">
            <v>-367.5</v>
          </cell>
          <cell r="Y239">
            <v>77.175000000000182</v>
          </cell>
          <cell r="Z239">
            <v>340.34175000000005</v>
          </cell>
        </row>
        <row r="240">
          <cell r="A240" t="str">
            <v>Cash Throwoff</v>
          </cell>
          <cell r="B240">
            <v>-112</v>
          </cell>
          <cell r="C240">
            <v>302</v>
          </cell>
          <cell r="D240">
            <v>239</v>
          </cell>
          <cell r="E240">
            <v>858.0000329999998</v>
          </cell>
          <cell r="F240">
            <v>-286</v>
          </cell>
          <cell r="G240">
            <v>635</v>
          </cell>
          <cell r="H240">
            <v>27</v>
          </cell>
          <cell r="I240">
            <v>-2895</v>
          </cell>
          <cell r="J240">
            <v>-356</v>
          </cell>
          <cell r="K240">
            <v>455</v>
          </cell>
          <cell r="N240">
            <v>440.89400000000001</v>
          </cell>
          <cell r="O240">
            <v>-909</v>
          </cell>
          <cell r="P240">
            <v>437</v>
          </cell>
          <cell r="Q240">
            <v>-1991</v>
          </cell>
          <cell r="R240">
            <v>862</v>
          </cell>
          <cell r="S240">
            <v>1355</v>
          </cell>
          <cell r="T240">
            <v>-227</v>
          </cell>
          <cell r="U240">
            <v>1287</v>
          </cell>
          <cell r="V240">
            <v>-2519</v>
          </cell>
          <cell r="W240">
            <v>2013.203268272955</v>
          </cell>
          <cell r="X240">
            <v>1837.8596232833115</v>
          </cell>
          <cell r="Y240">
            <v>2018.7075278570164</v>
          </cell>
          <cell r="Z240">
            <v>2288.3773996563045</v>
          </cell>
        </row>
        <row r="242">
          <cell r="A242" t="str">
            <v>Debt issuance (repayment)</v>
          </cell>
          <cell r="B242">
            <v>0</v>
          </cell>
          <cell r="C242">
            <v>0</v>
          </cell>
          <cell r="D242">
            <v>0</v>
          </cell>
          <cell r="E242">
            <v>0</v>
          </cell>
          <cell r="F242">
            <v>0</v>
          </cell>
          <cell r="G242">
            <v>-500</v>
          </cell>
          <cell r="H242">
            <v>0</v>
          </cell>
          <cell r="I242">
            <v>1749</v>
          </cell>
          <cell r="J242">
            <v>-139</v>
          </cell>
          <cell r="K242">
            <v>33</v>
          </cell>
          <cell r="N242">
            <v>-518</v>
          </cell>
          <cell r="O242">
            <v>1325</v>
          </cell>
          <cell r="P242">
            <v>-451</v>
          </cell>
          <cell r="Q242">
            <v>2565</v>
          </cell>
          <cell r="R242">
            <v>-682</v>
          </cell>
          <cell r="S242">
            <v>0</v>
          </cell>
          <cell r="T242">
            <v>-500</v>
          </cell>
          <cell r="U242">
            <v>0</v>
          </cell>
          <cell r="V242">
            <v>1249</v>
          </cell>
          <cell r="W242">
            <v>-21</v>
          </cell>
          <cell r="X242">
            <v>0</v>
          </cell>
          <cell r="Y242">
            <v>0</v>
          </cell>
          <cell r="Z242">
            <v>0</v>
          </cell>
          <cell r="AA242" t="str">
            <v>- Buyback of Commercial Paper</v>
          </cell>
        </row>
        <row r="243">
          <cell r="A243" t="str">
            <v>Finance operations debt</v>
          </cell>
          <cell r="B243">
            <v>0</v>
          </cell>
          <cell r="C243">
            <v>0</v>
          </cell>
          <cell r="D243">
            <v>0</v>
          </cell>
          <cell r="E243">
            <v>0</v>
          </cell>
          <cell r="F243">
            <v>0</v>
          </cell>
          <cell r="G243">
            <v>0</v>
          </cell>
          <cell r="H243">
            <v>-150</v>
          </cell>
          <cell r="I243">
            <v>150</v>
          </cell>
          <cell r="J243">
            <v>0</v>
          </cell>
          <cell r="K243">
            <v>0</v>
          </cell>
          <cell r="N243">
            <v>-18</v>
          </cell>
          <cell r="O243">
            <v>-153</v>
          </cell>
          <cell r="P243">
            <v>-98</v>
          </cell>
          <cell r="Q243">
            <v>-40</v>
          </cell>
          <cell r="R243">
            <v>-65</v>
          </cell>
          <cell r="S243">
            <v>0</v>
          </cell>
          <cell r="T243">
            <v>0</v>
          </cell>
          <cell r="U243">
            <v>0</v>
          </cell>
          <cell r="V243">
            <v>0</v>
          </cell>
          <cell r="W243">
            <v>0</v>
          </cell>
          <cell r="X243">
            <v>0</v>
          </cell>
          <cell r="Y243">
            <v>0</v>
          </cell>
          <cell r="Z243">
            <v>0</v>
          </cell>
        </row>
        <row r="245">
          <cell r="A245" t="str">
            <v>Increase in Cash and Equiv.</v>
          </cell>
          <cell r="B245">
            <v>-112</v>
          </cell>
          <cell r="C245">
            <v>302</v>
          </cell>
          <cell r="D245">
            <v>239</v>
          </cell>
          <cell r="E245">
            <v>858.0000329999998</v>
          </cell>
          <cell r="F245">
            <v>-286</v>
          </cell>
          <cell r="G245">
            <v>135</v>
          </cell>
          <cell r="H245">
            <v>-123</v>
          </cell>
          <cell r="I245">
            <v>-996</v>
          </cell>
          <cell r="J245">
            <v>-495</v>
          </cell>
          <cell r="K245">
            <v>488</v>
          </cell>
          <cell r="N245">
            <v>-95.105999999999995</v>
          </cell>
          <cell r="O245">
            <v>263</v>
          </cell>
          <cell r="P245">
            <v>-112</v>
          </cell>
          <cell r="Q245">
            <v>534</v>
          </cell>
          <cell r="R245">
            <v>115</v>
          </cell>
          <cell r="S245">
            <v>1355</v>
          </cell>
          <cell r="T245">
            <v>-727</v>
          </cell>
          <cell r="U245">
            <v>1287</v>
          </cell>
          <cell r="V245">
            <v>-1270</v>
          </cell>
          <cell r="W245">
            <v>1992.203268272955</v>
          </cell>
          <cell r="X245">
            <v>1837.8596232833115</v>
          </cell>
          <cell r="Y245">
            <v>2018.7075278570164</v>
          </cell>
          <cell r="Z245">
            <v>2288.3773996563045</v>
          </cell>
        </row>
        <row r="247">
          <cell r="A247" t="str">
            <v>CASH FLOW/NINC</v>
          </cell>
          <cell r="B247">
            <v>1.0599078341013826</v>
          </cell>
          <cell r="C247">
            <v>0.57115009746588696</v>
          </cell>
          <cell r="D247">
            <v>1.4853479853479854</v>
          </cell>
          <cell r="E247">
            <v>1.5319516104414455</v>
          </cell>
          <cell r="F247">
            <v>0.60314685314685312</v>
          </cell>
          <cell r="G247">
            <v>1.4134165366614664</v>
          </cell>
          <cell r="H247">
            <v>1.1813880126182965</v>
          </cell>
          <cell r="I247">
            <v>1.0130718954248366</v>
          </cell>
          <cell r="J247">
            <v>0.11355932203389831</v>
          </cell>
          <cell r="K247">
            <v>0.83656957928802589</v>
          </cell>
          <cell r="N247">
            <v>0.96538483410681741</v>
          </cell>
          <cell r="O247">
            <v>0.79003181336161199</v>
          </cell>
          <cell r="P247">
            <v>0.82692307692307687</v>
          </cell>
          <cell r="Q247">
            <v>1.4950199203187251</v>
          </cell>
          <cell r="R247">
            <v>1.263243683781581</v>
          </cell>
          <cell r="S247">
            <v>1.2279260780287475</v>
          </cell>
          <cell r="T247">
            <v>0.96659482758620685</v>
          </cell>
          <cell r="U247">
            <v>1.1783653846153845</v>
          </cell>
          <cell r="V247">
            <v>1.0654737698251322</v>
          </cell>
          <cell r="W247">
            <v>1.4330381683905913</v>
          </cell>
          <cell r="X247">
            <v>1.179662633222621</v>
          </cell>
          <cell r="Y247">
            <v>1.0435695782233503</v>
          </cell>
          <cell r="Z247">
            <v>1.0223436613940291</v>
          </cell>
        </row>
        <row r="249">
          <cell r="A249" t="str">
            <v>Cash at Beginning of Period</v>
          </cell>
          <cell r="B249">
            <v>1604</v>
          </cell>
          <cell r="C249">
            <v>1492</v>
          </cell>
          <cell r="D249">
            <v>1794</v>
          </cell>
          <cell r="E249">
            <v>2033</v>
          </cell>
          <cell r="F249">
            <v>2891.0000329999998</v>
          </cell>
          <cell r="G249">
            <v>2605.0000329999998</v>
          </cell>
          <cell r="H249">
            <v>2740.0000329999998</v>
          </cell>
          <cell r="I249">
            <v>2617.0000329999998</v>
          </cell>
          <cell r="J249">
            <v>1621.0000329999998</v>
          </cell>
          <cell r="K249">
            <v>1126.0000329999998</v>
          </cell>
          <cell r="N249">
            <v>176.34579999999983</v>
          </cell>
          <cell r="O249">
            <v>176</v>
          </cell>
          <cell r="P249">
            <v>439</v>
          </cell>
          <cell r="Q249">
            <v>327</v>
          </cell>
          <cell r="R249">
            <v>861</v>
          </cell>
          <cell r="S249">
            <v>976</v>
          </cell>
          <cell r="T249">
            <v>2331</v>
          </cell>
          <cell r="U249">
            <v>1604</v>
          </cell>
          <cell r="V249">
            <v>2891</v>
          </cell>
          <cell r="W249">
            <v>1621</v>
          </cell>
          <cell r="X249">
            <v>3613.203268272955</v>
          </cell>
          <cell r="Y249">
            <v>5451.0628915562665</v>
          </cell>
          <cell r="Z249">
            <v>7469.770419413283</v>
          </cell>
        </row>
        <row r="250">
          <cell r="A250" t="str">
            <v>Cash at End of Period</v>
          </cell>
          <cell r="B250">
            <v>1492</v>
          </cell>
          <cell r="C250">
            <v>1794</v>
          </cell>
          <cell r="D250">
            <v>2033</v>
          </cell>
          <cell r="E250">
            <v>2891.0000329999998</v>
          </cell>
          <cell r="F250">
            <v>2605.0000329999998</v>
          </cell>
          <cell r="G250">
            <v>2740.0000329999998</v>
          </cell>
          <cell r="H250">
            <v>2617.0000329999998</v>
          </cell>
          <cell r="I250">
            <v>1621.0000329999998</v>
          </cell>
          <cell r="J250">
            <v>1126.0000329999998</v>
          </cell>
          <cell r="K250">
            <v>1614.0000329999998</v>
          </cell>
          <cell r="N250">
            <v>81.239799999999832</v>
          </cell>
          <cell r="O250">
            <v>439</v>
          </cell>
          <cell r="P250">
            <v>327</v>
          </cell>
          <cell r="Q250">
            <v>861</v>
          </cell>
          <cell r="R250">
            <v>976</v>
          </cell>
          <cell r="S250">
            <v>2331</v>
          </cell>
          <cell r="T250">
            <v>1604</v>
          </cell>
          <cell r="U250">
            <v>2891</v>
          </cell>
          <cell r="V250">
            <v>1621</v>
          </cell>
          <cell r="W250">
            <v>3613.203268272955</v>
          </cell>
          <cell r="X250">
            <v>5451.0628915562665</v>
          </cell>
          <cell r="Y250">
            <v>7469.770419413283</v>
          </cell>
          <cell r="Z250">
            <v>9758.1478190695871</v>
          </cell>
        </row>
        <row r="251">
          <cell r="A251" t="str">
            <v>Ending Marketable Securities</v>
          </cell>
          <cell r="B251">
            <v>0</v>
          </cell>
          <cell r="C251">
            <v>0</v>
          </cell>
          <cell r="D251">
            <v>0</v>
          </cell>
          <cell r="E251">
            <v>0</v>
          </cell>
          <cell r="F251">
            <v>0</v>
          </cell>
          <cell r="G251">
            <v>0</v>
          </cell>
          <cell r="H251">
            <v>0</v>
          </cell>
          <cell r="I251">
            <v>0</v>
          </cell>
          <cell r="J251">
            <v>0</v>
          </cell>
          <cell r="K251">
            <v>0</v>
          </cell>
          <cell r="N251">
            <v>0</v>
          </cell>
          <cell r="O251">
            <v>0</v>
          </cell>
          <cell r="P251">
            <v>0</v>
          </cell>
          <cell r="Q251">
            <v>0</v>
          </cell>
          <cell r="R251">
            <v>0</v>
          </cell>
          <cell r="S251">
            <v>0</v>
          </cell>
          <cell r="T251">
            <v>0</v>
          </cell>
          <cell r="U251">
            <v>0</v>
          </cell>
          <cell r="V251">
            <v>0</v>
          </cell>
          <cell r="W251">
            <v>0</v>
          </cell>
          <cell r="X251">
            <v>0</v>
          </cell>
          <cell r="Y251">
            <v>0</v>
          </cell>
          <cell r="Z251">
            <v>0</v>
          </cell>
        </row>
        <row r="252">
          <cell r="A252" t="str">
            <v>Ending Cash &amp; Marketable Securities</v>
          </cell>
          <cell r="B252">
            <v>1492</v>
          </cell>
          <cell r="C252">
            <v>1794</v>
          </cell>
          <cell r="D252">
            <v>2033</v>
          </cell>
          <cell r="E252">
            <v>2891.0000329999998</v>
          </cell>
          <cell r="F252">
            <v>2605.0000329999998</v>
          </cell>
          <cell r="G252">
            <v>2740.0000329999998</v>
          </cell>
          <cell r="H252">
            <v>2617.0000329999998</v>
          </cell>
          <cell r="I252">
            <v>1621.0000329999998</v>
          </cell>
          <cell r="J252">
            <v>1126.0000329999998</v>
          </cell>
          <cell r="K252">
            <v>1614.0000329999998</v>
          </cell>
          <cell r="N252">
            <v>81.239799999999832</v>
          </cell>
          <cell r="O252">
            <v>439</v>
          </cell>
          <cell r="P252">
            <v>327</v>
          </cell>
          <cell r="Q252">
            <v>861</v>
          </cell>
          <cell r="R252">
            <v>976</v>
          </cell>
          <cell r="S252">
            <v>2331</v>
          </cell>
          <cell r="T252">
            <v>1604</v>
          </cell>
          <cell r="U252">
            <v>2891</v>
          </cell>
          <cell r="V252">
            <v>1621</v>
          </cell>
          <cell r="W252">
            <v>3613.203268272955</v>
          </cell>
          <cell r="X252">
            <v>5451.0628915562665</v>
          </cell>
          <cell r="Y252">
            <v>7469.770419413283</v>
          </cell>
          <cell r="Z252">
            <v>9758.1478190695871</v>
          </cell>
        </row>
        <row r="254">
          <cell r="A254" t="str">
            <v>Debt</v>
          </cell>
          <cell r="B254">
            <v>2790</v>
          </cell>
          <cell r="C254">
            <v>2789</v>
          </cell>
          <cell r="D254">
            <v>2796</v>
          </cell>
          <cell r="E254">
            <v>2791</v>
          </cell>
          <cell r="F254">
            <v>2790</v>
          </cell>
          <cell r="G254">
            <v>2289</v>
          </cell>
          <cell r="H254">
            <v>2139</v>
          </cell>
          <cell r="I254">
            <v>4024</v>
          </cell>
          <cell r="J254">
            <v>3882</v>
          </cell>
          <cell r="K254">
            <v>3915</v>
          </cell>
          <cell r="N254">
            <v>513</v>
          </cell>
          <cell r="O254">
            <v>1935</v>
          </cell>
          <cell r="P254">
            <v>1471</v>
          </cell>
          <cell r="Q254">
            <v>4043</v>
          </cell>
          <cell r="R254">
            <v>3297</v>
          </cell>
          <cell r="S254">
            <v>3287</v>
          </cell>
          <cell r="T254">
            <v>2781</v>
          </cell>
          <cell r="U254">
            <v>2791</v>
          </cell>
          <cell r="V254">
            <v>4024</v>
          </cell>
          <cell r="W254">
            <v>4003</v>
          </cell>
          <cell r="X254">
            <v>4003</v>
          </cell>
          <cell r="Y254">
            <v>4003</v>
          </cell>
          <cell r="Z254">
            <v>4003</v>
          </cell>
        </row>
        <row r="255">
          <cell r="A255" t="str">
            <v>Net Cash (Debt)</v>
          </cell>
          <cell r="B255">
            <v>-1298</v>
          </cell>
          <cell r="C255">
            <v>-995</v>
          </cell>
          <cell r="D255">
            <v>-763</v>
          </cell>
          <cell r="E255">
            <v>100.0000329999998</v>
          </cell>
          <cell r="F255">
            <v>-184.9999670000002</v>
          </cell>
          <cell r="G255">
            <v>451.0000329999998</v>
          </cell>
          <cell r="H255">
            <v>478.0000329999998</v>
          </cell>
          <cell r="I255">
            <v>-2402.9999670000002</v>
          </cell>
          <cell r="J255">
            <v>-2755.9999670000002</v>
          </cell>
          <cell r="K255">
            <v>-2300.9999670000002</v>
          </cell>
          <cell r="N255">
            <v>-431.76020000000017</v>
          </cell>
          <cell r="O255">
            <v>-1496</v>
          </cell>
          <cell r="P255">
            <v>-1144</v>
          </cell>
          <cell r="Q255">
            <v>-3182</v>
          </cell>
          <cell r="R255">
            <v>-2321</v>
          </cell>
          <cell r="S255">
            <v>-956</v>
          </cell>
          <cell r="T255">
            <v>-1177</v>
          </cell>
          <cell r="U255">
            <v>100</v>
          </cell>
          <cell r="V255">
            <v>-2403</v>
          </cell>
          <cell r="W255">
            <v>-389.79673172704497</v>
          </cell>
          <cell r="X255">
            <v>1448.0628915562665</v>
          </cell>
          <cell r="Y255">
            <v>3466.770419413283</v>
          </cell>
          <cell r="Z255">
            <v>5755.1478190695871</v>
          </cell>
        </row>
        <row r="256">
          <cell r="A256" t="str">
            <v>Net Cash (Debt) per Share</v>
          </cell>
          <cell r="B256">
            <v>-3.1704934049829019</v>
          </cell>
          <cell r="C256">
            <v>-2.4333577891905112</v>
          </cell>
          <cell r="D256">
            <v>-1.8733120549963171</v>
          </cell>
          <cell r="E256">
            <v>0.24576071024821777</v>
          </cell>
          <cell r="F256">
            <v>-0.45803408516959693</v>
          </cell>
          <cell r="G256">
            <v>1.1224490617222493</v>
          </cell>
          <cell r="H256">
            <v>1.1955978814407198</v>
          </cell>
          <cell r="I256">
            <v>-6.1678643916837785</v>
          </cell>
          <cell r="J256">
            <v>-7.1306596817593793</v>
          </cell>
          <cell r="K256">
            <v>-5.9457363488372099</v>
          </cell>
          <cell r="N256">
            <v>-1.0724297069051172</v>
          </cell>
          <cell r="O256">
            <v>-3.6865450961064563</v>
          </cell>
          <cell r="P256">
            <v>-2.8197897974878234</v>
          </cell>
          <cell r="Q256">
            <v>-7.9888728207600233</v>
          </cell>
          <cell r="R256">
            <v>-5.7602485766899783</v>
          </cell>
          <cell r="S256">
            <v>-2.36138007350907</v>
          </cell>
          <cell r="T256">
            <v>-2.8933136676499509</v>
          </cell>
          <cell r="U256">
            <v>0.24501096424064978</v>
          </cell>
          <cell r="V256">
            <v>-6.027088036117382</v>
          </cell>
          <cell r="W256">
            <v>-1.0123993647657805</v>
          </cell>
          <cell r="X256">
            <v>3.8415995619144239</v>
          </cell>
          <cell r="Y256">
            <v>9.2466272825399702</v>
          </cell>
          <cell r="Z256">
            <v>15.243458385537174</v>
          </cell>
        </row>
        <row r="257">
          <cell r="A257" t="str">
            <v>Avg Net Cash (Debt)</v>
          </cell>
          <cell r="B257">
            <v>-1237.5</v>
          </cell>
          <cell r="C257">
            <v>-1146.5</v>
          </cell>
          <cell r="D257">
            <v>-879</v>
          </cell>
          <cell r="E257">
            <v>-331.4999835000001</v>
          </cell>
          <cell r="F257">
            <v>-42.499967000000197</v>
          </cell>
          <cell r="G257">
            <v>133.0000329999998</v>
          </cell>
          <cell r="H257">
            <v>464.5000329999998</v>
          </cell>
          <cell r="I257">
            <v>-962.4999670000002</v>
          </cell>
          <cell r="J257">
            <v>-2579.4999670000002</v>
          </cell>
          <cell r="K257">
            <v>-2528.4999670000002</v>
          </cell>
          <cell r="N257">
            <v>-638.70720000000017</v>
          </cell>
          <cell r="O257">
            <v>-963.88010000000008</v>
          </cell>
          <cell r="P257">
            <v>-1320</v>
          </cell>
          <cell r="Q257">
            <v>-2163</v>
          </cell>
          <cell r="R257">
            <v>-2751.5</v>
          </cell>
          <cell r="S257">
            <v>-1638.5</v>
          </cell>
          <cell r="T257">
            <v>-1066.5</v>
          </cell>
          <cell r="U257">
            <v>-538.5</v>
          </cell>
          <cell r="V257">
            <v>-1151.5</v>
          </cell>
          <cell r="W257">
            <v>-1396.3983658635225</v>
          </cell>
          <cell r="X257">
            <v>529.13307991461079</v>
          </cell>
          <cell r="Y257">
            <v>2457.4166554847748</v>
          </cell>
          <cell r="Z257">
            <v>4610.9591192414355</v>
          </cell>
        </row>
        <row r="260">
          <cell r="A260" t="str">
            <v>Int. rate assump</v>
          </cell>
          <cell r="B260">
            <v>4.8000000000000001E-2</v>
          </cell>
          <cell r="C260">
            <v>4.8000000000000001E-2</v>
          </cell>
          <cell r="D260">
            <v>4.8000000000000001E-2</v>
          </cell>
          <cell r="E260">
            <v>4.8000000000000001E-2</v>
          </cell>
          <cell r="F260">
            <v>4.8000000000000001E-2</v>
          </cell>
          <cell r="G260">
            <v>4.8000000000000001E-2</v>
          </cell>
          <cell r="H260">
            <v>4.8000000000000001E-2</v>
          </cell>
          <cell r="I260">
            <v>4.8000000000000001E-2</v>
          </cell>
          <cell r="J260">
            <v>4.8000000000000001E-2</v>
          </cell>
          <cell r="K260">
            <v>4.8000000000000001E-2</v>
          </cell>
          <cell r="N260">
            <v>0.11</v>
          </cell>
          <cell r="O260">
            <v>6.0999999999999999E-2</v>
          </cell>
          <cell r="P260">
            <v>3.4500000000000003E-2</v>
          </cell>
          <cell r="Q260">
            <v>4.3799999999999999E-2</v>
          </cell>
          <cell r="R260">
            <v>0.05</v>
          </cell>
          <cell r="S260">
            <v>6.4000000000000001E-2</v>
          </cell>
          <cell r="T260">
            <v>0.1</v>
          </cell>
          <cell r="U260">
            <v>0.1</v>
          </cell>
          <cell r="V260">
            <v>0.1</v>
          </cell>
          <cell r="W260">
            <v>0.1</v>
          </cell>
          <cell r="X260">
            <v>0.1</v>
          </cell>
          <cell r="Y260">
            <v>0.1</v>
          </cell>
          <cell r="Z260">
            <v>0.1</v>
          </cell>
        </row>
        <row r="261">
          <cell r="A261" t="str">
            <v>Int. income est. ($ X int. rate)</v>
          </cell>
          <cell r="B261">
            <v>-14.85</v>
          </cell>
          <cell r="C261">
            <v>-14.304</v>
          </cell>
          <cell r="D261">
            <v>-12.153</v>
          </cell>
          <cell r="E261">
            <v>-7.2629999010000006</v>
          </cell>
          <cell r="F261">
            <v>-2.2439997030000018</v>
          </cell>
          <cell r="G261">
            <v>0.54300039599999761</v>
          </cell>
          <cell r="H261">
            <v>3.5850003959999976</v>
          </cell>
          <cell r="I261">
            <v>-2.9879996040000023</v>
          </cell>
          <cell r="J261">
            <v>-21.251999604000002</v>
          </cell>
          <cell r="K261">
            <v>-30.647999604000002</v>
          </cell>
          <cell r="N261">
            <v>-70.257792000000023</v>
          </cell>
          <cell r="O261">
            <v>-58.796686100000002</v>
          </cell>
          <cell r="P261">
            <v>-45.540000000000006</v>
          </cell>
          <cell r="Q261">
            <v>-94.739400000000003</v>
          </cell>
          <cell r="R261">
            <v>-137.57500000000002</v>
          </cell>
          <cell r="S261">
            <v>-104.864</v>
          </cell>
          <cell r="T261">
            <v>-106.65</v>
          </cell>
          <cell r="U261">
            <v>-53.85</v>
          </cell>
          <cell r="V261">
            <v>-115.15</v>
          </cell>
          <cell r="W261">
            <v>-139.63983658635226</v>
          </cell>
          <cell r="X261">
            <v>52.913307991461082</v>
          </cell>
          <cell r="Y261">
            <v>245.7416655484775</v>
          </cell>
          <cell r="Z261">
            <v>461.09591192414359</v>
          </cell>
        </row>
        <row r="262">
          <cell r="A262" t="str">
            <v>Int. inc actual/per P&amp;L</v>
          </cell>
          <cell r="B262">
            <v>-26</v>
          </cell>
          <cell r="C262">
            <v>-21</v>
          </cell>
          <cell r="D262">
            <v>-12</v>
          </cell>
          <cell r="E262">
            <v>-11</v>
          </cell>
          <cell r="F262">
            <v>-19</v>
          </cell>
          <cell r="G262">
            <v>-12</v>
          </cell>
          <cell r="H262">
            <v>-11</v>
          </cell>
          <cell r="I262">
            <v>-24</v>
          </cell>
          <cell r="J262">
            <v>-39</v>
          </cell>
          <cell r="K262">
            <v>-38</v>
          </cell>
          <cell r="N262">
            <v>-60</v>
          </cell>
          <cell r="O262">
            <v>-56</v>
          </cell>
          <cell r="P262">
            <v>-45</v>
          </cell>
          <cell r="Q262">
            <v>-98</v>
          </cell>
          <cell r="R262">
            <v>-148</v>
          </cell>
          <cell r="S262">
            <v>-118</v>
          </cell>
          <cell r="T262">
            <v>-101</v>
          </cell>
          <cell r="U262">
            <v>-70</v>
          </cell>
          <cell r="V262">
            <v>-66</v>
          </cell>
          <cell r="W262">
            <v>-149.71440000000001</v>
          </cell>
          <cell r="X262">
            <v>-127.88593463454089</v>
          </cell>
          <cell r="Y262">
            <v>-93.130242168874673</v>
          </cell>
          <cell r="Z262">
            <v>-71.430517660267554</v>
          </cell>
        </row>
        <row r="263">
          <cell r="A263" t="str">
            <v>Equity</v>
          </cell>
          <cell r="B263">
            <v>10075</v>
          </cell>
          <cell r="C263">
            <v>10622</v>
          </cell>
          <cell r="D263">
            <v>10910</v>
          </cell>
          <cell r="E263">
            <v>11768</v>
          </cell>
          <cell r="F263">
            <v>11777</v>
          </cell>
          <cell r="G263">
            <v>12184</v>
          </cell>
          <cell r="H263">
            <v>12134</v>
          </cell>
          <cell r="I263">
            <v>10053</v>
          </cell>
          <cell r="J263">
            <v>10271</v>
          </cell>
          <cell r="K263">
            <v>11001</v>
          </cell>
          <cell r="N263">
            <v>3820</v>
          </cell>
          <cell r="O263">
            <v>4528</v>
          </cell>
          <cell r="P263">
            <v>5199</v>
          </cell>
          <cell r="Q263">
            <v>5921</v>
          </cell>
          <cell r="R263">
            <v>7189</v>
          </cell>
          <cell r="S263">
            <v>8145</v>
          </cell>
          <cell r="T263">
            <v>9827</v>
          </cell>
          <cell r="U263">
            <v>11768</v>
          </cell>
          <cell r="V263">
            <v>10053</v>
          </cell>
          <cell r="W263">
            <v>11045.995472989402</v>
          </cell>
          <cell r="X263">
            <v>12450.729008555714</v>
          </cell>
          <cell r="Y263">
            <v>14359.208323980685</v>
          </cell>
          <cell r="Z263">
            <v>16588.097423049381</v>
          </cell>
        </row>
        <row r="264">
          <cell r="A264" t="str">
            <v>Shares out</v>
          </cell>
          <cell r="B264">
            <v>409.4</v>
          </cell>
          <cell r="C264">
            <v>408.9</v>
          </cell>
          <cell r="D264">
            <v>407.3</v>
          </cell>
          <cell r="E264">
            <v>406.9</v>
          </cell>
          <cell r="F264">
            <v>403.9</v>
          </cell>
          <cell r="G264">
            <v>401.8</v>
          </cell>
          <cell r="H264">
            <v>399.8</v>
          </cell>
          <cell r="I264">
            <v>389.6</v>
          </cell>
          <cell r="J264">
            <v>386.5</v>
          </cell>
          <cell r="K264">
            <v>387</v>
          </cell>
          <cell r="N264">
            <v>402.6</v>
          </cell>
          <cell r="O264">
            <v>405.8</v>
          </cell>
          <cell r="P264">
            <v>405.70400000000001</v>
          </cell>
          <cell r="Q264">
            <v>398.30399999999997</v>
          </cell>
          <cell r="R264">
            <v>402.93400000000003</v>
          </cell>
          <cell r="S264">
            <v>404.84800000000001</v>
          </cell>
          <cell r="T264">
            <v>406.8</v>
          </cell>
          <cell r="U264">
            <v>408.14499999999998</v>
          </cell>
          <cell r="V264">
            <v>398.7</v>
          </cell>
          <cell r="W264">
            <v>385.02269489000003</v>
          </cell>
          <cell r="X264">
            <v>376.94269489000004</v>
          </cell>
          <cell r="Y264">
            <v>374.92269489</v>
          </cell>
          <cell r="Z264">
            <v>377.54869489000004</v>
          </cell>
        </row>
        <row r="265">
          <cell r="A265" t="str">
            <v>Book Value per Share</v>
          </cell>
          <cell r="B265">
            <v>24.609184171958965</v>
          </cell>
          <cell r="C265">
            <v>25.977011494252874</v>
          </cell>
          <cell r="D265">
            <v>26.78615271298797</v>
          </cell>
          <cell r="E265">
            <v>28.921110838043749</v>
          </cell>
          <cell r="F265">
            <v>29.158207477098294</v>
          </cell>
          <cell r="G265">
            <v>30.323544051767048</v>
          </cell>
          <cell r="H265">
            <v>30.350175087543771</v>
          </cell>
          <cell r="I265">
            <v>25.803388090349074</v>
          </cell>
          <cell r="J265">
            <v>26.57438551099612</v>
          </cell>
          <cell r="K265">
            <v>28.426356589147286</v>
          </cell>
          <cell r="N265">
            <v>9.488325881768505</v>
          </cell>
          <cell r="O265">
            <v>11.158206012814194</v>
          </cell>
          <cell r="P265">
            <v>12.8147615009958</v>
          </cell>
          <cell r="Q265">
            <v>14.86552984654937</v>
          </cell>
          <cell r="R265">
            <v>17.841631631979428</v>
          </cell>
          <cell r="S265">
            <v>20.118661818756667</v>
          </cell>
          <cell r="T265">
            <v>24.156833824975418</v>
          </cell>
          <cell r="U265">
            <v>28.832890271839666</v>
          </cell>
          <cell r="V265">
            <v>25.214446952595939</v>
          </cell>
          <cell r="W265">
            <v>28.689206167821389</v>
          </cell>
          <cell r="X265">
            <v>33.030827171724617</v>
          </cell>
          <cell r="Y265">
            <v>38.299117443913573</v>
          </cell>
          <cell r="Z265">
            <v>43.936312448073416</v>
          </cell>
        </row>
        <row r="266">
          <cell r="A266" t="str">
            <v>Net debt/cap</v>
          </cell>
          <cell r="B266">
            <v>0.11412995691550162</v>
          </cell>
          <cell r="C266">
            <v>8.565034001893776E-2</v>
          </cell>
          <cell r="D266">
            <v>6.5364516405379935E-2</v>
          </cell>
          <cell r="E266">
            <v>-8.5704519440199453E-3</v>
          </cell>
          <cell r="F266">
            <v>1.546563848105386E-2</v>
          </cell>
          <cell r="G266">
            <v>-3.8438594926146208E-2</v>
          </cell>
          <cell r="H266">
            <v>-4.1008925390639529E-2</v>
          </cell>
          <cell r="I266">
            <v>0.19291907300628852</v>
          </cell>
          <cell r="J266">
            <v>0.21156060290024564</v>
          </cell>
          <cell r="K266">
            <v>0.17298150448867763</v>
          </cell>
          <cell r="N266">
            <v>0.10154857745740226</v>
          </cell>
          <cell r="O266">
            <v>0.24833997343957503</v>
          </cell>
          <cell r="P266">
            <v>0.18035629828157024</v>
          </cell>
          <cell r="Q266">
            <v>0.34955509172800175</v>
          </cell>
          <cell r="R266">
            <v>0.24405888538380652</v>
          </cell>
          <cell r="S266">
            <v>0.10504340182397538</v>
          </cell>
          <cell r="T266">
            <v>0.1069611050527081</v>
          </cell>
          <cell r="U266">
            <v>-8.5704490915323971E-3</v>
          </cell>
          <cell r="V266">
            <v>0.19291907514450868</v>
          </cell>
          <cell r="W266">
            <v>3.4085678084136727E-2</v>
          </cell>
          <cell r="X266">
            <v>-0.13161018212839942</v>
          </cell>
          <cell r="Y266">
            <v>-0.31827314048396838</v>
          </cell>
          <cell r="Z266">
            <v>-0.53126323203380077</v>
          </cell>
        </row>
        <row r="267">
          <cell r="A267" t="str">
            <v xml:space="preserve">   vs. peer avg (need to update)</v>
          </cell>
          <cell r="N267">
            <v>0.37333333333333335</v>
          </cell>
        </row>
        <row r="269">
          <cell r="A269" t="str">
            <v>Cash EPS ((NI+Dep+Amort)/Shares)</v>
          </cell>
          <cell r="B269">
            <v>1.3067904250122131</v>
          </cell>
          <cell r="C269">
            <v>1.5138175593054537</v>
          </cell>
          <cell r="D269">
            <v>1.5983304689418119</v>
          </cell>
          <cell r="E269">
            <v>1.6957484222167605</v>
          </cell>
          <cell r="F269">
            <v>1.6687298836345632</v>
          </cell>
          <cell r="G269">
            <v>1.8715778994524639</v>
          </cell>
          <cell r="H269">
            <v>1.8684342171085542</v>
          </cell>
          <cell r="I269">
            <v>1.8814168377823408</v>
          </cell>
          <cell r="J269">
            <v>1.8861578266494179</v>
          </cell>
          <cell r="K269">
            <v>1.9586563307493541</v>
          </cell>
          <cell r="N269">
            <v>2.5705265772478887</v>
          </cell>
          <cell r="O269">
            <v>2.9743716116313452</v>
          </cell>
          <cell r="P269">
            <v>3.0761343245321711</v>
          </cell>
          <cell r="Q269">
            <v>3.1985619024664578</v>
          </cell>
          <cell r="R269">
            <v>3.8045933080851948</v>
          </cell>
          <cell r="S269">
            <v>4.4164723550567127</v>
          </cell>
          <cell r="T269">
            <v>5.5063913470993118</v>
          </cell>
          <cell r="U269">
            <v>6.1326244349434642</v>
          </cell>
          <cell r="V269">
            <v>7.2886882367695014</v>
          </cell>
          <cell r="W269">
            <v>7.4126940073893461</v>
          </cell>
          <cell r="X269">
            <v>7.8082809419317289</v>
          </cell>
          <cell r="Y269">
            <v>8.2681985042076427</v>
          </cell>
          <cell r="Z269">
            <v>8.6609331595894599</v>
          </cell>
        </row>
        <row r="270">
          <cell r="A270" t="str">
            <v>Dividends Per Share</v>
          </cell>
          <cell r="B270">
            <v>0.227161700048852</v>
          </cell>
          <cell r="C270">
            <v>0.28613352898019079</v>
          </cell>
          <cell r="D270">
            <v>0.28971274245028233</v>
          </cell>
          <cell r="E270">
            <v>0.28753993610223644</v>
          </cell>
          <cell r="F270">
            <v>0.28967566229264669</v>
          </cell>
          <cell r="G270">
            <v>0.34843205574912889</v>
          </cell>
          <cell r="H270">
            <v>0.35017508754377186</v>
          </cell>
          <cell r="I270">
            <v>0.34907597535934287</v>
          </cell>
          <cell r="J270">
            <v>0.35187580853816303</v>
          </cell>
          <cell r="K270">
            <v>0.37984496124031009</v>
          </cell>
          <cell r="N270">
            <v>0.50173869846000996</v>
          </cell>
          <cell r="O270">
            <v>0.5396747166091671</v>
          </cell>
          <cell r="P270">
            <v>0.58170488829294265</v>
          </cell>
          <cell r="Q270">
            <v>0.62515063870812249</v>
          </cell>
          <cell r="R270">
            <v>0.68993929526920039</v>
          </cell>
          <cell r="S270">
            <v>0.77559973125716319</v>
          </cell>
          <cell r="T270">
            <v>0.88249754178957718</v>
          </cell>
          <cell r="U270">
            <v>1.1599999999999999</v>
          </cell>
          <cell r="V270">
            <v>1.4</v>
          </cell>
          <cell r="W270">
            <v>1.54</v>
          </cell>
          <cell r="X270">
            <v>1.6940000000000002</v>
          </cell>
          <cell r="Y270">
            <v>1.8634000000000004</v>
          </cell>
          <cell r="Z270">
            <v>2.0497400000000008</v>
          </cell>
        </row>
        <row r="271">
          <cell r="A271" t="str">
            <v>Return on Average Equity</v>
          </cell>
          <cell r="B271">
            <v>0.1723076923076923</v>
          </cell>
          <cell r="C271">
            <v>0.19318395782338543</v>
          </cell>
          <cell r="D271">
            <v>0.2001833180568286</v>
          </cell>
          <cell r="E271">
            <v>0.19680490584636295</v>
          </cell>
          <cell r="F271">
            <v>0.19427698055531969</v>
          </cell>
          <cell r="G271">
            <v>0.21043992120814184</v>
          </cell>
          <cell r="H271">
            <v>0.20899950552167462</v>
          </cell>
          <cell r="I271">
            <v>0.24350940017905104</v>
          </cell>
          <cell r="J271">
            <v>0.22977314769740045</v>
          </cell>
          <cell r="K271">
            <v>0.22470684483228798</v>
          </cell>
          <cell r="N271">
            <v>0.23141009869832643</v>
          </cell>
          <cell r="O271">
            <v>0.22592237661715378</v>
          </cell>
          <cell r="P271">
            <v>0.21383777115246222</v>
          </cell>
          <cell r="Q271">
            <v>0.18057553956834532</v>
          </cell>
          <cell r="R271">
            <v>0.18718535469107553</v>
          </cell>
          <cell r="S271">
            <v>0.19055693230729098</v>
          </cell>
          <cell r="T271">
            <v>0.20654351212997996</v>
          </cell>
          <cell r="U271">
            <v>0.19263718453345682</v>
          </cell>
          <cell r="V271">
            <v>0.22537922185051099</v>
          </cell>
          <cell r="W271">
            <v>0.22332157245457723</v>
          </cell>
          <cell r="X271">
            <v>0.20520089620180493</v>
          </cell>
          <cell r="Y271">
            <v>0.18873115842853391</v>
          </cell>
          <cell r="Z271">
            <v>0.17206176412872584</v>
          </cell>
        </row>
        <row r="272">
          <cell r="A272" t="str">
            <v>ROA</v>
          </cell>
          <cell r="B272">
            <v>0.11983107513637163</v>
          </cell>
          <cell r="C272">
            <v>0.12987567821591831</v>
          </cell>
          <cell r="D272">
            <v>0.13415400075367417</v>
          </cell>
          <cell r="E272">
            <v>0.13539035479734193</v>
          </cell>
          <cell r="F272">
            <v>0.13397129186602871</v>
          </cell>
          <cell r="G272">
            <v>0.14120893863314041</v>
          </cell>
          <cell r="H272">
            <v>0.14328495738309147</v>
          </cell>
          <cell r="I272">
            <v>0.13223839565784373</v>
          </cell>
          <cell r="J272">
            <v>0.12801018423565189</v>
          </cell>
          <cell r="K272">
            <v>0.13098620833044564</v>
          </cell>
          <cell r="N272">
            <v>0.16589457869037186</v>
          </cell>
          <cell r="O272">
            <v>0.15596137699412257</v>
          </cell>
          <cell r="P272">
            <v>0.13745614035087719</v>
          </cell>
          <cell r="Q272">
            <v>0.10331733180482912</v>
          </cell>
          <cell r="R272">
            <v>0.11450766448246212</v>
          </cell>
          <cell r="S272">
            <v>0.11701213618300935</v>
          </cell>
          <cell r="T272">
            <v>0.12477421808156669</v>
          </cell>
          <cell r="U272">
            <v>0.12941445467584028</v>
          </cell>
          <cell r="V272">
            <v>0.13503123498318118</v>
          </cell>
          <cell r="W272">
            <v>0.12016429534774103</v>
          </cell>
          <cell r="X272">
            <v>0.11289217786978724</v>
          </cell>
          <cell r="Y272">
            <v>0.10963731915154371</v>
          </cell>
          <cell r="Z272">
            <v>0.10981845676325555</v>
          </cell>
        </row>
        <row r="273">
          <cell r="A273" t="str">
            <v>Asset Turnover</v>
          </cell>
          <cell r="B273">
            <v>1.1085694175611474</v>
          </cell>
          <cell r="C273">
            <v>1.1263297304225233</v>
          </cell>
          <cell r="D273">
            <v>1.144579826654943</v>
          </cell>
          <cell r="E273">
            <v>1.1681498465006024</v>
          </cell>
          <cell r="F273">
            <v>1.0899754930563659</v>
          </cell>
          <cell r="G273">
            <v>1.119705623059527</v>
          </cell>
          <cell r="H273">
            <v>1.0965215388159411</v>
          </cell>
          <cell r="I273">
            <v>1.1069678920100094</v>
          </cell>
          <cell r="J273">
            <v>1.1689239364899748</v>
          </cell>
          <cell r="K273">
            <v>1.1227389285466769</v>
          </cell>
          <cell r="N273">
            <v>1.2902216101164392</v>
          </cell>
          <cell r="O273">
            <v>1.2651133501259446</v>
          </cell>
          <cell r="P273">
            <v>1.2</v>
          </cell>
          <cell r="Q273">
            <v>1.1698789138066921</v>
          </cell>
          <cell r="R273">
            <v>1.1188661902926438</v>
          </cell>
          <cell r="S273">
            <v>1.1263559231017077</v>
          </cell>
          <cell r="T273">
            <v>1.1437874322654245</v>
          </cell>
          <cell r="U273">
            <v>1.1324284437423351</v>
          </cell>
          <cell r="V273">
            <v>1.083059180127897</v>
          </cell>
          <cell r="W273">
            <v>1.0893479400566479</v>
          </cell>
          <cell r="X273">
            <v>1.0193773497897507</v>
          </cell>
          <cell r="Y273">
            <v>0.99239485503595226</v>
          </cell>
          <cell r="Z273">
            <v>0.97573335091379576</v>
          </cell>
        </row>
        <row r="274">
          <cell r="A274" t="str">
            <v>Asset Leverage</v>
          </cell>
          <cell r="B274">
            <v>2.2562779156327544</v>
          </cell>
          <cell r="C274">
            <v>2.2036339672378085</v>
          </cell>
          <cell r="D274">
            <v>2.1890925756186985</v>
          </cell>
          <cell r="E274">
            <v>2.1866927260367097</v>
          </cell>
          <cell r="F274">
            <v>2.1828139594124139</v>
          </cell>
          <cell r="G274">
            <v>2.1412508207485228</v>
          </cell>
          <cell r="H274">
            <v>2.14653041041701</v>
          </cell>
          <cell r="I274">
            <v>2.8223415895752511</v>
          </cell>
          <cell r="J274">
            <v>2.7532859507350795</v>
          </cell>
          <cell r="K274">
            <v>2.6232160712662487</v>
          </cell>
          <cell r="N274">
            <v>2.0908376963350785</v>
          </cell>
          <cell r="O274">
            <v>2.4445671378091873</v>
          </cell>
          <cell r="P274">
            <v>2.2563954606655128</v>
          </cell>
          <cell r="Q274">
            <v>2.7331531835838541</v>
          </cell>
          <cell r="R274">
            <v>2.4403950479899845</v>
          </cell>
          <cell r="S274">
            <v>2.4186617556783303</v>
          </cell>
          <cell r="T274">
            <v>2.276991960923985</v>
          </cell>
          <cell r="U274">
            <v>2.1866927260367097</v>
          </cell>
          <cell r="V274">
            <v>2.8223415895752511</v>
          </cell>
          <cell r="W274">
            <v>2.8332188466414219</v>
          </cell>
          <cell r="X274">
            <v>2.6834126267744729</v>
          </cell>
          <cell r="Y274">
            <v>2.5111323946715207</v>
          </cell>
          <cell r="Z274">
            <v>2.3673651604317314</v>
          </cell>
        </row>
        <row r="275">
          <cell r="A275" t="str">
            <v>CF per share</v>
          </cell>
          <cell r="B275">
            <v>1.2530532486565706</v>
          </cell>
          <cell r="C275">
            <v>0.99290780141843982</v>
          </cell>
          <cell r="D275">
            <v>2.3054259759391114</v>
          </cell>
          <cell r="E275">
            <v>2.6222659941017445</v>
          </cell>
          <cell r="F275">
            <v>1.0646199554345135</v>
          </cell>
          <cell r="G275">
            <v>2.5410652065704329</v>
          </cell>
          <cell r="H275">
            <v>2.1585792896448224</v>
          </cell>
          <cell r="I275">
            <v>2.0431211498973303</v>
          </cell>
          <cell r="J275">
            <v>0.38292367399741267</v>
          </cell>
          <cell r="K275">
            <v>1.5658914728682169</v>
          </cell>
          <cell r="N275">
            <v>1.4378887232985593</v>
          </cell>
          <cell r="O275">
            <v>1.2962050271069492</v>
          </cell>
          <cell r="P275">
            <v>1.5380671622660855</v>
          </cell>
          <cell r="Q275">
            <v>3.1433277094882301</v>
          </cell>
          <cell r="R275">
            <v>3.1568445452605141</v>
          </cell>
          <cell r="S275">
            <v>3.6556930008299409</v>
          </cell>
          <cell r="T275">
            <v>3.5275319567354964</v>
          </cell>
          <cell r="U275">
            <v>4.9149199426674341</v>
          </cell>
          <cell r="V275">
            <v>5.2345121645347383</v>
          </cell>
          <cell r="W275">
            <v>7.2286732839686474</v>
          </cell>
          <cell r="X275">
            <v>5.8506495899247568</v>
          </cell>
          <cell r="Y275">
            <v>5.1784876037622896</v>
          </cell>
          <cell r="Z275">
            <v>5.1596937720149469</v>
          </cell>
        </row>
        <row r="277">
          <cell r="A277" t="str">
            <v>Capital Deployment</v>
          </cell>
        </row>
        <row r="278">
          <cell r="A278" t="str">
            <v xml:space="preserve">Cash Repo </v>
          </cell>
        </row>
        <row r="279">
          <cell r="A279" t="str">
            <v>Number shares (MM)</v>
          </cell>
          <cell r="B279">
            <v>2</v>
          </cell>
          <cell r="C279">
            <v>0</v>
          </cell>
          <cell r="D279">
            <v>4</v>
          </cell>
          <cell r="E279">
            <v>0.5</v>
          </cell>
          <cell r="F279">
            <v>6.3</v>
          </cell>
          <cell r="G279">
            <v>2.06</v>
          </cell>
          <cell r="H279">
            <v>6.0400000000000009</v>
          </cell>
          <cell r="I279">
            <v>5.6</v>
          </cell>
          <cell r="J279">
            <v>0</v>
          </cell>
          <cell r="K279">
            <v>0</v>
          </cell>
          <cell r="N279">
            <v>8.1083999999999996</v>
          </cell>
          <cell r="O279">
            <v>2.9325999999999999</v>
          </cell>
          <cell r="P279">
            <v>2.5815999999999999</v>
          </cell>
          <cell r="Q279">
            <v>9.4</v>
          </cell>
          <cell r="R279">
            <v>0</v>
          </cell>
          <cell r="S279">
            <v>6.68</v>
          </cell>
          <cell r="T279">
            <v>1000</v>
          </cell>
          <cell r="U279">
            <v>6.5</v>
          </cell>
          <cell r="V279">
            <v>20</v>
          </cell>
          <cell r="AA279" t="str">
            <v>- 2/03 board auth. 6MM sh, 4/00 board authorized 10MM shs repo</v>
          </cell>
        </row>
        <row r="280">
          <cell r="A280" t="str">
            <v>Avg purchase price</v>
          </cell>
          <cell r="B280">
            <v>76.010000000000005</v>
          </cell>
          <cell r="C280">
            <v>0</v>
          </cell>
          <cell r="D280">
            <v>77.495000000000005</v>
          </cell>
          <cell r="E280">
            <v>87.79</v>
          </cell>
          <cell r="F280">
            <v>83</v>
          </cell>
          <cell r="G280">
            <v>85.33</v>
          </cell>
          <cell r="H280">
            <v>81.84</v>
          </cell>
          <cell r="I280">
            <v>60.179749999999991</v>
          </cell>
          <cell r="J280">
            <v>0</v>
          </cell>
          <cell r="K280">
            <v>0</v>
          </cell>
          <cell r="N280">
            <v>25.652409846578859</v>
          </cell>
          <cell r="O280">
            <v>38.532360362817975</v>
          </cell>
          <cell r="P280">
            <v>38.735667802912921</v>
          </cell>
          <cell r="Q280">
            <v>31.914893617021274</v>
          </cell>
          <cell r="R280" t="str">
            <v>N/A</v>
          </cell>
          <cell r="S280">
            <v>53.592814371257489</v>
          </cell>
          <cell r="T280">
            <v>7.4813419999999992E-2</v>
          </cell>
          <cell r="U280">
            <v>78</v>
          </cell>
          <cell r="V280">
            <v>76.5</v>
          </cell>
        </row>
        <row r="281">
          <cell r="A281" t="str">
            <v>Subtotal Share Repo</v>
          </cell>
          <cell r="B281">
            <v>152.02000000000001</v>
          </cell>
          <cell r="C281">
            <v>0</v>
          </cell>
          <cell r="D281">
            <v>309.98</v>
          </cell>
          <cell r="E281">
            <v>43.895000000000003</v>
          </cell>
          <cell r="F281">
            <v>522.9</v>
          </cell>
          <cell r="G281">
            <v>175.77979999999999</v>
          </cell>
          <cell r="H281">
            <v>494.31360000000012</v>
          </cell>
          <cell r="I281">
            <v>337.00659999999993</v>
          </cell>
          <cell r="J281">
            <v>0</v>
          </cell>
          <cell r="K281">
            <v>0</v>
          </cell>
          <cell r="N281">
            <v>208</v>
          </cell>
          <cell r="O281">
            <v>113</v>
          </cell>
          <cell r="P281">
            <v>100</v>
          </cell>
          <cell r="Q281">
            <v>300</v>
          </cell>
          <cell r="R281">
            <v>0</v>
          </cell>
          <cell r="S281">
            <v>358</v>
          </cell>
          <cell r="T281">
            <v>74.813419999999994</v>
          </cell>
          <cell r="U281">
            <v>507</v>
          </cell>
          <cell r="V281">
            <v>1530</v>
          </cell>
        </row>
        <row r="282">
          <cell r="A282" t="str">
            <v>Net Acquisition spending</v>
          </cell>
          <cell r="B282">
            <v>298</v>
          </cell>
          <cell r="C282">
            <v>1</v>
          </cell>
          <cell r="D282">
            <v>0</v>
          </cell>
          <cell r="E282">
            <v>31</v>
          </cell>
          <cell r="F282">
            <v>65</v>
          </cell>
          <cell r="G282">
            <v>1</v>
          </cell>
          <cell r="H282">
            <v>237</v>
          </cell>
          <cell r="I282">
            <v>2921</v>
          </cell>
          <cell r="J282">
            <v>168</v>
          </cell>
          <cell r="K282">
            <v>-3</v>
          </cell>
          <cell r="N282">
            <v>71</v>
          </cell>
          <cell r="O282">
            <v>1451</v>
          </cell>
          <cell r="P282">
            <v>275</v>
          </cell>
          <cell r="Q282">
            <v>3044</v>
          </cell>
          <cell r="R282">
            <v>543</v>
          </cell>
          <cell r="S282">
            <v>277</v>
          </cell>
          <cell r="T282">
            <v>2342</v>
          </cell>
          <cell r="U282">
            <v>330</v>
          </cell>
          <cell r="V282">
            <v>3224</v>
          </cell>
        </row>
        <row r="283">
          <cell r="A283" t="str">
            <v>Dividends</v>
          </cell>
          <cell r="B283">
            <v>93</v>
          </cell>
          <cell r="C283">
            <v>117</v>
          </cell>
          <cell r="D283">
            <v>118</v>
          </cell>
          <cell r="E283">
            <v>117</v>
          </cell>
          <cell r="F283">
            <v>117</v>
          </cell>
          <cell r="G283">
            <v>140</v>
          </cell>
          <cell r="H283">
            <v>140</v>
          </cell>
          <cell r="I283">
            <v>136</v>
          </cell>
          <cell r="J283">
            <v>136</v>
          </cell>
          <cell r="K283">
            <v>147</v>
          </cell>
          <cell r="N283">
            <v>202</v>
          </cell>
          <cell r="O283">
            <v>219</v>
          </cell>
          <cell r="P283">
            <v>236</v>
          </cell>
          <cell r="Q283">
            <v>249</v>
          </cell>
          <cell r="R283">
            <v>278</v>
          </cell>
          <cell r="S283">
            <v>314</v>
          </cell>
          <cell r="T283">
            <v>359</v>
          </cell>
          <cell r="U283">
            <v>445</v>
          </cell>
          <cell r="V283">
            <v>533</v>
          </cell>
        </row>
        <row r="284">
          <cell r="A284" t="str">
            <v>Capex</v>
          </cell>
          <cell r="B284">
            <v>53</v>
          </cell>
          <cell r="C284">
            <v>113</v>
          </cell>
          <cell r="D284">
            <v>128</v>
          </cell>
          <cell r="E284">
            <v>180</v>
          </cell>
          <cell r="F284">
            <v>85</v>
          </cell>
          <cell r="G284">
            <v>115</v>
          </cell>
          <cell r="H284">
            <v>114</v>
          </cell>
          <cell r="I284">
            <v>176</v>
          </cell>
          <cell r="J284">
            <v>81</v>
          </cell>
          <cell r="K284">
            <v>89</v>
          </cell>
          <cell r="N284">
            <v>288</v>
          </cell>
          <cell r="O284">
            <v>356</v>
          </cell>
          <cell r="P284">
            <v>262</v>
          </cell>
          <cell r="Q284">
            <v>220</v>
          </cell>
          <cell r="R284">
            <v>253</v>
          </cell>
          <cell r="S284">
            <v>262</v>
          </cell>
          <cell r="T284">
            <v>334</v>
          </cell>
          <cell r="U284">
            <v>474</v>
          </cell>
          <cell r="V284">
            <v>490</v>
          </cell>
        </row>
        <row r="285">
          <cell r="A285" t="str">
            <v>Total Cap Deployed  ($MM)</v>
          </cell>
          <cell r="B285">
            <v>596.02</v>
          </cell>
          <cell r="C285">
            <v>231</v>
          </cell>
          <cell r="D285">
            <v>555.98</v>
          </cell>
          <cell r="E285">
            <v>371.89499999999998</v>
          </cell>
          <cell r="F285">
            <v>789.9</v>
          </cell>
          <cell r="G285">
            <v>431.77980000000002</v>
          </cell>
          <cell r="H285">
            <v>985.31360000000018</v>
          </cell>
          <cell r="I285">
            <v>3570.0065999999997</v>
          </cell>
          <cell r="J285">
            <v>385</v>
          </cell>
          <cell r="K285">
            <v>233</v>
          </cell>
          <cell r="N285">
            <v>769</v>
          </cell>
          <cell r="O285">
            <v>2139</v>
          </cell>
          <cell r="P285">
            <v>873</v>
          </cell>
          <cell r="Q285">
            <v>3813</v>
          </cell>
          <cell r="R285">
            <v>1074</v>
          </cell>
          <cell r="S285">
            <v>1211</v>
          </cell>
          <cell r="T285">
            <v>3109.81342</v>
          </cell>
          <cell r="U285">
            <v>1756</v>
          </cell>
          <cell r="V285">
            <v>5777</v>
          </cell>
        </row>
        <row r="286">
          <cell r="A286" t="str">
            <v>Share repo authorization remaining</v>
          </cell>
          <cell r="B286">
            <v>8</v>
          </cell>
          <cell r="C286">
            <v>7.7</v>
          </cell>
          <cell r="D286">
            <v>3.6</v>
          </cell>
          <cell r="E286">
            <v>9.5551999999999992</v>
          </cell>
          <cell r="F286">
            <v>3.3</v>
          </cell>
          <cell r="G286">
            <v>1.2</v>
          </cell>
          <cell r="H286">
            <v>8</v>
          </cell>
          <cell r="I286">
            <v>4.9000000000000004</v>
          </cell>
          <cell r="J286">
            <v>0</v>
          </cell>
          <cell r="K286">
            <v>0</v>
          </cell>
          <cell r="N286">
            <v>1.8916000000000004</v>
          </cell>
          <cell r="O286">
            <v>-1.0409999999999995</v>
          </cell>
          <cell r="P286">
            <v>-3.6225999999999994</v>
          </cell>
          <cell r="Q286">
            <v>9.0136000000000003</v>
          </cell>
          <cell r="R286">
            <v>9.0136000000000003</v>
          </cell>
          <cell r="S286">
            <v>2.3336000000000006</v>
          </cell>
          <cell r="T286">
            <v>10</v>
          </cell>
          <cell r="U286">
            <v>9.5551999999999992</v>
          </cell>
          <cell r="V286">
            <v>4.9000000000000004</v>
          </cell>
        </row>
        <row r="288">
          <cell r="A288" t="str">
            <v>Cash Returned to Shareholders</v>
          </cell>
          <cell r="B288">
            <v>245.02</v>
          </cell>
          <cell r="C288">
            <v>117</v>
          </cell>
          <cell r="D288">
            <v>427.98</v>
          </cell>
          <cell r="E288">
            <v>160.89500000000001</v>
          </cell>
          <cell r="F288">
            <v>639.9</v>
          </cell>
          <cell r="G288">
            <v>315.77980000000002</v>
          </cell>
          <cell r="H288">
            <v>634.31360000000018</v>
          </cell>
          <cell r="I288">
            <v>473.00659999999993</v>
          </cell>
          <cell r="J288">
            <v>136</v>
          </cell>
          <cell r="K288">
            <v>147</v>
          </cell>
          <cell r="N288">
            <v>410</v>
          </cell>
          <cell r="O288">
            <v>332</v>
          </cell>
          <cell r="P288">
            <v>336</v>
          </cell>
          <cell r="Q288">
            <v>549</v>
          </cell>
          <cell r="R288">
            <v>278</v>
          </cell>
          <cell r="S288">
            <v>672</v>
          </cell>
          <cell r="T288">
            <v>433.81342000000001</v>
          </cell>
          <cell r="U288">
            <v>952</v>
          </cell>
          <cell r="V288">
            <v>2063</v>
          </cell>
        </row>
        <row r="289">
          <cell r="A289" t="str">
            <v>% FCF</v>
          </cell>
          <cell r="B289">
            <v>0.52243070362473354</v>
          </cell>
          <cell r="C289">
            <v>0.40068493150684931</v>
          </cell>
          <cell r="D289">
            <v>0.51813559322033897</v>
          </cell>
          <cell r="E289">
            <v>0.18057799555659507</v>
          </cell>
          <cell r="F289">
            <v>1.8494219653179189</v>
          </cell>
          <cell r="G289">
            <v>0.34701076923076923</v>
          </cell>
          <cell r="H289">
            <v>0.8468806408544729</v>
          </cell>
          <cell r="I289">
            <v>0.75199777424483294</v>
          </cell>
          <cell r="J289">
            <v>1.8630136986301369</v>
          </cell>
          <cell r="K289">
            <v>0.28269230769230769</v>
          </cell>
          <cell r="N289">
            <v>0.52491489337186115</v>
          </cell>
          <cell r="O289">
            <v>0.4468371467025572</v>
          </cell>
          <cell r="P289">
            <v>0.3902439024390244</v>
          </cell>
          <cell r="Q289">
            <v>0.37220338983050849</v>
          </cell>
          <cell r="R289">
            <v>0.18447246184472463</v>
          </cell>
          <cell r="S289">
            <v>0.37944664031620551</v>
          </cell>
          <cell r="T289">
            <v>0.23809737650933041</v>
          </cell>
          <cell r="U289">
            <v>0.38418079096045199</v>
          </cell>
          <cell r="V289">
            <v>0.7832194381169324</v>
          </cell>
        </row>
        <row r="291">
          <cell r="A291" t="str">
            <v xml:space="preserve">Taxes </v>
          </cell>
        </row>
        <row r="292">
          <cell r="A292" t="str">
            <v>Current - total</v>
          </cell>
          <cell r="N292">
            <v>321</v>
          </cell>
          <cell r="O292">
            <v>396</v>
          </cell>
          <cell r="P292">
            <v>352</v>
          </cell>
          <cell r="Q292">
            <v>299</v>
          </cell>
          <cell r="R292">
            <v>297</v>
          </cell>
          <cell r="S292">
            <v>546</v>
          </cell>
          <cell r="T292">
            <v>772</v>
          </cell>
          <cell r="U292">
            <v>863</v>
          </cell>
          <cell r="V292">
            <v>965</v>
          </cell>
        </row>
        <row r="293">
          <cell r="A293" t="str">
            <v>Deferred -total</v>
          </cell>
          <cell r="N293">
            <v>128</v>
          </cell>
          <cell r="O293">
            <v>114</v>
          </cell>
          <cell r="P293">
            <v>177</v>
          </cell>
          <cell r="Q293">
            <v>137</v>
          </cell>
          <cell r="R293">
            <v>279</v>
          </cell>
          <cell r="S293">
            <v>141</v>
          </cell>
          <cell r="T293">
            <v>45</v>
          </cell>
          <cell r="U293">
            <v>122</v>
          </cell>
          <cell r="V293">
            <v>196</v>
          </cell>
        </row>
        <row r="294">
          <cell r="A294" t="str">
            <v>Adjusts</v>
          </cell>
          <cell r="N294">
            <v>-90</v>
          </cell>
          <cell r="O294">
            <v>-28</v>
          </cell>
          <cell r="P294">
            <v>0</v>
          </cell>
          <cell r="Q294">
            <v>-68</v>
          </cell>
          <cell r="R294">
            <v>4</v>
          </cell>
          <cell r="S294">
            <v>-66</v>
          </cell>
          <cell r="T294">
            <v>0</v>
          </cell>
          <cell r="U294">
            <v>-18</v>
          </cell>
          <cell r="V294">
            <v>-35</v>
          </cell>
        </row>
        <row r="295">
          <cell r="A295" t="str">
            <v>Total</v>
          </cell>
          <cell r="N295">
            <v>359</v>
          </cell>
          <cell r="O295">
            <v>482</v>
          </cell>
          <cell r="P295">
            <v>529</v>
          </cell>
          <cell r="Q295">
            <v>368</v>
          </cell>
          <cell r="R295">
            <v>580</v>
          </cell>
          <cell r="S295">
            <v>621</v>
          </cell>
          <cell r="T295">
            <v>817</v>
          </cell>
          <cell r="U295">
            <v>967</v>
          </cell>
          <cell r="V295">
            <v>1126</v>
          </cell>
        </row>
        <row r="296">
          <cell r="A296" t="str">
            <v>Deferred/Total</v>
          </cell>
          <cell r="N296">
            <v>0.35654596100278552</v>
          </cell>
          <cell r="O296">
            <v>0.23651452282157676</v>
          </cell>
          <cell r="P296">
            <v>0.33459357277882795</v>
          </cell>
          <cell r="Q296">
            <v>0.37228260869565216</v>
          </cell>
          <cell r="R296">
            <v>0.48103448275862071</v>
          </cell>
          <cell r="S296">
            <v>0.22705314009661837</v>
          </cell>
          <cell r="T296">
            <v>5.5079559363525092E-2</v>
          </cell>
          <cell r="U296">
            <v>0.12616339193381593</v>
          </cell>
          <cell r="V296">
            <v>0.17406749555950266</v>
          </cell>
        </row>
        <row r="297">
          <cell r="A297" t="str">
            <v>Income Taxes Paid</v>
          </cell>
          <cell r="N297">
            <v>280</v>
          </cell>
          <cell r="O297">
            <v>326</v>
          </cell>
          <cell r="P297">
            <v>377</v>
          </cell>
          <cell r="Q297">
            <v>268</v>
          </cell>
          <cell r="R297">
            <v>304</v>
          </cell>
          <cell r="S297">
            <v>522</v>
          </cell>
          <cell r="T297">
            <v>743</v>
          </cell>
          <cell r="U297">
            <v>759</v>
          </cell>
          <cell r="V297">
            <v>841</v>
          </cell>
        </row>
        <row r="298">
          <cell r="A298" t="str">
            <v>Taxes Paid/Total</v>
          </cell>
          <cell r="N298">
            <v>0.77994428969359331</v>
          </cell>
          <cell r="O298">
            <v>0.67634854771784236</v>
          </cell>
          <cell r="P298">
            <v>0.7126654064272212</v>
          </cell>
          <cell r="Q298">
            <v>0.72826086956521741</v>
          </cell>
          <cell r="R298">
            <v>0.52413793103448281</v>
          </cell>
          <cell r="S298">
            <v>0.84057971014492749</v>
          </cell>
          <cell r="T298">
            <v>0.90942472460220314</v>
          </cell>
          <cell r="U298">
            <v>0.78490175801447781</v>
          </cell>
          <cell r="V298">
            <v>0.74689165186500883</v>
          </cell>
        </row>
        <row r="301">
          <cell r="A301" t="str">
            <v>General Dynamics</v>
          </cell>
        </row>
        <row r="302">
          <cell r="A302" t="str">
            <v>Balance Sheet</v>
          </cell>
        </row>
        <row r="303">
          <cell r="A303" t="str">
            <v>($USD in Millions, Except EPS)</v>
          </cell>
          <cell r="B303">
            <v>2007</v>
          </cell>
          <cell r="F303" t="str">
            <v>2008A</v>
          </cell>
          <cell r="J303" t="str">
            <v>2009E</v>
          </cell>
          <cell r="P303" t="str">
            <v>Revised</v>
          </cell>
          <cell r="Q303" t="str">
            <v>Revised</v>
          </cell>
          <cell r="R303" t="str">
            <v>Revised</v>
          </cell>
        </row>
        <row r="304">
          <cell r="B304" t="str">
            <v>Q1</v>
          </cell>
          <cell r="C304" t="str">
            <v>Q2</v>
          </cell>
          <cell r="D304" t="str">
            <v>Q3</v>
          </cell>
          <cell r="E304" t="str">
            <v>Q4</v>
          </cell>
          <cell r="F304" t="str">
            <v>Q1</v>
          </cell>
          <cell r="G304" t="str">
            <v>Q2</v>
          </cell>
          <cell r="H304" t="str">
            <v>Q3</v>
          </cell>
          <cell r="I304" t="str">
            <v>Q4</v>
          </cell>
          <cell r="J304" t="str">
            <v>Q1</v>
          </cell>
          <cell r="K304" t="str">
            <v>Q2A</v>
          </cell>
          <cell r="L304" t="str">
            <v>Q3E</v>
          </cell>
          <cell r="M304" t="str">
            <v>Q4E</v>
          </cell>
          <cell r="N304">
            <v>2000</v>
          </cell>
          <cell r="O304">
            <v>2001</v>
          </cell>
          <cell r="P304">
            <v>2002</v>
          </cell>
          <cell r="Q304">
            <v>2003</v>
          </cell>
          <cell r="R304">
            <v>2004</v>
          </cell>
          <cell r="S304">
            <v>2005</v>
          </cell>
          <cell r="T304">
            <v>2006</v>
          </cell>
          <cell r="U304">
            <v>2007</v>
          </cell>
          <cell r="V304" t="str">
            <v>2008A</v>
          </cell>
          <cell r="W304" t="str">
            <v>2009E</v>
          </cell>
          <cell r="X304" t="str">
            <v>2010E</v>
          </cell>
          <cell r="Y304" t="str">
            <v>2011E</v>
          </cell>
          <cell r="Z304" t="str">
            <v>2012E</v>
          </cell>
        </row>
        <row r="305">
          <cell r="A305" t="str">
            <v>Assets</v>
          </cell>
        </row>
        <row r="306">
          <cell r="A306" t="str">
            <v>Cash and equivalents</v>
          </cell>
          <cell r="B306">
            <v>1492</v>
          </cell>
          <cell r="C306">
            <v>1794</v>
          </cell>
          <cell r="D306">
            <v>2033</v>
          </cell>
          <cell r="E306">
            <v>2891</v>
          </cell>
          <cell r="F306">
            <v>2605</v>
          </cell>
          <cell r="G306">
            <v>2740</v>
          </cell>
          <cell r="H306">
            <v>2617</v>
          </cell>
          <cell r="I306">
            <v>1621</v>
          </cell>
          <cell r="J306">
            <v>1126</v>
          </cell>
          <cell r="K306">
            <v>1614</v>
          </cell>
          <cell r="N306">
            <v>177</v>
          </cell>
          <cell r="O306">
            <v>439</v>
          </cell>
          <cell r="P306">
            <v>328</v>
          </cell>
          <cell r="Q306">
            <v>861</v>
          </cell>
          <cell r="R306">
            <v>976</v>
          </cell>
          <cell r="S306">
            <v>2331</v>
          </cell>
          <cell r="T306">
            <v>1604</v>
          </cell>
          <cell r="U306">
            <v>2891</v>
          </cell>
          <cell r="V306">
            <v>1621</v>
          </cell>
          <cell r="W306">
            <v>3613.2032682729555</v>
          </cell>
          <cell r="X306">
            <v>5451.0628915562675</v>
          </cell>
          <cell r="Y306">
            <v>7469.7704194132839</v>
          </cell>
          <cell r="Z306">
            <v>9758.1478190695889</v>
          </cell>
          <cell r="BQ306" t="str">
            <v>mstag:cashAndCashEquivalents</v>
          </cell>
          <cell r="BR306">
            <v>6</v>
          </cell>
          <cell r="BS306" t="str">
            <v>ISO4217:USD</v>
          </cell>
          <cell r="BT306" t="b">
            <v>0</v>
          </cell>
          <cell r="BU306" t="b">
            <v>0</v>
          </cell>
        </row>
        <row r="307">
          <cell r="A307" t="str">
            <v>Marketable securities</v>
          </cell>
          <cell r="B307">
            <v>0</v>
          </cell>
          <cell r="C307">
            <v>0</v>
          </cell>
          <cell r="D307">
            <v>0</v>
          </cell>
          <cell r="E307">
            <v>0</v>
          </cell>
          <cell r="F307">
            <v>0</v>
          </cell>
          <cell r="G307">
            <v>0</v>
          </cell>
          <cell r="H307">
            <v>0</v>
          </cell>
          <cell r="I307">
            <v>0</v>
          </cell>
          <cell r="J307">
            <v>0</v>
          </cell>
          <cell r="K307">
            <v>0</v>
          </cell>
          <cell r="N307">
            <v>0</v>
          </cell>
          <cell r="O307">
            <v>0</v>
          </cell>
          <cell r="P307">
            <v>0</v>
          </cell>
          <cell r="Q307">
            <v>0</v>
          </cell>
          <cell r="R307">
            <v>0</v>
          </cell>
          <cell r="S307">
            <v>0</v>
          </cell>
          <cell r="T307">
            <v>0</v>
          </cell>
          <cell r="U307">
            <v>0</v>
          </cell>
          <cell r="V307">
            <v>0</v>
          </cell>
          <cell r="W307">
            <v>0</v>
          </cell>
          <cell r="X307">
            <v>0</v>
          </cell>
          <cell r="Y307">
            <v>0</v>
          </cell>
          <cell r="Z307">
            <v>0</v>
          </cell>
          <cell r="BQ307" t="str">
            <v>mstag:investmentsUnderTheEquityMethodNonOperating</v>
          </cell>
          <cell r="BR307">
            <v>6</v>
          </cell>
          <cell r="BS307" t="str">
            <v>ISO4217:USD</v>
          </cell>
          <cell r="BT307" t="b">
            <v>0</v>
          </cell>
          <cell r="BU307" t="b">
            <v>0</v>
          </cell>
        </row>
        <row r="308">
          <cell r="A308" t="str">
            <v>Accounts receivables</v>
          </cell>
          <cell r="B308">
            <v>2304</v>
          </cell>
          <cell r="C308">
            <v>2539</v>
          </cell>
          <cell r="D308">
            <v>2432</v>
          </cell>
          <cell r="E308">
            <v>2874</v>
          </cell>
          <cell r="F308">
            <v>2976</v>
          </cell>
          <cell r="G308">
            <v>2962</v>
          </cell>
          <cell r="H308">
            <v>3103</v>
          </cell>
          <cell r="I308">
            <v>3469</v>
          </cell>
          <cell r="J308">
            <v>3795</v>
          </cell>
          <cell r="K308">
            <v>3649</v>
          </cell>
          <cell r="N308">
            <v>798</v>
          </cell>
          <cell r="O308">
            <v>968</v>
          </cell>
          <cell r="P308">
            <v>1074</v>
          </cell>
          <cell r="Q308">
            <v>1344</v>
          </cell>
          <cell r="R308">
            <v>1450</v>
          </cell>
          <cell r="S308">
            <v>2004</v>
          </cell>
          <cell r="T308">
            <v>2341</v>
          </cell>
          <cell r="U308">
            <v>2874</v>
          </cell>
          <cell r="V308">
            <v>3469</v>
          </cell>
          <cell r="W308">
            <v>3069.4444444444443</v>
          </cell>
          <cell r="X308">
            <v>3114.7777777777778</v>
          </cell>
          <cell r="Y308">
            <v>3255.5</v>
          </cell>
          <cell r="Z308">
            <v>3470.833333333333</v>
          </cell>
          <cell r="BQ308" t="str">
            <v>mstag:tradeReceivables</v>
          </cell>
          <cell r="BR308">
            <v>6</v>
          </cell>
          <cell r="BS308" t="str">
            <v>ISO4217:USD</v>
          </cell>
          <cell r="BT308" t="b">
            <v>0</v>
          </cell>
          <cell r="BU308" t="b">
            <v>0</v>
          </cell>
        </row>
        <row r="309">
          <cell r="A309" t="str">
            <v>Contracts in process</v>
          </cell>
          <cell r="B309">
            <v>4160</v>
          </cell>
          <cell r="C309">
            <v>4233</v>
          </cell>
          <cell r="D309">
            <v>4192</v>
          </cell>
          <cell r="E309">
            <v>4337</v>
          </cell>
          <cell r="F309">
            <v>4381</v>
          </cell>
          <cell r="G309">
            <v>4505</v>
          </cell>
          <cell r="H309">
            <v>4364</v>
          </cell>
          <cell r="I309">
            <v>4341</v>
          </cell>
          <cell r="J309">
            <v>4238</v>
          </cell>
          <cell r="K309">
            <v>4408</v>
          </cell>
          <cell r="N309">
            <v>1238</v>
          </cell>
          <cell r="O309">
            <v>1732</v>
          </cell>
          <cell r="P309">
            <v>1914</v>
          </cell>
          <cell r="Q309">
            <v>2473</v>
          </cell>
          <cell r="R309">
            <v>2890</v>
          </cell>
          <cell r="S309">
            <v>3152</v>
          </cell>
          <cell r="T309">
            <v>3988</v>
          </cell>
          <cell r="U309">
            <v>4337</v>
          </cell>
          <cell r="V309">
            <v>4341</v>
          </cell>
          <cell r="W309">
            <v>5450</v>
          </cell>
          <cell r="X309">
            <v>5536</v>
          </cell>
          <cell r="Y309">
            <v>5674</v>
          </cell>
          <cell r="Z309">
            <v>5870</v>
          </cell>
          <cell r="BQ309" t="str">
            <v>mstag:unbilledReceivablesCurrent</v>
          </cell>
          <cell r="BR309">
            <v>6</v>
          </cell>
          <cell r="BS309" t="str">
            <v>ISO4217:USD</v>
          </cell>
          <cell r="BT309" t="b">
            <v>0</v>
          </cell>
          <cell r="BU309" t="b">
            <v>0</v>
          </cell>
        </row>
        <row r="310">
          <cell r="A310" t="str">
            <v>Inventories</v>
          </cell>
          <cell r="B310">
            <v>1604</v>
          </cell>
          <cell r="C310">
            <v>1595</v>
          </cell>
          <cell r="D310">
            <v>1556</v>
          </cell>
          <cell r="E310">
            <v>1621</v>
          </cell>
          <cell r="F310">
            <v>1663</v>
          </cell>
          <cell r="G310">
            <v>1672</v>
          </cell>
          <cell r="H310">
            <v>1725</v>
          </cell>
          <cell r="I310">
            <v>2029</v>
          </cell>
          <cell r="J310">
            <v>2083</v>
          </cell>
          <cell r="K310">
            <v>2138</v>
          </cell>
          <cell r="N310">
            <v>953</v>
          </cell>
          <cell r="O310">
            <v>1289</v>
          </cell>
          <cell r="P310">
            <v>1405</v>
          </cell>
          <cell r="Q310">
            <v>1159</v>
          </cell>
          <cell r="R310">
            <v>1195</v>
          </cell>
          <cell r="S310">
            <v>1293</v>
          </cell>
          <cell r="T310">
            <v>1484</v>
          </cell>
          <cell r="U310">
            <v>1621</v>
          </cell>
          <cell r="V310">
            <v>2029</v>
          </cell>
          <cell r="W310">
            <v>2100</v>
          </cell>
          <cell r="X310">
            <v>2120</v>
          </cell>
          <cell r="Y310">
            <v>2440</v>
          </cell>
          <cell r="Z310">
            <v>2960</v>
          </cell>
          <cell r="BQ310" t="str">
            <v>mstag:inventories</v>
          </cell>
          <cell r="BR310">
            <v>6</v>
          </cell>
          <cell r="BS310" t="str">
            <v>ISO4217:USD</v>
          </cell>
          <cell r="BT310" t="b">
            <v>0</v>
          </cell>
          <cell r="BU310" t="b">
            <v>0</v>
          </cell>
        </row>
        <row r="311">
          <cell r="A311" t="str">
            <v>Other current assets</v>
          </cell>
          <cell r="B311">
            <v>398</v>
          </cell>
          <cell r="C311">
            <v>390</v>
          </cell>
          <cell r="D311">
            <v>674</v>
          </cell>
          <cell r="E311">
            <v>575</v>
          </cell>
          <cell r="F311">
            <v>565</v>
          </cell>
          <cell r="G311">
            <v>569</v>
          </cell>
          <cell r="H311">
            <v>450</v>
          </cell>
          <cell r="I311">
            <v>490</v>
          </cell>
          <cell r="J311">
            <v>588</v>
          </cell>
          <cell r="K311">
            <v>489</v>
          </cell>
          <cell r="N311">
            <v>385</v>
          </cell>
          <cell r="O311">
            <v>517</v>
          </cell>
          <cell r="P311">
            <v>377</v>
          </cell>
          <cell r="Q311">
            <v>787</v>
          </cell>
          <cell r="R311">
            <v>820</v>
          </cell>
          <cell r="S311">
            <v>669</v>
          </cell>
          <cell r="T311">
            <v>463</v>
          </cell>
          <cell r="U311">
            <v>575</v>
          </cell>
          <cell r="V311">
            <v>490</v>
          </cell>
          <cell r="W311">
            <v>588.19984127200007</v>
          </cell>
          <cell r="X311">
            <v>696.22776477156833</v>
          </cell>
          <cell r="Y311">
            <v>696.22776477156833</v>
          </cell>
          <cell r="Z311">
            <v>696.22776477156833</v>
          </cell>
          <cell r="BQ311" t="str">
            <v>mstag:otherAssetsOperatingCurrent</v>
          </cell>
          <cell r="BR311">
            <v>6</v>
          </cell>
          <cell r="BS311" t="str">
            <v>ISO4217:USD</v>
          </cell>
          <cell r="BT311" t="b">
            <v>0</v>
          </cell>
          <cell r="BU311" t="b">
            <v>0</v>
          </cell>
        </row>
        <row r="312">
          <cell r="A312" t="str">
            <v>Total Current Assets</v>
          </cell>
          <cell r="B312">
            <v>9958</v>
          </cell>
          <cell r="C312">
            <v>10551</v>
          </cell>
          <cell r="D312">
            <v>10887</v>
          </cell>
          <cell r="E312">
            <v>12298</v>
          </cell>
          <cell r="F312">
            <v>12190</v>
          </cell>
          <cell r="G312">
            <v>12448</v>
          </cell>
          <cell r="H312">
            <v>12259</v>
          </cell>
          <cell r="I312">
            <v>11950</v>
          </cell>
          <cell r="J312">
            <v>11830</v>
          </cell>
          <cell r="K312">
            <v>12298</v>
          </cell>
          <cell r="N312">
            <v>3551</v>
          </cell>
          <cell r="O312">
            <v>4945</v>
          </cell>
          <cell r="P312">
            <v>5098</v>
          </cell>
          <cell r="Q312">
            <v>6624</v>
          </cell>
          <cell r="R312">
            <v>7331</v>
          </cell>
          <cell r="S312">
            <v>9449</v>
          </cell>
          <cell r="T312">
            <v>9880</v>
          </cell>
          <cell r="U312">
            <v>12298</v>
          </cell>
          <cell r="V312">
            <v>11950</v>
          </cell>
          <cell r="W312">
            <v>14820.847553989401</v>
          </cell>
          <cell r="X312">
            <v>16918.068434105615</v>
          </cell>
          <cell r="Y312">
            <v>19535.498184184849</v>
          </cell>
          <cell r="Z312">
            <v>22755.208917174488</v>
          </cell>
        </row>
        <row r="314">
          <cell r="A314" t="str">
            <v>Property, plant, and equipment, net</v>
          </cell>
          <cell r="B314">
            <v>2223</v>
          </cell>
          <cell r="C314">
            <v>2233</v>
          </cell>
          <cell r="D314">
            <v>2364</v>
          </cell>
          <cell r="E314">
            <v>2472</v>
          </cell>
          <cell r="F314">
            <v>2487</v>
          </cell>
          <cell r="G314">
            <v>2546</v>
          </cell>
          <cell r="H314">
            <v>2566</v>
          </cell>
          <cell r="I314">
            <v>2872</v>
          </cell>
          <cell r="J314">
            <v>2840</v>
          </cell>
          <cell r="K314">
            <v>2857</v>
          </cell>
          <cell r="N314">
            <v>1294</v>
          </cell>
          <cell r="O314">
            <v>1718</v>
          </cell>
          <cell r="P314">
            <v>1856</v>
          </cell>
          <cell r="Q314">
            <v>2060</v>
          </cell>
          <cell r="R314">
            <v>2153</v>
          </cell>
          <cell r="S314">
            <v>2028</v>
          </cell>
          <cell r="T314">
            <v>2168</v>
          </cell>
          <cell r="U314">
            <v>2472</v>
          </cell>
          <cell r="V314">
            <v>2872</v>
          </cell>
          <cell r="W314">
            <v>3053.875</v>
          </cell>
          <cell r="X314">
            <v>3201.375</v>
          </cell>
          <cell r="Y314">
            <v>3361.375</v>
          </cell>
          <cell r="Z314">
            <v>3483.875</v>
          </cell>
          <cell r="BQ314" t="str">
            <v>mstag:propertyPlantAndEquipmentNet</v>
          </cell>
          <cell r="BR314">
            <v>6</v>
          </cell>
          <cell r="BS314" t="str">
            <v>ISO4217:USD</v>
          </cell>
          <cell r="BT314" t="b">
            <v>0</v>
          </cell>
          <cell r="BU314" t="b">
            <v>0</v>
          </cell>
        </row>
        <row r="315">
          <cell r="A315" t="str">
            <v>Goodwill</v>
          </cell>
          <cell r="B315">
            <v>8629</v>
          </cell>
          <cell r="C315">
            <v>8838</v>
          </cell>
          <cell r="D315">
            <v>8920</v>
          </cell>
          <cell r="E315">
            <v>8942</v>
          </cell>
          <cell r="F315">
            <v>8979</v>
          </cell>
          <cell r="G315">
            <v>8986</v>
          </cell>
          <cell r="H315">
            <v>9134</v>
          </cell>
          <cell r="I315">
            <v>11413</v>
          </cell>
          <cell r="J315">
            <v>1606</v>
          </cell>
          <cell r="K315">
            <v>1566</v>
          </cell>
          <cell r="N315">
            <v>2003</v>
          </cell>
          <cell r="O315">
            <v>3110</v>
          </cell>
          <cell r="P315">
            <v>3510</v>
          </cell>
          <cell r="Q315">
            <v>5955</v>
          </cell>
          <cell r="R315">
            <v>6429</v>
          </cell>
          <cell r="S315">
            <v>6686</v>
          </cell>
          <cell r="T315">
            <v>8541</v>
          </cell>
          <cell r="U315">
            <v>8942</v>
          </cell>
          <cell r="V315">
            <v>11413</v>
          </cell>
          <cell r="W315">
            <v>11413</v>
          </cell>
          <cell r="X315">
            <v>11413</v>
          </cell>
          <cell r="Y315">
            <v>11413</v>
          </cell>
          <cell r="Z315">
            <v>11413</v>
          </cell>
          <cell r="BQ315" t="str">
            <v>mstag:goodwill</v>
          </cell>
          <cell r="BR315">
            <v>6</v>
          </cell>
          <cell r="BS315" t="str">
            <v>ISO4217:USD</v>
          </cell>
          <cell r="BT315" t="b">
            <v>0</v>
          </cell>
          <cell r="BU315" t="b">
            <v>0</v>
          </cell>
        </row>
        <row r="316">
          <cell r="A316" t="str">
            <v>Intangible assets</v>
          </cell>
          <cell r="B316">
            <v>1239</v>
          </cell>
          <cell r="C316">
            <v>1093</v>
          </cell>
          <cell r="D316">
            <v>1028</v>
          </cell>
          <cell r="E316">
            <v>972</v>
          </cell>
          <cell r="F316">
            <v>954</v>
          </cell>
          <cell r="G316">
            <v>920</v>
          </cell>
          <cell r="H316">
            <v>924</v>
          </cell>
          <cell r="I316">
            <v>1617</v>
          </cell>
          <cell r="J316">
            <v>11529</v>
          </cell>
          <cell r="K316">
            <v>11739</v>
          </cell>
          <cell r="N316">
            <v>528</v>
          </cell>
          <cell r="O316">
            <v>648</v>
          </cell>
          <cell r="P316">
            <v>560</v>
          </cell>
          <cell r="Q316">
            <v>953</v>
          </cell>
          <cell r="R316">
            <v>948</v>
          </cell>
          <cell r="S316">
            <v>898</v>
          </cell>
          <cell r="T316">
            <v>1184</v>
          </cell>
          <cell r="U316">
            <v>972</v>
          </cell>
          <cell r="V316">
            <v>1617</v>
          </cell>
          <cell r="W316">
            <v>1487</v>
          </cell>
          <cell r="X316">
            <v>1357</v>
          </cell>
          <cell r="Y316">
            <v>1227</v>
          </cell>
          <cell r="Z316">
            <v>1097</v>
          </cell>
          <cell r="BQ316" t="str">
            <v>mstag:otherIntangibleAssets</v>
          </cell>
          <cell r="BR316">
            <v>6</v>
          </cell>
          <cell r="BS316" t="str">
            <v>ISO4217:USD</v>
          </cell>
          <cell r="BT316" t="b">
            <v>0</v>
          </cell>
          <cell r="BU316" t="b">
            <v>0</v>
          </cell>
        </row>
        <row r="317">
          <cell r="A317" t="str">
            <v>Other assets</v>
          </cell>
          <cell r="B317">
            <v>683</v>
          </cell>
          <cell r="C317">
            <v>692</v>
          </cell>
          <cell r="D317">
            <v>684</v>
          </cell>
          <cell r="E317">
            <v>1049</v>
          </cell>
          <cell r="F317">
            <v>1097</v>
          </cell>
          <cell r="G317">
            <v>1189</v>
          </cell>
          <cell r="H317">
            <v>1163</v>
          </cell>
          <cell r="I317">
            <v>521</v>
          </cell>
          <cell r="J317">
            <v>474</v>
          </cell>
          <cell r="K317">
            <v>398</v>
          </cell>
          <cell r="N317">
            <v>611</v>
          </cell>
          <cell r="O317">
            <v>648</v>
          </cell>
          <cell r="P317">
            <v>707</v>
          </cell>
          <cell r="Q317">
            <v>591</v>
          </cell>
          <cell r="R317">
            <v>683</v>
          </cell>
          <cell r="S317">
            <v>639</v>
          </cell>
          <cell r="T317">
            <v>603</v>
          </cell>
          <cell r="U317">
            <v>1049</v>
          </cell>
          <cell r="V317">
            <v>521</v>
          </cell>
          <cell r="W317">
            <v>521</v>
          </cell>
          <cell r="X317">
            <v>521</v>
          </cell>
          <cell r="Y317">
            <v>521</v>
          </cell>
          <cell r="Z317">
            <v>521</v>
          </cell>
          <cell r="BQ317" t="str">
            <v>mstag:otherAssetsOperatingNonCurrent</v>
          </cell>
          <cell r="BR317">
            <v>6</v>
          </cell>
          <cell r="BS317" t="str">
            <v>ISO4217:USD</v>
          </cell>
          <cell r="BT317" t="b">
            <v>0</v>
          </cell>
          <cell r="BU317" t="b">
            <v>0</v>
          </cell>
        </row>
        <row r="318">
          <cell r="A318" t="str">
            <v>Total Noncurrent assets</v>
          </cell>
          <cell r="B318">
            <v>12774</v>
          </cell>
          <cell r="C318">
            <v>12856</v>
          </cell>
          <cell r="D318">
            <v>12996</v>
          </cell>
          <cell r="E318">
            <v>13435</v>
          </cell>
          <cell r="F318">
            <v>13517</v>
          </cell>
          <cell r="G318">
            <v>13641</v>
          </cell>
          <cell r="H318">
            <v>13787</v>
          </cell>
          <cell r="I318">
            <v>16423</v>
          </cell>
          <cell r="J318">
            <v>16449</v>
          </cell>
          <cell r="K318">
            <v>16560</v>
          </cell>
          <cell r="N318">
            <v>4436</v>
          </cell>
          <cell r="O318">
            <v>6124</v>
          </cell>
          <cell r="P318">
            <v>6633</v>
          </cell>
          <cell r="Q318">
            <v>9559</v>
          </cell>
          <cell r="R318">
            <v>10213</v>
          </cell>
          <cell r="S318">
            <v>10251</v>
          </cell>
          <cell r="T318">
            <v>12496</v>
          </cell>
          <cell r="U318">
            <v>13435</v>
          </cell>
          <cell r="V318">
            <v>16423</v>
          </cell>
          <cell r="W318">
            <v>16474.875</v>
          </cell>
          <cell r="X318">
            <v>16492.375</v>
          </cell>
          <cell r="Y318">
            <v>16522.375</v>
          </cell>
          <cell r="Z318">
            <v>16514.875</v>
          </cell>
        </row>
        <row r="320">
          <cell r="A320" t="str">
            <v>Total Assets</v>
          </cell>
          <cell r="B320">
            <v>22732</v>
          </cell>
          <cell r="C320">
            <v>23407</v>
          </cell>
          <cell r="D320">
            <v>23883</v>
          </cell>
          <cell r="E320">
            <v>25733</v>
          </cell>
          <cell r="F320">
            <v>25707</v>
          </cell>
          <cell r="G320">
            <v>26089</v>
          </cell>
          <cell r="H320">
            <v>26046</v>
          </cell>
          <cell r="I320">
            <v>28373</v>
          </cell>
          <cell r="J320">
            <v>28279</v>
          </cell>
          <cell r="K320">
            <v>28858</v>
          </cell>
          <cell r="N320">
            <v>7987</v>
          </cell>
          <cell r="O320">
            <v>11069</v>
          </cell>
          <cell r="P320">
            <v>11731</v>
          </cell>
          <cell r="Q320">
            <v>16183</v>
          </cell>
          <cell r="R320">
            <v>17544</v>
          </cell>
          <cell r="S320">
            <v>19700</v>
          </cell>
          <cell r="T320">
            <v>22376</v>
          </cell>
          <cell r="U320">
            <v>25733</v>
          </cell>
          <cell r="V320">
            <v>28373</v>
          </cell>
          <cell r="W320">
            <v>31295.722553989399</v>
          </cell>
          <cell r="X320">
            <v>33410.443434105619</v>
          </cell>
          <cell r="Y320">
            <v>36057.873184184849</v>
          </cell>
          <cell r="Z320">
            <v>39270.083917174488</v>
          </cell>
        </row>
        <row r="322">
          <cell r="A322" t="str">
            <v>Liabs. and Shareholders' Equity</v>
          </cell>
        </row>
        <row r="323">
          <cell r="A323" t="str">
            <v>Short-term debt and current port of long-term debt</v>
          </cell>
          <cell r="B323">
            <v>8</v>
          </cell>
          <cell r="C323">
            <v>506</v>
          </cell>
          <cell r="D323">
            <v>656</v>
          </cell>
          <cell r="E323">
            <v>673</v>
          </cell>
          <cell r="F323">
            <v>673</v>
          </cell>
          <cell r="G323">
            <v>172</v>
          </cell>
          <cell r="H323">
            <v>22</v>
          </cell>
          <cell r="I323">
            <v>911</v>
          </cell>
          <cell r="J323">
            <v>770</v>
          </cell>
          <cell r="K323">
            <v>55</v>
          </cell>
          <cell r="N323">
            <v>340</v>
          </cell>
          <cell r="O323">
            <v>1211</v>
          </cell>
          <cell r="P323">
            <v>750</v>
          </cell>
          <cell r="Q323">
            <v>747</v>
          </cell>
          <cell r="R323">
            <v>6</v>
          </cell>
          <cell r="S323">
            <v>509</v>
          </cell>
          <cell r="T323">
            <v>7</v>
          </cell>
          <cell r="U323">
            <v>673</v>
          </cell>
          <cell r="V323">
            <v>911</v>
          </cell>
          <cell r="W323">
            <v>100</v>
          </cell>
          <cell r="X323">
            <v>100</v>
          </cell>
          <cell r="Y323">
            <v>100</v>
          </cell>
          <cell r="Z323">
            <v>100</v>
          </cell>
          <cell r="BQ323" t="str">
            <v>mstag:shortTermBorrowings</v>
          </cell>
          <cell r="BR323">
            <v>6</v>
          </cell>
          <cell r="BS323" t="str">
            <v>ISO4217:USD</v>
          </cell>
          <cell r="BT323" t="b">
            <v>0</v>
          </cell>
          <cell r="BU323" t="b">
            <v>0</v>
          </cell>
        </row>
        <row r="324">
          <cell r="A324" t="str">
            <v>Accounts payable</v>
          </cell>
          <cell r="B324">
            <v>1924</v>
          </cell>
          <cell r="C324">
            <v>1819</v>
          </cell>
          <cell r="D324">
            <v>1926</v>
          </cell>
          <cell r="E324">
            <v>2318</v>
          </cell>
          <cell r="F324">
            <v>2091</v>
          </cell>
          <cell r="G324">
            <v>2115</v>
          </cell>
          <cell r="H324">
            <v>2064</v>
          </cell>
          <cell r="I324">
            <v>2443</v>
          </cell>
          <cell r="J324">
            <v>2596</v>
          </cell>
          <cell r="K324">
            <v>2427</v>
          </cell>
          <cell r="N324">
            <v>717</v>
          </cell>
          <cell r="O324">
            <v>890</v>
          </cell>
          <cell r="P324">
            <v>1056</v>
          </cell>
          <cell r="Q324">
            <v>1288</v>
          </cell>
          <cell r="R324">
            <v>1505</v>
          </cell>
          <cell r="S324">
            <v>1686</v>
          </cell>
          <cell r="T324">
            <v>1956</v>
          </cell>
          <cell r="U324">
            <v>2318</v>
          </cell>
          <cell r="V324">
            <v>2443</v>
          </cell>
          <cell r="W324">
            <v>2827.5</v>
          </cell>
          <cell r="X324">
            <v>2869.2599999999998</v>
          </cell>
          <cell r="Y324">
            <v>2998.89</v>
          </cell>
          <cell r="Z324">
            <v>3197.25</v>
          </cell>
          <cell r="BQ324" t="str">
            <v>mstag:tradeAndOtherPayables</v>
          </cell>
          <cell r="BR324">
            <v>6</v>
          </cell>
          <cell r="BS324" t="str">
            <v>ISO4217:USD</v>
          </cell>
          <cell r="BT324" t="b">
            <v>0</v>
          </cell>
          <cell r="BU324" t="b">
            <v>0</v>
          </cell>
        </row>
        <row r="325">
          <cell r="A325" t="str">
            <v>Billings in excess of costs &amp; est profits</v>
          </cell>
          <cell r="B325">
            <v>0</v>
          </cell>
          <cell r="C325">
            <v>0</v>
          </cell>
          <cell r="D325">
            <v>0</v>
          </cell>
          <cell r="E325">
            <v>0</v>
          </cell>
          <cell r="F325">
            <v>0</v>
          </cell>
          <cell r="G325">
            <v>0</v>
          </cell>
          <cell r="H325">
            <v>0</v>
          </cell>
          <cell r="I325">
            <v>0</v>
          </cell>
          <cell r="J325">
            <v>0</v>
          </cell>
          <cell r="K325">
            <v>0</v>
          </cell>
          <cell r="N325">
            <v>43</v>
          </cell>
          <cell r="O325">
            <v>407</v>
          </cell>
          <cell r="P325">
            <v>516</v>
          </cell>
          <cell r="Q325">
            <v>791</v>
          </cell>
          <cell r="R325">
            <v>1003</v>
          </cell>
          <cell r="S325">
            <v>0</v>
          </cell>
          <cell r="T325">
            <v>0</v>
          </cell>
          <cell r="U325">
            <v>0</v>
          </cell>
          <cell r="V325">
            <v>0</v>
          </cell>
          <cell r="W325">
            <v>0</v>
          </cell>
          <cell r="X325">
            <v>0</v>
          </cell>
          <cell r="Y325">
            <v>0</v>
          </cell>
          <cell r="Z325">
            <v>0</v>
          </cell>
          <cell r="BQ325" t="str">
            <v>mstag:billingsInExcessOfCost</v>
          </cell>
          <cell r="BR325">
            <v>6</v>
          </cell>
          <cell r="BS325" t="str">
            <v>ISO4217:USD</v>
          </cell>
          <cell r="BT325" t="b">
            <v>0</v>
          </cell>
          <cell r="BU325" t="b">
            <v>0</v>
          </cell>
        </row>
        <row r="326">
          <cell r="A326" t="str">
            <v>Workers compensation</v>
          </cell>
          <cell r="B326">
            <v>518</v>
          </cell>
          <cell r="C326">
            <v>0</v>
          </cell>
          <cell r="D326">
            <v>0</v>
          </cell>
          <cell r="E326">
            <v>0</v>
          </cell>
          <cell r="F326">
            <v>0</v>
          </cell>
          <cell r="G326">
            <v>0</v>
          </cell>
          <cell r="H326">
            <v>0</v>
          </cell>
          <cell r="I326">
            <v>0</v>
          </cell>
          <cell r="J326">
            <v>0</v>
          </cell>
          <cell r="K326">
            <v>0</v>
          </cell>
          <cell r="N326">
            <v>454</v>
          </cell>
          <cell r="O326">
            <v>473</v>
          </cell>
          <cell r="P326">
            <v>509</v>
          </cell>
          <cell r="Q326">
            <v>547</v>
          </cell>
          <cell r="R326">
            <v>432</v>
          </cell>
          <cell r="S326">
            <v>412</v>
          </cell>
          <cell r="T326">
            <v>546</v>
          </cell>
          <cell r="U326">
            <v>534</v>
          </cell>
          <cell r="V326">
            <v>0</v>
          </cell>
          <cell r="W326">
            <v>0</v>
          </cell>
          <cell r="X326">
            <v>0</v>
          </cell>
          <cell r="Y326">
            <v>0</v>
          </cell>
          <cell r="Z326">
            <v>0</v>
          </cell>
          <cell r="BQ326" t="str">
            <v>mstag:payrollAndBenefitsRelatedLiabilities</v>
          </cell>
          <cell r="BR326">
            <v>6</v>
          </cell>
          <cell r="BS326" t="str">
            <v>ISO4217:USD</v>
          </cell>
          <cell r="BT326" t="b">
            <v>0</v>
          </cell>
          <cell r="BU326" t="b">
            <v>0</v>
          </cell>
        </row>
        <row r="327">
          <cell r="A327" t="str">
            <v>Customer deposits on commercial contracts</v>
          </cell>
          <cell r="B327">
            <v>2870</v>
          </cell>
          <cell r="C327">
            <v>3048</v>
          </cell>
          <cell r="D327">
            <v>2877</v>
          </cell>
          <cell r="E327">
            <v>3440</v>
          </cell>
          <cell r="F327">
            <v>3483</v>
          </cell>
          <cell r="G327">
            <v>3776</v>
          </cell>
          <cell r="H327">
            <v>3677</v>
          </cell>
          <cell r="I327">
            <v>4154</v>
          </cell>
          <cell r="J327">
            <v>3679</v>
          </cell>
          <cell r="K327">
            <v>3862</v>
          </cell>
          <cell r="N327">
            <v>518</v>
          </cell>
          <cell r="O327">
            <v>358</v>
          </cell>
          <cell r="P327">
            <v>384</v>
          </cell>
          <cell r="Q327">
            <v>465</v>
          </cell>
          <cell r="R327">
            <v>653</v>
          </cell>
          <cell r="S327">
            <v>2565</v>
          </cell>
          <cell r="T327">
            <v>2949</v>
          </cell>
          <cell r="U327">
            <v>3440</v>
          </cell>
          <cell r="V327">
            <v>4154</v>
          </cell>
          <cell r="W327">
            <v>5427.5</v>
          </cell>
          <cell r="X327">
            <v>5771.5</v>
          </cell>
          <cell r="Y327">
            <v>6032.25</v>
          </cell>
          <cell r="Z327">
            <v>6431.25</v>
          </cell>
          <cell r="BQ327" t="str">
            <v>mstag:customerAdvancesOrDepositsCurrent</v>
          </cell>
          <cell r="BR327">
            <v>6</v>
          </cell>
          <cell r="BS327" t="str">
            <v>ISO4217:USD</v>
          </cell>
          <cell r="BT327" t="b">
            <v>0</v>
          </cell>
          <cell r="BU327" t="b">
            <v>0</v>
          </cell>
        </row>
        <row r="328">
          <cell r="A328" t="str">
            <v>Salaries and wages</v>
          </cell>
          <cell r="B328">
            <v>494</v>
          </cell>
          <cell r="C328">
            <v>0</v>
          </cell>
          <cell r="D328">
            <v>0</v>
          </cell>
          <cell r="E328">
            <v>0</v>
          </cell>
          <cell r="F328">
            <v>0</v>
          </cell>
          <cell r="G328">
            <v>0</v>
          </cell>
          <cell r="H328">
            <v>0</v>
          </cell>
          <cell r="I328">
            <v>0</v>
          </cell>
          <cell r="J328">
            <v>0</v>
          </cell>
          <cell r="K328">
            <v>0</v>
          </cell>
          <cell r="N328">
            <v>182</v>
          </cell>
          <cell r="O328">
            <v>225</v>
          </cell>
          <cell r="P328">
            <v>222</v>
          </cell>
          <cell r="Q328">
            <v>355</v>
          </cell>
          <cell r="R328">
            <v>365</v>
          </cell>
          <cell r="S328">
            <v>387</v>
          </cell>
          <cell r="T328">
            <v>457</v>
          </cell>
          <cell r="U328">
            <v>571</v>
          </cell>
          <cell r="V328">
            <v>0</v>
          </cell>
          <cell r="W328">
            <v>0</v>
          </cell>
          <cell r="X328">
            <v>0</v>
          </cell>
          <cell r="Y328">
            <v>0</v>
          </cell>
          <cell r="Z328">
            <v>0</v>
          </cell>
          <cell r="BQ328" t="str">
            <v>mstag:payrollAndBenefitsRelatedLiabilities</v>
          </cell>
          <cell r="BR328">
            <v>6</v>
          </cell>
          <cell r="BS328" t="str">
            <v>ISO4217:USD</v>
          </cell>
          <cell r="BT328" t="b">
            <v>0</v>
          </cell>
          <cell r="BU328" t="b">
            <v>0</v>
          </cell>
        </row>
        <row r="329">
          <cell r="A329" t="str">
            <v>Retirement benefits</v>
          </cell>
          <cell r="B329">
            <v>760</v>
          </cell>
          <cell r="C329">
            <v>0</v>
          </cell>
          <cell r="D329">
            <v>0</v>
          </cell>
          <cell r="E329">
            <v>0</v>
          </cell>
          <cell r="F329">
            <v>0</v>
          </cell>
          <cell r="G329">
            <v>0</v>
          </cell>
          <cell r="H329">
            <v>0</v>
          </cell>
          <cell r="I329">
            <v>0</v>
          </cell>
          <cell r="J329">
            <v>0</v>
          </cell>
          <cell r="K329">
            <v>0</v>
          </cell>
          <cell r="N329">
            <v>253</v>
          </cell>
          <cell r="O329">
            <v>264</v>
          </cell>
          <cell r="P329">
            <v>274</v>
          </cell>
          <cell r="Q329">
            <v>295</v>
          </cell>
          <cell r="R329">
            <v>357</v>
          </cell>
          <cell r="S329">
            <v>369</v>
          </cell>
          <cell r="T329">
            <v>739</v>
          </cell>
          <cell r="U329">
            <v>585</v>
          </cell>
          <cell r="V329">
            <v>0</v>
          </cell>
          <cell r="W329">
            <v>0</v>
          </cell>
          <cell r="X329">
            <v>0</v>
          </cell>
          <cell r="Y329">
            <v>0</v>
          </cell>
          <cell r="Z329">
            <v>0</v>
          </cell>
          <cell r="BQ329" t="str">
            <v>mstag:pensionAndOtherPostRetirementObligations</v>
          </cell>
          <cell r="BR329">
            <v>6</v>
          </cell>
          <cell r="BS329" t="str">
            <v>ISO4217:USD</v>
          </cell>
          <cell r="BT329" t="b">
            <v>0</v>
          </cell>
          <cell r="BU329" t="b">
            <v>0</v>
          </cell>
        </row>
        <row r="330">
          <cell r="A330" t="str">
            <v>Liabilities of discontinued operations</v>
          </cell>
          <cell r="B330">
            <v>0</v>
          </cell>
          <cell r="C330">
            <v>0</v>
          </cell>
          <cell r="D330">
            <v>0</v>
          </cell>
          <cell r="E330">
            <v>0</v>
          </cell>
          <cell r="F330">
            <v>0</v>
          </cell>
          <cell r="G330">
            <v>0</v>
          </cell>
          <cell r="H330">
            <v>0</v>
          </cell>
          <cell r="I330">
            <v>0</v>
          </cell>
          <cell r="J330">
            <v>0</v>
          </cell>
          <cell r="K330">
            <v>0</v>
          </cell>
          <cell r="N330">
            <v>0</v>
          </cell>
          <cell r="O330">
            <v>14</v>
          </cell>
          <cell r="P330">
            <v>125</v>
          </cell>
          <cell r="Q330">
            <v>140</v>
          </cell>
          <cell r="R330">
            <v>101</v>
          </cell>
          <cell r="S330">
            <v>207</v>
          </cell>
          <cell r="T330">
            <v>228</v>
          </cell>
          <cell r="U330">
            <v>0</v>
          </cell>
          <cell r="V330">
            <v>0</v>
          </cell>
          <cell r="W330">
            <v>0</v>
          </cell>
          <cell r="X330">
            <v>0</v>
          </cell>
          <cell r="Y330">
            <v>0</v>
          </cell>
          <cell r="Z330">
            <v>0</v>
          </cell>
          <cell r="BQ330" t="str">
            <v>mstag:liabilitiesOfDiscontinuedOperations</v>
          </cell>
          <cell r="BR330">
            <v>6</v>
          </cell>
          <cell r="BS330" t="str">
            <v>ISO4217:USD</v>
          </cell>
          <cell r="BT330" t="b">
            <v>0</v>
          </cell>
          <cell r="BU330" t="b">
            <v>0</v>
          </cell>
        </row>
        <row r="331">
          <cell r="A331" t="str">
            <v>Other current liabilities</v>
          </cell>
          <cell r="B331">
            <v>1095</v>
          </cell>
          <cell r="C331">
            <v>2765</v>
          </cell>
          <cell r="D331">
            <v>2878</v>
          </cell>
          <cell r="E331">
            <v>2733</v>
          </cell>
          <cell r="F331">
            <v>2809</v>
          </cell>
          <cell r="G331">
            <v>2643</v>
          </cell>
          <cell r="H331">
            <v>2790</v>
          </cell>
          <cell r="I331">
            <v>2852</v>
          </cell>
          <cell r="J331">
            <v>3035</v>
          </cell>
          <cell r="K331">
            <v>2916</v>
          </cell>
          <cell r="N331">
            <v>394</v>
          </cell>
          <cell r="O331">
            <v>737</v>
          </cell>
          <cell r="P331">
            <v>746</v>
          </cell>
          <cell r="Q331">
            <v>996</v>
          </cell>
          <cell r="R331">
            <v>956</v>
          </cell>
          <cell r="S331">
            <v>975</v>
          </cell>
          <cell r="T331">
            <v>942</v>
          </cell>
          <cell r="U331">
            <v>1043</v>
          </cell>
          <cell r="V331">
            <v>2852</v>
          </cell>
          <cell r="W331">
            <v>2852</v>
          </cell>
          <cell r="X331">
            <v>2852</v>
          </cell>
          <cell r="Y331">
            <v>2852</v>
          </cell>
          <cell r="Z331">
            <v>2852</v>
          </cell>
          <cell r="BQ331" t="str">
            <v>mstag:otherLiabilitiesOperatingCurrent</v>
          </cell>
          <cell r="BR331">
            <v>6</v>
          </cell>
          <cell r="BS331" t="str">
            <v>ISO4217:USD</v>
          </cell>
          <cell r="BT331" t="b">
            <v>0</v>
          </cell>
          <cell r="BU331" t="b">
            <v>0</v>
          </cell>
        </row>
        <row r="332">
          <cell r="A332" t="str">
            <v>Total Current Liabilities</v>
          </cell>
          <cell r="B332">
            <v>7669</v>
          </cell>
          <cell r="C332">
            <v>8138</v>
          </cell>
          <cell r="D332">
            <v>8337</v>
          </cell>
          <cell r="E332">
            <v>9164</v>
          </cell>
          <cell r="F332">
            <v>9056</v>
          </cell>
          <cell r="G332">
            <v>8706</v>
          </cell>
          <cell r="H332">
            <v>8553</v>
          </cell>
          <cell r="I332">
            <v>10360</v>
          </cell>
          <cell r="J332">
            <v>10080</v>
          </cell>
          <cell r="K332">
            <v>9260</v>
          </cell>
          <cell r="N332">
            <v>2901</v>
          </cell>
          <cell r="O332">
            <v>4579</v>
          </cell>
          <cell r="P332">
            <v>4582</v>
          </cell>
          <cell r="Q332">
            <v>5624</v>
          </cell>
          <cell r="R332">
            <v>5378</v>
          </cell>
          <cell r="S332">
            <v>7110</v>
          </cell>
          <cell r="T332">
            <v>7824</v>
          </cell>
          <cell r="U332">
            <v>9164</v>
          </cell>
          <cell r="V332">
            <v>10360</v>
          </cell>
          <cell r="W332">
            <v>11207</v>
          </cell>
          <cell r="X332">
            <v>11592.76</v>
          </cell>
          <cell r="Y332">
            <v>11983.14</v>
          </cell>
          <cell r="Z332">
            <v>12580.5</v>
          </cell>
        </row>
        <row r="334">
          <cell r="A334" t="str">
            <v>Long-term debt</v>
          </cell>
          <cell r="B334">
            <v>2782</v>
          </cell>
          <cell r="C334">
            <v>2283</v>
          </cell>
          <cell r="D334">
            <v>2140</v>
          </cell>
          <cell r="E334">
            <v>2118</v>
          </cell>
          <cell r="F334">
            <v>2117</v>
          </cell>
          <cell r="G334">
            <v>2117</v>
          </cell>
          <cell r="H334">
            <v>2117</v>
          </cell>
          <cell r="I334">
            <v>3113</v>
          </cell>
          <cell r="J334">
            <v>3112</v>
          </cell>
          <cell r="K334">
            <v>3860</v>
          </cell>
          <cell r="N334">
            <v>173</v>
          </cell>
          <cell r="O334">
            <v>724</v>
          </cell>
          <cell r="P334">
            <v>721</v>
          </cell>
          <cell r="Q334">
            <v>3296</v>
          </cell>
          <cell r="R334">
            <v>3291</v>
          </cell>
          <cell r="S334">
            <v>2778</v>
          </cell>
          <cell r="T334">
            <v>2774</v>
          </cell>
          <cell r="U334">
            <v>2118</v>
          </cell>
          <cell r="V334">
            <v>3113</v>
          </cell>
          <cell r="W334">
            <v>3903</v>
          </cell>
          <cell r="X334">
            <v>3903</v>
          </cell>
          <cell r="Y334">
            <v>3903</v>
          </cell>
          <cell r="Z334">
            <v>3903</v>
          </cell>
          <cell r="BQ334" t="str">
            <v>mstag:longTermDebt</v>
          </cell>
          <cell r="BR334">
            <v>6</v>
          </cell>
          <cell r="BS334" t="str">
            <v>ISO4217:USD</v>
          </cell>
          <cell r="BT334" t="b">
            <v>0</v>
          </cell>
          <cell r="BU334" t="b">
            <v>0</v>
          </cell>
        </row>
        <row r="335">
          <cell r="A335" t="str">
            <v>Deferred income taxes</v>
          </cell>
          <cell r="B335">
            <v>824</v>
          </cell>
          <cell r="E335">
            <v>0</v>
          </cell>
          <cell r="F335">
            <v>0</v>
          </cell>
          <cell r="G335">
            <v>0</v>
          </cell>
          <cell r="H335">
            <v>0</v>
          </cell>
          <cell r="I335">
            <v>0</v>
          </cell>
          <cell r="N335">
            <v>169</v>
          </cell>
          <cell r="O335">
            <v>215</v>
          </cell>
          <cell r="P335">
            <v>197</v>
          </cell>
          <cell r="Q335">
            <v>343</v>
          </cell>
          <cell r="R335">
            <v>640</v>
          </cell>
          <cell r="S335">
            <v>806</v>
          </cell>
          <cell r="T335">
            <v>854</v>
          </cell>
          <cell r="U335">
            <v>970</v>
          </cell>
          <cell r="V335">
            <v>0</v>
          </cell>
          <cell r="W335">
            <v>0</v>
          </cell>
          <cell r="X335">
            <v>0</v>
          </cell>
          <cell r="Y335">
            <v>0</v>
          </cell>
          <cell r="Z335">
            <v>0</v>
          </cell>
          <cell r="BQ335" t="str">
            <v>mstag:deferredTaxLiabilities</v>
          </cell>
          <cell r="BR335">
            <v>6</v>
          </cell>
          <cell r="BS335" t="str">
            <v>ISO4217:USD</v>
          </cell>
          <cell r="BT335" t="b">
            <v>0</v>
          </cell>
          <cell r="BU335" t="b">
            <v>0</v>
          </cell>
        </row>
        <row r="336">
          <cell r="A336" t="str">
            <v>Retirement benefits</v>
          </cell>
          <cell r="B336">
            <v>549</v>
          </cell>
          <cell r="E336">
            <v>0</v>
          </cell>
          <cell r="F336">
            <v>0</v>
          </cell>
          <cell r="G336">
            <v>0</v>
          </cell>
          <cell r="H336">
            <v>0</v>
          </cell>
          <cell r="I336">
            <v>0</v>
          </cell>
          <cell r="N336">
            <v>324</v>
          </cell>
          <cell r="O336">
            <v>340</v>
          </cell>
          <cell r="P336">
            <v>350</v>
          </cell>
          <cell r="Q336">
            <v>340</v>
          </cell>
          <cell r="R336">
            <v>342</v>
          </cell>
          <cell r="S336">
            <v>261</v>
          </cell>
          <cell r="T336">
            <v>386</v>
          </cell>
          <cell r="U336">
            <v>499</v>
          </cell>
          <cell r="V336">
            <v>0</v>
          </cell>
          <cell r="W336">
            <v>292.72708099999983</v>
          </cell>
          <cell r="X336">
            <v>616.95442554989984</v>
          </cell>
          <cell r="Y336">
            <v>965.52486020416779</v>
          </cell>
          <cell r="Z336">
            <v>1351.4864941251094</v>
          </cell>
          <cell r="BQ336" t="str">
            <v>mstag:pensionAndOtherPostRetirementObligations</v>
          </cell>
          <cell r="BR336">
            <v>6</v>
          </cell>
          <cell r="BS336" t="str">
            <v>ISO4217:USD</v>
          </cell>
          <cell r="BT336" t="b">
            <v>0</v>
          </cell>
          <cell r="BU336" t="b">
            <v>0</v>
          </cell>
        </row>
        <row r="337">
          <cell r="A337" t="str">
            <v>Customer deposits on commercial contracts</v>
          </cell>
          <cell r="B337">
            <v>374</v>
          </cell>
          <cell r="E337">
            <v>0</v>
          </cell>
          <cell r="F337">
            <v>0</v>
          </cell>
          <cell r="G337">
            <v>0</v>
          </cell>
          <cell r="H337">
            <v>0</v>
          </cell>
          <cell r="I337">
            <v>0</v>
          </cell>
          <cell r="N337">
            <v>48</v>
          </cell>
          <cell r="O337">
            <v>100</v>
          </cell>
          <cell r="P337">
            <v>87</v>
          </cell>
          <cell r="Q337">
            <v>77</v>
          </cell>
          <cell r="R337">
            <v>100</v>
          </cell>
          <cell r="S337">
            <v>216</v>
          </cell>
          <cell r="T337">
            <v>308</v>
          </cell>
          <cell r="U337">
            <v>707</v>
          </cell>
          <cell r="V337">
            <v>0</v>
          </cell>
          <cell r="W337">
            <v>0</v>
          </cell>
          <cell r="X337">
            <v>0</v>
          </cell>
          <cell r="Y337">
            <v>0</v>
          </cell>
          <cell r="Z337">
            <v>0</v>
          </cell>
          <cell r="BQ337" t="str">
            <v>mstag:customerAdvancesOrDepositsNonCurrent</v>
          </cell>
          <cell r="BR337">
            <v>6</v>
          </cell>
          <cell r="BS337" t="str">
            <v>ISO4217:USD</v>
          </cell>
          <cell r="BT337" t="b">
            <v>0</v>
          </cell>
          <cell r="BU337" t="b">
            <v>0</v>
          </cell>
        </row>
        <row r="338">
          <cell r="A338" t="str">
            <v>Accrued costs of disposed businesses</v>
          </cell>
          <cell r="B338">
            <v>0</v>
          </cell>
          <cell r="E338">
            <v>0</v>
          </cell>
          <cell r="F338">
            <v>0</v>
          </cell>
          <cell r="G338">
            <v>0</v>
          </cell>
          <cell r="H338">
            <v>0</v>
          </cell>
          <cell r="I338">
            <v>0</v>
          </cell>
          <cell r="N338">
            <v>116</v>
          </cell>
          <cell r="O338">
            <v>85</v>
          </cell>
          <cell r="P338">
            <v>67</v>
          </cell>
          <cell r="Q338">
            <v>63</v>
          </cell>
          <cell r="R338">
            <v>48</v>
          </cell>
          <cell r="S338">
            <v>0</v>
          </cell>
          <cell r="T338">
            <v>0</v>
          </cell>
          <cell r="U338">
            <v>0</v>
          </cell>
          <cell r="V338">
            <v>0</v>
          </cell>
          <cell r="W338">
            <v>0</v>
          </cell>
          <cell r="X338">
            <v>0</v>
          </cell>
          <cell r="Y338">
            <v>0</v>
          </cell>
          <cell r="Z338">
            <v>0</v>
          </cell>
          <cell r="BQ338" t="str">
            <v>mstag:otherAccruedExpenses</v>
          </cell>
          <cell r="BR338">
            <v>6</v>
          </cell>
          <cell r="BS338" t="str">
            <v>ISO4217:USD</v>
          </cell>
          <cell r="BT338" t="b">
            <v>0</v>
          </cell>
          <cell r="BU338" t="b">
            <v>0</v>
          </cell>
        </row>
        <row r="339">
          <cell r="A339" t="str">
            <v>Other liabilities</v>
          </cell>
          <cell r="B339">
            <v>459</v>
          </cell>
          <cell r="C339">
            <v>2364</v>
          </cell>
          <cell r="D339">
            <v>2496</v>
          </cell>
          <cell r="E339">
            <v>2683</v>
          </cell>
          <cell r="F339">
            <v>2757</v>
          </cell>
          <cell r="G339">
            <v>3082</v>
          </cell>
          <cell r="H339">
            <v>3242</v>
          </cell>
          <cell r="I339">
            <v>4847</v>
          </cell>
          <cell r="J339">
            <v>4816</v>
          </cell>
          <cell r="K339">
            <v>4737</v>
          </cell>
          <cell r="N339">
            <v>436</v>
          </cell>
          <cell r="O339">
            <v>498</v>
          </cell>
          <cell r="P339">
            <v>528</v>
          </cell>
          <cell r="Q339">
            <v>519</v>
          </cell>
          <cell r="R339">
            <v>556</v>
          </cell>
          <cell r="S339">
            <v>384</v>
          </cell>
          <cell r="T339">
            <v>403</v>
          </cell>
          <cell r="U339">
            <v>507</v>
          </cell>
          <cell r="V339">
            <v>4847</v>
          </cell>
          <cell r="W339">
            <v>4847</v>
          </cell>
          <cell r="X339">
            <v>4847</v>
          </cell>
          <cell r="Y339">
            <v>4847</v>
          </cell>
          <cell r="Z339">
            <v>4847</v>
          </cell>
          <cell r="BQ339" t="str">
            <v>mstag:otherLiabilitiesOperatingNonCurrent</v>
          </cell>
          <cell r="BR339">
            <v>6</v>
          </cell>
          <cell r="BS339" t="str">
            <v>ISO4217:USD</v>
          </cell>
          <cell r="BT339" t="b">
            <v>0</v>
          </cell>
          <cell r="BU339" t="b">
            <v>0</v>
          </cell>
        </row>
        <row r="340">
          <cell r="A340" t="str">
            <v>Total Noncurrent Liabilities</v>
          </cell>
          <cell r="B340">
            <v>4988</v>
          </cell>
          <cell r="C340">
            <v>4647</v>
          </cell>
          <cell r="D340">
            <v>4636</v>
          </cell>
          <cell r="E340">
            <v>4801</v>
          </cell>
          <cell r="F340">
            <v>4874</v>
          </cell>
          <cell r="G340">
            <v>5199</v>
          </cell>
          <cell r="H340">
            <v>5359</v>
          </cell>
          <cell r="I340">
            <v>7960</v>
          </cell>
          <cell r="J340">
            <v>7928</v>
          </cell>
          <cell r="K340">
            <v>8597</v>
          </cell>
          <cell r="N340">
            <v>1266</v>
          </cell>
          <cell r="O340">
            <v>1962</v>
          </cell>
          <cell r="P340">
            <v>1950</v>
          </cell>
          <cell r="Q340">
            <v>4638</v>
          </cell>
          <cell r="R340">
            <v>4977</v>
          </cell>
          <cell r="S340">
            <v>4445</v>
          </cell>
          <cell r="T340">
            <v>4725</v>
          </cell>
          <cell r="U340">
            <v>4801</v>
          </cell>
          <cell r="V340">
            <v>7960</v>
          </cell>
          <cell r="W340">
            <v>9042.7270810000009</v>
          </cell>
          <cell r="X340">
            <v>9366.9544255498986</v>
          </cell>
          <cell r="Y340">
            <v>9715.5248602041684</v>
          </cell>
          <cell r="Z340">
            <v>10101.486494125109</v>
          </cell>
        </row>
        <row r="342">
          <cell r="A342" t="str">
            <v>Common Stock, including surplus</v>
          </cell>
          <cell r="B342">
            <v>1435</v>
          </cell>
          <cell r="C342">
            <v>1491</v>
          </cell>
          <cell r="D342">
            <v>1534</v>
          </cell>
          <cell r="E342">
            <v>1623</v>
          </cell>
          <cell r="F342">
            <v>1672</v>
          </cell>
          <cell r="G342">
            <v>1737</v>
          </cell>
          <cell r="H342">
            <v>1797</v>
          </cell>
          <cell r="I342">
            <v>1828</v>
          </cell>
          <cell r="J342">
            <v>1865</v>
          </cell>
          <cell r="K342">
            <v>1896</v>
          </cell>
          <cell r="N342">
            <v>619</v>
          </cell>
          <cell r="O342">
            <v>694</v>
          </cell>
          <cell r="P342">
            <v>757</v>
          </cell>
          <cell r="Q342">
            <v>838</v>
          </cell>
          <cell r="R342">
            <v>998</v>
          </cell>
          <cell r="S342">
            <v>1127</v>
          </cell>
          <cell r="T342">
            <v>1362</v>
          </cell>
          <cell r="U342">
            <v>1623</v>
          </cell>
          <cell r="V342">
            <v>1828</v>
          </cell>
          <cell r="W342">
            <v>2073</v>
          </cell>
          <cell r="X342">
            <v>2367</v>
          </cell>
          <cell r="Y342">
            <v>2830.05</v>
          </cell>
          <cell r="Z342">
            <v>3316.2525000000001</v>
          </cell>
          <cell r="BQ342" t="str">
            <v>mstag:totalShareCapital</v>
          </cell>
          <cell r="BR342">
            <v>6</v>
          </cell>
          <cell r="BS342" t="str">
            <v>ISO4217:USD</v>
          </cell>
          <cell r="BT342" t="b">
            <v>0</v>
          </cell>
          <cell r="BU342" t="b">
            <v>0</v>
          </cell>
        </row>
        <row r="343">
          <cell r="A343" t="str">
            <v>Retained Earnings</v>
          </cell>
          <cell r="B343">
            <v>10093</v>
          </cell>
          <cell r="C343">
            <v>10488</v>
          </cell>
          <cell r="D343">
            <v>10917</v>
          </cell>
          <cell r="E343">
            <v>11379</v>
          </cell>
          <cell r="F343">
            <v>11812</v>
          </cell>
          <cell r="G343">
            <v>12313</v>
          </cell>
          <cell r="H343">
            <v>12810</v>
          </cell>
          <cell r="I343">
            <v>13287</v>
          </cell>
          <cell r="J343">
            <v>13730</v>
          </cell>
          <cell r="K343">
            <v>14201</v>
          </cell>
          <cell r="N343">
            <v>4059</v>
          </cell>
          <cell r="O343">
            <v>4778</v>
          </cell>
          <cell r="P343">
            <v>5455</v>
          </cell>
          <cell r="Q343">
            <v>6206</v>
          </cell>
          <cell r="R343">
            <v>7146</v>
          </cell>
          <cell r="S343">
            <v>8285</v>
          </cell>
          <cell r="T343">
            <v>9769</v>
          </cell>
          <cell r="U343">
            <v>11379</v>
          </cell>
          <cell r="V343">
            <v>13287</v>
          </cell>
          <cell r="W343">
            <v>15049.9954729894</v>
          </cell>
          <cell r="X343">
            <v>16822.229008555714</v>
          </cell>
          <cell r="Y343">
            <v>18653.533323980686</v>
          </cell>
          <cell r="Z343">
            <v>20542.080673049382</v>
          </cell>
          <cell r="BQ343" t="str">
            <v>mstag:retainedEarnings</v>
          </cell>
          <cell r="BR343">
            <v>6</v>
          </cell>
          <cell r="BS343" t="str">
            <v>ISO4217:USD</v>
          </cell>
          <cell r="BT343" t="b">
            <v>0</v>
          </cell>
          <cell r="BU343" t="b">
            <v>0</v>
          </cell>
        </row>
        <row r="344">
          <cell r="A344" t="str">
            <v>Treasury Stock</v>
          </cell>
          <cell r="B344">
            <v>-1613</v>
          </cell>
          <cell r="C344">
            <v>-1594</v>
          </cell>
          <cell r="D344">
            <v>-1892</v>
          </cell>
          <cell r="E344">
            <v>-1881</v>
          </cell>
          <cell r="F344">
            <v>-2399</v>
          </cell>
          <cell r="G344">
            <v>-2545</v>
          </cell>
          <cell r="H344">
            <v>-3019</v>
          </cell>
          <cell r="I344">
            <v>-3349</v>
          </cell>
          <cell r="J344">
            <v>-3439</v>
          </cell>
          <cell r="K344">
            <v>-3437</v>
          </cell>
          <cell r="N344">
            <v>-833</v>
          </cell>
          <cell r="O344">
            <v>-930</v>
          </cell>
          <cell r="P344">
            <v>-1016</v>
          </cell>
          <cell r="Q344">
            <v>-1279</v>
          </cell>
          <cell r="R344">
            <v>-1206</v>
          </cell>
          <cell r="S344">
            <v>-1493</v>
          </cell>
          <cell r="T344">
            <v>-1455</v>
          </cell>
          <cell r="U344">
            <v>-1881</v>
          </cell>
          <cell r="V344">
            <v>-3349</v>
          </cell>
          <cell r="W344">
            <v>-4364</v>
          </cell>
          <cell r="X344">
            <v>-5025.5</v>
          </cell>
          <cell r="Y344">
            <v>-5411.375</v>
          </cell>
          <cell r="Z344">
            <v>-5557.2357499999998</v>
          </cell>
          <cell r="BQ344" t="str">
            <v>mstag:treasuryStockAndInvestmentInOwnShares</v>
          </cell>
          <cell r="BR344">
            <v>6</v>
          </cell>
          <cell r="BS344" t="str">
            <v>ISO4217:USD</v>
          </cell>
          <cell r="BT344" t="b">
            <v>1</v>
          </cell>
          <cell r="BU344" t="b">
            <v>0</v>
          </cell>
        </row>
        <row r="345">
          <cell r="A345" t="str">
            <v>Accumulated other comprehensive income</v>
          </cell>
          <cell r="B345">
            <v>160</v>
          </cell>
          <cell r="C345">
            <v>237</v>
          </cell>
          <cell r="D345">
            <v>351</v>
          </cell>
          <cell r="E345">
            <v>647</v>
          </cell>
          <cell r="F345">
            <v>692</v>
          </cell>
          <cell r="G345">
            <v>679</v>
          </cell>
          <cell r="H345">
            <v>546</v>
          </cell>
          <cell r="I345">
            <v>-1713</v>
          </cell>
          <cell r="J345">
            <v>-1885</v>
          </cell>
          <cell r="K345">
            <v>-1659</v>
          </cell>
          <cell r="N345">
            <v>-25</v>
          </cell>
          <cell r="O345">
            <v>-14</v>
          </cell>
          <cell r="P345">
            <v>3</v>
          </cell>
          <cell r="Q345">
            <v>156</v>
          </cell>
          <cell r="R345">
            <v>251</v>
          </cell>
          <cell r="S345">
            <v>226</v>
          </cell>
          <cell r="T345">
            <v>151</v>
          </cell>
          <cell r="U345">
            <v>647</v>
          </cell>
          <cell r="V345">
            <v>-1713</v>
          </cell>
          <cell r="W345">
            <v>-1713</v>
          </cell>
          <cell r="X345">
            <v>-1713</v>
          </cell>
          <cell r="Y345">
            <v>-1713</v>
          </cell>
          <cell r="Z345">
            <v>-1713</v>
          </cell>
          <cell r="BQ345" t="str">
            <v>mstag:accumulatedOtherComprehensiveIncomeLossAndReserves</v>
          </cell>
          <cell r="BR345">
            <v>6</v>
          </cell>
          <cell r="BS345" t="str">
            <v>ISO4217:USD</v>
          </cell>
          <cell r="BT345" t="b">
            <v>0</v>
          </cell>
          <cell r="BU345" t="b">
            <v>0</v>
          </cell>
        </row>
        <row r="346">
          <cell r="A346" t="str">
            <v>Total Shareholders' Equity</v>
          </cell>
          <cell r="B346">
            <v>10075</v>
          </cell>
          <cell r="C346">
            <v>10622</v>
          </cell>
          <cell r="D346">
            <v>10910</v>
          </cell>
          <cell r="E346">
            <v>11768</v>
          </cell>
          <cell r="F346">
            <v>11777</v>
          </cell>
          <cell r="G346">
            <v>12184</v>
          </cell>
          <cell r="H346">
            <v>12134</v>
          </cell>
          <cell r="I346">
            <v>10053</v>
          </cell>
          <cell r="J346">
            <v>10271</v>
          </cell>
          <cell r="K346">
            <v>11001</v>
          </cell>
          <cell r="N346">
            <v>3820</v>
          </cell>
          <cell r="O346">
            <v>4528</v>
          </cell>
          <cell r="P346">
            <v>5199</v>
          </cell>
          <cell r="Q346">
            <v>5921</v>
          </cell>
          <cell r="R346">
            <v>7189</v>
          </cell>
          <cell r="S346">
            <v>8145</v>
          </cell>
          <cell r="T346">
            <v>9827</v>
          </cell>
          <cell r="U346">
            <v>11768</v>
          </cell>
          <cell r="V346">
            <v>10053</v>
          </cell>
          <cell r="W346">
            <v>11045.995472989402</v>
          </cell>
          <cell r="X346">
            <v>12450.729008555714</v>
          </cell>
          <cell r="Y346">
            <v>14359.208323980685</v>
          </cell>
          <cell r="Z346">
            <v>16588.097423049381</v>
          </cell>
        </row>
        <row r="348">
          <cell r="A348" t="str">
            <v>Total Liabilities and Equity</v>
          </cell>
          <cell r="B348">
            <v>22732</v>
          </cell>
          <cell r="C348">
            <v>23407</v>
          </cell>
          <cell r="D348">
            <v>23883</v>
          </cell>
          <cell r="E348">
            <v>25733</v>
          </cell>
          <cell r="F348">
            <v>25707</v>
          </cell>
          <cell r="G348">
            <v>26089</v>
          </cell>
          <cell r="H348">
            <v>26046</v>
          </cell>
          <cell r="I348">
            <v>28373</v>
          </cell>
          <cell r="J348">
            <v>28279</v>
          </cell>
          <cell r="K348">
            <v>28858</v>
          </cell>
          <cell r="N348">
            <v>7987</v>
          </cell>
          <cell r="O348">
            <v>11069</v>
          </cell>
          <cell r="P348">
            <v>11731</v>
          </cell>
          <cell r="Q348">
            <v>16183</v>
          </cell>
          <cell r="R348">
            <v>17544</v>
          </cell>
          <cell r="S348">
            <v>19700</v>
          </cell>
          <cell r="T348">
            <v>22376</v>
          </cell>
          <cell r="U348">
            <v>25733</v>
          </cell>
          <cell r="V348">
            <v>28373</v>
          </cell>
          <cell r="W348">
            <v>31295.722553989403</v>
          </cell>
          <cell r="X348">
            <v>33410.443434105619</v>
          </cell>
          <cell r="Y348">
            <v>36057.873184184849</v>
          </cell>
          <cell r="Z348">
            <v>39270.083917174488</v>
          </cell>
        </row>
        <row r="349">
          <cell r="A349" t="str">
            <v>balance check</v>
          </cell>
          <cell r="B349">
            <v>0</v>
          </cell>
          <cell r="C349">
            <v>0</v>
          </cell>
          <cell r="D349">
            <v>0</v>
          </cell>
          <cell r="E349">
            <v>0</v>
          </cell>
          <cell r="F349">
            <v>0</v>
          </cell>
          <cell r="G349">
            <v>0</v>
          </cell>
          <cell r="H349">
            <v>0</v>
          </cell>
          <cell r="I349">
            <v>0</v>
          </cell>
          <cell r="J349">
            <v>0</v>
          </cell>
          <cell r="K349">
            <v>0</v>
          </cell>
          <cell r="N349">
            <v>0</v>
          </cell>
          <cell r="O349">
            <v>0</v>
          </cell>
          <cell r="P349">
            <v>0</v>
          </cell>
          <cell r="Q349">
            <v>0</v>
          </cell>
          <cell r="R349">
            <v>0</v>
          </cell>
          <cell r="S349">
            <v>0</v>
          </cell>
          <cell r="T349">
            <v>0</v>
          </cell>
          <cell r="U349">
            <v>0</v>
          </cell>
          <cell r="V349">
            <v>0</v>
          </cell>
          <cell r="W349">
            <v>0</v>
          </cell>
          <cell r="X349">
            <v>0</v>
          </cell>
          <cell r="Y349">
            <v>0</v>
          </cell>
          <cell r="Z349">
            <v>0</v>
          </cell>
        </row>
        <row r="352">
          <cell r="A352" t="str">
            <v>Working Capital Assumptions</v>
          </cell>
        </row>
        <row r="353">
          <cell r="A353" t="str">
            <v>Marketable Securities (% of Previous Cash)</v>
          </cell>
          <cell r="B353">
            <v>0</v>
          </cell>
          <cell r="C353">
            <v>0</v>
          </cell>
          <cell r="D353">
            <v>0</v>
          </cell>
          <cell r="E353">
            <v>0</v>
          </cell>
          <cell r="F353">
            <v>0</v>
          </cell>
          <cell r="G353">
            <v>0</v>
          </cell>
          <cell r="H353">
            <v>0</v>
          </cell>
          <cell r="I353">
            <v>0</v>
          </cell>
          <cell r="J353">
            <v>0</v>
          </cell>
          <cell r="K353">
            <v>0</v>
          </cell>
          <cell r="N353">
            <v>0</v>
          </cell>
          <cell r="O353">
            <v>0</v>
          </cell>
          <cell r="P353">
            <v>0</v>
          </cell>
          <cell r="Q353">
            <v>0</v>
          </cell>
          <cell r="R353">
            <v>0</v>
          </cell>
          <cell r="S353">
            <v>0</v>
          </cell>
          <cell r="T353">
            <v>0</v>
          </cell>
          <cell r="U353">
            <v>0</v>
          </cell>
          <cell r="V353">
            <v>0</v>
          </cell>
          <cell r="W353">
            <v>0</v>
          </cell>
          <cell r="X353">
            <v>0</v>
          </cell>
          <cell r="Y353">
            <v>0</v>
          </cell>
          <cell r="Z353">
            <v>0</v>
          </cell>
        </row>
        <row r="354">
          <cell r="A354" t="str">
            <v>Accounts Receivables (Days Sales Outstanding)</v>
          </cell>
          <cell r="B354">
            <v>32.914285714285711</v>
          </cell>
          <cell r="C354">
            <v>34.670004551661357</v>
          </cell>
          <cell r="D354">
            <v>32.028094820017557</v>
          </cell>
          <cell r="E354">
            <v>34.419161676646709</v>
          </cell>
          <cell r="F354">
            <v>38.235546038543902</v>
          </cell>
          <cell r="G354">
            <v>36.502807065589487</v>
          </cell>
          <cell r="H354">
            <v>39.113445378151262</v>
          </cell>
          <cell r="I354">
            <v>39.761844116148751</v>
          </cell>
          <cell r="J354">
            <v>41.329864472410456</v>
          </cell>
          <cell r="K354">
            <v>40.544444444444444</v>
          </cell>
          <cell r="N354">
            <v>27.877729257641921</v>
          </cell>
          <cell r="O354">
            <v>28.909905425584867</v>
          </cell>
          <cell r="P354">
            <v>28.263157894736842</v>
          </cell>
          <cell r="Q354">
            <v>29.63253307202352</v>
          </cell>
          <cell r="R354">
            <v>27.665889336442653</v>
          </cell>
          <cell r="S354">
            <v>34.395232419547085</v>
          </cell>
          <cell r="T354">
            <v>35.023064455803514</v>
          </cell>
          <cell r="U354">
            <v>37.982378854625551</v>
          </cell>
          <cell r="V354">
            <v>42.622525597269629</v>
          </cell>
          <cell r="W354">
            <v>34</v>
          </cell>
          <cell r="X354">
            <v>34</v>
          </cell>
          <cell r="Y354">
            <v>34</v>
          </cell>
          <cell r="Z354">
            <v>34</v>
          </cell>
        </row>
        <row r="355">
          <cell r="A355" t="str">
            <v>Contracts in Progress (Days Sales Outstanding, ex. Gulfstream)</v>
          </cell>
          <cell r="B355">
            <v>71.917018824433356</v>
          </cell>
          <cell r="C355">
            <v>70.772803269552298</v>
          </cell>
          <cell r="D355">
            <v>68.36021018300417</v>
          </cell>
          <cell r="E355">
            <v>61.917829949238573</v>
          </cell>
          <cell r="F355">
            <v>68.859587844917925</v>
          </cell>
          <cell r="G355">
            <v>67.869099430867095</v>
          </cell>
          <cell r="H355">
            <v>68.092926490984738</v>
          </cell>
          <cell r="I355">
            <v>61.818037974683541</v>
          </cell>
          <cell r="J355">
            <v>56.017036275517697</v>
          </cell>
          <cell r="K355">
            <v>59.344801795063582</v>
          </cell>
          <cell r="N355">
            <v>61.253435953820777</v>
          </cell>
          <cell r="O355">
            <v>70.943224485151902</v>
          </cell>
          <cell r="P355">
            <v>66.311230872870752</v>
          </cell>
          <cell r="Q355">
            <v>66.528172171573758</v>
          </cell>
          <cell r="R355">
            <v>65.615539858728553</v>
          </cell>
          <cell r="S355">
            <v>64.685896705050737</v>
          </cell>
          <cell r="T355">
            <v>71.974733042562789</v>
          </cell>
          <cell r="U355">
            <v>69.664465464929506</v>
          </cell>
          <cell r="V355">
            <v>65.695308558937271</v>
          </cell>
          <cell r="W355">
            <v>72</v>
          </cell>
          <cell r="X355">
            <v>72</v>
          </cell>
          <cell r="Y355">
            <v>72</v>
          </cell>
          <cell r="Z355">
            <v>72</v>
          </cell>
        </row>
        <row r="356">
          <cell r="A356" t="str">
            <v>Inventory (% of Gulfstream Sales)</v>
          </cell>
          <cell r="B356">
            <v>0.36654478976234006</v>
          </cell>
          <cell r="C356">
            <v>0.33009105960264901</v>
          </cell>
          <cell r="D356">
            <v>0.29581749049429656</v>
          </cell>
          <cell r="E356">
            <v>0.33464079273327829</v>
          </cell>
          <cell r="F356">
            <v>0.32505863956215791</v>
          </cell>
          <cell r="G356">
            <v>0.31452219714070728</v>
          </cell>
          <cell r="H356">
            <v>0.31432215743440234</v>
          </cell>
          <cell r="I356">
            <v>0.33110313315926893</v>
          </cell>
          <cell r="J356">
            <v>0.35790378006872853</v>
          </cell>
          <cell r="K356">
            <v>0.37773851590106006</v>
          </cell>
          <cell r="N356">
            <v>0.31462528887421592</v>
          </cell>
          <cell r="O356">
            <v>0.39479326186830016</v>
          </cell>
          <cell r="P356">
            <v>0.4271815141380359</v>
          </cell>
          <cell r="Q356">
            <v>0.39341479972844534</v>
          </cell>
          <cell r="R356">
            <v>0.39674634794156705</v>
          </cell>
          <cell r="S356">
            <v>0.3766385085930673</v>
          </cell>
          <cell r="T356">
            <v>0.36054421768707484</v>
          </cell>
          <cell r="U356">
            <v>0.33574979287489642</v>
          </cell>
          <cell r="V356">
            <v>0.36810595065312046</v>
          </cell>
          <cell r="W356">
            <v>0.4</v>
          </cell>
          <cell r="X356">
            <v>0.4</v>
          </cell>
          <cell r="Y356">
            <v>0.4</v>
          </cell>
          <cell r="Z356">
            <v>0.4</v>
          </cell>
        </row>
        <row r="357">
          <cell r="A357" t="str">
            <v>Other Current Assets (% of Sales)</v>
          </cell>
          <cell r="B357">
            <v>1.5793650793650794E-2</v>
          </cell>
          <cell r="C357">
            <v>1.4792899408284023E-2</v>
          </cell>
          <cell r="D357">
            <v>2.4656131109160082E-2</v>
          </cell>
          <cell r="E357">
            <v>1.912840984697272E-2</v>
          </cell>
          <cell r="F357">
            <v>2.0164168451106353E-2</v>
          </cell>
          <cell r="G357">
            <v>1.9478296590442284E-2</v>
          </cell>
          <cell r="H357">
            <v>1.5756302521008403E-2</v>
          </cell>
          <cell r="I357">
            <v>1.5601120733571065E-2</v>
          </cell>
          <cell r="J357">
            <v>1.7787996127783156E-2</v>
          </cell>
          <cell r="K357">
            <v>1.5092592592592593E-2</v>
          </cell>
          <cell r="N357">
            <v>3.7360504609412905E-2</v>
          </cell>
          <cell r="O357">
            <v>4.2890326862452297E-2</v>
          </cell>
          <cell r="P357">
            <v>2.7558479532163744E-2</v>
          </cell>
          <cell r="Q357">
            <v>4.8199412052915239E-2</v>
          </cell>
          <cell r="R357">
            <v>4.345982616069536E-2</v>
          </cell>
          <cell r="S357">
            <v>3.1895113230035757E-2</v>
          </cell>
          <cell r="T357">
            <v>1.9241158625275319E-2</v>
          </cell>
          <cell r="U357">
            <v>2.1108663729809105E-2</v>
          </cell>
          <cell r="V357">
            <v>1.6723549488054608E-2</v>
          </cell>
        </row>
        <row r="358">
          <cell r="A358" t="str">
            <v>Accounts Payable (% of Sales)</v>
          </cell>
          <cell r="B358">
            <v>7.6349206349206347E-2</v>
          </cell>
          <cell r="C358">
            <v>6.8995600060688819E-2</v>
          </cell>
          <cell r="D358">
            <v>7.0456540825285338E-2</v>
          </cell>
          <cell r="E358">
            <v>7.7112441783100463E-2</v>
          </cell>
          <cell r="F358">
            <v>7.4625267665952885E-2</v>
          </cell>
          <cell r="G358">
            <v>7.2401752704368064E-2</v>
          </cell>
          <cell r="H358">
            <v>7.2268907563025217E-2</v>
          </cell>
          <cell r="I358">
            <v>7.7782730514518589E-2</v>
          </cell>
          <cell r="J358">
            <v>7.8533397870280741E-2</v>
          </cell>
          <cell r="K358">
            <v>7.4907407407407409E-2</v>
          </cell>
          <cell r="N358">
            <v>6.9577874818049487E-2</v>
          </cell>
          <cell r="O358">
            <v>7.383441181350589E-2</v>
          </cell>
          <cell r="P358">
            <v>7.7192982456140355E-2</v>
          </cell>
          <cell r="Q358">
            <v>7.88829005389515E-2</v>
          </cell>
          <cell r="R358">
            <v>7.9764680941276228E-2</v>
          </cell>
          <cell r="S358">
            <v>8.0381406436233607E-2</v>
          </cell>
          <cell r="T358">
            <v>8.1286622615633963E-2</v>
          </cell>
          <cell r="U358">
            <v>8.5095447870778274E-2</v>
          </cell>
          <cell r="V358">
            <v>8.337883959044369E-2</v>
          </cell>
          <cell r="W358">
            <v>8.6999999999999994E-2</v>
          </cell>
          <cell r="X358">
            <v>8.6999999999999994E-2</v>
          </cell>
          <cell r="Y358">
            <v>8.6999999999999994E-2</v>
          </cell>
          <cell r="Z358">
            <v>8.6999999999999994E-2</v>
          </cell>
        </row>
        <row r="359">
          <cell r="A359" t="str">
            <v>Billings in Excess (% of Sales)</v>
          </cell>
          <cell r="B359">
            <v>0</v>
          </cell>
          <cell r="C359">
            <v>0</v>
          </cell>
          <cell r="D359">
            <v>0</v>
          </cell>
          <cell r="E359">
            <v>0</v>
          </cell>
          <cell r="F359">
            <v>0</v>
          </cell>
          <cell r="G359">
            <v>0</v>
          </cell>
          <cell r="H359">
            <v>0</v>
          </cell>
          <cell r="I359">
            <v>0</v>
          </cell>
          <cell r="J359">
            <v>0</v>
          </cell>
          <cell r="K359">
            <v>0</v>
          </cell>
          <cell r="N359">
            <v>4.1727316836487139E-3</v>
          </cell>
          <cell r="O359">
            <v>3.3764725402356068E-2</v>
          </cell>
          <cell r="P359">
            <v>3.7719298245614034E-2</v>
          </cell>
          <cell r="Q359">
            <v>4.8444390004899557E-2</v>
          </cell>
          <cell r="R359">
            <v>5.3158787364850538E-2</v>
          </cell>
          <cell r="S359">
            <v>0</v>
          </cell>
          <cell r="T359">
            <v>0</v>
          </cell>
          <cell r="U359">
            <v>0</v>
          </cell>
          <cell r="V359">
            <v>0</v>
          </cell>
          <cell r="W359">
            <v>0</v>
          </cell>
          <cell r="X359">
            <v>0</v>
          </cell>
          <cell r="Y359">
            <v>0</v>
          </cell>
          <cell r="Z359">
            <v>0</v>
          </cell>
        </row>
        <row r="360">
          <cell r="A360" t="str">
            <v>Workers Compensation (% of Sales)</v>
          </cell>
          <cell r="B360">
            <v>2.0555555555555556E-2</v>
          </cell>
          <cell r="C360">
            <v>0</v>
          </cell>
          <cell r="D360">
            <v>0</v>
          </cell>
          <cell r="E360">
            <v>0</v>
          </cell>
          <cell r="F360">
            <v>0</v>
          </cell>
          <cell r="G360">
            <v>0</v>
          </cell>
          <cell r="H360">
            <v>0</v>
          </cell>
          <cell r="I360">
            <v>0</v>
          </cell>
          <cell r="J360">
            <v>0</v>
          </cell>
          <cell r="K360">
            <v>0</v>
          </cell>
          <cell r="N360">
            <v>4.4056283357593401E-2</v>
          </cell>
          <cell r="O360">
            <v>3.9240086278413806E-2</v>
          </cell>
          <cell r="P360">
            <v>3.7207602339181287E-2</v>
          </cell>
          <cell r="Q360">
            <v>3.3500734933855955E-2</v>
          </cell>
          <cell r="R360">
            <v>2.2895908416366333E-2</v>
          </cell>
          <cell r="S360">
            <v>1.964243146603099E-2</v>
          </cell>
          <cell r="T360">
            <v>2.2690437601296597E-2</v>
          </cell>
          <cell r="U360">
            <v>1.9603524229074888E-2</v>
          </cell>
          <cell r="V360">
            <v>0</v>
          </cell>
          <cell r="W360">
            <v>0</v>
          </cell>
          <cell r="X360">
            <v>0</v>
          </cell>
          <cell r="Y360">
            <v>0</v>
          </cell>
          <cell r="Z360">
            <v>0</v>
          </cell>
        </row>
        <row r="361">
          <cell r="A361" t="str">
            <v>Customer Deposits, Current (% of Sales)</v>
          </cell>
          <cell r="B361">
            <v>0.11388888888888889</v>
          </cell>
          <cell r="C361">
            <v>0.11561219845243514</v>
          </cell>
          <cell r="D361">
            <v>0.10524582967515364</v>
          </cell>
          <cell r="E361">
            <v>0.11443779108449767</v>
          </cell>
          <cell r="F361">
            <v>0.12430406852248393</v>
          </cell>
          <cell r="G361">
            <v>0.12926194714500891</v>
          </cell>
          <cell r="H361">
            <v>0.12874649859943976</v>
          </cell>
          <cell r="I361">
            <v>0.13225929699439634</v>
          </cell>
          <cell r="J361">
            <v>0.1112959825750242</v>
          </cell>
          <cell r="K361">
            <v>0.11919753086419753</v>
          </cell>
          <cell r="N361">
            <v>5.0266860747210089E-2</v>
          </cell>
          <cell r="O361">
            <v>2.9699684751949559E-2</v>
          </cell>
          <cell r="P361">
            <v>2.8070175438596492E-2</v>
          </cell>
          <cell r="Q361">
            <v>2.8478686918177364E-2</v>
          </cell>
          <cell r="R361">
            <v>3.4608861564553742E-2</v>
          </cell>
          <cell r="S361">
            <v>0.12228843861740167</v>
          </cell>
          <cell r="T361">
            <v>0.12255329759381624</v>
          </cell>
          <cell r="U361">
            <v>0.12628487518355361</v>
          </cell>
          <cell r="V361">
            <v>0.14177474402730375</v>
          </cell>
          <cell r="W361">
            <v>0.16700000000000001</v>
          </cell>
          <cell r="X361">
            <v>0.17499999999999999</v>
          </cell>
          <cell r="Y361">
            <v>0.17499999999999999</v>
          </cell>
          <cell r="Z361">
            <v>0.17499999999999999</v>
          </cell>
        </row>
        <row r="362">
          <cell r="A362" t="str">
            <v>Salaries and Wages (% of Sales)</v>
          </cell>
          <cell r="B362">
            <v>1.9603174603174602E-2</v>
          </cell>
          <cell r="C362">
            <v>0</v>
          </cell>
          <cell r="D362">
            <v>0</v>
          </cell>
          <cell r="E362">
            <v>0</v>
          </cell>
          <cell r="F362">
            <v>0</v>
          </cell>
          <cell r="G362">
            <v>0</v>
          </cell>
          <cell r="H362">
            <v>0</v>
          </cell>
          <cell r="I362">
            <v>0</v>
          </cell>
          <cell r="J362">
            <v>0</v>
          </cell>
          <cell r="K362">
            <v>0</v>
          </cell>
          <cell r="N362">
            <v>1.7661329451722465E-2</v>
          </cell>
          <cell r="O362">
            <v>1.8666002986560477E-2</v>
          </cell>
          <cell r="P362">
            <v>1.6228070175438595E-2</v>
          </cell>
          <cell r="Q362">
            <v>2.1741793238608524E-2</v>
          </cell>
          <cell r="R362">
            <v>1.934492262030952E-2</v>
          </cell>
          <cell r="S362">
            <v>1.8450536352800955E-2</v>
          </cell>
          <cell r="T362">
            <v>1.8991813157129202E-2</v>
          </cell>
          <cell r="U362">
            <v>2.0961820851688694E-2</v>
          </cell>
          <cell r="V362">
            <v>0</v>
          </cell>
          <cell r="W362">
            <v>0</v>
          </cell>
          <cell r="X362">
            <v>0</v>
          </cell>
          <cell r="Y362">
            <v>0</v>
          </cell>
          <cell r="Z362">
            <v>0</v>
          </cell>
        </row>
        <row r="363">
          <cell r="A363" t="str">
            <v>Other Current Liabilities (% of Sales)</v>
          </cell>
          <cell r="B363">
            <v>4.3452380952380951E-2</v>
          </cell>
          <cell r="C363">
            <v>0.1048778637536034</v>
          </cell>
          <cell r="D363">
            <v>0.1052824114720515</v>
          </cell>
          <cell r="E363">
            <v>9.0918163672654692E-2</v>
          </cell>
          <cell r="F363">
            <v>0.1002498215560314</v>
          </cell>
          <cell r="G363">
            <v>9.0476516500068466E-2</v>
          </cell>
          <cell r="H363">
            <v>9.7689075630252101E-2</v>
          </cell>
          <cell r="I363">
            <v>9.0804890473764652E-2</v>
          </cell>
          <cell r="J363">
            <v>9.1813891577928367E-2</v>
          </cell>
          <cell r="K363">
            <v>0.09</v>
          </cell>
          <cell r="N363">
            <v>3.8233867054827751E-2</v>
          </cell>
          <cell r="O363">
            <v>6.1141529782644768E-2</v>
          </cell>
          <cell r="P363">
            <v>5.4532163742690057E-2</v>
          </cell>
          <cell r="Q363">
            <v>6.0999510044096032E-2</v>
          </cell>
          <cell r="R363">
            <v>5.0667797328810688E-2</v>
          </cell>
          <cell r="S363">
            <v>4.6483909415971393E-2</v>
          </cell>
          <cell r="T363">
            <v>3.9147238498940279E-2</v>
          </cell>
          <cell r="U363">
            <v>3.8289280469897213E-2</v>
          </cell>
          <cell r="V363">
            <v>9.7337883959044372E-2</v>
          </cell>
        </row>
        <row r="364">
          <cell r="A364" t="str">
            <v>Other Liabilities (% of Sales)</v>
          </cell>
          <cell r="B364">
            <v>1.8214285714285714E-2</v>
          </cell>
          <cell r="C364">
            <v>8.9667728720983164E-2</v>
          </cell>
          <cell r="D364">
            <v>9.1308165057067597E-2</v>
          </cell>
          <cell r="E364">
            <v>8.925482368596141E-2</v>
          </cell>
          <cell r="F364">
            <v>9.839400428265524E-2</v>
          </cell>
          <cell r="G364">
            <v>0.10550458715596331</v>
          </cell>
          <cell r="H364">
            <v>0.11351540616246499</v>
          </cell>
          <cell r="I364">
            <v>0.15432373917473255</v>
          </cell>
          <cell r="J364">
            <v>0.14569215876089062</v>
          </cell>
          <cell r="K364">
            <v>0.1462037037037037</v>
          </cell>
          <cell r="N364">
            <v>4.2309558466763708E-2</v>
          </cell>
          <cell r="O364">
            <v>4.1314086610253854E-2</v>
          </cell>
          <cell r="P364">
            <v>3.8596491228070177E-2</v>
          </cell>
          <cell r="Q364">
            <v>3.17858892699657E-2</v>
          </cell>
          <cell r="R364">
            <v>2.9467882128471488E-2</v>
          </cell>
          <cell r="S364">
            <v>1.830750893921335E-2</v>
          </cell>
          <cell r="T364">
            <v>1.6747703943814155E-2</v>
          </cell>
          <cell r="U364">
            <v>1.8612334801762116E-2</v>
          </cell>
          <cell r="V364">
            <v>0.16542662116040954</v>
          </cell>
          <cell r="W364">
            <v>0.03</v>
          </cell>
          <cell r="X364">
            <v>0.03</v>
          </cell>
          <cell r="Y364">
            <v>0.03</v>
          </cell>
          <cell r="Z364">
            <v>0.03</v>
          </cell>
        </row>
        <row r="366">
          <cell r="A366" t="str">
            <v>Inventory Breakdown</v>
          </cell>
        </row>
        <row r="367">
          <cell r="A367" t="str">
            <v>Work in Process (WIP)</v>
          </cell>
          <cell r="B367">
            <v>742</v>
          </cell>
          <cell r="C367">
            <v>742</v>
          </cell>
          <cell r="D367">
            <v>713</v>
          </cell>
          <cell r="E367">
            <v>774</v>
          </cell>
          <cell r="F367">
            <v>814</v>
          </cell>
          <cell r="G367">
            <v>828</v>
          </cell>
          <cell r="H367">
            <v>834</v>
          </cell>
          <cell r="I367">
            <v>876</v>
          </cell>
          <cell r="N367">
            <v>405</v>
          </cell>
          <cell r="O367">
            <v>643</v>
          </cell>
          <cell r="P367">
            <v>750</v>
          </cell>
          <cell r="Q367">
            <v>614</v>
          </cell>
          <cell r="R367">
            <v>648</v>
          </cell>
          <cell r="S367">
            <v>701</v>
          </cell>
          <cell r="T367">
            <v>715</v>
          </cell>
          <cell r="U367">
            <v>774</v>
          </cell>
          <cell r="V367">
            <v>876</v>
          </cell>
        </row>
        <row r="368">
          <cell r="A368" t="str">
            <v>Raw Materials</v>
          </cell>
          <cell r="B368">
            <v>772</v>
          </cell>
          <cell r="C368">
            <v>772</v>
          </cell>
          <cell r="D368">
            <v>798</v>
          </cell>
          <cell r="E368">
            <v>804</v>
          </cell>
          <cell r="F368">
            <v>797</v>
          </cell>
          <cell r="G368">
            <v>812</v>
          </cell>
          <cell r="H368">
            <v>835</v>
          </cell>
          <cell r="I368">
            <v>1001</v>
          </cell>
          <cell r="N368">
            <v>289</v>
          </cell>
          <cell r="O368">
            <v>361</v>
          </cell>
          <cell r="P368">
            <v>396</v>
          </cell>
          <cell r="Q368">
            <v>388</v>
          </cell>
          <cell r="R368">
            <v>392</v>
          </cell>
          <cell r="S368">
            <v>505</v>
          </cell>
          <cell r="T368">
            <v>711</v>
          </cell>
          <cell r="U368">
            <v>804</v>
          </cell>
          <cell r="V368">
            <v>1001</v>
          </cell>
        </row>
        <row r="369">
          <cell r="A369" t="str">
            <v>Preowned Aircraft</v>
          </cell>
          <cell r="B369">
            <v>58</v>
          </cell>
          <cell r="C369">
            <v>58</v>
          </cell>
          <cell r="D369">
            <v>30</v>
          </cell>
          <cell r="E369">
            <v>30</v>
          </cell>
          <cell r="F369">
            <v>22</v>
          </cell>
          <cell r="G369">
            <v>0</v>
          </cell>
          <cell r="H369">
            <v>24</v>
          </cell>
          <cell r="I369">
            <v>100</v>
          </cell>
          <cell r="N369">
            <v>236</v>
          </cell>
          <cell r="O369">
            <v>254</v>
          </cell>
          <cell r="P369">
            <v>230</v>
          </cell>
          <cell r="Q369">
            <v>103</v>
          </cell>
          <cell r="R369">
            <v>119</v>
          </cell>
          <cell r="S369">
            <v>69</v>
          </cell>
          <cell r="T369">
            <v>44</v>
          </cell>
          <cell r="U369">
            <v>30</v>
          </cell>
          <cell r="V369">
            <v>100</v>
          </cell>
        </row>
        <row r="370">
          <cell r="A370" t="str">
            <v>Other (coal/aggregates)</v>
          </cell>
          <cell r="B370">
            <v>32</v>
          </cell>
          <cell r="C370">
            <v>32</v>
          </cell>
          <cell r="D370">
            <v>15</v>
          </cell>
          <cell r="E370">
            <v>13</v>
          </cell>
          <cell r="F370">
            <v>30</v>
          </cell>
          <cell r="G370">
            <v>13</v>
          </cell>
          <cell r="H370">
            <v>32</v>
          </cell>
          <cell r="I370">
            <v>52</v>
          </cell>
          <cell r="N370">
            <v>23</v>
          </cell>
          <cell r="O370">
            <v>31</v>
          </cell>
          <cell r="P370">
            <v>29</v>
          </cell>
          <cell r="Q370">
            <v>54</v>
          </cell>
          <cell r="R370">
            <v>36</v>
          </cell>
          <cell r="S370">
            <v>18</v>
          </cell>
          <cell r="T370">
            <v>14</v>
          </cell>
          <cell r="U370">
            <v>13</v>
          </cell>
          <cell r="V370">
            <v>52</v>
          </cell>
        </row>
        <row r="371">
          <cell r="A371" t="str">
            <v>Total</v>
          </cell>
          <cell r="B371">
            <v>1604</v>
          </cell>
          <cell r="C371">
            <v>1604</v>
          </cell>
          <cell r="D371">
            <v>1556</v>
          </cell>
          <cell r="E371">
            <v>1621</v>
          </cell>
          <cell r="F371">
            <v>1663</v>
          </cell>
          <cell r="G371">
            <v>1653</v>
          </cell>
          <cell r="H371">
            <v>1725</v>
          </cell>
          <cell r="I371">
            <v>2029</v>
          </cell>
          <cell r="N371">
            <v>953</v>
          </cell>
          <cell r="O371">
            <v>1289</v>
          </cell>
          <cell r="P371">
            <v>1405</v>
          </cell>
          <cell r="Q371">
            <v>1159</v>
          </cell>
          <cell r="R371">
            <v>1195</v>
          </cell>
          <cell r="S371">
            <v>1293</v>
          </cell>
          <cell r="T371">
            <v>1484</v>
          </cell>
          <cell r="U371">
            <v>1621</v>
          </cell>
          <cell r="V371">
            <v>2029</v>
          </cell>
        </row>
        <row r="372">
          <cell r="A372" t="str">
            <v>% of Total</v>
          </cell>
        </row>
        <row r="373">
          <cell r="A373" t="str">
            <v>Work in Process (WIP)</v>
          </cell>
          <cell r="B373">
            <v>0.46259351620947631</v>
          </cell>
          <cell r="C373">
            <v>0.46259351620947631</v>
          </cell>
          <cell r="D373">
            <v>0.45822622107969152</v>
          </cell>
          <cell r="E373">
            <v>0.47748303516347934</v>
          </cell>
          <cell r="F373">
            <v>0.48947684906794947</v>
          </cell>
          <cell r="G373">
            <v>0.50090744101633389</v>
          </cell>
          <cell r="H373">
            <v>0.48347826086956519</v>
          </cell>
          <cell r="I373">
            <v>0.43173977328733365</v>
          </cell>
          <cell r="N373">
            <v>0.4249737670514166</v>
          </cell>
          <cell r="O373">
            <v>0.49883630721489525</v>
          </cell>
          <cell r="P373">
            <v>0.53380782918149461</v>
          </cell>
          <cell r="Q373">
            <v>0.52976704055220014</v>
          </cell>
          <cell r="R373">
            <v>0.54225941422594137</v>
          </cell>
          <cell r="S373">
            <v>0.54215003866976019</v>
          </cell>
          <cell r="T373">
            <v>0.48180592991913745</v>
          </cell>
          <cell r="U373">
            <v>0.47748303516347934</v>
          </cell>
          <cell r="V373">
            <v>0.43173977328733365</v>
          </cell>
        </row>
        <row r="374">
          <cell r="A374" t="str">
            <v>Raw Materials</v>
          </cell>
          <cell r="B374">
            <v>0.48129675810473815</v>
          </cell>
          <cell r="C374">
            <v>0.48129675810473815</v>
          </cell>
          <cell r="D374">
            <v>0.51285347043701801</v>
          </cell>
          <cell r="E374">
            <v>0.49599012954966071</v>
          </cell>
          <cell r="F374">
            <v>0.47925435959110041</v>
          </cell>
          <cell r="G374">
            <v>0.49122807017543857</v>
          </cell>
          <cell r="H374">
            <v>0.48405797101449277</v>
          </cell>
          <cell r="I374">
            <v>0.49334647609659932</v>
          </cell>
          <cell r="N374">
            <v>0.30325288562434416</v>
          </cell>
          <cell r="O374">
            <v>0.28006206361520558</v>
          </cell>
          <cell r="P374">
            <v>0.28185053380782921</v>
          </cell>
          <cell r="Q374">
            <v>0.33477135461604834</v>
          </cell>
          <cell r="R374">
            <v>0.32803347280334727</v>
          </cell>
          <cell r="S374">
            <v>0.39056457849961329</v>
          </cell>
          <cell r="T374">
            <v>0.47911051212938005</v>
          </cell>
          <cell r="U374">
            <v>0.49599012954966071</v>
          </cell>
          <cell r="V374">
            <v>0.49334647609659932</v>
          </cell>
        </row>
        <row r="375">
          <cell r="A375" t="str">
            <v>Preowned Aircraft</v>
          </cell>
          <cell r="B375">
            <v>3.6159600997506237E-2</v>
          </cell>
          <cell r="C375">
            <v>3.6159600997506237E-2</v>
          </cell>
          <cell r="D375">
            <v>1.9280205655526992E-2</v>
          </cell>
          <cell r="E375">
            <v>1.850709438618137E-2</v>
          </cell>
          <cell r="F375">
            <v>1.32291040288635E-2</v>
          </cell>
          <cell r="G375">
            <v>0</v>
          </cell>
          <cell r="H375">
            <v>1.391304347826087E-2</v>
          </cell>
          <cell r="I375">
            <v>4.928536224741252E-2</v>
          </cell>
          <cell r="N375">
            <v>0.24763903462749212</v>
          </cell>
          <cell r="O375">
            <v>0.19705197827773469</v>
          </cell>
          <cell r="P375">
            <v>0.16370106761565836</v>
          </cell>
          <cell r="Q375">
            <v>8.8869715271786026E-2</v>
          </cell>
          <cell r="R375">
            <v>9.9581589958158995E-2</v>
          </cell>
          <cell r="S375">
            <v>5.336426914153132E-2</v>
          </cell>
          <cell r="T375">
            <v>2.9649595687331536E-2</v>
          </cell>
          <cell r="U375">
            <v>1.850709438618137E-2</v>
          </cell>
          <cell r="V375">
            <v>4.928536224741252E-2</v>
          </cell>
        </row>
        <row r="376">
          <cell r="A376" t="str">
            <v>Other (coal/aggregates)</v>
          </cell>
          <cell r="B376">
            <v>1.9950124688279301E-2</v>
          </cell>
          <cell r="C376">
            <v>1.9950124688279301E-2</v>
          </cell>
          <cell r="D376">
            <v>9.640102827763496E-3</v>
          </cell>
          <cell r="E376">
            <v>8.0197409006785934E-3</v>
          </cell>
          <cell r="F376">
            <v>1.8039687312086591E-2</v>
          </cell>
          <cell r="G376">
            <v>7.8644888082274652E-3</v>
          </cell>
          <cell r="H376">
            <v>1.8550724637681159E-2</v>
          </cell>
          <cell r="I376">
            <v>2.5628388368654508E-2</v>
          </cell>
          <cell r="N376">
            <v>2.4134312696747113E-2</v>
          </cell>
          <cell r="O376">
            <v>2.404965089216447E-2</v>
          </cell>
          <cell r="P376">
            <v>2.0640569395017794E-2</v>
          </cell>
          <cell r="Q376">
            <v>4.6591889559965488E-2</v>
          </cell>
          <cell r="R376">
            <v>3.0125523012552301E-2</v>
          </cell>
          <cell r="S376">
            <v>1.3921113689095127E-2</v>
          </cell>
          <cell r="T376">
            <v>9.433962264150943E-3</v>
          </cell>
          <cell r="U376">
            <v>8.0197409006785934E-3</v>
          </cell>
          <cell r="V376">
            <v>2.5628388368654508E-2</v>
          </cell>
        </row>
        <row r="377">
          <cell r="A377" t="str">
            <v>% Ch Y/Y</v>
          </cell>
        </row>
        <row r="378">
          <cell r="A378" t="str">
            <v>Work in Process (WIP)</v>
          </cell>
          <cell r="B378">
            <v>-5.2362707535121289E-2</v>
          </cell>
          <cell r="C378">
            <v>-0.11031175059952036</v>
          </cell>
          <cell r="D378">
            <v>-3.6486486486486447E-2</v>
          </cell>
          <cell r="E378">
            <v>8.2517482517482588E-2</v>
          </cell>
          <cell r="F378">
            <v>9.7035040431266761E-2</v>
          </cell>
          <cell r="G378">
            <v>0.11590296495956864</v>
          </cell>
          <cell r="H378">
            <v>0.16970546984572232</v>
          </cell>
          <cell r="I378">
            <v>0.13178294573643412</v>
          </cell>
          <cell r="N378">
            <v>-7.1100917431192623E-2</v>
          </cell>
          <cell r="O378">
            <v>0.58765432098765435</v>
          </cell>
          <cell r="P378">
            <v>0.16640746500777603</v>
          </cell>
          <cell r="Q378">
            <v>-0.18133333333333335</v>
          </cell>
          <cell r="R378">
            <v>5.5374592833876246E-2</v>
          </cell>
          <cell r="S378">
            <v>8.1790123456790154E-2</v>
          </cell>
          <cell r="T378">
            <v>1.9971469329529201E-2</v>
          </cell>
          <cell r="U378">
            <v>8.2517482517482588E-2</v>
          </cell>
          <cell r="V378">
            <v>0.13178294573643412</v>
          </cell>
        </row>
        <row r="379">
          <cell r="A379" t="str">
            <v>Raw Materials</v>
          </cell>
          <cell r="B379">
            <v>0.49902912621359219</v>
          </cell>
          <cell r="C379">
            <v>0.39099099099099099</v>
          </cell>
          <cell r="D379">
            <v>0.27884615384615374</v>
          </cell>
          <cell r="E379">
            <v>0.13080168776371304</v>
          </cell>
          <cell r="F379">
            <v>3.2383419689119064E-2</v>
          </cell>
          <cell r="G379">
            <v>5.1813471502590636E-2</v>
          </cell>
          <cell r="H379">
            <v>4.6365914786967499E-2</v>
          </cell>
          <cell r="I379">
            <v>0.24502487562189046</v>
          </cell>
          <cell r="N379">
            <v>-0.37445887445887449</v>
          </cell>
          <cell r="O379">
            <v>0.24913494809688586</v>
          </cell>
          <cell r="P379">
            <v>9.695290858725758E-2</v>
          </cell>
          <cell r="Q379">
            <v>-2.0202020202020221E-2</v>
          </cell>
          <cell r="R379">
            <v>1.0309278350515427E-2</v>
          </cell>
          <cell r="S379">
            <v>0.28826530612244894</v>
          </cell>
          <cell r="T379">
            <v>0.40792079207920784</v>
          </cell>
          <cell r="U379">
            <v>0.13080168776371304</v>
          </cell>
          <cell r="V379">
            <v>0.24502487562189046</v>
          </cell>
        </row>
        <row r="380">
          <cell r="A380" t="str">
            <v>Preowned Aircraft</v>
          </cell>
          <cell r="B380">
            <v>-0.52459016393442626</v>
          </cell>
          <cell r="C380">
            <v>-0.28395061728395066</v>
          </cell>
          <cell r="D380">
            <v>-6.25E-2</v>
          </cell>
          <cell r="E380">
            <v>-0.31818181818181823</v>
          </cell>
          <cell r="F380">
            <v>-0.62068965517241381</v>
          </cell>
          <cell r="G380">
            <v>-1</v>
          </cell>
          <cell r="H380">
            <v>-0.19999999999999996</v>
          </cell>
          <cell r="I380">
            <v>2.3333333333333335</v>
          </cell>
          <cell r="N380">
            <v>-2.8806584362139898E-2</v>
          </cell>
          <cell r="O380">
            <v>7.6271186440677985E-2</v>
          </cell>
          <cell r="P380">
            <v>-9.4488188976378007E-2</v>
          </cell>
          <cell r="Q380">
            <v>-0.55217391304347818</v>
          </cell>
          <cell r="R380">
            <v>0.15533980582524265</v>
          </cell>
          <cell r="S380">
            <v>-0.42016806722689071</v>
          </cell>
          <cell r="T380">
            <v>-0.3623188405797102</v>
          </cell>
          <cell r="U380">
            <v>-0.31818181818181823</v>
          </cell>
          <cell r="V380">
            <v>2.3333333333333335</v>
          </cell>
        </row>
        <row r="381">
          <cell r="A381" t="str">
            <v>Other (coal/aggregates)</v>
          </cell>
          <cell r="B381">
            <v>0.88235294117647056</v>
          </cell>
          <cell r="C381">
            <v>0.88235294117647056</v>
          </cell>
          <cell r="D381">
            <v>0.15384615384615374</v>
          </cell>
          <cell r="E381">
            <v>-7.1428571428571397E-2</v>
          </cell>
          <cell r="F381">
            <v>-6.25E-2</v>
          </cell>
          <cell r="G381">
            <v>-0.59375</v>
          </cell>
          <cell r="H381">
            <v>1.1333333333333333</v>
          </cell>
          <cell r="I381">
            <v>3</v>
          </cell>
          <cell r="N381">
            <v>0.14999999999999991</v>
          </cell>
          <cell r="O381">
            <v>0.34782608695652173</v>
          </cell>
          <cell r="P381">
            <v>-6.4516129032258118E-2</v>
          </cell>
          <cell r="Q381">
            <v>0.86206896551724133</v>
          </cell>
          <cell r="R381">
            <v>-0.33333333333333337</v>
          </cell>
          <cell r="S381">
            <v>-0.5</v>
          </cell>
          <cell r="T381">
            <v>-0.22222222222222221</v>
          </cell>
          <cell r="U381">
            <v>-7.1428571428571397E-2</v>
          </cell>
          <cell r="V381">
            <v>3</v>
          </cell>
        </row>
        <row r="382">
          <cell r="A382" t="str">
            <v>Total</v>
          </cell>
          <cell r="B382">
            <v>0.11621433542101611</v>
          </cell>
          <cell r="C382">
            <v>7.8681909885675916E-2</v>
          </cell>
          <cell r="D382">
            <v>0.10432931156848824</v>
          </cell>
          <cell r="E382">
            <v>9.2318059299191457E-2</v>
          </cell>
          <cell r="F382">
            <v>3.6783042394014975E-2</v>
          </cell>
          <cell r="G382">
            <v>3.0548628428927582E-2</v>
          </cell>
          <cell r="H382">
            <v>0.1086118251928021</v>
          </cell>
          <cell r="I382">
            <v>0.25169648365206654</v>
          </cell>
          <cell r="N382">
            <v>-0.17915590008613269</v>
          </cell>
          <cell r="O382">
            <v>0.35257082896117531</v>
          </cell>
          <cell r="P382">
            <v>8.9992242048099191E-2</v>
          </cell>
          <cell r="Q382">
            <v>-0.17508896797153028</v>
          </cell>
          <cell r="R382">
            <v>3.1061259706643751E-2</v>
          </cell>
          <cell r="S382">
            <v>8.200836820083679E-2</v>
          </cell>
          <cell r="T382">
            <v>0.14771848414539823</v>
          </cell>
          <cell r="U382">
            <v>9.2318059299191457E-2</v>
          </cell>
          <cell r="V382">
            <v>0.25169648365206654</v>
          </cell>
        </row>
        <row r="384">
          <cell r="A384" t="str">
            <v>Gulfstream trade-in commit thru '04</v>
          </cell>
          <cell r="B384">
            <v>194</v>
          </cell>
          <cell r="C384">
            <v>0</v>
          </cell>
          <cell r="D384">
            <v>70</v>
          </cell>
          <cell r="E384">
            <v>70</v>
          </cell>
          <cell r="P384">
            <v>551</v>
          </cell>
          <cell r="Q384">
            <v>229</v>
          </cell>
          <cell r="R384">
            <v>301</v>
          </cell>
          <cell r="S384">
            <v>570</v>
          </cell>
          <cell r="T384">
            <v>302</v>
          </cell>
          <cell r="U384">
            <v>70</v>
          </cell>
          <cell r="V384">
            <v>141</v>
          </cell>
        </row>
        <row r="386">
          <cell r="A386" t="str">
            <v>Warranty Information</v>
          </cell>
        </row>
        <row r="387">
          <cell r="A387" t="str">
            <v>Expense</v>
          </cell>
          <cell r="B387">
            <v>19</v>
          </cell>
          <cell r="C387">
            <v>13</v>
          </cell>
          <cell r="D387">
            <v>24</v>
          </cell>
          <cell r="E387">
            <v>21</v>
          </cell>
          <cell r="F387">
            <v>15</v>
          </cell>
          <cell r="G387">
            <v>20</v>
          </cell>
          <cell r="H387">
            <v>19</v>
          </cell>
          <cell r="I387">
            <v>15</v>
          </cell>
          <cell r="P387">
            <v>35</v>
          </cell>
          <cell r="Q387">
            <v>73</v>
          </cell>
          <cell r="R387">
            <v>53</v>
          </cell>
          <cell r="S387">
            <v>33</v>
          </cell>
          <cell r="T387">
            <v>70</v>
          </cell>
          <cell r="U387">
            <v>77</v>
          </cell>
          <cell r="V387">
            <v>69</v>
          </cell>
        </row>
        <row r="388">
          <cell r="A388" t="str">
            <v>Payments</v>
          </cell>
          <cell r="B388">
            <v>-14</v>
          </cell>
          <cell r="C388">
            <v>-11</v>
          </cell>
          <cell r="D388">
            <v>-21</v>
          </cell>
          <cell r="E388">
            <v>-18</v>
          </cell>
          <cell r="F388">
            <v>-13</v>
          </cell>
          <cell r="G388">
            <v>-9</v>
          </cell>
          <cell r="H388">
            <v>-14</v>
          </cell>
          <cell r="I388">
            <v>-16</v>
          </cell>
          <cell r="P388">
            <v>-5</v>
          </cell>
          <cell r="Q388">
            <v>-51</v>
          </cell>
          <cell r="R388">
            <v>-37</v>
          </cell>
          <cell r="S388">
            <v>-42</v>
          </cell>
          <cell r="T388">
            <v>-59</v>
          </cell>
          <cell r="U388">
            <v>-64</v>
          </cell>
          <cell r="V388">
            <v>-52</v>
          </cell>
        </row>
        <row r="389">
          <cell r="A389" t="str">
            <v>Adjustments</v>
          </cell>
          <cell r="B389">
            <v>0</v>
          </cell>
          <cell r="C389">
            <v>0</v>
          </cell>
          <cell r="D389">
            <v>5</v>
          </cell>
          <cell r="E389">
            <v>0</v>
          </cell>
          <cell r="F389">
            <v>-33</v>
          </cell>
          <cell r="G389">
            <v>-5</v>
          </cell>
          <cell r="H389">
            <v>-2</v>
          </cell>
          <cell r="I389">
            <v>7</v>
          </cell>
          <cell r="P389">
            <v>-7</v>
          </cell>
          <cell r="Q389">
            <v>53</v>
          </cell>
          <cell r="R389">
            <v>2</v>
          </cell>
          <cell r="S389">
            <v>12</v>
          </cell>
          <cell r="T389">
            <v>6</v>
          </cell>
          <cell r="U389">
            <v>5</v>
          </cell>
          <cell r="V389">
            <v>-33</v>
          </cell>
        </row>
        <row r="390">
          <cell r="A390" t="str">
            <v>Beginning Liabilities</v>
          </cell>
          <cell r="B390">
            <v>219</v>
          </cell>
          <cell r="C390">
            <v>224</v>
          </cell>
          <cell r="D390">
            <v>226</v>
          </cell>
          <cell r="E390">
            <v>234</v>
          </cell>
          <cell r="F390">
            <v>237</v>
          </cell>
          <cell r="G390">
            <v>206</v>
          </cell>
          <cell r="H390">
            <v>212</v>
          </cell>
          <cell r="I390">
            <v>215</v>
          </cell>
          <cell r="P390">
            <v>83</v>
          </cell>
          <cell r="Q390">
            <v>106</v>
          </cell>
          <cell r="R390">
            <v>181</v>
          </cell>
          <cell r="S390">
            <v>199</v>
          </cell>
          <cell r="T390">
            <v>202</v>
          </cell>
          <cell r="U390">
            <v>219</v>
          </cell>
          <cell r="V390">
            <v>237</v>
          </cell>
        </row>
        <row r="391">
          <cell r="A391" t="str">
            <v>Ending Liabilties</v>
          </cell>
          <cell r="B391">
            <v>224</v>
          </cell>
          <cell r="C391">
            <v>226</v>
          </cell>
          <cell r="D391">
            <v>234</v>
          </cell>
          <cell r="E391">
            <v>237</v>
          </cell>
          <cell r="F391">
            <v>206</v>
          </cell>
          <cell r="G391">
            <v>212</v>
          </cell>
          <cell r="H391">
            <v>215</v>
          </cell>
          <cell r="I391">
            <v>221</v>
          </cell>
          <cell r="O391">
            <v>83</v>
          </cell>
          <cell r="P391">
            <v>106</v>
          </cell>
          <cell r="Q391">
            <v>181</v>
          </cell>
          <cell r="R391">
            <v>199</v>
          </cell>
          <cell r="S391">
            <v>202</v>
          </cell>
          <cell r="T391">
            <v>219</v>
          </cell>
          <cell r="U391">
            <v>237</v>
          </cell>
          <cell r="V391">
            <v>221</v>
          </cell>
        </row>
        <row r="393">
          <cell r="A393" t="str">
            <v>Unsold Aircraft inventory</v>
          </cell>
        </row>
        <row r="394">
          <cell r="A394" t="str">
            <v>Large</v>
          </cell>
          <cell r="O394">
            <v>3</v>
          </cell>
          <cell r="P394">
            <v>4</v>
          </cell>
        </row>
        <row r="395">
          <cell r="A395" t="str">
            <v>Midsized</v>
          </cell>
          <cell r="O395">
            <v>14</v>
          </cell>
          <cell r="P395">
            <v>15</v>
          </cell>
        </row>
        <row r="396">
          <cell r="A396" t="str">
            <v>Total</v>
          </cell>
          <cell r="O396">
            <v>17</v>
          </cell>
          <cell r="P396">
            <v>19</v>
          </cell>
          <cell r="Q396">
            <v>7</v>
          </cell>
          <cell r="R396">
            <v>8</v>
          </cell>
        </row>
        <row r="397">
          <cell r="A397" t="str">
            <v>sequential change (units)</v>
          </cell>
          <cell r="P397">
            <v>2</v>
          </cell>
          <cell r="Q397">
            <v>-12</v>
          </cell>
          <cell r="R397">
            <v>1</v>
          </cell>
        </row>
        <row r="399">
          <cell r="A399" t="str">
            <v>Revenue % Annual Total</v>
          </cell>
        </row>
        <row r="400">
          <cell r="A400" t="str">
            <v>Marine Systems</v>
          </cell>
          <cell r="B400">
            <v>0.25175245343480873</v>
          </cell>
          <cell r="C400">
            <v>0.25475665932305225</v>
          </cell>
          <cell r="D400">
            <v>0.24954936911676348</v>
          </cell>
          <cell r="E400">
            <v>0.24394151812537554</v>
          </cell>
          <cell r="F400">
            <v>0.24802015838732902</v>
          </cell>
          <cell r="G400">
            <v>0.25089992800575955</v>
          </cell>
          <cell r="H400">
            <v>0.25269978401727861</v>
          </cell>
          <cell r="I400">
            <v>0.24838012958963282</v>
          </cell>
          <cell r="J400">
            <v>0.25875968992248061</v>
          </cell>
          <cell r="K400">
            <v>0.25193798449612403</v>
          </cell>
          <cell r="L400">
            <v>0.24031007751937986</v>
          </cell>
          <cell r="M400">
            <v>0.2489922480620155</v>
          </cell>
        </row>
        <row r="401">
          <cell r="A401" t="str">
            <v>Combat Systems</v>
          </cell>
          <cell r="B401">
            <v>0.20110298832884443</v>
          </cell>
          <cell r="C401">
            <v>0.21957163011414646</v>
          </cell>
          <cell r="D401">
            <v>0.2400923432089265</v>
          </cell>
          <cell r="E401">
            <v>0.33923303834808261</v>
          </cell>
          <cell r="F401">
            <v>0.2437149133512326</v>
          </cell>
          <cell r="G401">
            <v>0.24591164266536489</v>
          </cell>
          <cell r="H401">
            <v>0.22577495728581889</v>
          </cell>
          <cell r="I401">
            <v>0.28459848669758359</v>
          </cell>
          <cell r="J401">
            <v>0.2407</v>
          </cell>
          <cell r="K401">
            <v>0.24049999999999999</v>
          </cell>
          <cell r="L401">
            <v>0.25</v>
          </cell>
          <cell r="M401">
            <v>0.26879999999999998</v>
          </cell>
        </row>
        <row r="402">
          <cell r="A402" t="str">
            <v>Info. Systems &amp; Tech.</v>
          </cell>
          <cell r="B402">
            <v>0.24745375181874871</v>
          </cell>
          <cell r="C402">
            <v>0.24932446476823944</v>
          </cell>
          <cell r="D402">
            <v>0.24953232176262732</v>
          </cell>
          <cell r="E402">
            <v>0.25368946165038453</v>
          </cell>
          <cell r="F402">
            <v>0.23421000199242878</v>
          </cell>
          <cell r="G402">
            <v>0.25552898983861327</v>
          </cell>
          <cell r="H402">
            <v>0.25044829647340106</v>
          </cell>
          <cell r="I402">
            <v>0.25981271169555686</v>
          </cell>
          <cell r="J402">
            <v>0.25305555555555553</v>
          </cell>
          <cell r="K402">
            <v>0.24583333333333332</v>
          </cell>
          <cell r="L402">
            <v>0.24537037037037038</v>
          </cell>
          <cell r="M402">
            <v>0.25574074074074077</v>
          </cell>
        </row>
        <row r="403">
          <cell r="A403" t="str">
            <v>Aerospace</v>
          </cell>
          <cell r="B403">
            <v>0.22659486329743164</v>
          </cell>
          <cell r="C403">
            <v>0.25020712510356258</v>
          </cell>
          <cell r="D403">
            <v>0.27236951118475561</v>
          </cell>
          <cell r="E403">
            <v>0.2508285004142502</v>
          </cell>
          <cell r="F403">
            <v>0.23203918722786648</v>
          </cell>
          <cell r="G403">
            <v>0.24111030478955006</v>
          </cell>
          <cell r="H403">
            <v>0.24891146589259797</v>
          </cell>
          <cell r="I403">
            <v>0.27793904208998549</v>
          </cell>
          <cell r="J403">
            <v>0.27714285714285714</v>
          </cell>
          <cell r="K403">
            <v>0.2695238095238095</v>
          </cell>
          <cell r="L403">
            <v>0.19047619047619047</v>
          </cell>
          <cell r="M403">
            <v>0.26285714285714284</v>
          </cell>
        </row>
        <row r="404">
          <cell r="A404" t="str">
            <v>Resources</v>
          </cell>
          <cell r="B404" t="str">
            <v>NM</v>
          </cell>
          <cell r="C404" t="str">
            <v>NM</v>
          </cell>
          <cell r="D404" t="str">
            <v>NM</v>
          </cell>
          <cell r="E404" t="str">
            <v>NM</v>
          </cell>
          <cell r="F404" t="str">
            <v>NM</v>
          </cell>
          <cell r="G404" t="str">
            <v>NM</v>
          </cell>
          <cell r="H404" t="str">
            <v>NM</v>
          </cell>
          <cell r="I404" t="str">
            <v>NM</v>
          </cell>
          <cell r="J404" t="str">
            <v>NM</v>
          </cell>
          <cell r="K404" t="str">
            <v>NM</v>
          </cell>
          <cell r="L404" t="str">
            <v>NM</v>
          </cell>
          <cell r="M404" t="str">
            <v>NM</v>
          </cell>
        </row>
        <row r="405">
          <cell r="A405" t="str">
            <v>Total</v>
          </cell>
          <cell r="B405">
            <v>0.23127753303964757</v>
          </cell>
          <cell r="C405">
            <v>0.24196035242290748</v>
          </cell>
          <cell r="D405">
            <v>0.25088105726872245</v>
          </cell>
          <cell r="E405">
            <v>0.27588105726872247</v>
          </cell>
          <cell r="F405">
            <v>0.23907849829351535</v>
          </cell>
          <cell r="G405">
            <v>0.24924914675767917</v>
          </cell>
          <cell r="H405">
            <v>0.24368600682593858</v>
          </cell>
          <cell r="I405">
            <v>0.26798634812286687</v>
          </cell>
          <cell r="J405">
            <v>0.25427692307692307</v>
          </cell>
          <cell r="K405">
            <v>0.24923076923076923</v>
          </cell>
          <cell r="L405">
            <v>0.23692307692307693</v>
          </cell>
          <cell r="M405">
            <v>0.25956923076923077</v>
          </cell>
        </row>
        <row r="407">
          <cell r="B407">
            <v>2007</v>
          </cell>
          <cell r="F407" t="str">
            <v>2008E</v>
          </cell>
          <cell r="J407" t="str">
            <v>2009E</v>
          </cell>
        </row>
        <row r="408">
          <cell r="A408" t="str">
            <v>Modelware Requirements</v>
          </cell>
          <cell r="B408" t="str">
            <v>Q1</v>
          </cell>
          <cell r="C408" t="str">
            <v>Q2</v>
          </cell>
          <cell r="D408" t="str">
            <v>Q3</v>
          </cell>
          <cell r="E408" t="str">
            <v>Q4</v>
          </cell>
          <cell r="F408" t="str">
            <v>Q1</v>
          </cell>
          <cell r="G408" t="str">
            <v>Q2</v>
          </cell>
          <cell r="H408" t="str">
            <v>Q3</v>
          </cell>
          <cell r="I408" t="str">
            <v>Q4</v>
          </cell>
          <cell r="J408" t="str">
            <v>Q1</v>
          </cell>
          <cell r="K408" t="str">
            <v>Q2A</v>
          </cell>
          <cell r="L408" t="str">
            <v>Q3E</v>
          </cell>
          <cell r="M408" t="str">
            <v>Q4E</v>
          </cell>
          <cell r="N408">
            <v>2000</v>
          </cell>
          <cell r="O408">
            <v>2001</v>
          </cell>
          <cell r="P408">
            <v>2002</v>
          </cell>
          <cell r="Q408">
            <v>2003</v>
          </cell>
          <cell r="R408">
            <v>2004</v>
          </cell>
          <cell r="S408">
            <v>2005</v>
          </cell>
          <cell r="T408">
            <v>2006</v>
          </cell>
          <cell r="U408">
            <v>2007</v>
          </cell>
          <cell r="V408" t="str">
            <v>2008A</v>
          </cell>
          <cell r="W408" t="str">
            <v>2009E</v>
          </cell>
          <cell r="X408" t="str">
            <v>2010E</v>
          </cell>
          <cell r="Y408" t="str">
            <v>2011E</v>
          </cell>
          <cell r="Z408" t="str">
            <v>2012E</v>
          </cell>
        </row>
        <row r="409">
          <cell r="B409" t="str">
            <v>2007-Q1</v>
          </cell>
          <cell r="C409" t="str">
            <v>2007-Q2</v>
          </cell>
          <cell r="D409" t="str">
            <v>2007-Q3</v>
          </cell>
          <cell r="E409" t="str">
            <v>2007-Q4</v>
          </cell>
          <cell r="F409" t="str">
            <v>2008-Q1</v>
          </cell>
          <cell r="G409" t="str">
            <v>2008-Q2</v>
          </cell>
          <cell r="H409" t="str">
            <v>2008-Q3</v>
          </cell>
          <cell r="I409" t="str">
            <v>2008-Q4</v>
          </cell>
          <cell r="J409" t="str">
            <v>2009-Q1</v>
          </cell>
          <cell r="K409" t="str">
            <v>2009-Q2</v>
          </cell>
          <cell r="L409" t="str">
            <v>2009-Q3</v>
          </cell>
          <cell r="M409" t="str">
            <v>2009-Q4</v>
          </cell>
          <cell r="O409" t="str">
            <v>2001-FY</v>
          </cell>
          <cell r="P409" t="str">
            <v>2002-FY</v>
          </cell>
          <cell r="Q409" t="str">
            <v>2003-FY</v>
          </cell>
          <cell r="R409" t="str">
            <v>2004-FY</v>
          </cell>
          <cell r="S409" t="str">
            <v>2005-FY</v>
          </cell>
          <cell r="T409" t="str">
            <v>2006-FY</v>
          </cell>
          <cell r="U409" t="str">
            <v>2007-FY</v>
          </cell>
          <cell r="V409" t="str">
            <v>2008-FY</v>
          </cell>
          <cell r="W409" t="str">
            <v>2009-FY</v>
          </cell>
          <cell r="X409" t="str">
            <v>2010-FY</v>
          </cell>
          <cell r="Y409" t="str">
            <v>2011-FY</v>
          </cell>
          <cell r="Z409" t="str">
            <v>2012-FY</v>
          </cell>
        </row>
        <row r="410">
          <cell r="A410" t="str">
            <v>Tax Expense</v>
          </cell>
          <cell r="F410">
            <v>-272</v>
          </cell>
          <cell r="G410">
            <v>-303</v>
          </cell>
          <cell r="H410">
            <v>-288</v>
          </cell>
          <cell r="I410">
            <v>-297.99999999999994</v>
          </cell>
          <cell r="J410">
            <v>-275.7</v>
          </cell>
          <cell r="K410">
            <v>-285.5</v>
          </cell>
          <cell r="L410">
            <v>-240.52339999999998</v>
          </cell>
          <cell r="M410">
            <v>-280.65677687999982</v>
          </cell>
          <cell r="N410">
            <v>-449.10599999999999</v>
          </cell>
          <cell r="O410">
            <v>-482.00000000000011</v>
          </cell>
          <cell r="P410">
            <v>-529</v>
          </cell>
          <cell r="Q410">
            <v>-368</v>
          </cell>
          <cell r="R410">
            <v>-580</v>
          </cell>
          <cell r="S410">
            <v>-621</v>
          </cell>
          <cell r="T410">
            <v>-816.99999999999977</v>
          </cell>
          <cell r="U410">
            <v>-967</v>
          </cell>
          <cell r="V410">
            <v>-1161</v>
          </cell>
          <cell r="W410">
            <v>-1082.3801768799999</v>
          </cell>
          <cell r="X410">
            <v>-1113.7496046554852</v>
          </cell>
          <cell r="Y410">
            <v>-1185.0944927481287</v>
          </cell>
          <cell r="Z410">
            <v>-1402.3454714072077</v>
          </cell>
          <cell r="BQ410" t="str">
            <v>mstag:taxExpenseIncome</v>
          </cell>
          <cell r="BR410">
            <v>6</v>
          </cell>
          <cell r="BS410" t="str">
            <v>ISO4217:USD</v>
          </cell>
          <cell r="BT410" t="b">
            <v>1</v>
          </cell>
          <cell r="BU410" t="b">
            <v>0</v>
          </cell>
        </row>
        <row r="411">
          <cell r="A411" t="str">
            <v>Non-recurring items (net of tax):</v>
          </cell>
        </row>
        <row r="412">
          <cell r="A412" t="str">
            <v>Discontinued Operations</v>
          </cell>
          <cell r="F412">
            <v>0</v>
          </cell>
          <cell r="G412">
            <v>35</v>
          </cell>
          <cell r="I412">
            <v>-19</v>
          </cell>
          <cell r="J412">
            <v>-3</v>
          </cell>
          <cell r="N412">
            <v>90.6</v>
          </cell>
          <cell r="O412">
            <v>0</v>
          </cell>
          <cell r="P412">
            <v>-123</v>
          </cell>
          <cell r="Q412">
            <v>25</v>
          </cell>
          <cell r="R412">
            <v>33</v>
          </cell>
          <cell r="S412">
            <v>13</v>
          </cell>
          <cell r="T412">
            <v>146</v>
          </cell>
          <cell r="U412">
            <v>-8</v>
          </cell>
          <cell r="V412">
            <v>16</v>
          </cell>
          <cell r="W412">
            <v>-3</v>
          </cell>
          <cell r="BQ412" t="str">
            <v>mstag:incomeLossFromDiscontinuedOperationsNetOfTax</v>
          </cell>
          <cell r="BR412">
            <v>6</v>
          </cell>
          <cell r="BS412" t="str">
            <v>ISO4217:USD</v>
          </cell>
          <cell r="BT412" t="b">
            <v>0</v>
          </cell>
          <cell r="BU412" t="b">
            <v>0</v>
          </cell>
        </row>
        <row r="414">
          <cell r="A414" t="str">
            <v>Debt Analysis</v>
          </cell>
        </row>
        <row r="415">
          <cell r="A415" t="str">
            <v>Fixed-rate notes</v>
          </cell>
        </row>
        <row r="416">
          <cell r="A416" t="str">
            <v>2.125% 2006 Note</v>
          </cell>
          <cell r="B416">
            <v>0</v>
          </cell>
          <cell r="C416">
            <v>0</v>
          </cell>
          <cell r="D416">
            <v>0</v>
          </cell>
          <cell r="E416">
            <v>0</v>
          </cell>
          <cell r="Q416">
            <v>500</v>
          </cell>
          <cell r="R416">
            <v>499</v>
          </cell>
          <cell r="S416">
            <v>500</v>
          </cell>
          <cell r="T416">
            <v>0</v>
          </cell>
          <cell r="U416">
            <v>0</v>
          </cell>
          <cell r="V416">
            <v>0</v>
          </cell>
          <cell r="W416">
            <v>0</v>
          </cell>
          <cell r="X416">
            <v>0</v>
          </cell>
          <cell r="Y416">
            <v>0</v>
          </cell>
          <cell r="Z416">
            <v>0</v>
          </cell>
        </row>
        <row r="417">
          <cell r="A417" t="str">
            <v>3.0% 2008 Note</v>
          </cell>
          <cell r="B417">
            <v>499</v>
          </cell>
          <cell r="C417">
            <v>499</v>
          </cell>
          <cell r="D417">
            <v>500</v>
          </cell>
          <cell r="E417">
            <v>500</v>
          </cell>
          <cell r="Q417">
            <v>500</v>
          </cell>
          <cell r="R417">
            <v>499</v>
          </cell>
          <cell r="S417">
            <v>499</v>
          </cell>
          <cell r="T417">
            <v>499</v>
          </cell>
          <cell r="U417">
            <v>500</v>
          </cell>
          <cell r="V417">
            <v>0</v>
          </cell>
          <cell r="W417">
            <v>0</v>
          </cell>
          <cell r="X417">
            <v>0</v>
          </cell>
          <cell r="Y417">
            <v>0</v>
          </cell>
          <cell r="Z417">
            <v>0</v>
          </cell>
        </row>
        <row r="418">
          <cell r="A418" t="str">
            <v>4.5% 2010 Note</v>
          </cell>
          <cell r="B418">
            <v>699</v>
          </cell>
          <cell r="C418">
            <v>699</v>
          </cell>
          <cell r="D418">
            <v>699</v>
          </cell>
          <cell r="E418">
            <v>699</v>
          </cell>
          <cell r="Q418">
            <v>700</v>
          </cell>
          <cell r="R418">
            <v>698</v>
          </cell>
          <cell r="S418">
            <v>698</v>
          </cell>
          <cell r="T418">
            <v>699</v>
          </cell>
          <cell r="U418">
            <v>699</v>
          </cell>
          <cell r="V418">
            <v>699</v>
          </cell>
          <cell r="W418">
            <v>599</v>
          </cell>
          <cell r="X418">
            <v>599</v>
          </cell>
          <cell r="Y418">
            <v>599</v>
          </cell>
          <cell r="Z418">
            <v>599</v>
          </cell>
        </row>
        <row r="419">
          <cell r="A419" t="str">
            <v>4.25% 2013 Note</v>
          </cell>
          <cell r="B419">
            <v>999</v>
          </cell>
          <cell r="C419">
            <v>999</v>
          </cell>
          <cell r="D419">
            <v>999</v>
          </cell>
          <cell r="E419">
            <v>999</v>
          </cell>
          <cell r="Q419">
            <v>1000</v>
          </cell>
          <cell r="R419">
            <v>999</v>
          </cell>
          <cell r="S419">
            <v>999</v>
          </cell>
          <cell r="T419">
            <v>999</v>
          </cell>
          <cell r="U419">
            <v>999</v>
          </cell>
          <cell r="V419">
            <v>999</v>
          </cell>
          <cell r="W419">
            <v>999</v>
          </cell>
          <cell r="X419">
            <v>999</v>
          </cell>
          <cell r="Y419">
            <v>999</v>
          </cell>
          <cell r="Z419">
            <v>999</v>
          </cell>
        </row>
        <row r="420">
          <cell r="A420" t="str">
            <v>5.375% 2015 Note</v>
          </cell>
          <cell r="B420">
            <v>400</v>
          </cell>
          <cell r="C420">
            <v>400</v>
          </cell>
          <cell r="D420">
            <v>400</v>
          </cell>
          <cell r="E420">
            <v>400</v>
          </cell>
          <cell r="Q420">
            <v>394</v>
          </cell>
          <cell r="R420">
            <v>400</v>
          </cell>
          <cell r="S420">
            <v>400</v>
          </cell>
          <cell r="T420">
            <v>400</v>
          </cell>
          <cell r="U420">
            <v>400</v>
          </cell>
          <cell r="V420">
            <v>400</v>
          </cell>
          <cell r="W420">
            <v>400</v>
          </cell>
          <cell r="X420">
            <v>400</v>
          </cell>
          <cell r="Y420">
            <v>400</v>
          </cell>
          <cell r="Z420">
            <v>400</v>
          </cell>
        </row>
        <row r="421">
          <cell r="A421" t="str">
            <v>total</v>
          </cell>
          <cell r="B421">
            <v>2597</v>
          </cell>
          <cell r="C421">
            <v>2597</v>
          </cell>
          <cell r="D421">
            <v>2598</v>
          </cell>
          <cell r="E421">
            <v>2598</v>
          </cell>
          <cell r="Q421">
            <v>3094</v>
          </cell>
          <cell r="R421">
            <v>3095</v>
          </cell>
          <cell r="S421">
            <v>3096</v>
          </cell>
          <cell r="T421">
            <v>2597</v>
          </cell>
          <cell r="U421">
            <v>2598</v>
          </cell>
          <cell r="V421">
            <v>2098</v>
          </cell>
          <cell r="W421">
            <v>1998</v>
          </cell>
          <cell r="X421">
            <v>1998</v>
          </cell>
          <cell r="Y421">
            <v>1998</v>
          </cell>
          <cell r="Z421">
            <v>1998</v>
          </cell>
        </row>
        <row r="422">
          <cell r="A422" t="str">
            <v>Floating-rate notes (LiBOR +.22%)</v>
          </cell>
          <cell r="B422">
            <v>0</v>
          </cell>
          <cell r="C422">
            <v>0</v>
          </cell>
          <cell r="D422">
            <v>0</v>
          </cell>
          <cell r="E422">
            <v>0</v>
          </cell>
          <cell r="O422">
            <v>500</v>
          </cell>
          <cell r="P422">
            <v>500</v>
          </cell>
          <cell r="Q422">
            <v>500</v>
          </cell>
          <cell r="R422">
            <v>0</v>
          </cell>
          <cell r="S422">
            <v>0</v>
          </cell>
          <cell r="T422">
            <v>0</v>
          </cell>
          <cell r="U422">
            <v>0</v>
          </cell>
          <cell r="V422">
            <v>0</v>
          </cell>
          <cell r="W422">
            <v>0</v>
          </cell>
          <cell r="X422">
            <v>0</v>
          </cell>
          <cell r="Y422">
            <v>0</v>
          </cell>
          <cell r="Z422">
            <v>0</v>
          </cell>
        </row>
        <row r="423">
          <cell r="A423" t="str">
            <v>Commercial paper, net of unamortized discount</v>
          </cell>
          <cell r="B423">
            <v>0</v>
          </cell>
          <cell r="C423">
            <v>0</v>
          </cell>
          <cell r="D423">
            <v>0</v>
          </cell>
          <cell r="E423">
            <v>0</v>
          </cell>
          <cell r="N423">
            <v>340</v>
          </cell>
          <cell r="O423">
            <v>1165</v>
          </cell>
          <cell r="P423">
            <v>714</v>
          </cell>
          <cell r="Q423">
            <v>183</v>
          </cell>
          <cell r="R423">
            <v>0</v>
          </cell>
          <cell r="S423">
            <v>0</v>
          </cell>
          <cell r="T423">
            <v>0</v>
          </cell>
          <cell r="U423">
            <v>0</v>
          </cell>
          <cell r="V423">
            <v>905</v>
          </cell>
          <cell r="W423">
            <v>905</v>
          </cell>
          <cell r="X423">
            <v>905</v>
          </cell>
          <cell r="Y423">
            <v>905</v>
          </cell>
          <cell r="Z423">
            <v>905</v>
          </cell>
        </row>
        <row r="424">
          <cell r="A424" t="str">
            <v>Senior notes 2008 (6.32%, semi-annual payment)</v>
          </cell>
          <cell r="B424">
            <v>150</v>
          </cell>
          <cell r="C424">
            <v>150</v>
          </cell>
          <cell r="D424">
            <v>150</v>
          </cell>
          <cell r="E424">
            <v>150</v>
          </cell>
          <cell r="N424">
            <v>139</v>
          </cell>
          <cell r="O424">
            <v>150</v>
          </cell>
          <cell r="P424">
            <v>150</v>
          </cell>
          <cell r="Q424">
            <v>150</v>
          </cell>
          <cell r="R424">
            <v>150</v>
          </cell>
          <cell r="S424">
            <v>150</v>
          </cell>
          <cell r="T424">
            <v>150</v>
          </cell>
          <cell r="U424">
            <v>150</v>
          </cell>
          <cell r="V424">
            <v>0</v>
          </cell>
          <cell r="W424">
            <v>0</v>
          </cell>
          <cell r="X424">
            <v>0</v>
          </cell>
          <cell r="Y424">
            <v>0</v>
          </cell>
          <cell r="Z424">
            <v>0</v>
          </cell>
        </row>
        <row r="425">
          <cell r="A425" t="str">
            <v>Term Debt</v>
          </cell>
          <cell r="B425">
            <v>25</v>
          </cell>
          <cell r="C425">
            <v>25</v>
          </cell>
          <cell r="D425">
            <v>25</v>
          </cell>
          <cell r="E425">
            <v>20</v>
          </cell>
          <cell r="O425">
            <v>50</v>
          </cell>
          <cell r="P425">
            <v>45</v>
          </cell>
          <cell r="Q425">
            <v>40</v>
          </cell>
          <cell r="R425">
            <v>35</v>
          </cell>
          <cell r="S425">
            <v>30</v>
          </cell>
          <cell r="T425">
            <v>25</v>
          </cell>
          <cell r="U425">
            <v>20</v>
          </cell>
          <cell r="V425">
            <v>0</v>
          </cell>
          <cell r="W425">
            <v>0</v>
          </cell>
          <cell r="X425">
            <v>0</v>
          </cell>
          <cell r="Y425">
            <v>0</v>
          </cell>
          <cell r="Z425">
            <v>0</v>
          </cell>
        </row>
        <row r="426">
          <cell r="A426" t="str">
            <v>Other</v>
          </cell>
          <cell r="B426">
            <v>18</v>
          </cell>
          <cell r="C426">
            <v>17</v>
          </cell>
          <cell r="D426">
            <v>23</v>
          </cell>
          <cell r="E426">
            <v>23</v>
          </cell>
          <cell r="N426">
            <v>23</v>
          </cell>
          <cell r="O426">
            <v>70</v>
          </cell>
          <cell r="P426">
            <v>62</v>
          </cell>
          <cell r="Q426">
            <v>76</v>
          </cell>
          <cell r="R426">
            <v>17</v>
          </cell>
          <cell r="S426">
            <v>11</v>
          </cell>
          <cell r="T426">
            <v>9</v>
          </cell>
          <cell r="U426">
            <v>23</v>
          </cell>
          <cell r="V426">
            <v>25</v>
          </cell>
          <cell r="W426">
            <v>1100</v>
          </cell>
          <cell r="X426">
            <v>1100</v>
          </cell>
          <cell r="Y426">
            <v>1100</v>
          </cell>
          <cell r="Z426">
            <v>1100</v>
          </cell>
        </row>
        <row r="427">
          <cell r="A427" t="str">
            <v>Issuance of New Debt</v>
          </cell>
          <cell r="B427">
            <v>0</v>
          </cell>
          <cell r="C427">
            <v>0</v>
          </cell>
          <cell r="D427">
            <v>0</v>
          </cell>
          <cell r="E427">
            <v>0</v>
          </cell>
          <cell r="P427">
            <v>0</v>
          </cell>
          <cell r="Q427">
            <v>0</v>
          </cell>
          <cell r="R427">
            <v>0</v>
          </cell>
          <cell r="S427">
            <v>0</v>
          </cell>
          <cell r="T427">
            <v>0</v>
          </cell>
          <cell r="U427">
            <v>0</v>
          </cell>
          <cell r="V427">
            <v>1100</v>
          </cell>
          <cell r="W427">
            <v>0</v>
          </cell>
          <cell r="X427">
            <v>0</v>
          </cell>
          <cell r="Y427">
            <v>0</v>
          </cell>
          <cell r="Z427">
            <v>0</v>
          </cell>
        </row>
        <row r="428">
          <cell r="A428" t="str">
            <v>Total Debt</v>
          </cell>
          <cell r="B428">
            <v>2790</v>
          </cell>
          <cell r="C428">
            <v>2789</v>
          </cell>
          <cell r="D428">
            <v>2796</v>
          </cell>
          <cell r="E428">
            <v>2791</v>
          </cell>
          <cell r="N428">
            <v>502</v>
          </cell>
          <cell r="O428">
            <v>1935</v>
          </cell>
          <cell r="P428">
            <v>1471</v>
          </cell>
          <cell r="Q428">
            <v>4043</v>
          </cell>
          <cell r="R428">
            <v>3297</v>
          </cell>
          <cell r="S428">
            <v>3287</v>
          </cell>
          <cell r="T428">
            <v>2781</v>
          </cell>
          <cell r="U428">
            <v>2791</v>
          </cell>
          <cell r="V428">
            <v>4128</v>
          </cell>
          <cell r="W428">
            <v>4003</v>
          </cell>
          <cell r="X428">
            <v>4003</v>
          </cell>
          <cell r="Y428">
            <v>4003</v>
          </cell>
          <cell r="Z428">
            <v>4003</v>
          </cell>
        </row>
        <row r="429">
          <cell r="A429" t="str">
            <v>Less current portion</v>
          </cell>
          <cell r="B429">
            <v>8</v>
          </cell>
          <cell r="C429">
            <v>506</v>
          </cell>
          <cell r="D429">
            <v>656</v>
          </cell>
          <cell r="E429">
            <v>673</v>
          </cell>
          <cell r="N429">
            <v>340</v>
          </cell>
          <cell r="O429">
            <v>1211</v>
          </cell>
          <cell r="P429">
            <v>750</v>
          </cell>
          <cell r="Q429">
            <v>747</v>
          </cell>
          <cell r="R429">
            <v>6</v>
          </cell>
          <cell r="S429">
            <v>509</v>
          </cell>
          <cell r="T429">
            <v>7</v>
          </cell>
          <cell r="U429">
            <v>673</v>
          </cell>
          <cell r="V429">
            <v>911</v>
          </cell>
          <cell r="W429">
            <v>100</v>
          </cell>
          <cell r="X429">
            <v>100</v>
          </cell>
          <cell r="Y429">
            <v>100</v>
          </cell>
          <cell r="Z429">
            <v>100</v>
          </cell>
        </row>
        <row r="430">
          <cell r="A430" t="str">
            <v>Long-Term Debt</v>
          </cell>
          <cell r="B430">
            <v>2782</v>
          </cell>
          <cell r="C430">
            <v>2283</v>
          </cell>
          <cell r="D430">
            <v>2140</v>
          </cell>
          <cell r="E430">
            <v>2118</v>
          </cell>
          <cell r="N430">
            <v>162</v>
          </cell>
          <cell r="O430">
            <v>724</v>
          </cell>
          <cell r="P430">
            <v>721</v>
          </cell>
          <cell r="Q430">
            <v>3296</v>
          </cell>
          <cell r="R430">
            <v>3291</v>
          </cell>
          <cell r="S430">
            <v>2778</v>
          </cell>
          <cell r="T430">
            <v>2774</v>
          </cell>
          <cell r="U430">
            <v>2118</v>
          </cell>
          <cell r="V430">
            <v>3217</v>
          </cell>
          <cell r="W430">
            <v>3903</v>
          </cell>
          <cell r="X430">
            <v>3903</v>
          </cell>
          <cell r="Y430">
            <v>3903</v>
          </cell>
          <cell r="Z430">
            <v>3903</v>
          </cell>
        </row>
        <row r="431">
          <cell r="V431">
            <v>3113</v>
          </cell>
        </row>
        <row r="432">
          <cell r="A432" t="str">
            <v>Mean Interest Rate for Interest Expense</v>
          </cell>
          <cell r="V432">
            <v>0.05</v>
          </cell>
          <cell r="W432">
            <v>4.48E-2</v>
          </cell>
          <cell r="X432">
            <v>0.05</v>
          </cell>
          <cell r="Y432">
            <v>5.0500000000000003E-2</v>
          </cell>
          <cell r="Z432">
            <v>5.0500000000000003E-2</v>
          </cell>
        </row>
        <row r="433">
          <cell r="A433" t="str">
            <v>Interest Expense</v>
          </cell>
          <cell r="B433">
            <v>-32</v>
          </cell>
          <cell r="C433">
            <v>-34</v>
          </cell>
          <cell r="D433">
            <v>-32</v>
          </cell>
          <cell r="E433">
            <v>-33</v>
          </cell>
          <cell r="F433">
            <v>-19</v>
          </cell>
          <cell r="G433">
            <v>-12</v>
          </cell>
          <cell r="H433">
            <v>-11</v>
          </cell>
          <cell r="I433">
            <v>-24</v>
          </cell>
          <cell r="J433">
            <v>-39</v>
          </cell>
          <cell r="K433">
            <v>-38</v>
          </cell>
          <cell r="L433">
            <v>-37</v>
          </cell>
          <cell r="M433">
            <v>-35.714400000000012</v>
          </cell>
          <cell r="N433">
            <v>-72</v>
          </cell>
          <cell r="O433">
            <v>-68</v>
          </cell>
          <cell r="P433">
            <v>-58</v>
          </cell>
          <cell r="Q433">
            <v>-108</v>
          </cell>
          <cell r="R433">
            <v>-157</v>
          </cell>
          <cell r="S433">
            <v>-154</v>
          </cell>
          <cell r="T433">
            <v>-156</v>
          </cell>
          <cell r="U433">
            <v>-131</v>
          </cell>
          <cell r="V433">
            <v>-66</v>
          </cell>
          <cell r="W433">
            <v>-182.1344</v>
          </cell>
          <cell r="X433">
            <v>-200.15</v>
          </cell>
          <cell r="Y433">
            <v>-202.15150000000003</v>
          </cell>
          <cell r="Z433">
            <v>-202.15150000000003</v>
          </cell>
          <cell r="BQ433" t="str">
            <v>mstag:interestExpense</v>
          </cell>
          <cell r="BR433">
            <v>6</v>
          </cell>
          <cell r="BS433" t="str">
            <v>ISO4217:USD</v>
          </cell>
          <cell r="BT433" t="b">
            <v>1</v>
          </cell>
          <cell r="BU433" t="b">
            <v>0</v>
          </cell>
        </row>
        <row r="434">
          <cell r="A434" t="str">
            <v>Mean Interest Rate for Interest Income</v>
          </cell>
          <cell r="V434">
            <v>2.8017986855759298E-2</v>
          </cell>
          <cell r="W434">
            <v>0.02</v>
          </cell>
          <cell r="X434">
            <v>0.02</v>
          </cell>
          <cell r="Y434">
            <v>0.02</v>
          </cell>
          <cell r="Z434">
            <v>1.7500000000000002E-2</v>
          </cell>
        </row>
        <row r="435">
          <cell r="A435" t="str">
            <v>Interest Income</v>
          </cell>
          <cell r="B435">
            <v>6</v>
          </cell>
          <cell r="C435">
            <v>13</v>
          </cell>
          <cell r="D435">
            <v>20</v>
          </cell>
          <cell r="E435">
            <v>22</v>
          </cell>
          <cell r="F435">
            <v>0</v>
          </cell>
          <cell r="G435">
            <v>0</v>
          </cell>
          <cell r="H435">
            <v>0</v>
          </cell>
          <cell r="K435">
            <v>0</v>
          </cell>
          <cell r="L435">
            <v>0</v>
          </cell>
          <cell r="M435">
            <v>0</v>
          </cell>
          <cell r="N435">
            <v>12</v>
          </cell>
          <cell r="O435">
            <v>12</v>
          </cell>
          <cell r="P435">
            <v>13</v>
          </cell>
          <cell r="Q435">
            <v>10</v>
          </cell>
          <cell r="R435">
            <v>9</v>
          </cell>
          <cell r="S435">
            <v>36</v>
          </cell>
          <cell r="T435">
            <v>55</v>
          </cell>
          <cell r="U435">
            <v>61</v>
          </cell>
          <cell r="V435">
            <v>0</v>
          </cell>
          <cell r="W435">
            <v>32.42</v>
          </cell>
          <cell r="X435">
            <v>72.264065365459118</v>
          </cell>
          <cell r="Y435">
            <v>109.02125783112535</v>
          </cell>
          <cell r="Z435">
            <v>130.72098233973247</v>
          </cell>
          <cell r="BQ435" t="str">
            <v>mstag:interestIncome</v>
          </cell>
          <cell r="BR435">
            <v>6</v>
          </cell>
          <cell r="BS435" t="str">
            <v>ISO4217:USD</v>
          </cell>
          <cell r="BT435" t="b">
            <v>0</v>
          </cell>
          <cell r="BU435" t="b">
            <v>0</v>
          </cell>
        </row>
        <row r="436">
          <cell r="A436" t="str">
            <v>Interest Expense, net</v>
          </cell>
          <cell r="B436">
            <v>-26</v>
          </cell>
          <cell r="C436">
            <v>-21</v>
          </cell>
          <cell r="D436">
            <v>-12</v>
          </cell>
          <cell r="E436">
            <v>-11</v>
          </cell>
          <cell r="F436">
            <v>-19</v>
          </cell>
          <cell r="G436">
            <v>-12</v>
          </cell>
          <cell r="H436">
            <v>-11</v>
          </cell>
          <cell r="I436">
            <v>-24</v>
          </cell>
          <cell r="J436">
            <v>-39</v>
          </cell>
          <cell r="K436">
            <v>-38</v>
          </cell>
          <cell r="L436">
            <v>-37</v>
          </cell>
          <cell r="M436">
            <v>-35.714400000000012</v>
          </cell>
          <cell r="N436">
            <v>-60</v>
          </cell>
          <cell r="O436">
            <v>-56</v>
          </cell>
          <cell r="P436">
            <v>-45</v>
          </cell>
          <cell r="Q436">
            <v>-98</v>
          </cell>
          <cell r="R436">
            <v>-148</v>
          </cell>
          <cell r="S436">
            <v>-118</v>
          </cell>
          <cell r="T436">
            <v>-101</v>
          </cell>
          <cell r="U436">
            <v>-70</v>
          </cell>
          <cell r="V436">
            <v>-66</v>
          </cell>
          <cell r="W436">
            <v>-149.71440000000001</v>
          </cell>
          <cell r="X436">
            <v>-127.88593463454089</v>
          </cell>
          <cell r="Y436">
            <v>-93.130242168874673</v>
          </cell>
          <cell r="Z436">
            <v>-71.430517660267554</v>
          </cell>
        </row>
        <row r="441">
          <cell r="A441" t="str">
            <v>Goodwill Analysis</v>
          </cell>
        </row>
        <row r="442">
          <cell r="A442" t="str">
            <v>Goodwill Amort</v>
          </cell>
          <cell r="N442">
            <v>67</v>
          </cell>
        </row>
        <row r="443">
          <cell r="A443" t="str">
            <v>Accumulated Goodwill Amort</v>
          </cell>
          <cell r="N443">
            <v>131</v>
          </cell>
          <cell r="O443">
            <v>198</v>
          </cell>
          <cell r="P443">
            <v>198</v>
          </cell>
          <cell r="Q443">
            <v>198</v>
          </cell>
          <cell r="R443">
            <v>198</v>
          </cell>
          <cell r="S443">
            <v>198</v>
          </cell>
          <cell r="T443">
            <v>198</v>
          </cell>
          <cell r="U443">
            <v>198</v>
          </cell>
          <cell r="V443">
            <v>198</v>
          </cell>
          <cell r="W443">
            <v>198</v>
          </cell>
          <cell r="X443">
            <v>198</v>
          </cell>
          <cell r="Y443">
            <v>198</v>
          </cell>
          <cell r="Z443">
            <v>198</v>
          </cell>
          <cell r="BQ443" t="str">
            <v>mstag:accumulatedAmortizationOfGoodwill</v>
          </cell>
          <cell r="BR443">
            <v>6</v>
          </cell>
          <cell r="BS443" t="str">
            <v>ISO4217:USD</v>
          </cell>
          <cell r="BT443" t="b">
            <v>0</v>
          </cell>
          <cell r="BU443" t="b">
            <v>0</v>
          </cell>
        </row>
        <row r="444">
          <cell r="A444" t="str">
            <v>Unrecorded Goodwill from Poolings</v>
          </cell>
          <cell r="N444">
            <v>4557.1081038499997</v>
          </cell>
          <cell r="O444">
            <v>4557.1081038499997</v>
          </cell>
          <cell r="P444">
            <v>4557.1081038499997</v>
          </cell>
          <cell r="Q444">
            <v>4557.1081038499997</v>
          </cell>
          <cell r="R444">
            <v>4557.1081038499997</v>
          </cell>
          <cell r="S444">
            <v>4557.1081038499997</v>
          </cell>
          <cell r="T444">
            <v>4557.1081038499997</v>
          </cell>
          <cell r="U444">
            <v>4557.1081038499997</v>
          </cell>
          <cell r="V444">
            <v>4557.1081038499997</v>
          </cell>
          <cell r="W444">
            <v>4557.1081038499997</v>
          </cell>
          <cell r="X444">
            <v>4557.1081038499997</v>
          </cell>
          <cell r="Y444">
            <v>4557.1081038499997</v>
          </cell>
          <cell r="Z444">
            <v>4557.1081038499997</v>
          </cell>
        </row>
        <row r="445">
          <cell r="A445" t="str">
            <v>Unrecorded Goodwill from Poolings, Writeoffs &amp; Accum Amort.</v>
          </cell>
          <cell r="N445">
            <v>4688.1081038499997</v>
          </cell>
          <cell r="O445">
            <v>4755.1081038499997</v>
          </cell>
          <cell r="P445">
            <v>4755.1081038499997</v>
          </cell>
          <cell r="Q445">
            <v>4755.1081038499997</v>
          </cell>
          <cell r="R445">
            <v>4755.1081038499997</v>
          </cell>
          <cell r="S445">
            <v>4755.1081038499997</v>
          </cell>
          <cell r="T445">
            <v>4755.1081038499997</v>
          </cell>
          <cell r="U445">
            <v>4755.1081038499997</v>
          </cell>
          <cell r="V445">
            <v>4755.1081038499997</v>
          </cell>
          <cell r="W445">
            <v>4755.1081038499997</v>
          </cell>
          <cell r="X445">
            <v>4755.1081038499997</v>
          </cell>
          <cell r="Y445">
            <v>4755.1081038499997</v>
          </cell>
          <cell r="Z445">
            <v>4755.1081038499997</v>
          </cell>
          <cell r="BQ445" t="str">
            <v>mstag:unrecordedGoodwillFromPoolingAndAmortizedOrWrittenOffGoodwill</v>
          </cell>
          <cell r="BR445">
            <v>6</v>
          </cell>
          <cell r="BS445" t="str">
            <v>ISO4217:USD</v>
          </cell>
          <cell r="BT445" t="b">
            <v>0</v>
          </cell>
          <cell r="BU445" t="b">
            <v>0</v>
          </cell>
        </row>
        <row r="446">
          <cell r="A446" t="str">
            <v>Common Dividends, Accrual</v>
          </cell>
          <cell r="N446">
            <v>-205</v>
          </cell>
          <cell r="O446">
            <v>-224</v>
          </cell>
          <cell r="P446">
            <v>-253</v>
          </cell>
          <cell r="Q446">
            <v>-249</v>
          </cell>
          <cell r="R446">
            <v>-287</v>
          </cell>
          <cell r="S446">
            <v>-322</v>
          </cell>
          <cell r="T446">
            <v>-372</v>
          </cell>
          <cell r="U446">
            <v>-445</v>
          </cell>
          <cell r="V446">
            <v>-533</v>
          </cell>
          <cell r="W446">
            <v>-592.9349501306001</v>
          </cell>
          <cell r="X446">
            <v>-638.54092514366016</v>
          </cell>
          <cell r="Y446">
            <v>-698.63094965802611</v>
          </cell>
          <cell r="Z446">
            <v>-773.87666186382899</v>
          </cell>
          <cell r="BQ446" t="str">
            <v>mstag:commonDividends</v>
          </cell>
          <cell r="BR446">
            <v>6</v>
          </cell>
          <cell r="BS446" t="str">
            <v>ISO4217:USD</v>
          </cell>
          <cell r="BT446" t="b">
            <v>1</v>
          </cell>
          <cell r="BU446" t="b">
            <v>0</v>
          </cell>
        </row>
        <row r="448">
          <cell r="A448" t="str">
            <v>Tax Analysis</v>
          </cell>
        </row>
        <row r="449">
          <cell r="A449" t="str">
            <v>Federal Statuatory Tax Rate</v>
          </cell>
          <cell r="N449">
            <v>0.35</v>
          </cell>
          <cell r="O449">
            <v>0.35</v>
          </cell>
          <cell r="P449">
            <v>0.35</v>
          </cell>
          <cell r="Q449">
            <v>0.35</v>
          </cell>
          <cell r="R449">
            <v>0.35</v>
          </cell>
          <cell r="S449">
            <v>0.35</v>
          </cell>
          <cell r="T449">
            <v>0.35</v>
          </cell>
          <cell r="U449">
            <v>0.35</v>
          </cell>
          <cell r="V449">
            <v>0.35</v>
          </cell>
          <cell r="W449">
            <v>0.35</v>
          </cell>
          <cell r="X449">
            <v>0.35</v>
          </cell>
          <cell r="Y449">
            <v>0.35</v>
          </cell>
          <cell r="Z449">
            <v>0.35</v>
          </cell>
        </row>
        <row r="450">
          <cell r="A450" t="str">
            <v>State Tax Adjustment</v>
          </cell>
          <cell r="N450">
            <v>0.01</v>
          </cell>
          <cell r="O450">
            <v>1.0999999999999999E-2</v>
          </cell>
          <cell r="P450">
            <v>3.0000000000000001E-3</v>
          </cell>
          <cell r="Q450">
            <v>2E-3</v>
          </cell>
          <cell r="R450">
            <v>0</v>
          </cell>
          <cell r="S450">
            <v>2E-3</v>
          </cell>
          <cell r="T450">
            <v>3.0000000000000001E-3</v>
          </cell>
          <cell r="U450">
            <v>1E-3</v>
          </cell>
          <cell r="V450">
            <v>1E-3</v>
          </cell>
          <cell r="W450">
            <v>1E-3</v>
          </cell>
          <cell r="X450">
            <v>1E-3</v>
          </cell>
          <cell r="Y450">
            <v>1E-3</v>
          </cell>
          <cell r="Z450">
            <v>1E-3</v>
          </cell>
        </row>
        <row r="451">
          <cell r="A451" t="str">
            <v>ForeignTax Adjustment</v>
          </cell>
          <cell r="N451">
            <v>-5.0000000000000001E-3</v>
          </cell>
          <cell r="O451">
            <v>-6.0000000000000001E-3</v>
          </cell>
          <cell r="P451">
            <v>-8.9999999999999993E-3</v>
          </cell>
          <cell r="Q451">
            <v>-7.0000000000000001E-3</v>
          </cell>
          <cell r="R451">
            <v>-8.0000000000000002E-3</v>
          </cell>
          <cell r="S451">
            <v>-4.0000000000000001E-3</v>
          </cell>
          <cell r="T451">
            <v>-3.0000000000000001E-3</v>
          </cell>
          <cell r="U451">
            <v>-3.9E-2</v>
          </cell>
          <cell r="V451">
            <v>-3.9E-2</v>
          </cell>
          <cell r="W451">
            <v>-3.9E-2</v>
          </cell>
          <cell r="X451">
            <v>-3.9E-2</v>
          </cell>
          <cell r="Y451">
            <v>-3.9E-2</v>
          </cell>
          <cell r="Z451">
            <v>-3.9E-2</v>
          </cell>
        </row>
        <row r="452">
          <cell r="A452" t="str">
            <v>Adjusted Statutory Tax Rate</v>
          </cell>
          <cell r="N452">
            <v>0.35499999999999998</v>
          </cell>
          <cell r="O452">
            <v>0.35499999999999998</v>
          </cell>
          <cell r="P452">
            <v>0.34399999999999997</v>
          </cell>
          <cell r="Q452">
            <v>0.34499999999999997</v>
          </cell>
          <cell r="R452">
            <v>0.34199999999999997</v>
          </cell>
          <cell r="S452">
            <v>0.34799999999999998</v>
          </cell>
          <cell r="T452">
            <v>0.35</v>
          </cell>
          <cell r="U452">
            <v>0.312</v>
          </cell>
          <cell r="V452">
            <v>0.312</v>
          </cell>
          <cell r="W452">
            <v>0.312</v>
          </cell>
          <cell r="X452">
            <v>0.312</v>
          </cell>
          <cell r="Y452">
            <v>0.312</v>
          </cell>
          <cell r="Z452">
            <v>0.312</v>
          </cell>
          <cell r="BQ452" t="str">
            <v>mstag:statutoryTaxRate</v>
          </cell>
          <cell r="BR452">
            <v>0</v>
          </cell>
          <cell r="BS452" t="str">
            <v>ms_eqr_gcim_Decimal:ms_eqr_gcim_decimal</v>
          </cell>
          <cell r="BT452" t="b">
            <v>0</v>
          </cell>
          <cell r="BU452" t="b">
            <v>0</v>
          </cell>
        </row>
        <row r="454">
          <cell r="A454" t="str">
            <v>Share Analysis</v>
          </cell>
          <cell r="V454">
            <v>398.7</v>
          </cell>
          <cell r="W454">
            <v>385.02269489000003</v>
          </cell>
          <cell r="X454">
            <v>376.94269489000004</v>
          </cell>
          <cell r="Y454">
            <v>374.92269489</v>
          </cell>
          <cell r="Z454">
            <v>377.54869489000004</v>
          </cell>
        </row>
        <row r="455">
          <cell r="A455" t="str">
            <v>Period End Basic Shares</v>
          </cell>
          <cell r="B455">
            <v>404.66574400000002</v>
          </cell>
          <cell r="C455">
            <v>405.62370199999998</v>
          </cell>
          <cell r="D455">
            <v>402.26407599999999</v>
          </cell>
          <cell r="E455">
            <v>403.97957200000002</v>
          </cell>
          <cell r="F455">
            <v>398.49098700000002</v>
          </cell>
          <cell r="G455">
            <v>397.32797900000003</v>
          </cell>
          <cell r="H455">
            <v>389.84819299999998</v>
          </cell>
          <cell r="I455">
            <v>386.71058900000003</v>
          </cell>
          <cell r="N455">
            <v>401</v>
          </cell>
          <cell r="O455">
            <v>401.4</v>
          </cell>
          <cell r="P455">
            <v>402</v>
          </cell>
          <cell r="Q455">
            <v>396</v>
          </cell>
          <cell r="R455">
            <v>402</v>
          </cell>
          <cell r="S455">
            <v>400.36305399999998</v>
          </cell>
          <cell r="T455">
            <v>405.792438</v>
          </cell>
          <cell r="U455">
            <v>403.97957200000002</v>
          </cell>
          <cell r="V455">
            <v>386.71058900000003</v>
          </cell>
          <cell r="W455">
            <v>375.71058900000003</v>
          </cell>
          <cell r="X455">
            <v>370.71058900000003</v>
          </cell>
          <cell r="Y455">
            <v>371.71058900000003</v>
          </cell>
          <cell r="Z455">
            <v>375.91058900000002</v>
          </cell>
          <cell r="BQ455" t="str">
            <v>mstag:periodEndBasicSharesOutstanding</v>
          </cell>
          <cell r="BR455">
            <v>6</v>
          </cell>
          <cell r="BS455" t="str">
            <v>ms_eqr_gcim_Decimal:ms_eqr_gcim_decimal</v>
          </cell>
          <cell r="BT455" t="b">
            <v>0</v>
          </cell>
          <cell r="BU455" t="b">
            <v>0</v>
          </cell>
        </row>
        <row r="456">
          <cell r="A456" t="str">
            <v>Average Basic Shares</v>
          </cell>
          <cell r="B456">
            <v>405.6</v>
          </cell>
          <cell r="C456">
            <v>405.1</v>
          </cell>
          <cell r="D456">
            <v>404.8</v>
          </cell>
          <cell r="E456">
            <v>403.3</v>
          </cell>
          <cell r="F456">
            <v>400.75900000000001</v>
          </cell>
          <cell r="G456">
            <v>398.49099999999999</v>
          </cell>
          <cell r="H456">
            <v>396.74799999999999</v>
          </cell>
          <cell r="I456">
            <v>396.1</v>
          </cell>
          <cell r="N456">
            <v>399.68</v>
          </cell>
          <cell r="O456">
            <v>402.28399999999999</v>
          </cell>
          <cell r="P456">
            <v>402.714</v>
          </cell>
          <cell r="Q456">
            <v>395.58</v>
          </cell>
          <cell r="R456">
            <v>399.12599999999998</v>
          </cell>
          <cell r="S456">
            <v>401.6</v>
          </cell>
          <cell r="T456">
            <v>403.4</v>
          </cell>
          <cell r="U456">
            <v>404.41699999999997</v>
          </cell>
          <cell r="V456">
            <v>396.2</v>
          </cell>
          <cell r="W456">
            <v>381.21058900000003</v>
          </cell>
          <cell r="X456">
            <v>373.21058900000003</v>
          </cell>
          <cell r="Y456">
            <v>371.21058900000003</v>
          </cell>
          <cell r="Z456">
            <v>373.81058900000005</v>
          </cell>
          <cell r="BQ456" t="str">
            <v>mstag:averageBasicSharesOutstanding</v>
          </cell>
          <cell r="BR456">
            <v>6</v>
          </cell>
          <cell r="BS456" t="str">
            <v>ms_eqr_gcim_Decimal:ms_eqr_gcim_decimal</v>
          </cell>
          <cell r="BT456" t="b">
            <v>0</v>
          </cell>
          <cell r="BU456" t="b">
            <v>0</v>
          </cell>
        </row>
        <row r="457">
          <cell r="A457" t="str">
            <v>Average Diluted Shares</v>
          </cell>
          <cell r="B457">
            <v>409.4</v>
          </cell>
          <cell r="C457">
            <v>408.9</v>
          </cell>
          <cell r="D457">
            <v>407.3</v>
          </cell>
          <cell r="E457">
            <v>406.9</v>
          </cell>
          <cell r="F457">
            <v>403.9</v>
          </cell>
          <cell r="G457">
            <v>401.8</v>
          </cell>
          <cell r="H457">
            <v>399.8</v>
          </cell>
          <cell r="I457">
            <v>389.6</v>
          </cell>
          <cell r="J457">
            <v>386.5</v>
          </cell>
          <cell r="K457">
            <v>387</v>
          </cell>
          <cell r="L457">
            <v>385</v>
          </cell>
          <cell r="M457">
            <v>381.5907795600001</v>
          </cell>
          <cell r="N457">
            <v>402.6</v>
          </cell>
          <cell r="O457">
            <v>405.8</v>
          </cell>
          <cell r="P457">
            <v>405.70400000000001</v>
          </cell>
          <cell r="Q457">
            <v>398.30399999999997</v>
          </cell>
          <cell r="R457">
            <v>402.93400000000003</v>
          </cell>
          <cell r="S457">
            <v>404.8</v>
          </cell>
          <cell r="T457">
            <v>406.8</v>
          </cell>
          <cell r="U457">
            <v>408.14499999999998</v>
          </cell>
          <cell r="V457">
            <v>398.7</v>
          </cell>
          <cell r="W457">
            <v>385.02269489000003</v>
          </cell>
          <cell r="X457">
            <v>376.94269489000004</v>
          </cell>
          <cell r="Y457">
            <v>374.92269489</v>
          </cell>
          <cell r="Z457">
            <v>377.54869489000004</v>
          </cell>
          <cell r="BQ457" t="str">
            <v>mstag:averageDilutedSharesOutstanding</v>
          </cell>
          <cell r="BR457">
            <v>6</v>
          </cell>
          <cell r="BS457" t="str">
            <v>ms_eqr_gcim_Decimal:ms_eqr_gcim_decimal</v>
          </cell>
          <cell r="BT457" t="b">
            <v>0</v>
          </cell>
          <cell r="BU457" t="b">
            <v>0</v>
          </cell>
        </row>
        <row r="458">
          <cell r="A458" t="str">
            <v>Diluted/Basic Ratio</v>
          </cell>
          <cell r="B458">
            <v>1.0093688362919131</v>
          </cell>
          <cell r="C458">
            <v>1.0093803999012589</v>
          </cell>
          <cell r="D458">
            <v>1.0061758893280632</v>
          </cell>
          <cell r="E458">
            <v>1.0089263575502108</v>
          </cell>
          <cell r="F458">
            <v>1.0078376281006789</v>
          </cell>
          <cell r="G458">
            <v>1.0083038261842803</v>
          </cell>
          <cell r="H458">
            <v>1.0076925403530705</v>
          </cell>
          <cell r="I458">
            <v>0.98359000252461504</v>
          </cell>
          <cell r="N458">
            <v>1.0073058446757406</v>
          </cell>
          <cell r="O458">
            <v>1.008740094062901</v>
          </cell>
          <cell r="P458">
            <v>1.0074246239266575</v>
          </cell>
          <cell r="Q458">
            <v>1.0068860913089641</v>
          </cell>
          <cell r="R458">
            <v>1.0095408467501492</v>
          </cell>
          <cell r="S458">
            <v>1.0079681274900398</v>
          </cell>
          <cell r="T458">
            <v>1.0084283589489342</v>
          </cell>
          <cell r="U458">
            <v>1.0092182079388354</v>
          </cell>
          <cell r="V458">
            <v>1.0063099444724886</v>
          </cell>
          <cell r="W458">
            <v>1.01</v>
          </cell>
          <cell r="X458">
            <v>1.01</v>
          </cell>
          <cell r="Y458">
            <v>1.01</v>
          </cell>
          <cell r="Z458">
            <v>1.01</v>
          </cell>
        </row>
        <row r="459">
          <cell r="A459" t="str">
            <v>Share Repurchases</v>
          </cell>
          <cell r="W459">
            <v>385.02269489000003</v>
          </cell>
        </row>
        <row r="460">
          <cell r="A460" t="str">
            <v>Number of Shares Repurchased</v>
          </cell>
          <cell r="B460">
            <v>2</v>
          </cell>
          <cell r="C460">
            <v>0</v>
          </cell>
          <cell r="D460">
            <v>4</v>
          </cell>
          <cell r="E460">
            <v>0.5</v>
          </cell>
          <cell r="F460">
            <v>6.3</v>
          </cell>
          <cell r="G460">
            <v>2.06</v>
          </cell>
          <cell r="H460">
            <v>6.0400000000000009</v>
          </cell>
          <cell r="I460">
            <v>5.6</v>
          </cell>
          <cell r="N460">
            <v>8.1083999999999996</v>
          </cell>
          <cell r="O460">
            <v>2.9325999999999999</v>
          </cell>
          <cell r="P460">
            <v>2.5960000000000001</v>
          </cell>
          <cell r="Q460">
            <v>9.4</v>
          </cell>
          <cell r="R460">
            <v>0</v>
          </cell>
          <cell r="S460">
            <v>6.68</v>
          </cell>
          <cell r="T460">
            <v>1000</v>
          </cell>
          <cell r="U460">
            <v>6.5</v>
          </cell>
          <cell r="V460">
            <v>20</v>
          </cell>
          <cell r="W460">
            <v>14.5</v>
          </cell>
          <cell r="X460">
            <v>9</v>
          </cell>
          <cell r="Y460">
            <v>5</v>
          </cell>
          <cell r="Z460">
            <v>1.8</v>
          </cell>
        </row>
        <row r="461">
          <cell r="A461" t="str">
            <v>Total Cost</v>
          </cell>
          <cell r="B461">
            <v>152.02000000000001</v>
          </cell>
          <cell r="C461">
            <v>0</v>
          </cell>
          <cell r="D461">
            <v>309.98</v>
          </cell>
          <cell r="E461">
            <v>43.895000000000003</v>
          </cell>
          <cell r="F461">
            <v>522.9</v>
          </cell>
          <cell r="G461">
            <v>175.77979999999999</v>
          </cell>
          <cell r="H461">
            <v>494.31360000000012</v>
          </cell>
          <cell r="I461">
            <v>337.00659999999993</v>
          </cell>
          <cell r="N461">
            <v>208</v>
          </cell>
          <cell r="O461">
            <v>113</v>
          </cell>
          <cell r="P461">
            <v>100</v>
          </cell>
          <cell r="Q461">
            <v>300</v>
          </cell>
          <cell r="R461">
            <v>0</v>
          </cell>
          <cell r="S461">
            <v>358</v>
          </cell>
          <cell r="T461">
            <v>74.813419999999994</v>
          </cell>
          <cell r="U461">
            <v>507</v>
          </cell>
          <cell r="V461">
            <v>1530</v>
          </cell>
          <cell r="W461">
            <v>1015</v>
          </cell>
          <cell r="X461">
            <v>661.5</v>
          </cell>
          <cell r="Y461">
            <v>385.875</v>
          </cell>
          <cell r="Z461">
            <v>145.86075</v>
          </cell>
        </row>
        <row r="462">
          <cell r="A462" t="str">
            <v>Average Share Price</v>
          </cell>
          <cell r="B462">
            <v>76.010000000000005</v>
          </cell>
          <cell r="C462">
            <v>0</v>
          </cell>
          <cell r="D462">
            <v>77.495000000000005</v>
          </cell>
          <cell r="E462">
            <v>87.79</v>
          </cell>
          <cell r="F462">
            <v>83</v>
          </cell>
          <cell r="G462">
            <v>85.33</v>
          </cell>
          <cell r="H462">
            <v>81.84</v>
          </cell>
          <cell r="I462">
            <v>60.179749999999991</v>
          </cell>
          <cell r="N462">
            <v>25.652409846578859</v>
          </cell>
          <cell r="O462">
            <v>38.532360362817975</v>
          </cell>
          <cell r="P462">
            <v>38.52080123266564</v>
          </cell>
          <cell r="Q462">
            <v>31.914893617021274</v>
          </cell>
          <cell r="R462">
            <v>26.737500000000001</v>
          </cell>
          <cell r="S462">
            <v>53.592814371257489</v>
          </cell>
          <cell r="T462">
            <v>7.4813419999999992E-2</v>
          </cell>
          <cell r="U462">
            <v>78</v>
          </cell>
          <cell r="V462">
            <v>76.5</v>
          </cell>
          <cell r="W462">
            <v>70</v>
          </cell>
          <cell r="X462">
            <v>73.5</v>
          </cell>
          <cell r="Y462">
            <v>77.174999999999997</v>
          </cell>
          <cell r="Z462">
            <v>81.033749999999998</v>
          </cell>
        </row>
        <row r="463">
          <cell r="A463" t="str">
            <v>Share Price Growth</v>
          </cell>
          <cell r="V463">
            <v>-0.15</v>
          </cell>
          <cell r="W463">
            <v>0</v>
          </cell>
          <cell r="X463">
            <v>0.05</v>
          </cell>
          <cell r="Y463">
            <v>0.05</v>
          </cell>
          <cell r="Z463">
            <v>0.05</v>
          </cell>
        </row>
        <row r="464">
          <cell r="A464" t="str">
            <v>Authorization Remaining (shares)</v>
          </cell>
          <cell r="B464">
            <v>8</v>
          </cell>
          <cell r="C464">
            <v>7.7</v>
          </cell>
          <cell r="D464">
            <v>3.6</v>
          </cell>
          <cell r="E464">
            <v>9.5551999999999992</v>
          </cell>
          <cell r="F464">
            <v>3.3</v>
          </cell>
          <cell r="G464">
            <v>1.2</v>
          </cell>
          <cell r="H464">
            <v>8</v>
          </cell>
          <cell r="I464">
            <v>4.9000000000000004</v>
          </cell>
          <cell r="Q464">
            <v>9.0136000000000003</v>
          </cell>
          <cell r="R464">
            <v>9.0136000000000003</v>
          </cell>
          <cell r="S464">
            <v>2.3336000000000006</v>
          </cell>
          <cell r="T464">
            <v>10</v>
          </cell>
          <cell r="U464">
            <v>9.5551999999999992</v>
          </cell>
          <cell r="V464">
            <v>4.9000000000000004</v>
          </cell>
        </row>
        <row r="465">
          <cell r="A465" t="str">
            <v>Share Grants</v>
          </cell>
        </row>
        <row r="466">
          <cell r="A466" t="str">
            <v>Options Outstanding</v>
          </cell>
          <cell r="N466">
            <v>13.147197999999999</v>
          </cell>
          <cell r="O466">
            <v>14.132225999999999</v>
          </cell>
          <cell r="P466">
            <v>15.325049999999999</v>
          </cell>
          <cell r="Q466">
            <v>19.337237999999999</v>
          </cell>
          <cell r="R466">
            <v>17.369892</v>
          </cell>
          <cell r="S466">
            <v>18.032228</v>
          </cell>
          <cell r="T466">
            <v>16.067983000000002</v>
          </cell>
          <cell r="U466">
            <v>15.839983</v>
          </cell>
          <cell r="V466">
            <v>19.697009000000001</v>
          </cell>
        </row>
        <row r="467">
          <cell r="A467" t="str">
            <v>Options Exercised</v>
          </cell>
          <cell r="F467">
            <v>5.4885850000000005</v>
          </cell>
          <cell r="N467">
            <v>7.3381400000000001</v>
          </cell>
          <cell r="O467">
            <v>3.5335740000000002</v>
          </cell>
          <cell r="P467">
            <v>3.0100920000000002</v>
          </cell>
          <cell r="Q467">
            <v>2.9512079999999998</v>
          </cell>
          <cell r="R467">
            <v>6.3518860000000004</v>
          </cell>
          <cell r="S467">
            <v>4.4081159999999997</v>
          </cell>
          <cell r="T467">
            <v>6.3861090000000003</v>
          </cell>
          <cell r="U467">
            <v>5.1455159999999998</v>
          </cell>
          <cell r="V467">
            <v>3.014402</v>
          </cell>
        </row>
        <row r="468">
          <cell r="A468" t="str">
            <v>Options Exercisable</v>
          </cell>
          <cell r="N468">
            <v>6.0467979999999999</v>
          </cell>
          <cell r="O468">
            <v>6.475136</v>
          </cell>
          <cell r="P468">
            <v>8.2395820000000004</v>
          </cell>
          <cell r="Q468">
            <v>9.3584239999999994</v>
          </cell>
          <cell r="R468">
            <v>8.3191279999999992</v>
          </cell>
          <cell r="S468">
            <v>9.7135040000000004</v>
          </cell>
          <cell r="T468">
            <v>8.4687819999999991</v>
          </cell>
          <cell r="U468">
            <v>8.0794650000000008</v>
          </cell>
          <cell r="V468">
            <v>7.289237</v>
          </cell>
        </row>
        <row r="469">
          <cell r="A469" t="str">
            <v>Weighted Average Price</v>
          </cell>
          <cell r="N469">
            <v>16.555</v>
          </cell>
          <cell r="O469">
            <v>21.305</v>
          </cell>
          <cell r="P469">
            <v>21.78</v>
          </cell>
          <cell r="Q469">
            <v>25.245000000000001</v>
          </cell>
          <cell r="R469">
            <v>28.5</v>
          </cell>
          <cell r="S469">
            <v>35.049999999999997</v>
          </cell>
          <cell r="T469">
            <v>42.08</v>
          </cell>
          <cell r="U469">
            <v>50.94</v>
          </cell>
          <cell r="V469">
            <v>70.28</v>
          </cell>
        </row>
        <row r="470">
          <cell r="A470" t="str">
            <v>% Exercisable Options Exercised</v>
          </cell>
          <cell r="N470">
            <v>0.67707360677555239</v>
          </cell>
          <cell r="O470">
            <v>0.58437110020873861</v>
          </cell>
          <cell r="P470">
            <v>0.46486930930871573</v>
          </cell>
          <cell r="Q470">
            <v>0.35817448021028248</v>
          </cell>
          <cell r="R470">
            <v>0.67873458180565449</v>
          </cell>
          <cell r="S470">
            <v>0.52987716981875987</v>
          </cell>
          <cell r="T470">
            <v>0.65744647863428074</v>
          </cell>
          <cell r="U470">
            <v>0.60758630934176838</v>
          </cell>
          <cell r="V470">
            <v>0.37309425809753488</v>
          </cell>
        </row>
        <row r="471">
          <cell r="A471" t="str">
            <v>Restricted Stock Awards Granted</v>
          </cell>
          <cell r="N471">
            <v>0.77004600000000001</v>
          </cell>
          <cell r="O471">
            <v>0.68177600000000005</v>
          </cell>
          <cell r="P471">
            <v>0.75008600000000003</v>
          </cell>
          <cell r="Q471">
            <v>0.81612799999999996</v>
          </cell>
          <cell r="R471">
            <v>0.52560200000000001</v>
          </cell>
          <cell r="S471">
            <v>0.86890800000000001</v>
          </cell>
          <cell r="T471">
            <v>0.58710799999999996</v>
          </cell>
          <cell r="U471">
            <v>0.42763499999999999</v>
          </cell>
          <cell r="V471">
            <v>0.44286500000000001</v>
          </cell>
        </row>
        <row r="472">
          <cell r="A472" t="str">
            <v>Average Price Restricted Stock</v>
          </cell>
          <cell r="N472">
            <v>21.614999999999998</v>
          </cell>
          <cell r="O472">
            <v>35.695</v>
          </cell>
          <cell r="P472">
            <v>44.115000000000002</v>
          </cell>
          <cell r="Q472">
            <v>29.27</v>
          </cell>
          <cell r="R472">
            <v>45.704999999999998</v>
          </cell>
          <cell r="S472">
            <v>52.27</v>
          </cell>
          <cell r="T472">
            <v>61.52</v>
          </cell>
          <cell r="U472">
            <v>76.27</v>
          </cell>
          <cell r="V472">
            <v>83.05</v>
          </cell>
        </row>
        <row r="473">
          <cell r="A473" t="str">
            <v>Shares Issued</v>
          </cell>
        </row>
        <row r="474">
          <cell r="A474" t="str">
            <v>Number of Shares Issued</v>
          </cell>
          <cell r="N474">
            <v>8.1081859999999999</v>
          </cell>
          <cell r="O474">
            <v>4.2153499999999999</v>
          </cell>
          <cell r="P474">
            <v>3.7601780000000002</v>
          </cell>
          <cell r="Q474">
            <v>3.7673359999999998</v>
          </cell>
          <cell r="R474">
            <v>6.8774880000000005</v>
          </cell>
          <cell r="S474">
            <v>5.2770239999999999</v>
          </cell>
          <cell r="T474">
            <v>6.973217</v>
          </cell>
          <cell r="U474">
            <v>5.5731509999999993</v>
          </cell>
          <cell r="V474">
            <v>3.4572669999999999</v>
          </cell>
          <cell r="W474">
            <v>3.5</v>
          </cell>
          <cell r="X474">
            <v>4</v>
          </cell>
          <cell r="Y474">
            <v>6</v>
          </cell>
          <cell r="Z474">
            <v>6</v>
          </cell>
        </row>
        <row r="475">
          <cell r="A475" t="str">
            <v>Weighted Average Price</v>
          </cell>
          <cell r="U475">
            <v>61.006780544794147</v>
          </cell>
          <cell r="V475">
            <v>77.228631748719437</v>
          </cell>
          <cell r="W475">
            <v>70</v>
          </cell>
          <cell r="X475">
            <v>73.5</v>
          </cell>
          <cell r="Y475">
            <v>77.174999999999997</v>
          </cell>
          <cell r="Z475">
            <v>81.033749999999998</v>
          </cell>
        </row>
        <row r="476">
          <cell r="A476" t="str">
            <v>Proceeds from Exercises</v>
          </cell>
          <cell r="N476">
            <v>180</v>
          </cell>
          <cell r="O476">
            <v>91</v>
          </cell>
          <cell r="P476">
            <v>77</v>
          </cell>
          <cell r="Q476">
            <v>118</v>
          </cell>
          <cell r="R476">
            <v>233</v>
          </cell>
          <cell r="S476">
            <v>200</v>
          </cell>
          <cell r="T476">
            <v>348</v>
          </cell>
          <cell r="U476">
            <v>340</v>
          </cell>
          <cell r="V476">
            <v>267</v>
          </cell>
          <cell r="W476">
            <v>245</v>
          </cell>
          <cell r="X476">
            <v>294</v>
          </cell>
          <cell r="Y476">
            <v>463.04999999999995</v>
          </cell>
          <cell r="Z476">
            <v>486.20249999999999</v>
          </cell>
        </row>
        <row r="478">
          <cell r="A478" t="str">
            <v>Net Issuances (Repurchases)</v>
          </cell>
          <cell r="N478">
            <v>-2.1399999999971442E-4</v>
          </cell>
          <cell r="O478">
            <v>1.2827500000000001</v>
          </cell>
          <cell r="P478">
            <v>1.1641780000000002</v>
          </cell>
          <cell r="Q478">
            <v>-5.6326640000000001</v>
          </cell>
          <cell r="R478">
            <v>6.8774880000000005</v>
          </cell>
          <cell r="S478">
            <v>-1.4029759999999998</v>
          </cell>
          <cell r="T478">
            <v>-993.02678300000002</v>
          </cell>
          <cell r="U478">
            <v>-0.9268490000000007</v>
          </cell>
          <cell r="V478">
            <v>-16.542732999999998</v>
          </cell>
          <cell r="W478">
            <v>-11</v>
          </cell>
          <cell r="X478">
            <v>-5</v>
          </cell>
          <cell r="Y478">
            <v>1</v>
          </cell>
          <cell r="Z478">
            <v>4.2</v>
          </cell>
        </row>
        <row r="479">
          <cell r="A479" t="str">
            <v>Net Expenditures for Issuances/(Repurchases)</v>
          </cell>
          <cell r="N479">
            <v>-28</v>
          </cell>
          <cell r="O479">
            <v>-22</v>
          </cell>
          <cell r="P479">
            <v>-23</v>
          </cell>
          <cell r="Q479">
            <v>-182</v>
          </cell>
          <cell r="R479">
            <v>233</v>
          </cell>
          <cell r="S479">
            <v>-158</v>
          </cell>
          <cell r="T479">
            <v>273.18657999999999</v>
          </cell>
          <cell r="U479">
            <v>-167</v>
          </cell>
          <cell r="V479">
            <v>-1263</v>
          </cell>
          <cell r="W479">
            <v>-770</v>
          </cell>
          <cell r="X479">
            <v>-367.5</v>
          </cell>
          <cell r="Y479">
            <v>77.174999999999955</v>
          </cell>
          <cell r="Z479">
            <v>340.34174999999999</v>
          </cell>
          <cell r="BQ479" t="str">
            <v>mstag:netIssuanceRepurchaseOfCommonStock</v>
          </cell>
          <cell r="BR479">
            <v>6</v>
          </cell>
          <cell r="BS479" t="str">
            <v>ISO4217:USD</v>
          </cell>
          <cell r="BT479" t="b">
            <v>0</v>
          </cell>
          <cell r="BU479" t="b">
            <v>0</v>
          </cell>
        </row>
        <row r="481">
          <cell r="A481" t="str">
            <v>Fixed Asset Analysis</v>
          </cell>
        </row>
        <row r="482">
          <cell r="A482" t="str">
            <v>Gross PP&amp;E - beginning of period</v>
          </cell>
          <cell r="N482">
            <v>2388</v>
          </cell>
          <cell r="O482">
            <v>2640</v>
          </cell>
          <cell r="P482">
            <v>3478</v>
          </cell>
          <cell r="Q482">
            <v>3469</v>
          </cell>
          <cell r="R482">
            <v>3871</v>
          </cell>
          <cell r="S482">
            <v>4167</v>
          </cell>
          <cell r="T482">
            <v>3838</v>
          </cell>
          <cell r="U482">
            <v>4188</v>
          </cell>
          <cell r="V482">
            <v>4729</v>
          </cell>
          <cell r="W482">
            <v>5340</v>
          </cell>
          <cell r="X482">
            <v>5890</v>
          </cell>
          <cell r="Y482">
            <v>6440</v>
          </cell>
          <cell r="Z482">
            <v>7040</v>
          </cell>
        </row>
        <row r="483">
          <cell r="A483" t="str">
            <v xml:space="preserve">   Additions - Capital spending</v>
          </cell>
          <cell r="N483">
            <v>288</v>
          </cell>
          <cell r="O483">
            <v>356</v>
          </cell>
          <cell r="P483">
            <v>262</v>
          </cell>
          <cell r="Q483">
            <v>220</v>
          </cell>
          <cell r="R483">
            <v>253</v>
          </cell>
          <cell r="S483">
            <v>262</v>
          </cell>
          <cell r="T483">
            <v>334</v>
          </cell>
          <cell r="U483">
            <v>474</v>
          </cell>
          <cell r="V483">
            <v>490</v>
          </cell>
          <cell r="W483">
            <v>550</v>
          </cell>
          <cell r="X483">
            <v>550</v>
          </cell>
          <cell r="Y483">
            <v>600</v>
          </cell>
          <cell r="Z483">
            <v>600</v>
          </cell>
        </row>
        <row r="484">
          <cell r="A484" t="str">
            <v xml:space="preserve">   Additions - Acquisitions</v>
          </cell>
          <cell r="W484">
            <v>0</v>
          </cell>
          <cell r="X484">
            <v>0</v>
          </cell>
          <cell r="Y484">
            <v>0</v>
          </cell>
          <cell r="Z484">
            <v>0</v>
          </cell>
        </row>
        <row r="485">
          <cell r="A485" t="str">
            <v xml:space="preserve">   Asset Retirements/Other</v>
          </cell>
          <cell r="N485">
            <v>-36</v>
          </cell>
          <cell r="O485">
            <v>482</v>
          </cell>
          <cell r="P485">
            <v>-271</v>
          </cell>
          <cell r="Q485">
            <v>182</v>
          </cell>
          <cell r="R485">
            <v>43</v>
          </cell>
          <cell r="S485">
            <v>-591</v>
          </cell>
          <cell r="T485">
            <v>16</v>
          </cell>
          <cell r="U485">
            <v>67</v>
          </cell>
          <cell r="V485">
            <v>121</v>
          </cell>
          <cell r="W485">
            <v>0</v>
          </cell>
          <cell r="X485">
            <v>0</v>
          </cell>
          <cell r="Y485">
            <v>0</v>
          </cell>
          <cell r="Z485">
            <v>0</v>
          </cell>
        </row>
        <row r="486">
          <cell r="A486" t="str">
            <v>Gross PP&amp;E - end of period</v>
          </cell>
          <cell r="N486">
            <v>2640</v>
          </cell>
          <cell r="O486">
            <v>3478</v>
          </cell>
          <cell r="P486">
            <v>3469</v>
          </cell>
          <cell r="Q486">
            <v>3871</v>
          </cell>
          <cell r="R486">
            <v>4167</v>
          </cell>
          <cell r="S486">
            <v>3838</v>
          </cell>
          <cell r="T486">
            <v>4188</v>
          </cell>
          <cell r="U486">
            <v>4729</v>
          </cell>
          <cell r="V486">
            <v>5340</v>
          </cell>
          <cell r="W486">
            <v>5890</v>
          </cell>
          <cell r="X486">
            <v>6440</v>
          </cell>
          <cell r="Y486">
            <v>7040</v>
          </cell>
          <cell r="Z486">
            <v>7640</v>
          </cell>
        </row>
        <row r="488">
          <cell r="A488" t="str">
            <v>Accumulated Depreciation - beginning of period</v>
          </cell>
          <cell r="N488">
            <v>1219</v>
          </cell>
          <cell r="O488">
            <v>1346</v>
          </cell>
          <cell r="P488">
            <v>1760</v>
          </cell>
          <cell r="Q488">
            <v>1613</v>
          </cell>
          <cell r="R488">
            <v>1811</v>
          </cell>
          <cell r="S488">
            <v>2014</v>
          </cell>
          <cell r="T488">
            <v>1810</v>
          </cell>
          <cell r="U488">
            <v>2020</v>
          </cell>
          <cell r="V488">
            <v>2257</v>
          </cell>
          <cell r="W488">
            <v>2468</v>
          </cell>
          <cell r="X488">
            <v>2836.125</v>
          </cell>
          <cell r="Y488">
            <v>3238.625</v>
          </cell>
          <cell r="Z488">
            <v>3678.625</v>
          </cell>
        </row>
        <row r="489">
          <cell r="A489" t="str">
            <v xml:space="preserve">   Depreciation </v>
          </cell>
          <cell r="N489">
            <v>145</v>
          </cell>
          <cell r="O489">
            <v>164</v>
          </cell>
          <cell r="P489">
            <v>177</v>
          </cell>
          <cell r="Q489">
            <v>204</v>
          </cell>
          <cell r="R489">
            <v>213</v>
          </cell>
          <cell r="S489">
            <v>226</v>
          </cell>
          <cell r="T489">
            <v>251</v>
          </cell>
          <cell r="U489">
            <v>278</v>
          </cell>
          <cell r="V489">
            <v>301</v>
          </cell>
          <cell r="W489">
            <v>368.125</v>
          </cell>
          <cell r="X489">
            <v>402.5</v>
          </cell>
          <cell r="Y489">
            <v>440</v>
          </cell>
          <cell r="Z489">
            <v>477.5</v>
          </cell>
        </row>
        <row r="490">
          <cell r="A490" t="str">
            <v xml:space="preserve">   Asset Retirements/Other</v>
          </cell>
          <cell r="N490">
            <v>-18</v>
          </cell>
          <cell r="O490">
            <v>250</v>
          </cell>
          <cell r="P490">
            <v>-324</v>
          </cell>
          <cell r="Q490">
            <v>-6</v>
          </cell>
          <cell r="R490">
            <v>-10</v>
          </cell>
          <cell r="S490">
            <v>-430</v>
          </cell>
          <cell r="T490">
            <v>-41</v>
          </cell>
          <cell r="U490">
            <v>-41</v>
          </cell>
          <cell r="V490">
            <v>-90</v>
          </cell>
          <cell r="W490">
            <v>0</v>
          </cell>
          <cell r="X490">
            <v>0</v>
          </cell>
          <cell r="Y490">
            <v>0</v>
          </cell>
          <cell r="Z490">
            <v>0</v>
          </cell>
        </row>
        <row r="491">
          <cell r="A491" t="str">
            <v>Accumulated Depreciation - end of period</v>
          </cell>
          <cell r="N491">
            <v>1346</v>
          </cell>
          <cell r="O491">
            <v>1760</v>
          </cell>
          <cell r="P491">
            <v>1613</v>
          </cell>
          <cell r="Q491">
            <v>1811</v>
          </cell>
          <cell r="R491">
            <v>2014</v>
          </cell>
          <cell r="S491">
            <v>1810</v>
          </cell>
          <cell r="T491">
            <v>2020</v>
          </cell>
          <cell r="U491">
            <v>2257</v>
          </cell>
          <cell r="V491">
            <v>2468</v>
          </cell>
          <cell r="W491">
            <v>2836.125</v>
          </cell>
          <cell r="X491">
            <v>3238.625</v>
          </cell>
          <cell r="Y491">
            <v>3678.625</v>
          </cell>
          <cell r="Z491">
            <v>4156.125</v>
          </cell>
        </row>
        <row r="493">
          <cell r="A493" t="str">
            <v>Net Plant, Property &amp; Equipment</v>
          </cell>
          <cell r="N493">
            <v>1294</v>
          </cell>
          <cell r="O493">
            <v>1718</v>
          </cell>
          <cell r="P493">
            <v>1856</v>
          </cell>
          <cell r="Q493">
            <v>2060</v>
          </cell>
          <cell r="R493">
            <v>2153</v>
          </cell>
          <cell r="S493">
            <v>2028</v>
          </cell>
          <cell r="T493">
            <v>2168</v>
          </cell>
          <cell r="U493">
            <v>2472</v>
          </cell>
          <cell r="V493">
            <v>2872</v>
          </cell>
          <cell r="W493">
            <v>3053.875</v>
          </cell>
          <cell r="X493">
            <v>3201.375</v>
          </cell>
          <cell r="Y493">
            <v>3361.375</v>
          </cell>
          <cell r="Z493">
            <v>3483.875</v>
          </cell>
        </row>
        <row r="494">
          <cell r="A494" t="str">
            <v>check from B/S</v>
          </cell>
          <cell r="N494">
            <v>0</v>
          </cell>
          <cell r="O494">
            <v>0</v>
          </cell>
          <cell r="P494">
            <v>0</v>
          </cell>
          <cell r="Q494">
            <v>0</v>
          </cell>
          <cell r="R494">
            <v>0</v>
          </cell>
          <cell r="S494">
            <v>0</v>
          </cell>
          <cell r="T494">
            <v>0</v>
          </cell>
          <cell r="U494">
            <v>0</v>
          </cell>
          <cell r="V494">
            <v>0</v>
          </cell>
          <cell r="W494">
            <v>0</v>
          </cell>
          <cell r="X494">
            <v>0</v>
          </cell>
          <cell r="Y494">
            <v>0</v>
          </cell>
          <cell r="Z494">
            <v>0</v>
          </cell>
        </row>
        <row r="495">
          <cell r="A495" t="str">
            <v>Implied/assumed depreciable life of PP&amp;E</v>
          </cell>
          <cell r="N495">
            <v>18.206896551724139</v>
          </cell>
          <cell r="O495">
            <v>18.652439024390244</v>
          </cell>
          <cell r="P495">
            <v>19.624293785310734</v>
          </cell>
          <cell r="Q495">
            <v>17.990196078431371</v>
          </cell>
          <cell r="R495">
            <v>18.868544600938968</v>
          </cell>
          <cell r="S495">
            <v>17.710176991150444</v>
          </cell>
          <cell r="T495">
            <v>15.988047808764939</v>
          </cell>
          <cell r="U495">
            <v>16.037769784172664</v>
          </cell>
          <cell r="V495">
            <v>16.725913621262457</v>
          </cell>
          <cell r="W495">
            <v>16</v>
          </cell>
          <cell r="X495">
            <v>16</v>
          </cell>
          <cell r="Y495">
            <v>16</v>
          </cell>
          <cell r="Z495">
            <v>16</v>
          </cell>
        </row>
        <row r="497">
          <cell r="A497" t="str">
            <v>Amortization of Intangible Assets</v>
          </cell>
          <cell r="P497">
            <v>31</v>
          </cell>
          <cell r="Q497">
            <v>66</v>
          </cell>
          <cell r="R497">
            <v>93</v>
          </cell>
          <cell r="S497">
            <v>101</v>
          </cell>
          <cell r="T497">
            <v>133</v>
          </cell>
          <cell r="U497">
            <v>145</v>
          </cell>
          <cell r="V497">
            <v>146</v>
          </cell>
          <cell r="W497">
            <v>130</v>
          </cell>
          <cell r="X497">
            <v>130</v>
          </cell>
          <cell r="Y497">
            <v>130</v>
          </cell>
          <cell r="Z497">
            <v>130</v>
          </cell>
        </row>
        <row r="501">
          <cell r="A501" t="str">
            <v>EPS Post FAS142</v>
          </cell>
          <cell r="N501">
            <v>2.4041753601589666</v>
          </cell>
          <cell r="O501">
            <v>2.5338048299654998</v>
          </cell>
          <cell r="T501">
            <v>4.5624385447394298</v>
          </cell>
          <cell r="U501">
            <v>4.923495326415857</v>
          </cell>
          <cell r="V501">
            <v>6.1675445196889891</v>
          </cell>
          <cell r="W501">
            <v>6.1034251981705649</v>
          </cell>
          <cell r="X501">
            <v>6.3955993666716093</v>
          </cell>
        </row>
        <row r="502">
          <cell r="U502">
            <v>7.9136798914854811E-2</v>
          </cell>
          <cell r="V502">
            <v>0.25267601790916272</v>
          </cell>
          <cell r="W502">
            <v>-1.039624786067328E-2</v>
          </cell>
          <cell r="X502">
            <v>4.7870524994493291E-2</v>
          </cell>
        </row>
        <row r="503">
          <cell r="A503" t="str">
            <v>Reported EPS</v>
          </cell>
          <cell r="B503">
            <v>1.0600879335613091</v>
          </cell>
          <cell r="C503">
            <v>1.2568134018097334</v>
          </cell>
          <cell r="D503">
            <v>1.3356247655290943</v>
          </cell>
          <cell r="E503">
            <v>1.4229541238633567</v>
          </cell>
          <cell r="F503">
            <v>1.4211438474870017</v>
          </cell>
          <cell r="G503">
            <v>1.595321055251369</v>
          </cell>
          <cell r="N503">
            <v>2.2341753601589667</v>
          </cell>
          <cell r="O503">
            <v>2.3238048299654999</v>
          </cell>
          <cell r="P503">
            <v>2.260268570189103</v>
          </cell>
          <cell r="Q503">
            <v>2.5131557805093596</v>
          </cell>
          <cell r="R503">
            <v>3.0178639677962145</v>
          </cell>
          <cell r="S503">
            <v>3.6087618069003673</v>
          </cell>
          <cell r="T503">
            <v>4.5624385447394298</v>
          </cell>
          <cell r="U503">
            <v>5.0766271790662634</v>
          </cell>
          <cell r="V503">
            <v>6.1675445196889891</v>
          </cell>
          <cell r="W503">
            <v>6.1034251981705649</v>
          </cell>
          <cell r="X503">
            <v>6.3955993666716093</v>
          </cell>
        </row>
        <row r="504">
          <cell r="A504" t="str">
            <v>Stock Options Expense</v>
          </cell>
          <cell r="P504">
            <v>-6.9015834204247437E-2</v>
          </cell>
          <cell r="Q504">
            <v>-7.0298063790471599E-2</v>
          </cell>
          <cell r="R504">
            <v>-6.9490288732149672E-2</v>
          </cell>
          <cell r="S504">
            <v>-8.6452199343951305E-2</v>
          </cell>
          <cell r="U504">
            <v>-0.1531318526504061</v>
          </cell>
        </row>
        <row r="505">
          <cell r="A505" t="str">
            <v>EPS Post Stock Options</v>
          </cell>
          <cell r="B505">
            <v>1.0600879335613091</v>
          </cell>
          <cell r="C505">
            <v>1.2568134018097334</v>
          </cell>
          <cell r="D505">
            <v>1.3356247655290943</v>
          </cell>
          <cell r="E505">
            <v>1.4229541238633567</v>
          </cell>
          <cell r="F505">
            <v>1.4211438474870017</v>
          </cell>
          <cell r="G505">
            <v>1.595321055251369</v>
          </cell>
          <cell r="N505">
            <v>2.2341753601589667</v>
          </cell>
          <cell r="O505">
            <v>2.3238048299654999</v>
          </cell>
          <cell r="P505">
            <v>2.1912527359848557</v>
          </cell>
          <cell r="Q505">
            <v>2.4428577167188879</v>
          </cell>
          <cell r="R505">
            <v>2.9483736790640647</v>
          </cell>
          <cell r="S505">
            <v>3.5223096075564162</v>
          </cell>
          <cell r="T505">
            <v>4.5624385447394298</v>
          </cell>
          <cell r="U505">
            <v>4.923495326415857</v>
          </cell>
          <cell r="V505">
            <v>6.1675445196889891</v>
          </cell>
          <cell r="W505">
            <v>6.1034251981705649</v>
          </cell>
          <cell r="X505">
            <v>6.3955993666716093</v>
          </cell>
        </row>
        <row r="506">
          <cell r="A506" t="str">
            <v>EPS Adj for Consensus</v>
          </cell>
          <cell r="B506">
            <v>1.074743527112848</v>
          </cell>
          <cell r="C506">
            <v>1.2668134018097335</v>
          </cell>
          <cell r="D506">
            <v>1.3356247655290943</v>
          </cell>
          <cell r="E506">
            <v>1.4204965175718847</v>
          </cell>
          <cell r="F506">
            <v>1.4186679871255261</v>
          </cell>
          <cell r="G506">
            <v>1.5082130413140868</v>
          </cell>
          <cell r="N506">
            <v>2.0091753601589666</v>
          </cell>
          <cell r="O506">
            <v>2.3238048299654999</v>
          </cell>
          <cell r="P506">
            <v>2.5634452704434758</v>
          </cell>
          <cell r="Q506">
            <v>2.457921587531132</v>
          </cell>
          <cell r="R506">
            <v>2.9632644552209539</v>
          </cell>
          <cell r="S506">
            <v>3.5766509900011854</v>
          </cell>
          <cell r="T506">
            <v>4.2035398230088497</v>
          </cell>
          <cell r="U506">
            <v>5.0962280562055158</v>
          </cell>
          <cell r="V506">
            <v>6.1274140958113872</v>
          </cell>
          <cell r="W506">
            <v>6.1189391025198736</v>
          </cell>
          <cell r="X506">
            <v>6.3955993666716093</v>
          </cell>
        </row>
      </sheetData>
      <sheetData sheetId="3">
        <row r="2">
          <cell r="B2" t="str">
            <v>General Dynamics</v>
          </cell>
          <cell r="U2" t="str">
            <v>General Dynamics</v>
          </cell>
          <cell r="AN2" t="str">
            <v>General Dynamics</v>
          </cell>
          <cell r="BF2" t="str">
            <v>General Dynamics</v>
          </cell>
          <cell r="BX2" t="str">
            <v>General Dynamics</v>
          </cell>
          <cell r="CP2" t="str">
            <v>General Dynamics</v>
          </cell>
          <cell r="DH2" t="str">
            <v>General Dynamics</v>
          </cell>
          <cell r="DZ2" t="str">
            <v>General Dynamics</v>
          </cell>
          <cell r="ER2" t="str">
            <v>General Dynamics</v>
          </cell>
          <cell r="FJ2" t="str">
            <v>General Dynamics</v>
          </cell>
          <cell r="GB2" t="str">
            <v>General Dynamics</v>
          </cell>
        </row>
        <row r="3">
          <cell r="B3" t="str">
            <v>Quarterly Earnings Model 2009E</v>
          </cell>
          <cell r="U3" t="str">
            <v>Quarterly Earnings Model 2008E</v>
          </cell>
          <cell r="AM3" t="str">
            <v>Quarterly Earnings Model 2007E</v>
          </cell>
          <cell r="BE3" t="str">
            <v>Quarterly Earnings Model 2006A</v>
          </cell>
          <cell r="BW3" t="str">
            <v>Quarterly Earnings Model 2005</v>
          </cell>
          <cell r="CO3" t="str">
            <v>Quarterly Earnings Model 2004A</v>
          </cell>
          <cell r="DG3" t="str">
            <v>Quarterly Earnings Model 2003A</v>
          </cell>
          <cell r="DY3" t="str">
            <v>Quarterly Earnings Model 2002</v>
          </cell>
          <cell r="EQ3" t="str">
            <v>Quarterly Earnings Model 2001A</v>
          </cell>
          <cell r="FI3" t="str">
            <v>Quarterly Earnings Model 2000A</v>
          </cell>
          <cell r="GA3" t="str">
            <v>Quarterly Earnings Model 1999</v>
          </cell>
        </row>
        <row r="4">
          <cell r="J4" t="str">
            <v>% Ch Y/Y</v>
          </cell>
          <cell r="O4" t="str">
            <v>% Ch Q/Q</v>
          </cell>
          <cell r="AC4" t="str">
            <v>% Ch Y/Y</v>
          </cell>
          <cell r="AH4" t="str">
            <v>% Ch Q/Q</v>
          </cell>
          <cell r="AV4" t="str">
            <v>% Ch Y/Y</v>
          </cell>
          <cell r="BA4" t="str">
            <v>% Ch Q/Q</v>
          </cell>
          <cell r="BN4" t="str">
            <v>% Ch Y/Y</v>
          </cell>
          <cell r="BS4" t="str">
            <v>% Ch Q/Q</v>
          </cell>
          <cell r="CF4" t="str">
            <v>% Ch Y/Y</v>
          </cell>
          <cell r="CK4" t="str">
            <v>% Ch Q/Q</v>
          </cell>
          <cell r="CX4" t="str">
            <v>% Ch Y/Y</v>
          </cell>
          <cell r="DC4" t="str">
            <v>% Ch Q/Q</v>
          </cell>
          <cell r="DP4" t="str">
            <v>% Ch Y/Y</v>
          </cell>
          <cell r="DU4" t="str">
            <v>% Ch Q/Q</v>
          </cell>
          <cell r="EH4" t="str">
            <v>-----------------------------</v>
          </cell>
          <cell r="EJ4" t="str">
            <v>% Change</v>
          </cell>
          <cell r="EK4" t="str">
            <v>-----------------------------</v>
          </cell>
          <cell r="EM4" t="str">
            <v>----------------------</v>
          </cell>
          <cell r="EO4" t="str">
            <v>% Ch. Q/Q</v>
          </cell>
          <cell r="EP4" t="str">
            <v>--------------</v>
          </cell>
          <cell r="EZ4" t="str">
            <v>-----------------------------</v>
          </cell>
          <cell r="FB4" t="str">
            <v>% Change</v>
          </cell>
          <cell r="FC4" t="str">
            <v>-----------------------------</v>
          </cell>
          <cell r="FE4" t="str">
            <v>-----------------------------</v>
          </cell>
          <cell r="FG4" t="str">
            <v>% Ch. QoQ</v>
          </cell>
          <cell r="FH4" t="str">
            <v>---------------</v>
          </cell>
          <cell r="FR4" t="str">
            <v>-----------------------------</v>
          </cell>
          <cell r="FT4" t="str">
            <v>% Change</v>
          </cell>
          <cell r="FU4" t="str">
            <v>-----------------------------</v>
          </cell>
          <cell r="FW4" t="str">
            <v>-----------------------------</v>
          </cell>
          <cell r="FY4" t="str">
            <v>% Ch. QoQ</v>
          </cell>
          <cell r="FZ4" t="str">
            <v>---------------</v>
          </cell>
          <cell r="GJ4" t="str">
            <v>-----------------------------</v>
          </cell>
          <cell r="GL4" t="str">
            <v>% Change</v>
          </cell>
          <cell r="GM4" t="str">
            <v>-----------------------------</v>
          </cell>
          <cell r="GO4" t="str">
            <v>-----------------------------</v>
          </cell>
          <cell r="GQ4" t="str">
            <v>% Ch. QoQ</v>
          </cell>
          <cell r="GR4" t="str">
            <v>---------------</v>
          </cell>
        </row>
        <row r="5">
          <cell r="B5" t="str">
            <v>($USD in MM Ex EPS)</v>
          </cell>
          <cell r="C5" t="str">
            <v>Q1A</v>
          </cell>
          <cell r="D5" t="str">
            <v>Q2A</v>
          </cell>
          <cell r="E5" t="str">
            <v>H1A</v>
          </cell>
          <cell r="F5" t="str">
            <v>Q3E</v>
          </cell>
          <cell r="G5" t="str">
            <v>H1+Q3E</v>
          </cell>
          <cell r="H5" t="str">
            <v>Q4E</v>
          </cell>
          <cell r="I5" t="str">
            <v xml:space="preserve">2009E </v>
          </cell>
          <cell r="J5" t="str">
            <v>Q1E</v>
          </cell>
          <cell r="K5" t="str">
            <v>Q2E</v>
          </cell>
          <cell r="L5" t="str">
            <v>Q3E</v>
          </cell>
          <cell r="M5" t="str">
            <v xml:space="preserve">Q4E </v>
          </cell>
          <cell r="N5" t="str">
            <v xml:space="preserve">2009E </v>
          </cell>
          <cell r="O5" t="str">
            <v>Q1E</v>
          </cell>
          <cell r="P5" t="str">
            <v>Q2E</v>
          </cell>
          <cell r="Q5" t="str">
            <v>Q3E</v>
          </cell>
          <cell r="R5" t="str">
            <v xml:space="preserve">Q4E </v>
          </cell>
          <cell r="U5" t="str">
            <v>($USD in MM Except EPS)</v>
          </cell>
          <cell r="V5" t="str">
            <v>Q1A</v>
          </cell>
          <cell r="W5" t="str">
            <v>Q2A</v>
          </cell>
          <cell r="X5" t="str">
            <v>H1A</v>
          </cell>
          <cell r="Y5" t="str">
            <v>Q3A</v>
          </cell>
          <cell r="Z5" t="str">
            <v>H1+Q3A</v>
          </cell>
          <cell r="AA5" t="str">
            <v>Q4A</v>
          </cell>
          <cell r="AB5" t="str">
            <v>2008A</v>
          </cell>
          <cell r="AC5" t="str">
            <v>Q1A</v>
          </cell>
          <cell r="AD5" t="str">
            <v>Q2A</v>
          </cell>
          <cell r="AE5" t="str">
            <v>Q3A</v>
          </cell>
          <cell r="AF5" t="str">
            <v>Q4A</v>
          </cell>
          <cell r="AG5" t="str">
            <v>2008A</v>
          </cell>
          <cell r="AH5" t="str">
            <v>Q1A</v>
          </cell>
          <cell r="AI5" t="str">
            <v>Q2A</v>
          </cell>
          <cell r="AJ5" t="str">
            <v>Q3A</v>
          </cell>
          <cell r="AK5" t="str">
            <v>Q4A</v>
          </cell>
          <cell r="AN5" t="str">
            <v>($USD in Millions Except EPS)</v>
          </cell>
          <cell r="AO5" t="str">
            <v xml:space="preserve">Q1A </v>
          </cell>
          <cell r="AP5" t="str">
            <v xml:space="preserve">Q2A </v>
          </cell>
          <cell r="AQ5" t="str">
            <v xml:space="preserve">H1A </v>
          </cell>
          <cell r="AR5" t="str">
            <v>Q3A</v>
          </cell>
          <cell r="AS5" t="str">
            <v>H1+Q3A</v>
          </cell>
          <cell r="AT5" t="str">
            <v xml:space="preserve">Q4E </v>
          </cell>
          <cell r="AU5" t="str">
            <v xml:space="preserve">2007E </v>
          </cell>
          <cell r="AV5" t="str">
            <v xml:space="preserve">Q1 </v>
          </cell>
          <cell r="AW5" t="str">
            <v xml:space="preserve">Q2 </v>
          </cell>
          <cell r="AX5" t="str">
            <v xml:space="preserve">Q3 </v>
          </cell>
          <cell r="AY5" t="str">
            <v xml:space="preserve">Q4 </v>
          </cell>
          <cell r="AZ5" t="str">
            <v xml:space="preserve">2007E </v>
          </cell>
          <cell r="BA5" t="str">
            <v xml:space="preserve">Q1 </v>
          </cell>
          <cell r="BB5" t="str">
            <v xml:space="preserve">Q2 </v>
          </cell>
          <cell r="BC5" t="str">
            <v xml:space="preserve">Q3 </v>
          </cell>
          <cell r="BD5" t="str">
            <v xml:space="preserve">Q4 </v>
          </cell>
          <cell r="BF5" t="str">
            <v>($USD in Millions Except EPS)</v>
          </cell>
          <cell r="BG5" t="str">
            <v xml:space="preserve">Q1  </v>
          </cell>
          <cell r="BH5" t="str">
            <v xml:space="preserve">Q2  </v>
          </cell>
          <cell r="BI5" t="str">
            <v xml:space="preserve">H1 </v>
          </cell>
          <cell r="BJ5" t="str">
            <v xml:space="preserve">Q3 </v>
          </cell>
          <cell r="BK5" t="str">
            <v>H1+Q3</v>
          </cell>
          <cell r="BL5" t="str">
            <v xml:space="preserve">Q4 </v>
          </cell>
          <cell r="BM5">
            <v>2006</v>
          </cell>
          <cell r="BN5" t="str">
            <v xml:space="preserve">Q1 </v>
          </cell>
          <cell r="BO5" t="str">
            <v xml:space="preserve">Q2 </v>
          </cell>
          <cell r="BP5" t="str">
            <v xml:space="preserve">Q3 </v>
          </cell>
          <cell r="BQ5" t="str">
            <v xml:space="preserve">Q4 </v>
          </cell>
          <cell r="BR5">
            <v>2006</v>
          </cell>
          <cell r="BS5" t="str">
            <v xml:space="preserve">Q1 </v>
          </cell>
          <cell r="BT5" t="str">
            <v xml:space="preserve">Q2 </v>
          </cell>
          <cell r="BU5" t="str">
            <v xml:space="preserve">Q3 </v>
          </cell>
          <cell r="BV5" t="str">
            <v xml:space="preserve">Q4 </v>
          </cell>
          <cell r="BX5" t="str">
            <v>($USD in Millions Except EPS)</v>
          </cell>
          <cell r="BY5" t="str">
            <v xml:space="preserve">Q1  </v>
          </cell>
          <cell r="BZ5" t="str">
            <v xml:space="preserve">Q2  </v>
          </cell>
          <cell r="CA5" t="str">
            <v xml:space="preserve">H1 </v>
          </cell>
          <cell r="CB5" t="str">
            <v xml:space="preserve">Q3 </v>
          </cell>
          <cell r="CC5" t="str">
            <v>H1+Q3</v>
          </cell>
          <cell r="CD5" t="str">
            <v xml:space="preserve">Q4 </v>
          </cell>
          <cell r="CE5" t="str">
            <v xml:space="preserve">2005A </v>
          </cell>
          <cell r="CF5" t="str">
            <v xml:space="preserve">Q1 </v>
          </cell>
          <cell r="CG5" t="str">
            <v xml:space="preserve">Q2 </v>
          </cell>
          <cell r="CH5" t="str">
            <v xml:space="preserve">Q3 </v>
          </cell>
          <cell r="CI5" t="str">
            <v xml:space="preserve">Q4 </v>
          </cell>
          <cell r="CJ5" t="str">
            <v xml:space="preserve">2005A </v>
          </cell>
          <cell r="CK5" t="str">
            <v xml:space="preserve">Q1 </v>
          </cell>
          <cell r="CL5" t="str">
            <v xml:space="preserve">Q2 </v>
          </cell>
          <cell r="CM5" t="str">
            <v xml:space="preserve">Q3 </v>
          </cell>
          <cell r="CN5" t="str">
            <v xml:space="preserve">Q4 </v>
          </cell>
          <cell r="CP5" t="str">
            <v>($USD in Millions Except EPS)</v>
          </cell>
          <cell r="CQ5" t="str">
            <v xml:space="preserve">Q1 </v>
          </cell>
          <cell r="CR5" t="str">
            <v xml:space="preserve">Q2 </v>
          </cell>
          <cell r="CS5" t="str">
            <v xml:space="preserve">H1 </v>
          </cell>
          <cell r="CT5" t="str">
            <v xml:space="preserve">Q3 </v>
          </cell>
          <cell r="CU5" t="str">
            <v xml:space="preserve">H1+Q3 </v>
          </cell>
          <cell r="CV5" t="str">
            <v xml:space="preserve">Q4 </v>
          </cell>
          <cell r="CW5" t="str">
            <v xml:space="preserve">2004A </v>
          </cell>
          <cell r="CX5" t="str">
            <v xml:space="preserve">Q1 </v>
          </cell>
          <cell r="CY5" t="str">
            <v xml:space="preserve">Q2 </v>
          </cell>
          <cell r="CZ5" t="str">
            <v xml:space="preserve">Q3 </v>
          </cell>
          <cell r="DA5" t="str">
            <v xml:space="preserve">Q4 </v>
          </cell>
          <cell r="DB5" t="str">
            <v xml:space="preserve">2004A </v>
          </cell>
          <cell r="DC5" t="str">
            <v xml:space="preserve">Q1 </v>
          </cell>
          <cell r="DD5" t="str">
            <v xml:space="preserve">Q2 </v>
          </cell>
          <cell r="DE5" t="str">
            <v xml:space="preserve">Q3 </v>
          </cell>
          <cell r="DF5" t="str">
            <v xml:space="preserve">Q4 </v>
          </cell>
          <cell r="DH5" t="str">
            <v>($USD in Millions Except EPS)</v>
          </cell>
          <cell r="DI5" t="str">
            <v xml:space="preserve">Q1 </v>
          </cell>
          <cell r="DJ5" t="str">
            <v xml:space="preserve">Q2 </v>
          </cell>
          <cell r="DK5" t="str">
            <v xml:space="preserve">H1 </v>
          </cell>
          <cell r="DL5" t="str">
            <v xml:space="preserve">Q3 </v>
          </cell>
          <cell r="DM5" t="str">
            <v xml:space="preserve">H1+Q3 </v>
          </cell>
          <cell r="DN5" t="str">
            <v xml:space="preserve">Q4 </v>
          </cell>
          <cell r="DO5" t="str">
            <v xml:space="preserve">2003A </v>
          </cell>
          <cell r="DP5" t="str">
            <v xml:space="preserve">Q1 </v>
          </cell>
          <cell r="DQ5" t="str">
            <v xml:space="preserve">Q2 </v>
          </cell>
          <cell r="DR5" t="str">
            <v xml:space="preserve">Q3 </v>
          </cell>
          <cell r="DS5" t="str">
            <v xml:space="preserve">Q4 </v>
          </cell>
          <cell r="DT5" t="str">
            <v xml:space="preserve">2003A </v>
          </cell>
          <cell r="DU5" t="str">
            <v xml:space="preserve">Q1 </v>
          </cell>
          <cell r="DV5" t="str">
            <v xml:space="preserve">Q2 </v>
          </cell>
          <cell r="DW5" t="str">
            <v xml:space="preserve">Q3 </v>
          </cell>
          <cell r="DX5" t="str">
            <v xml:space="preserve">Q4 </v>
          </cell>
          <cell r="DZ5" t="str">
            <v>($USD in Millions Except EPS)</v>
          </cell>
          <cell r="EA5" t="str">
            <v>Q1</v>
          </cell>
          <cell r="EB5" t="str">
            <v>Q2</v>
          </cell>
          <cell r="EC5" t="str">
            <v>H1</v>
          </cell>
          <cell r="ED5" t="str">
            <v>Q3</v>
          </cell>
          <cell r="EE5" t="str">
            <v>H1+Q3</v>
          </cell>
          <cell r="EF5" t="str">
            <v>Q4</v>
          </cell>
          <cell r="EG5">
            <v>2002</v>
          </cell>
          <cell r="EH5" t="str">
            <v>Q1</v>
          </cell>
          <cell r="EI5" t="str">
            <v>Q2</v>
          </cell>
          <cell r="EJ5" t="str">
            <v>Q3</v>
          </cell>
          <cell r="EK5" t="str">
            <v>Q4</v>
          </cell>
          <cell r="EL5">
            <v>2002</v>
          </cell>
          <cell r="EM5" t="str">
            <v>Q1</v>
          </cell>
          <cell r="EN5" t="str">
            <v>Q2</v>
          </cell>
          <cell r="EO5" t="str">
            <v>Q3</v>
          </cell>
          <cell r="EP5" t="str">
            <v>Q4</v>
          </cell>
          <cell r="ER5" t="str">
            <v>($USD in Millions Except EPS)</v>
          </cell>
          <cell r="ES5" t="str">
            <v>Q1A</v>
          </cell>
          <cell r="ET5" t="str">
            <v>Q2A</v>
          </cell>
          <cell r="EU5" t="str">
            <v>H1A</v>
          </cell>
          <cell r="EV5" t="str">
            <v>Q3A</v>
          </cell>
          <cell r="EW5" t="str">
            <v>H1+Q3</v>
          </cell>
          <cell r="EX5" t="str">
            <v>Q4A</v>
          </cell>
          <cell r="EY5" t="str">
            <v>2001A</v>
          </cell>
          <cell r="EZ5" t="str">
            <v>Q1</v>
          </cell>
          <cell r="FA5" t="str">
            <v>Q2</v>
          </cell>
          <cell r="FB5" t="str">
            <v>Q3</v>
          </cell>
          <cell r="FC5" t="str">
            <v>Q4</v>
          </cell>
          <cell r="FD5">
            <v>2001</v>
          </cell>
          <cell r="FE5" t="str">
            <v>Q1</v>
          </cell>
          <cell r="FF5" t="str">
            <v>Q2</v>
          </cell>
          <cell r="FG5" t="str">
            <v>Q3</v>
          </cell>
          <cell r="FH5" t="str">
            <v>Q4</v>
          </cell>
          <cell r="FJ5" t="str">
            <v>($USD in Millions Except EPS)</v>
          </cell>
          <cell r="FK5" t="str">
            <v>Q1A</v>
          </cell>
          <cell r="FL5" t="str">
            <v>Q2A</v>
          </cell>
          <cell r="FM5" t="str">
            <v>H1A</v>
          </cell>
          <cell r="FN5" t="str">
            <v>Q3A</v>
          </cell>
          <cell r="FO5" t="str">
            <v>H1+Q3</v>
          </cell>
          <cell r="FP5" t="str">
            <v>Q4A</v>
          </cell>
          <cell r="FQ5" t="str">
            <v>2000A</v>
          </cell>
          <cell r="FR5" t="str">
            <v>Q1</v>
          </cell>
          <cell r="FS5" t="str">
            <v>Q2</v>
          </cell>
          <cell r="FT5" t="str">
            <v>Q3</v>
          </cell>
          <cell r="FU5" t="str">
            <v>Q4</v>
          </cell>
          <cell r="FV5">
            <v>2000</v>
          </cell>
          <cell r="FW5" t="str">
            <v>Q1</v>
          </cell>
          <cell r="FX5" t="str">
            <v>Q2</v>
          </cell>
          <cell r="FY5" t="str">
            <v>Q3</v>
          </cell>
          <cell r="FZ5" t="str">
            <v>Q4</v>
          </cell>
          <cell r="GB5" t="str">
            <v>($USD in Millions Except EPS)</v>
          </cell>
          <cell r="GC5" t="str">
            <v>Q1A</v>
          </cell>
          <cell r="GD5" t="str">
            <v>Q2A</v>
          </cell>
          <cell r="GE5" t="str">
            <v>Q1+Q2</v>
          </cell>
          <cell r="GF5" t="str">
            <v>Q3A</v>
          </cell>
          <cell r="GG5" t="str">
            <v>Q1-Q3</v>
          </cell>
          <cell r="GH5" t="str">
            <v>Q4A</v>
          </cell>
          <cell r="GI5" t="str">
            <v>1999A</v>
          </cell>
          <cell r="GJ5" t="str">
            <v>Q1</v>
          </cell>
          <cell r="GK5" t="str">
            <v>Q2</v>
          </cell>
          <cell r="GL5" t="str">
            <v>Q3</v>
          </cell>
          <cell r="GM5" t="str">
            <v>Q4</v>
          </cell>
          <cell r="GN5" t="str">
            <v>1999A</v>
          </cell>
          <cell r="GO5" t="str">
            <v>Q1</v>
          </cell>
          <cell r="GP5" t="str">
            <v>Q2</v>
          </cell>
          <cell r="GQ5" t="str">
            <v>Q3</v>
          </cell>
          <cell r="GR5" t="str">
            <v>Q4</v>
          </cell>
        </row>
        <row r="6">
          <cell r="B6" t="str">
            <v>Revenues</v>
          </cell>
          <cell r="U6" t="str">
            <v>Revenues</v>
          </cell>
          <cell r="AN6" t="str">
            <v>Revenues</v>
          </cell>
          <cell r="BF6" t="str">
            <v>Revenues</v>
          </cell>
          <cell r="BX6" t="str">
            <v>Revenues</v>
          </cell>
          <cell r="CP6" t="str">
            <v>Revenues</v>
          </cell>
          <cell r="DH6" t="str">
            <v>Revenues</v>
          </cell>
          <cell r="DZ6" t="str">
            <v>Revenues</v>
          </cell>
          <cell r="ER6" t="str">
            <v>Revenues</v>
          </cell>
          <cell r="FJ6" t="str">
            <v>Revenues</v>
          </cell>
          <cell r="GB6" t="str">
            <v>Revenues</v>
          </cell>
        </row>
        <row r="7">
          <cell r="B7" t="str">
            <v>Marine Systems</v>
          </cell>
          <cell r="C7">
            <v>1669</v>
          </cell>
          <cell r="D7">
            <v>1625</v>
          </cell>
          <cell r="E7">
            <v>3294</v>
          </cell>
          <cell r="F7">
            <v>1550</v>
          </cell>
          <cell r="G7">
            <v>4844</v>
          </cell>
          <cell r="H7">
            <v>1606</v>
          </cell>
          <cell r="I7">
            <v>6450</v>
          </cell>
          <cell r="J7">
            <v>0.21117561683599417</v>
          </cell>
          <cell r="K7">
            <v>0.1657101865136299</v>
          </cell>
          <cell r="L7">
            <v>0.10398860398860399</v>
          </cell>
          <cell r="M7">
            <v>0.163768115942029</v>
          </cell>
          <cell r="N7">
            <v>0.16090712742980551</v>
          </cell>
          <cell r="O7">
            <v>0.20942028985507255</v>
          </cell>
          <cell r="P7">
            <v>-2.6363091671659622E-2</v>
          </cell>
          <cell r="Q7">
            <v>-4.6153846153846101E-2</v>
          </cell>
          <cell r="R7">
            <v>3.612903225806452E-2</v>
          </cell>
          <cell r="U7" t="str">
            <v>Marine Systems</v>
          </cell>
          <cell r="V7">
            <v>1378</v>
          </cell>
          <cell r="W7">
            <v>1394</v>
          </cell>
          <cell r="X7">
            <v>2772</v>
          </cell>
          <cell r="Y7">
            <v>1404</v>
          </cell>
          <cell r="Z7">
            <v>4176</v>
          </cell>
          <cell r="AA7">
            <v>1380</v>
          </cell>
          <cell r="AB7">
            <v>5556</v>
          </cell>
          <cell r="AC7">
            <v>9.6260938743038871E-2</v>
          </cell>
          <cell r="AD7">
            <v>9.5911949685534514E-2</v>
          </cell>
          <cell r="AE7">
            <v>0.12680577849117181</v>
          </cell>
          <cell r="AF7">
            <v>0.13300492610837433</v>
          </cell>
          <cell r="AG7">
            <v>0.11275786100540763</v>
          </cell>
          <cell r="AH7">
            <v>0.1313628899835797</v>
          </cell>
          <cell r="AI7">
            <v>1.1611030478954953E-2</v>
          </cell>
          <cell r="AJ7">
            <v>7.1736011477760986E-3</v>
          </cell>
          <cell r="AK7">
            <v>-1.7094017094017144E-2</v>
          </cell>
          <cell r="AN7" t="str">
            <v>Marine Systems</v>
          </cell>
          <cell r="AO7">
            <v>1257</v>
          </cell>
          <cell r="AP7">
            <v>1272</v>
          </cell>
          <cell r="AQ7">
            <v>2529</v>
          </cell>
          <cell r="AR7">
            <v>1246</v>
          </cell>
          <cell r="AS7">
            <v>3775</v>
          </cell>
          <cell r="AT7">
            <v>1218</v>
          </cell>
          <cell r="AU7">
            <v>4993</v>
          </cell>
          <cell r="AV7">
            <v>-1.4117647058823568E-2</v>
          </cell>
          <cell r="AW7">
            <v>4.7393364928909332E-3</v>
          </cell>
          <cell r="AX7">
            <v>2.0475020475020367E-2</v>
          </cell>
          <cell r="AY7">
            <v>3.395585738539908E-2</v>
          </cell>
          <cell r="AZ7">
            <v>1.0728744939271229E-2</v>
          </cell>
          <cell r="BA7">
            <v>6.706281833616301E-2</v>
          </cell>
          <cell r="BB7">
            <v>1.193317422434359E-2</v>
          </cell>
          <cell r="BC7">
            <v>-2.0440251572327095E-2</v>
          </cell>
          <cell r="BD7">
            <v>-2.2471910112359605E-2</v>
          </cell>
          <cell r="BF7" t="str">
            <v>Marine Systems</v>
          </cell>
          <cell r="BG7">
            <v>1275</v>
          </cell>
          <cell r="BH7">
            <v>1266</v>
          </cell>
          <cell r="BI7">
            <v>2541</v>
          </cell>
          <cell r="BJ7">
            <v>1221</v>
          </cell>
          <cell r="BK7">
            <v>3762</v>
          </cell>
          <cell r="BL7">
            <v>1178</v>
          </cell>
          <cell r="BM7">
            <v>4940</v>
          </cell>
          <cell r="BN7">
            <v>5.3719008264462742E-2</v>
          </cell>
          <cell r="BO7">
            <v>7.4702886247877798E-2</v>
          </cell>
          <cell r="BP7">
            <v>4.2698548249359591E-2</v>
          </cell>
          <cell r="BQ7">
            <v>3.6971830985915499E-2</v>
          </cell>
          <cell r="BR7">
            <v>5.2183173588924436E-2</v>
          </cell>
          <cell r="BS7">
            <v>0.1223591549295775</v>
          </cell>
          <cell r="BT7">
            <v>-7.058823529411784E-3</v>
          </cell>
          <cell r="BU7">
            <v>-3.5545023696682443E-2</v>
          </cell>
          <cell r="BV7">
            <v>-3.5217035217035231E-2</v>
          </cell>
          <cell r="BX7" t="str">
            <v>Marine Systems</v>
          </cell>
          <cell r="BY7">
            <v>1210</v>
          </cell>
          <cell r="BZ7">
            <v>1178</v>
          </cell>
          <cell r="CA7">
            <v>2388</v>
          </cell>
          <cell r="CB7">
            <v>1171</v>
          </cell>
          <cell r="CC7">
            <v>3559</v>
          </cell>
          <cell r="CD7">
            <v>1136</v>
          </cell>
          <cell r="CE7">
            <v>4695</v>
          </cell>
          <cell r="CF7">
            <v>-5.46875E-2</v>
          </cell>
          <cell r="CG7">
            <v>8.4961767204760896E-4</v>
          </cell>
          <cell r="CH7">
            <v>1.4731369150779994E-2</v>
          </cell>
          <cell r="CI7">
            <v>1.883408071748871E-2</v>
          </cell>
          <cell r="CJ7">
            <v>-6.5594583157003727E-3</v>
          </cell>
          <cell r="CK7">
            <v>8.5201793721973118E-2</v>
          </cell>
          <cell r="CL7">
            <v>-2.6446280991735516E-2</v>
          </cell>
          <cell r="CM7">
            <v>-5.9422750424448223E-3</v>
          </cell>
          <cell r="CN7">
            <v>-2.9888983774551625E-2</v>
          </cell>
          <cell r="CP7" t="str">
            <v>Marine Systems</v>
          </cell>
          <cell r="CQ7">
            <v>1280</v>
          </cell>
          <cell r="CR7">
            <v>1177</v>
          </cell>
          <cell r="CS7">
            <v>2457</v>
          </cell>
          <cell r="CT7">
            <v>1154</v>
          </cell>
          <cell r="CU7">
            <v>3611</v>
          </cell>
          <cell r="CV7">
            <v>1115</v>
          </cell>
          <cell r="CW7">
            <v>4726</v>
          </cell>
          <cell r="CX7">
            <v>0.31147540983606548</v>
          </cell>
          <cell r="CY7">
            <v>0.19735503560529</v>
          </cell>
          <cell r="CZ7">
            <v>-3.0252100840336138E-2</v>
          </cell>
          <cell r="DA7">
            <v>-6.2388591800356386E-3</v>
          </cell>
          <cell r="DB7">
            <v>0.10653242800280971</v>
          </cell>
          <cell r="DC7">
            <v>0.14081996434937616</v>
          </cell>
          <cell r="DD7">
            <v>-8.0468749999999978E-2</v>
          </cell>
          <cell r="DE7">
            <v>-1.954120645709434E-2</v>
          </cell>
          <cell r="DF7">
            <v>-3.3795493934142162E-2</v>
          </cell>
          <cell r="DH7" t="str">
            <v>Marine Systems</v>
          </cell>
          <cell r="DI7">
            <v>976</v>
          </cell>
          <cell r="DJ7">
            <v>983</v>
          </cell>
          <cell r="DK7">
            <v>1959</v>
          </cell>
          <cell r="DL7">
            <v>1190</v>
          </cell>
          <cell r="DM7">
            <v>3149</v>
          </cell>
          <cell r="DN7">
            <v>1122</v>
          </cell>
          <cell r="DO7">
            <v>4271</v>
          </cell>
          <cell r="DP7">
            <v>0.12962962962962962</v>
          </cell>
          <cell r="DQ7">
            <v>7.3144104803493454E-2</v>
          </cell>
          <cell r="DR7">
            <v>0.37891077636152953</v>
          </cell>
          <cell r="DS7">
            <v>0.11420059582919563</v>
          </cell>
          <cell r="DT7">
            <v>0.17013698630136986</v>
          </cell>
          <cell r="DU7">
            <v>-3.0784508440913627E-2</v>
          </cell>
          <cell r="DV7">
            <v>7.1721311475410054E-3</v>
          </cell>
          <cell r="DW7">
            <v>0.21057985757884023</v>
          </cell>
          <cell r="DX7">
            <v>-5.7142857142857162E-2</v>
          </cell>
          <cell r="DZ7" t="str">
            <v>Marine Group</v>
          </cell>
          <cell r="EA7">
            <v>864</v>
          </cell>
          <cell r="EB7">
            <v>916</v>
          </cell>
          <cell r="EC7">
            <v>1780</v>
          </cell>
          <cell r="ED7">
            <v>863</v>
          </cell>
          <cell r="EE7">
            <v>2643</v>
          </cell>
          <cell r="EF7">
            <v>1007</v>
          </cell>
          <cell r="EG7">
            <v>3650</v>
          </cell>
          <cell r="EH7">
            <v>2.3201856148491878E-3</v>
          </cell>
          <cell r="EI7">
            <v>-3.2734952481520592E-2</v>
          </cell>
          <cell r="EJ7">
            <v>-5.3728070175438597E-2</v>
          </cell>
          <cell r="EK7">
            <v>0.13019079685746351</v>
          </cell>
          <cell r="EL7">
            <v>1.0520487264673311E-2</v>
          </cell>
          <cell r="EM7">
            <v>-3.0303030303030276E-2</v>
          </cell>
          <cell r="EN7">
            <v>6.0185185185185119E-2</v>
          </cell>
          <cell r="EO7">
            <v>-5.7860262008733621E-2</v>
          </cell>
          <cell r="EP7">
            <v>0.16685979142526075</v>
          </cell>
          <cell r="ER7" t="str">
            <v>Marine Group</v>
          </cell>
          <cell r="ES7">
            <v>862</v>
          </cell>
          <cell r="ET7">
            <v>947</v>
          </cell>
          <cell r="EU7">
            <v>1809</v>
          </cell>
          <cell r="EV7">
            <v>912</v>
          </cell>
          <cell r="EW7">
            <v>2721</v>
          </cell>
          <cell r="EX7">
            <v>891</v>
          </cell>
          <cell r="EY7">
            <v>3612</v>
          </cell>
          <cell r="EZ7">
            <v>1.8912529550827423E-2</v>
          </cell>
          <cell r="FA7">
            <v>0.10760233918128655</v>
          </cell>
          <cell r="FB7">
            <v>0.14285714285714285</v>
          </cell>
          <cell r="FC7">
            <v>-2.5164113785557989E-2</v>
          </cell>
          <cell r="FD7">
            <v>5.8306475241722826E-2</v>
          </cell>
          <cell r="FE7">
            <v>-5.6892778993435478E-2</v>
          </cell>
          <cell r="FF7">
            <v>9.8607888631090379E-2</v>
          </cell>
          <cell r="FG7">
            <v>-3.6958817317845782E-2</v>
          </cell>
          <cell r="FH7">
            <v>-2.3026315789473673E-2</v>
          </cell>
          <cell r="FJ7" t="str">
            <v>Marine Group</v>
          </cell>
          <cell r="FK7">
            <v>846</v>
          </cell>
          <cell r="FL7">
            <v>855</v>
          </cell>
          <cell r="FM7">
            <v>1701</v>
          </cell>
          <cell r="FN7">
            <v>798</v>
          </cell>
          <cell r="FO7">
            <v>2499</v>
          </cell>
          <cell r="FP7">
            <v>914</v>
          </cell>
          <cell r="FQ7">
            <v>3413</v>
          </cell>
          <cell r="FR7">
            <v>4.702970297029703E-2</v>
          </cell>
          <cell r="FS7">
            <v>0.11910994764397906</v>
          </cell>
          <cell r="FT7">
            <v>1.2690355329949238E-2</v>
          </cell>
          <cell r="FU7">
            <v>0.25549450549450547</v>
          </cell>
          <cell r="FV7">
            <v>0.1052461139896373</v>
          </cell>
          <cell r="FW7">
            <v>0.16208791208791218</v>
          </cell>
          <cell r="FX7">
            <v>1.0638297872340496E-2</v>
          </cell>
          <cell r="FY7">
            <v>-6.6666666666666652E-2</v>
          </cell>
          <cell r="FZ7">
            <v>0.14536340852130336</v>
          </cell>
          <cell r="GB7" t="str">
            <v>Marine Group</v>
          </cell>
          <cell r="GC7">
            <v>808</v>
          </cell>
          <cell r="GD7">
            <v>764</v>
          </cell>
          <cell r="GE7">
            <v>1572</v>
          </cell>
          <cell r="GF7">
            <v>788</v>
          </cell>
          <cell r="GG7">
            <v>2360</v>
          </cell>
          <cell r="GH7">
            <v>728</v>
          </cell>
          <cell r="GI7">
            <v>3088</v>
          </cell>
          <cell r="GJ7">
            <v>0.45585585585585586</v>
          </cell>
          <cell r="GK7">
            <v>0.23624595469255663</v>
          </cell>
          <cell r="GL7">
            <v>0.32659932659932661</v>
          </cell>
          <cell r="GM7">
            <v>-0.19021134593993325</v>
          </cell>
          <cell r="GN7">
            <v>0.15828957239309827</v>
          </cell>
          <cell r="GP7">
            <v>-5.4455445544554504E-2</v>
          </cell>
          <cell r="GQ7">
            <v>3.1413612565444948E-2</v>
          </cell>
          <cell r="GR7">
            <v>-7.6142131979695438E-2</v>
          </cell>
        </row>
        <row r="8">
          <cell r="B8" t="str">
            <v>Combat Systems</v>
          </cell>
          <cell r="C8">
            <v>2407</v>
          </cell>
          <cell r="D8">
            <v>2405</v>
          </cell>
          <cell r="E8">
            <v>4812</v>
          </cell>
          <cell r="F8">
            <v>2500</v>
          </cell>
          <cell r="G8">
            <v>7312</v>
          </cell>
          <cell r="H8">
            <v>2688</v>
          </cell>
          <cell r="I8">
            <v>10000</v>
          </cell>
          <cell r="J8">
            <v>0.20530796194291434</v>
          </cell>
          <cell r="K8">
            <v>0.19354838709677424</v>
          </cell>
          <cell r="L8">
            <v>0.35135135135135132</v>
          </cell>
          <cell r="M8">
            <v>0.15265866209262446</v>
          </cell>
          <cell r="N8">
            <v>0.22040517451794006</v>
          </cell>
          <cell r="O8">
            <v>3.2161234991423759E-2</v>
          </cell>
          <cell r="P8">
            <v>-8.3090984628164666E-4</v>
          </cell>
          <cell r="Q8">
            <v>3.9501039501039559E-2</v>
          </cell>
          <cell r="R8">
            <v>7.5199999999999934E-2</v>
          </cell>
          <cell r="U8" t="str">
            <v>Combat Systems</v>
          </cell>
          <cell r="V8">
            <v>1997</v>
          </cell>
          <cell r="W8">
            <v>2015</v>
          </cell>
          <cell r="X8">
            <v>4012</v>
          </cell>
          <cell r="Y8">
            <v>1850</v>
          </cell>
          <cell r="Z8">
            <v>5862</v>
          </cell>
          <cell r="AA8">
            <v>2332</v>
          </cell>
          <cell r="AB8">
            <v>8194</v>
          </cell>
          <cell r="AC8">
            <v>0.27359693877551017</v>
          </cell>
          <cell r="AD8">
            <v>0.17698598130841114</v>
          </cell>
          <cell r="AE8">
            <v>-1.175213675213671E-2</v>
          </cell>
          <cell r="AF8">
            <v>-0.11833648393194707</v>
          </cell>
          <cell r="AG8">
            <v>5.0917019366423011E-2</v>
          </cell>
          <cell r="AH8">
            <v>-0.24499054820415878</v>
          </cell>
          <cell r="AI8">
            <v>9.0135202804206838E-3</v>
          </cell>
          <cell r="AJ8">
            <v>-8.1885856079404462E-2</v>
          </cell>
          <cell r="AK8">
            <v>0.26054054054054054</v>
          </cell>
          <cell r="AN8" t="str">
            <v>Combat Systems</v>
          </cell>
          <cell r="AO8">
            <v>1568</v>
          </cell>
          <cell r="AP8">
            <v>1712</v>
          </cell>
          <cell r="AQ8">
            <v>3280</v>
          </cell>
          <cell r="AR8">
            <v>1872</v>
          </cell>
          <cell r="AS8">
            <v>5152</v>
          </cell>
          <cell r="AT8">
            <v>2645</v>
          </cell>
          <cell r="AU8">
            <v>7797</v>
          </cell>
          <cell r="AV8">
            <v>0.14536157779401027</v>
          </cell>
          <cell r="AW8">
            <v>0.18559556786703602</v>
          </cell>
          <cell r="AX8">
            <v>0.37142857142857144</v>
          </cell>
          <cell r="AY8">
            <v>0.46537396121883656</v>
          </cell>
          <cell r="AZ8">
            <v>0.30319237840548219</v>
          </cell>
          <cell r="BA8">
            <v>-0.13130193905817178</v>
          </cell>
          <cell r="BB8">
            <v>9.1836734693877542E-2</v>
          </cell>
          <cell r="BC8">
            <v>9.3457943925233655E-2</v>
          </cell>
          <cell r="BD8">
            <v>0.41292735042735051</v>
          </cell>
          <cell r="BF8" t="str">
            <v>Combat Systems</v>
          </cell>
          <cell r="BG8">
            <v>1369</v>
          </cell>
          <cell r="BH8">
            <v>1444</v>
          </cell>
          <cell r="BI8">
            <v>2813</v>
          </cell>
          <cell r="BJ8">
            <v>1365</v>
          </cell>
          <cell r="BK8">
            <v>4178</v>
          </cell>
          <cell r="BL8">
            <v>1805</v>
          </cell>
          <cell r="BM8">
            <v>5983</v>
          </cell>
          <cell r="BN8">
            <v>0.29517502365184489</v>
          </cell>
          <cell r="BO8">
            <v>0.29159212880143115</v>
          </cell>
          <cell r="BP8">
            <v>0.10080645161290325</v>
          </cell>
          <cell r="BQ8">
            <v>0.12391033623910341</v>
          </cell>
          <cell r="BR8">
            <v>0.19159529974108747</v>
          </cell>
          <cell r="BS8">
            <v>-0.1475716064757161</v>
          </cell>
          <cell r="BT8">
            <v>5.4784514243973792E-2</v>
          </cell>
          <cell r="BU8">
            <v>-5.4709141274238204E-2</v>
          </cell>
          <cell r="BV8">
            <v>0.32234432234432231</v>
          </cell>
          <cell r="BX8" t="str">
            <v>Combat Systems</v>
          </cell>
          <cell r="BY8">
            <v>1057</v>
          </cell>
          <cell r="BZ8">
            <v>1118</v>
          </cell>
          <cell r="CA8">
            <v>2175</v>
          </cell>
          <cell r="CB8">
            <v>1240</v>
          </cell>
          <cell r="CC8">
            <v>3415</v>
          </cell>
          <cell r="CD8">
            <v>1606</v>
          </cell>
          <cell r="CE8">
            <v>5021</v>
          </cell>
          <cell r="CF8">
            <v>-1.2149532710280408E-2</v>
          </cell>
          <cell r="CG8">
            <v>0.12024048096192375</v>
          </cell>
          <cell r="CH8">
            <v>0.20271580989330751</v>
          </cell>
          <cell r="CI8">
            <v>0.22782874617737003</v>
          </cell>
          <cell r="CJ8">
            <v>0.1393238030406172</v>
          </cell>
          <cell r="CK8">
            <v>-0.19189602446483178</v>
          </cell>
          <cell r="CL8">
            <v>5.7710501419110605E-2</v>
          </cell>
          <cell r="CM8">
            <v>0.10912343470482999</v>
          </cell>
          <cell r="CN8">
            <v>0.29516129032258065</v>
          </cell>
          <cell r="CP8" t="str">
            <v>Combat Systems</v>
          </cell>
          <cell r="CQ8">
            <v>1070</v>
          </cell>
          <cell r="CR8">
            <v>998</v>
          </cell>
          <cell r="CS8">
            <v>2068</v>
          </cell>
          <cell r="CT8">
            <v>1031</v>
          </cell>
          <cell r="CU8">
            <v>3099</v>
          </cell>
          <cell r="CV8">
            <v>1308</v>
          </cell>
          <cell r="CW8">
            <v>4407</v>
          </cell>
          <cell r="CX8">
            <v>0.36653895274584936</v>
          </cell>
          <cell r="CY8">
            <v>1.9407558733401498E-2</v>
          </cell>
          <cell r="CZ8">
            <v>2.5870646766169125E-2</v>
          </cell>
          <cell r="DA8">
            <v>5.4838709677419439E-2</v>
          </cell>
          <cell r="DB8">
            <v>9.9825305714998702E-2</v>
          </cell>
          <cell r="DC8">
            <v>-0.13709677419354838</v>
          </cell>
          <cell r="DD8">
            <v>-6.7289719626168254E-2</v>
          </cell>
          <cell r="DE8">
            <v>3.3066132264529147E-2</v>
          </cell>
          <cell r="DF8">
            <v>0.2686711930164889</v>
          </cell>
          <cell r="DH8" t="str">
            <v>Combat Systems</v>
          </cell>
          <cell r="DI8">
            <v>783</v>
          </cell>
          <cell r="DJ8">
            <v>979</v>
          </cell>
          <cell r="DK8">
            <v>1762</v>
          </cell>
          <cell r="DL8">
            <v>1005</v>
          </cell>
          <cell r="DM8">
            <v>2767</v>
          </cell>
          <cell r="DN8">
            <v>1240</v>
          </cell>
          <cell r="DO8">
            <v>4007</v>
          </cell>
          <cell r="DP8">
            <v>0.36649214659685864</v>
          </cell>
          <cell r="DQ8">
            <v>0.42503639010189226</v>
          </cell>
          <cell r="DR8">
            <v>0.42149929278642151</v>
          </cell>
          <cell r="DS8">
            <v>0.51404151404151399</v>
          </cell>
          <cell r="DT8">
            <v>0.43826274228284279</v>
          </cell>
          <cell r="DU8">
            <v>-4.3956043956043911E-2</v>
          </cell>
          <cell r="DV8">
            <v>0.25031928480204346</v>
          </cell>
          <cell r="DW8">
            <v>2.6557711950970342E-2</v>
          </cell>
          <cell r="DX8">
            <v>0.23383084577114421</v>
          </cell>
          <cell r="DZ8" t="str">
            <v>Combat Sys</v>
          </cell>
          <cell r="EA8">
            <v>573</v>
          </cell>
          <cell r="EB8">
            <v>687</v>
          </cell>
          <cell r="EC8">
            <v>1260</v>
          </cell>
          <cell r="ED8">
            <v>707</v>
          </cell>
          <cell r="EE8">
            <v>1967</v>
          </cell>
          <cell r="EF8">
            <v>819</v>
          </cell>
          <cell r="EG8">
            <v>2786</v>
          </cell>
          <cell r="EH8">
            <v>0.30821917808219179</v>
          </cell>
          <cell r="EI8">
            <v>0.34705882352941175</v>
          </cell>
          <cell r="EJ8">
            <v>0.29724770642201837</v>
          </cell>
          <cell r="EK8">
            <v>0.14225941422594143</v>
          </cell>
          <cell r="EL8">
            <v>0.26063348416289595</v>
          </cell>
          <cell r="EM8">
            <v>-0.20083682008368198</v>
          </cell>
          <cell r="EN8">
            <v>0.19895287958115193</v>
          </cell>
          <cell r="EO8">
            <v>2.9112081513828159E-2</v>
          </cell>
          <cell r="EP8">
            <v>0.15841584158415833</v>
          </cell>
          <cell r="ER8" t="str">
            <v>Combat Sys</v>
          </cell>
          <cell r="ES8">
            <v>438</v>
          </cell>
          <cell r="ET8">
            <v>510</v>
          </cell>
          <cell r="EU8">
            <v>948</v>
          </cell>
          <cell r="EV8">
            <v>545</v>
          </cell>
          <cell r="EW8">
            <v>1493</v>
          </cell>
          <cell r="EX8">
            <v>717</v>
          </cell>
          <cell r="EY8">
            <v>2210</v>
          </cell>
          <cell r="EZ8">
            <v>0.39047619047619048</v>
          </cell>
          <cell r="FA8">
            <v>0.77083333333333337</v>
          </cell>
          <cell r="FB8">
            <v>0.82885906040268453</v>
          </cell>
          <cell r="FC8">
            <v>0.92741935483870963</v>
          </cell>
          <cell r="FD8">
            <v>0.7360565593087196</v>
          </cell>
          <cell r="FE8">
            <v>0.17741935483870974</v>
          </cell>
          <cell r="FF8">
            <v>0.16438356164383561</v>
          </cell>
          <cell r="FG8">
            <v>6.8627450980392135E-2</v>
          </cell>
          <cell r="FH8">
            <v>0.31559633027522938</v>
          </cell>
          <cell r="FJ8" t="str">
            <v>Combat Sys</v>
          </cell>
          <cell r="FK8">
            <v>315</v>
          </cell>
          <cell r="FL8">
            <v>288</v>
          </cell>
          <cell r="FM8">
            <v>603</v>
          </cell>
          <cell r="FN8">
            <v>298</v>
          </cell>
          <cell r="FO8">
            <v>901</v>
          </cell>
          <cell r="FP8">
            <v>372</v>
          </cell>
          <cell r="FQ8">
            <v>1273</v>
          </cell>
          <cell r="FR8">
            <v>8.6206896551724144E-2</v>
          </cell>
          <cell r="FS8">
            <v>-5.8823529411764705E-2</v>
          </cell>
          <cell r="FT8">
            <v>6.7567567567567571E-3</v>
          </cell>
          <cell r="FU8">
            <v>-6.5326633165829151E-2</v>
          </cell>
          <cell r="FV8">
            <v>-1.3178294573643411E-2</v>
          </cell>
          <cell r="FW8">
            <v>-0.20854271356783916</v>
          </cell>
          <cell r="FX8">
            <v>-8.5714285714285743E-2</v>
          </cell>
          <cell r="FY8">
            <v>3.4722222222222321E-2</v>
          </cell>
          <cell r="FZ8">
            <v>0.24832214765100669</v>
          </cell>
          <cell r="GB8" t="str">
            <v>Combat Sys</v>
          </cell>
          <cell r="GC8">
            <v>290</v>
          </cell>
          <cell r="GD8">
            <v>306</v>
          </cell>
          <cell r="GE8">
            <v>596</v>
          </cell>
          <cell r="GF8">
            <v>296</v>
          </cell>
          <cell r="GG8">
            <v>892</v>
          </cell>
          <cell r="GH8">
            <v>398</v>
          </cell>
          <cell r="GI8">
            <v>1290</v>
          </cell>
          <cell r="GJ8">
            <v>-0.13432835820895522</v>
          </cell>
          <cell r="GK8">
            <v>2.6845637583892617E-2</v>
          </cell>
          <cell r="GL8">
            <v>4.2253521126760563E-2</v>
          </cell>
          <cell r="GM8">
            <v>0.12112676056338029</v>
          </cell>
          <cell r="GN8">
            <v>1.4150943396226415E-2</v>
          </cell>
          <cell r="GP8">
            <v>5.5172413793103559E-2</v>
          </cell>
          <cell r="GQ8">
            <v>-3.2679738562091498E-2</v>
          </cell>
          <cell r="GR8">
            <v>0.34459459459459452</v>
          </cell>
        </row>
        <row r="9">
          <cell r="B9" t="str">
            <v>Info. Systems &amp; Tech.</v>
          </cell>
          <cell r="C9">
            <v>2733</v>
          </cell>
          <cell r="D9">
            <v>2655</v>
          </cell>
          <cell r="E9">
            <v>5388</v>
          </cell>
          <cell r="F9">
            <v>2650</v>
          </cell>
          <cell r="G9">
            <v>8038</v>
          </cell>
          <cell r="H9">
            <v>2762</v>
          </cell>
          <cell r="I9">
            <v>10800</v>
          </cell>
          <cell r="J9">
            <v>0.16248404934070604</v>
          </cell>
          <cell r="K9">
            <v>3.5087719298245723E-2</v>
          </cell>
          <cell r="L9">
            <v>5.4097056483691341E-2</v>
          </cell>
          <cell r="M9">
            <v>5.9049079754601275E-2</v>
          </cell>
          <cell r="N9">
            <v>7.5911536162582172E-2</v>
          </cell>
          <cell r="O9">
            <v>4.7929447852760765E-2</v>
          </cell>
          <cell r="P9">
            <v>-2.8540065861690445E-2</v>
          </cell>
          <cell r="Q9">
            <v>-1.8832391713747842E-3</v>
          </cell>
          <cell r="R9">
            <v>4.2264150943396306E-2</v>
          </cell>
          <cell r="U9" t="str">
            <v>Info. Systems &amp; Tech.</v>
          </cell>
          <cell r="V9">
            <v>2351</v>
          </cell>
          <cell r="W9">
            <v>2565</v>
          </cell>
          <cell r="X9">
            <v>4916</v>
          </cell>
          <cell r="Y9">
            <v>2514</v>
          </cell>
          <cell r="Z9">
            <v>7430</v>
          </cell>
          <cell r="AA9">
            <v>2608</v>
          </cell>
          <cell r="AB9">
            <v>10038</v>
          </cell>
          <cell r="AC9">
            <v>-1.2599748005039935E-2</v>
          </cell>
          <cell r="AD9">
            <v>6.9195498124218435E-2</v>
          </cell>
          <cell r="AE9">
            <v>4.7063723448563133E-2</v>
          </cell>
          <cell r="AF9">
            <v>6.841458418680868E-2</v>
          </cell>
          <cell r="AG9">
            <v>4.3234254832675179E-2</v>
          </cell>
          <cell r="AH9">
            <v>-3.6870135190495645E-2</v>
          </cell>
          <cell r="AI9">
            <v>9.1025095703955783E-2</v>
          </cell>
          <cell r="AJ9">
            <v>-1.9883040935672502E-2</v>
          </cell>
          <cell r="AK9">
            <v>3.7390612569610182E-2</v>
          </cell>
          <cell r="AN9" t="str">
            <v>Info. Systems &amp; Tech.</v>
          </cell>
          <cell r="AO9">
            <v>2381</v>
          </cell>
          <cell r="AP9">
            <v>2399</v>
          </cell>
          <cell r="AQ9">
            <v>4780</v>
          </cell>
          <cell r="AR9">
            <v>2401</v>
          </cell>
          <cell r="AS9">
            <v>7181</v>
          </cell>
          <cell r="AT9">
            <v>2441</v>
          </cell>
          <cell r="AU9">
            <v>9622</v>
          </cell>
          <cell r="AV9">
            <v>0.20679168778509882</v>
          </cell>
          <cell r="AW9">
            <v>0.11219286045433474</v>
          </cell>
          <cell r="AX9">
            <v>2.0868113522538589E-3</v>
          </cell>
          <cell r="AY9">
            <v>-2.2818254603682919E-2</v>
          </cell>
          <cell r="AZ9">
            <v>6.6267730496453847E-2</v>
          </cell>
          <cell r="BA9">
            <v>-4.6837469975980817E-2</v>
          </cell>
          <cell r="BB9">
            <v>7.5598488030239608E-3</v>
          </cell>
          <cell r="BC9">
            <v>8.3368070029177233E-4</v>
          </cell>
          <cell r="BD9">
            <v>1.6659725114535506E-2</v>
          </cell>
          <cell r="BF9" t="str">
            <v>Info. Systems &amp; Tech.</v>
          </cell>
          <cell r="BG9">
            <v>1973</v>
          </cell>
          <cell r="BH9">
            <v>2157</v>
          </cell>
          <cell r="BI9">
            <v>4130</v>
          </cell>
          <cell r="BJ9">
            <v>2396</v>
          </cell>
          <cell r="BK9">
            <v>6526</v>
          </cell>
          <cell r="BL9">
            <v>2498</v>
          </cell>
          <cell r="BM9">
            <v>9024</v>
          </cell>
          <cell r="BN9">
            <v>0.12614155251141557</v>
          </cell>
          <cell r="BO9">
            <v>7.1535022354694444E-2</v>
          </cell>
          <cell r="BP9">
            <v>0.2070528967254408</v>
          </cell>
          <cell r="BQ9">
            <v>0.2032755298651252</v>
          </cell>
          <cell r="BR9">
            <v>0.15307947866087401</v>
          </cell>
          <cell r="BS9">
            <v>-4.9614643545279336E-2</v>
          </cell>
          <cell r="BT9">
            <v>9.3258996452103338E-2</v>
          </cell>
          <cell r="BU9">
            <v>0.11080203987019011</v>
          </cell>
          <cell r="BV9">
            <v>4.257095158597668E-2</v>
          </cell>
          <cell r="BX9" t="str">
            <v>Info. Systems &amp; Tech.</v>
          </cell>
          <cell r="BY9">
            <v>1752</v>
          </cell>
          <cell r="BZ9">
            <v>2013</v>
          </cell>
          <cell r="CA9">
            <v>3765</v>
          </cell>
          <cell r="CB9">
            <v>1985</v>
          </cell>
          <cell r="CC9">
            <v>5750</v>
          </cell>
          <cell r="CD9">
            <v>2076</v>
          </cell>
          <cell r="CE9">
            <v>7826</v>
          </cell>
          <cell r="CF9">
            <v>6.6342057212416261E-2</v>
          </cell>
          <cell r="CG9">
            <v>0.2266910420475321</v>
          </cell>
          <cell r="CH9">
            <v>0.2484276729559749</v>
          </cell>
          <cell r="CI9">
            <v>0.12337662337662336</v>
          </cell>
          <cell r="CJ9">
            <v>0.16423683427551317</v>
          </cell>
          <cell r="CK9">
            <v>-5.1948051948051965E-2</v>
          </cell>
          <cell r="CL9">
            <v>0.14897260273972601</v>
          </cell>
          <cell r="CM9">
            <v>-1.3909587680079438E-2</v>
          </cell>
          <cell r="CN9">
            <v>4.5843828715365298E-2</v>
          </cell>
          <cell r="CP9" t="str">
            <v>Info. Systems &amp; Tech.</v>
          </cell>
          <cell r="CQ9">
            <v>1643</v>
          </cell>
          <cell r="CR9">
            <v>1641</v>
          </cell>
          <cell r="CS9">
            <v>3284</v>
          </cell>
          <cell r="CT9">
            <v>1590</v>
          </cell>
          <cell r="CU9">
            <v>4874</v>
          </cell>
          <cell r="CV9">
            <v>1848</v>
          </cell>
          <cell r="CW9">
            <v>6722</v>
          </cell>
          <cell r="CX9">
            <v>0.65458207452165151</v>
          </cell>
          <cell r="CY9">
            <v>0.42695652173913046</v>
          </cell>
          <cell r="CZ9">
            <v>0.24803767660910525</v>
          </cell>
          <cell r="DA9">
            <v>0.25543478260869557</v>
          </cell>
          <cell r="DB9">
            <v>0.38655115511551164</v>
          </cell>
          <cell r="DC9">
            <v>0.11616847826086962</v>
          </cell>
          <cell r="DD9">
            <v>-1.2172854534387989E-3</v>
          </cell>
          <cell r="DE9">
            <v>-3.1078610603290646E-2</v>
          </cell>
          <cell r="DF9">
            <v>0.16226415094339619</v>
          </cell>
          <cell r="DH9" t="str">
            <v>Info. Systems &amp; Tech.</v>
          </cell>
          <cell r="DI9">
            <v>993</v>
          </cell>
          <cell r="DJ9">
            <v>1150</v>
          </cell>
          <cell r="DK9">
            <v>2143</v>
          </cell>
          <cell r="DL9">
            <v>1274</v>
          </cell>
          <cell r="DM9">
            <v>3417</v>
          </cell>
          <cell r="DN9">
            <v>1472</v>
          </cell>
          <cell r="DO9">
            <v>4848</v>
          </cell>
          <cell r="DP9">
            <v>0.16549295774647887</v>
          </cell>
          <cell r="DQ9">
            <v>0.21564482029598309</v>
          </cell>
          <cell r="DR9">
            <v>0.43146067415730338</v>
          </cell>
          <cell r="DS9">
            <v>0.50050968399592255</v>
          </cell>
          <cell r="DT9">
            <v>0.32134096484055602</v>
          </cell>
          <cell r="DU9">
            <v>1.2232415902140747E-2</v>
          </cell>
          <cell r="DV9">
            <v>0.15810674723061435</v>
          </cell>
          <cell r="DW9">
            <v>0.10782608695652174</v>
          </cell>
          <cell r="DX9">
            <v>0.15541601255886972</v>
          </cell>
          <cell r="DZ9" t="str">
            <v>Info Sys &amp; Tech</v>
          </cell>
          <cell r="EA9">
            <v>852</v>
          </cell>
          <cell r="EB9">
            <v>946</v>
          </cell>
          <cell r="EC9">
            <v>1798</v>
          </cell>
          <cell r="ED9">
            <v>890</v>
          </cell>
          <cell r="EE9">
            <v>2688</v>
          </cell>
          <cell r="EF9">
            <v>981</v>
          </cell>
          <cell r="EG9">
            <v>3669</v>
          </cell>
          <cell r="EH9">
            <v>0.39215686274509803</v>
          </cell>
          <cell r="EI9">
            <v>0.41194029850746267</v>
          </cell>
          <cell r="EJ9">
            <v>0.37557959814528591</v>
          </cell>
          <cell r="EK9">
            <v>0.2874015748031496</v>
          </cell>
          <cell r="EL9">
            <v>0.36343366778149389</v>
          </cell>
          <cell r="EM9">
            <v>0.11811023622047245</v>
          </cell>
          <cell r="EN9">
            <v>0.11032863849765251</v>
          </cell>
          <cell r="EO9">
            <v>-5.9196617336152224E-2</v>
          </cell>
          <cell r="EP9">
            <v>0.10224719101123592</v>
          </cell>
          <cell r="ER9" t="str">
            <v>Info Sys &amp; Tech</v>
          </cell>
          <cell r="ES9">
            <v>612</v>
          </cell>
          <cell r="ET9">
            <v>670</v>
          </cell>
          <cell r="EU9">
            <v>1282</v>
          </cell>
          <cell r="EV9">
            <v>647</v>
          </cell>
          <cell r="EW9">
            <v>1929</v>
          </cell>
          <cell r="EX9">
            <v>762</v>
          </cell>
          <cell r="EY9">
            <v>2691</v>
          </cell>
          <cell r="EZ9">
            <v>9.9009900990099011E-3</v>
          </cell>
          <cell r="FA9">
            <v>0.13559322033898305</v>
          </cell>
          <cell r="FB9">
            <v>8.557046979865772E-2</v>
          </cell>
          <cell r="FC9">
            <v>0.39816513761467892</v>
          </cell>
          <cell r="FD9">
            <v>0.1514762516046213</v>
          </cell>
          <cell r="FE9">
            <v>0.12293577981651382</v>
          </cell>
          <cell r="FF9">
            <v>9.4771241830065467E-2</v>
          </cell>
          <cell r="FG9">
            <v>-3.432835820895519E-2</v>
          </cell>
          <cell r="FH9">
            <v>0.17774343122101999</v>
          </cell>
          <cell r="FJ9" t="str">
            <v>Info Sys &amp; Tech</v>
          </cell>
          <cell r="FK9">
            <v>606</v>
          </cell>
          <cell r="FL9">
            <v>590</v>
          </cell>
          <cell r="FM9">
            <v>1196</v>
          </cell>
          <cell r="FN9">
            <v>596</v>
          </cell>
          <cell r="FO9">
            <v>1792</v>
          </cell>
          <cell r="FP9">
            <v>545</v>
          </cell>
          <cell r="FQ9">
            <v>2337</v>
          </cell>
          <cell r="FR9">
            <v>1.6008583690987124</v>
          </cell>
          <cell r="FS9">
            <v>1.4279835390946503</v>
          </cell>
          <cell r="FT9">
            <v>0.68361581920903958</v>
          </cell>
          <cell r="FU9">
            <v>-7.9391891891891886E-2</v>
          </cell>
          <cell r="FV9">
            <v>0.64345991561181437</v>
          </cell>
          <cell r="FW9">
            <v>2.3648648648648685E-2</v>
          </cell>
          <cell r="FX9">
            <v>-2.6402640264026389E-2</v>
          </cell>
          <cell r="FY9">
            <v>1.0169491525423791E-2</v>
          </cell>
          <cell r="FZ9">
            <v>-8.5570469798657678E-2</v>
          </cell>
          <cell r="GB9" t="str">
            <v>Info Sys &amp; Tech</v>
          </cell>
          <cell r="GC9">
            <v>233</v>
          </cell>
          <cell r="GD9">
            <v>243</v>
          </cell>
          <cell r="GE9">
            <v>476</v>
          </cell>
          <cell r="GF9">
            <v>354</v>
          </cell>
          <cell r="GG9">
            <v>830</v>
          </cell>
          <cell r="GH9">
            <v>592</v>
          </cell>
          <cell r="GI9">
            <v>1422</v>
          </cell>
          <cell r="GJ9">
            <v>6.8807339449541288E-2</v>
          </cell>
          <cell r="GK9">
            <v>0.23979591836734693</v>
          </cell>
          <cell r="GL9">
            <v>0.5663716814159292</v>
          </cell>
          <cell r="GM9">
            <v>1.0204778156996588</v>
          </cell>
          <cell r="GN9">
            <v>0.52411575562700963</v>
          </cell>
          <cell r="GP9">
            <v>4.2918454935622297E-2</v>
          </cell>
          <cell r="GQ9">
            <v>0.45679012345679015</v>
          </cell>
          <cell r="GR9">
            <v>0.67231638418079087</v>
          </cell>
        </row>
        <row r="10">
          <cell r="B10" t="str">
            <v>Aerospace</v>
          </cell>
          <cell r="C10">
            <v>1455</v>
          </cell>
          <cell r="D10">
            <v>1415</v>
          </cell>
          <cell r="E10">
            <v>2870</v>
          </cell>
          <cell r="F10">
            <v>1000</v>
          </cell>
          <cell r="G10">
            <v>3870</v>
          </cell>
          <cell r="H10">
            <v>1380</v>
          </cell>
          <cell r="I10">
            <v>5250</v>
          </cell>
          <cell r="J10">
            <v>0.13760750586395631</v>
          </cell>
          <cell r="K10">
            <v>6.4710308502633485E-2</v>
          </cell>
          <cell r="L10">
            <v>-0.2711370262390671</v>
          </cell>
          <cell r="M10">
            <v>-9.9216710182767676E-2</v>
          </cell>
          <cell r="N10">
            <v>-4.7532656023222097E-2</v>
          </cell>
          <cell r="O10">
            <v>-5.0261096605744071E-2</v>
          </cell>
          <cell r="P10">
            <v>-2.7491408934707917E-2</v>
          </cell>
          <cell r="Q10">
            <v>-0.29328621908127206</v>
          </cell>
          <cell r="R10">
            <v>0.37999999999999989</v>
          </cell>
          <cell r="U10" t="str">
            <v>Aerospace</v>
          </cell>
          <cell r="V10">
            <v>1279</v>
          </cell>
          <cell r="W10">
            <v>1329</v>
          </cell>
          <cell r="X10">
            <v>2608</v>
          </cell>
          <cell r="Y10">
            <v>1372</v>
          </cell>
          <cell r="Z10">
            <v>3980</v>
          </cell>
          <cell r="AA10">
            <v>1532</v>
          </cell>
          <cell r="AB10">
            <v>5512</v>
          </cell>
          <cell r="AC10">
            <v>0.16910420475319921</v>
          </cell>
          <cell r="AD10">
            <v>0.10016556291390732</v>
          </cell>
          <cell r="AE10">
            <v>4.3346007604562642E-2</v>
          </cell>
          <cell r="AF10">
            <v>0.26507018992568132</v>
          </cell>
          <cell r="AG10">
            <v>0.14167357083678533</v>
          </cell>
          <cell r="AH10">
            <v>5.6151940545004164E-2</v>
          </cell>
          <cell r="AI10">
            <v>3.909304143862391E-2</v>
          </cell>
          <cell r="AJ10">
            <v>3.2355154251316742E-2</v>
          </cell>
          <cell r="AK10">
            <v>0.11661807580174921</v>
          </cell>
          <cell r="AN10" t="str">
            <v>Aerospace</v>
          </cell>
          <cell r="AO10">
            <v>1094</v>
          </cell>
          <cell r="AP10">
            <v>1208</v>
          </cell>
          <cell r="AQ10">
            <v>2302</v>
          </cell>
          <cell r="AR10">
            <v>1315</v>
          </cell>
          <cell r="AS10">
            <v>3617</v>
          </cell>
          <cell r="AT10">
            <v>1211</v>
          </cell>
          <cell r="AU10">
            <v>4828</v>
          </cell>
          <cell r="AV10">
            <v>0.17761033369214219</v>
          </cell>
          <cell r="AW10">
            <v>0.13214620431115276</v>
          </cell>
          <cell r="AX10">
            <v>0.20975160993560249</v>
          </cell>
          <cell r="AY10">
            <v>0.17231364956437556</v>
          </cell>
          <cell r="AZ10">
            <v>0.17298347910592815</v>
          </cell>
          <cell r="BA10">
            <v>5.9051306873184828E-2</v>
          </cell>
          <cell r="BB10">
            <v>0.1042047531992687</v>
          </cell>
          <cell r="BC10">
            <v>8.8576158940397276E-2</v>
          </cell>
          <cell r="BD10">
            <v>-7.9087452471482855E-2</v>
          </cell>
          <cell r="BF10" t="str">
            <v>Aerospace</v>
          </cell>
          <cell r="BG10">
            <v>929</v>
          </cell>
          <cell r="BH10">
            <v>1067</v>
          </cell>
          <cell r="BI10">
            <v>1996</v>
          </cell>
          <cell r="BJ10">
            <v>1087</v>
          </cell>
          <cell r="BK10">
            <v>3083</v>
          </cell>
          <cell r="BL10">
            <v>1033</v>
          </cell>
          <cell r="BM10">
            <v>4116</v>
          </cell>
          <cell r="BN10">
            <v>0.23373173970783534</v>
          </cell>
          <cell r="BO10">
            <v>0.28864734299516903</v>
          </cell>
          <cell r="BP10">
            <v>0.19977924944812364</v>
          </cell>
          <cell r="BQ10">
            <v>9.1966173361522241E-2</v>
          </cell>
          <cell r="BR10">
            <v>0.19895135450043688</v>
          </cell>
          <cell r="BS10">
            <v>-1.7970401691331905E-2</v>
          </cell>
          <cell r="BT10">
            <v>0.14854682454251877</v>
          </cell>
          <cell r="BU10">
            <v>1.8744142455482615E-2</v>
          </cell>
          <cell r="BV10">
            <v>-4.9678012879484812E-2</v>
          </cell>
          <cell r="BX10" t="str">
            <v>Aerospace</v>
          </cell>
          <cell r="BY10">
            <v>753</v>
          </cell>
          <cell r="BZ10">
            <v>828</v>
          </cell>
          <cell r="CA10">
            <v>1581</v>
          </cell>
          <cell r="CB10">
            <v>906</v>
          </cell>
          <cell r="CC10">
            <v>2487</v>
          </cell>
          <cell r="CD10">
            <v>946</v>
          </cell>
          <cell r="CE10">
            <v>3433</v>
          </cell>
          <cell r="CF10">
            <v>0.24257425742574257</v>
          </cell>
          <cell r="CG10">
            <v>7.3929961089494123E-2</v>
          </cell>
          <cell r="CH10">
            <v>0.13533834586466176</v>
          </cell>
          <cell r="CI10">
            <v>0.13022700119474306</v>
          </cell>
          <cell r="CJ10">
            <v>0.1397742363877823</v>
          </cell>
          <cell r="CK10">
            <v>-0.10035842293906805</v>
          </cell>
          <cell r="CL10">
            <v>9.960159362549792E-2</v>
          </cell>
          <cell r="CM10">
            <v>9.4202898550724612E-2</v>
          </cell>
          <cell r="CN10">
            <v>4.4150110375275942E-2</v>
          </cell>
          <cell r="CP10" t="str">
            <v>Aerospace</v>
          </cell>
          <cell r="CQ10">
            <v>606</v>
          </cell>
          <cell r="CR10">
            <v>771</v>
          </cell>
          <cell r="CS10">
            <v>1377</v>
          </cell>
          <cell r="CT10">
            <v>798</v>
          </cell>
          <cell r="CU10">
            <v>2175</v>
          </cell>
          <cell r="CV10">
            <v>837</v>
          </cell>
          <cell r="CW10">
            <v>3012</v>
          </cell>
          <cell r="CX10">
            <v>2.020202020202011E-2</v>
          </cell>
          <cell r="CY10">
            <v>7.8321678321678245E-2</v>
          </cell>
          <cell r="CZ10">
            <v>-1.2376237623762387E-2</v>
          </cell>
          <cell r="DA10">
            <v>9.6501809408926498E-3</v>
          </cell>
          <cell r="DB10">
            <v>2.2403258655804503E-2</v>
          </cell>
          <cell r="DC10">
            <v>-0.26899879372738233</v>
          </cell>
          <cell r="DD10">
            <v>0.2722772277227723</v>
          </cell>
          <cell r="DE10">
            <v>3.5019455252918386E-2</v>
          </cell>
          <cell r="DF10">
            <v>4.8872180451127845E-2</v>
          </cell>
          <cell r="DH10" t="str">
            <v>Aerospace</v>
          </cell>
          <cell r="DI10">
            <v>594</v>
          </cell>
          <cell r="DJ10">
            <v>715</v>
          </cell>
          <cell r="DK10">
            <v>1309</v>
          </cell>
          <cell r="DL10">
            <v>808</v>
          </cell>
          <cell r="DM10">
            <v>2117</v>
          </cell>
          <cell r="DN10">
            <v>829</v>
          </cell>
          <cell r="DO10">
            <v>2946</v>
          </cell>
          <cell r="DP10">
            <v>-0.22149410222804719</v>
          </cell>
          <cell r="DQ10">
            <v>-0.1875</v>
          </cell>
          <cell r="DR10">
            <v>9.336941813261164E-2</v>
          </cell>
          <cell r="DS10">
            <v>-8.5997794928335175E-2</v>
          </cell>
          <cell r="DT10">
            <v>-0.10428701733049558</v>
          </cell>
          <cell r="DU10">
            <v>-0.34509371554575519</v>
          </cell>
          <cell r="DV10">
            <v>0.20370370370370372</v>
          </cell>
          <cell r="DW10">
            <v>0.13006993006993017</v>
          </cell>
          <cell r="DX10">
            <v>2.5990099009900902E-2</v>
          </cell>
          <cell r="DZ10" t="str">
            <v>Gulfstream</v>
          </cell>
          <cell r="EA10">
            <v>763</v>
          </cell>
          <cell r="EB10">
            <v>880</v>
          </cell>
          <cell r="EC10">
            <v>1643</v>
          </cell>
          <cell r="ED10">
            <v>739</v>
          </cell>
          <cell r="EE10">
            <v>2382</v>
          </cell>
          <cell r="EF10">
            <v>907</v>
          </cell>
          <cell r="EG10">
            <v>3289</v>
          </cell>
          <cell r="EH10">
            <v>7.1629213483146062E-2</v>
          </cell>
          <cell r="EI10">
            <v>0.15032679738562091</v>
          </cell>
          <cell r="EJ10">
            <v>-0.11813842482100238</v>
          </cell>
          <cell r="EK10">
            <v>-4.5263157894736845E-2</v>
          </cell>
          <cell r="EL10">
            <v>7.3506891271056659E-3</v>
          </cell>
          <cell r="EM10">
            <v>-0.19684210526315793</v>
          </cell>
          <cell r="EN10">
            <v>0.15334207077326334</v>
          </cell>
          <cell r="EO10">
            <v>-0.16022727272727277</v>
          </cell>
          <cell r="EP10">
            <v>0.22733423545331521</v>
          </cell>
          <cell r="ER10" t="str">
            <v>Gulfstream</v>
          </cell>
          <cell r="ES10">
            <v>712</v>
          </cell>
          <cell r="ET10">
            <v>765</v>
          </cell>
          <cell r="EU10">
            <v>1477</v>
          </cell>
          <cell r="EV10">
            <v>838</v>
          </cell>
          <cell r="EW10">
            <v>2315</v>
          </cell>
          <cell r="EX10">
            <v>950</v>
          </cell>
          <cell r="EY10">
            <v>3265</v>
          </cell>
          <cell r="EZ10">
            <v>-2.4657534246575342E-2</v>
          </cell>
          <cell r="FA10">
            <v>-6.8209500609013402E-2</v>
          </cell>
          <cell r="FB10">
            <v>0.1432469304229195</v>
          </cell>
          <cell r="FC10">
            <v>0.27516778523489932</v>
          </cell>
          <cell r="FD10">
            <v>7.7913502806206666E-2</v>
          </cell>
          <cell r="FE10">
            <v>-4.4295302013422799E-2</v>
          </cell>
          <cell r="FF10">
            <v>7.4438202247190999E-2</v>
          </cell>
          <cell r="FG10">
            <v>9.5424836601307295E-2</v>
          </cell>
          <cell r="FH10">
            <v>0.13365155131264927</v>
          </cell>
          <cell r="FJ10" t="str">
            <v>Gulfstream</v>
          </cell>
          <cell r="FK10">
            <v>730</v>
          </cell>
          <cell r="FL10">
            <v>821</v>
          </cell>
          <cell r="FM10">
            <v>1551</v>
          </cell>
          <cell r="FN10">
            <v>733</v>
          </cell>
          <cell r="FO10">
            <v>2284</v>
          </cell>
          <cell r="FP10">
            <v>745</v>
          </cell>
          <cell r="FQ10">
            <v>3029</v>
          </cell>
          <cell r="FR10">
            <v>0.16781314989601659</v>
          </cell>
          <cell r="FS10">
            <v>0.1599321842328342</v>
          </cell>
          <cell r="FT10">
            <v>4.1193181818181816E-2</v>
          </cell>
          <cell r="FU10">
            <v>-0.14574016741199394</v>
          </cell>
          <cell r="FV10">
            <v>4.1251289102784465E-2</v>
          </cell>
          <cell r="FW10">
            <v>-0.16294002981309474</v>
          </cell>
          <cell r="FX10">
            <v>0.12465753424657544</v>
          </cell>
          <cell r="FY10">
            <v>-0.1071863580998782</v>
          </cell>
          <cell r="FZ10">
            <v>1.6371077762619368E-2</v>
          </cell>
          <cell r="GB10" t="str">
            <v>Gulfstream</v>
          </cell>
          <cell r="GC10">
            <v>625.1</v>
          </cell>
          <cell r="GD10">
            <v>707.8</v>
          </cell>
          <cell r="GE10">
            <v>1332.9</v>
          </cell>
          <cell r="GF10">
            <v>704</v>
          </cell>
          <cell r="GG10">
            <v>2036.9</v>
          </cell>
          <cell r="GH10">
            <v>872.09999999999991</v>
          </cell>
          <cell r="GI10">
            <v>2909</v>
          </cell>
          <cell r="GJ10">
            <v>0.24175605880015902</v>
          </cell>
          <cell r="GK10">
            <v>0.27073608617594247</v>
          </cell>
          <cell r="GL10">
            <v>0.12424145640370481</v>
          </cell>
          <cell r="GM10">
            <v>0.17628810358780694</v>
          </cell>
          <cell r="GN10">
            <v>0.19810543657331137</v>
          </cell>
          <cell r="GP10">
            <v>0.1322988321868499</v>
          </cell>
          <cell r="GQ10">
            <v>-5.3687482339643822E-3</v>
          </cell>
          <cell r="GR10">
            <v>0.23877840909090886</v>
          </cell>
        </row>
        <row r="11">
          <cell r="B11" t="str">
            <v>Resources</v>
          </cell>
          <cell r="C11">
            <v>0</v>
          </cell>
          <cell r="D11">
            <v>0</v>
          </cell>
          <cell r="E11">
            <v>0</v>
          </cell>
          <cell r="F11">
            <v>0</v>
          </cell>
          <cell r="G11">
            <v>0</v>
          </cell>
          <cell r="H11">
            <v>0</v>
          </cell>
          <cell r="I11">
            <v>0</v>
          </cell>
          <cell r="J11" t="str">
            <v>NA</v>
          </cell>
          <cell r="K11" t="str">
            <v>NA</v>
          </cell>
          <cell r="L11" t="str">
            <v>NA</v>
          </cell>
          <cell r="M11" t="str">
            <v>NA</v>
          </cell>
          <cell r="N11" t="str">
            <v>NA</v>
          </cell>
          <cell r="O11" t="str">
            <v>NA</v>
          </cell>
          <cell r="P11" t="str">
            <v>NA</v>
          </cell>
          <cell r="Q11" t="str">
            <v>NA</v>
          </cell>
          <cell r="R11" t="str">
            <v>NA</v>
          </cell>
          <cell r="U11" t="str">
            <v>Resources</v>
          </cell>
          <cell r="V11">
            <v>0</v>
          </cell>
          <cell r="W11">
            <v>0</v>
          </cell>
          <cell r="X11">
            <v>0</v>
          </cell>
          <cell r="Y11">
            <v>0</v>
          </cell>
          <cell r="Z11">
            <v>0</v>
          </cell>
          <cell r="AA11">
            <v>0</v>
          </cell>
          <cell r="AB11">
            <v>0</v>
          </cell>
          <cell r="AN11" t="str">
            <v>Resources</v>
          </cell>
          <cell r="AO11">
            <v>0</v>
          </cell>
          <cell r="AP11">
            <v>0</v>
          </cell>
          <cell r="AQ11">
            <v>0</v>
          </cell>
          <cell r="AR11">
            <v>0</v>
          </cell>
          <cell r="AS11">
            <v>0</v>
          </cell>
          <cell r="AT11">
            <v>0</v>
          </cell>
          <cell r="AU11">
            <v>0</v>
          </cell>
          <cell r="BF11" t="str">
            <v>Resources</v>
          </cell>
          <cell r="BG11">
            <v>0</v>
          </cell>
          <cell r="BH11">
            <v>0</v>
          </cell>
          <cell r="BI11">
            <v>0</v>
          </cell>
          <cell r="BJ11">
            <v>0</v>
          </cell>
          <cell r="BK11">
            <v>0</v>
          </cell>
          <cell r="BL11">
            <v>0</v>
          </cell>
          <cell r="BM11">
            <v>0</v>
          </cell>
          <cell r="BX11" t="str">
            <v>Resources</v>
          </cell>
          <cell r="BY11">
            <v>0</v>
          </cell>
          <cell r="BZ11">
            <v>0</v>
          </cell>
          <cell r="CA11">
            <v>0</v>
          </cell>
          <cell r="CB11">
            <v>0</v>
          </cell>
          <cell r="CC11">
            <v>0</v>
          </cell>
          <cell r="CD11">
            <v>0</v>
          </cell>
          <cell r="CE11">
            <v>0</v>
          </cell>
          <cell r="CP11" t="str">
            <v>Resources</v>
          </cell>
          <cell r="CQ11">
            <v>47</v>
          </cell>
          <cell r="CR11">
            <v>65</v>
          </cell>
          <cell r="CS11">
            <v>112</v>
          </cell>
          <cell r="CT11">
            <v>74</v>
          </cell>
          <cell r="CU11">
            <v>186</v>
          </cell>
          <cell r="CV11">
            <v>-185</v>
          </cell>
          <cell r="CW11">
            <v>1</v>
          </cell>
          <cell r="CX11">
            <v>0.14634146341463405</v>
          </cell>
          <cell r="CY11">
            <v>-5.7971014492753659E-2</v>
          </cell>
          <cell r="CZ11">
            <v>-5.1282051282051322E-2</v>
          </cell>
          <cell r="DA11">
            <v>-3.7205882352941178</v>
          </cell>
          <cell r="DB11">
            <v>-0.99609375</v>
          </cell>
          <cell r="DC11">
            <v>-0.30882352941176472</v>
          </cell>
          <cell r="DD11">
            <v>0.38297872340425543</v>
          </cell>
          <cell r="DE11">
            <v>0.13846153846153841</v>
          </cell>
          <cell r="DF11">
            <v>-3.5</v>
          </cell>
          <cell r="DH11" t="str">
            <v>Resources</v>
          </cell>
          <cell r="DI11">
            <v>41</v>
          </cell>
          <cell r="DJ11">
            <v>69</v>
          </cell>
          <cell r="DK11">
            <v>110</v>
          </cell>
          <cell r="DL11">
            <v>78</v>
          </cell>
          <cell r="DM11">
            <v>188</v>
          </cell>
          <cell r="DN11">
            <v>68</v>
          </cell>
          <cell r="DO11">
            <v>256</v>
          </cell>
          <cell r="DP11">
            <v>-0.18</v>
          </cell>
          <cell r="DQ11">
            <v>-0.1038961038961039</v>
          </cell>
          <cell r="DR11">
            <v>-8.2352941176470587E-2</v>
          </cell>
          <cell r="DS11">
            <v>-8.1081081081081086E-2</v>
          </cell>
          <cell r="DT11">
            <v>-0.1048951048951049</v>
          </cell>
          <cell r="DU11">
            <v>-0.44594594594594594</v>
          </cell>
          <cell r="DV11">
            <v>0.68292682926829262</v>
          </cell>
          <cell r="DW11">
            <v>0.13043478260869557</v>
          </cell>
          <cell r="DX11">
            <v>-0.12820512820512819</v>
          </cell>
          <cell r="DZ11" t="str">
            <v>Other</v>
          </cell>
          <cell r="EA11">
            <v>50</v>
          </cell>
          <cell r="EB11">
            <v>77</v>
          </cell>
          <cell r="EC11">
            <v>127</v>
          </cell>
          <cell r="ED11">
            <v>85</v>
          </cell>
          <cell r="EE11">
            <v>212</v>
          </cell>
          <cell r="EF11">
            <v>74</v>
          </cell>
          <cell r="EG11">
            <v>286</v>
          </cell>
          <cell r="EH11">
            <v>2.0408163265306121E-2</v>
          </cell>
          <cell r="EI11">
            <v>0.1</v>
          </cell>
          <cell r="EJ11">
            <v>8.9743589743589744E-2</v>
          </cell>
          <cell r="EK11">
            <v>-6.3291139240506333E-2</v>
          </cell>
          <cell r="EL11">
            <v>3.6231884057971016E-2</v>
          </cell>
          <cell r="EM11">
            <v>-0.36708860759493667</v>
          </cell>
          <cell r="EN11">
            <v>0.54</v>
          </cell>
          <cell r="EO11">
            <v>0.10389610389610393</v>
          </cell>
          <cell r="EP11">
            <v>-0.12941176470588234</v>
          </cell>
          <cell r="ER11" t="str">
            <v>Other</v>
          </cell>
          <cell r="ES11">
            <v>49</v>
          </cell>
          <cell r="ET11">
            <v>70</v>
          </cell>
          <cell r="EU11">
            <v>119</v>
          </cell>
          <cell r="EV11">
            <v>78</v>
          </cell>
          <cell r="EW11">
            <v>197</v>
          </cell>
          <cell r="EX11">
            <v>79</v>
          </cell>
          <cell r="EY11">
            <v>276</v>
          </cell>
          <cell r="EZ11">
            <v>0</v>
          </cell>
          <cell r="FA11">
            <v>0.1111111111111111</v>
          </cell>
          <cell r="FB11">
            <v>1.2987012987012988E-2</v>
          </cell>
          <cell r="FC11">
            <v>0.234375</v>
          </cell>
          <cell r="FD11">
            <v>9.0909090909090912E-2</v>
          </cell>
          <cell r="FE11">
            <v>-0.234375</v>
          </cell>
          <cell r="FF11">
            <v>0.4285714285714286</v>
          </cell>
          <cell r="FG11">
            <v>0.11428571428571432</v>
          </cell>
          <cell r="FH11">
            <v>1.2820512820512775E-2</v>
          </cell>
          <cell r="FJ11" t="str">
            <v>Other</v>
          </cell>
          <cell r="FK11">
            <v>49</v>
          </cell>
          <cell r="FL11">
            <v>63</v>
          </cell>
          <cell r="FM11">
            <v>112</v>
          </cell>
          <cell r="FN11">
            <v>77</v>
          </cell>
          <cell r="FO11">
            <v>189</v>
          </cell>
          <cell r="FP11">
            <v>64</v>
          </cell>
          <cell r="FQ11">
            <v>253</v>
          </cell>
          <cell r="FR11">
            <v>6.5217391304347824E-2</v>
          </cell>
          <cell r="FS11">
            <v>-4.5454545454545456E-2</v>
          </cell>
          <cell r="FT11">
            <v>5.4794520547945202E-2</v>
          </cell>
          <cell r="FU11">
            <v>-1.5384615384615385E-2</v>
          </cell>
          <cell r="FV11">
            <v>1.2E-2</v>
          </cell>
          <cell r="FW11">
            <v>-0.24615384615384617</v>
          </cell>
          <cell r="FX11">
            <v>0.28571428571428581</v>
          </cell>
          <cell r="FY11">
            <v>0.22222222222222232</v>
          </cell>
          <cell r="FZ11">
            <v>-0.16883116883116878</v>
          </cell>
          <cell r="GB11" t="str">
            <v>Other</v>
          </cell>
          <cell r="GC11">
            <v>46</v>
          </cell>
          <cell r="GD11">
            <v>66</v>
          </cell>
          <cell r="GE11">
            <v>112</v>
          </cell>
          <cell r="GF11">
            <v>73</v>
          </cell>
          <cell r="GG11">
            <v>185</v>
          </cell>
          <cell r="GH11">
            <v>65</v>
          </cell>
          <cell r="GI11">
            <v>250</v>
          </cell>
          <cell r="GJ11">
            <v>0</v>
          </cell>
          <cell r="GK11">
            <v>0</v>
          </cell>
          <cell r="GL11">
            <v>7.3529411764705885E-2</v>
          </cell>
          <cell r="GM11">
            <v>0.16071428571428573</v>
          </cell>
          <cell r="GN11">
            <v>5.9322033898305086E-2</v>
          </cell>
          <cell r="GP11">
            <v>0.43478260869565211</v>
          </cell>
          <cell r="GQ11">
            <v>0.10606060606060597</v>
          </cell>
          <cell r="GR11">
            <v>-0.1095890410958904</v>
          </cell>
        </row>
        <row r="12">
          <cell r="B12" t="str">
            <v>Total</v>
          </cell>
          <cell r="C12">
            <v>8264</v>
          </cell>
          <cell r="D12">
            <v>8100</v>
          </cell>
          <cell r="E12">
            <v>16364</v>
          </cell>
          <cell r="F12">
            <v>7700</v>
          </cell>
          <cell r="G12">
            <v>24064</v>
          </cell>
          <cell r="H12">
            <v>8436</v>
          </cell>
          <cell r="I12">
            <v>32500</v>
          </cell>
          <cell r="J12">
            <v>0.17972876516773728</v>
          </cell>
          <cell r="K12">
            <v>0.10913323291797883</v>
          </cell>
          <cell r="L12">
            <v>7.8431372549019551E-2</v>
          </cell>
          <cell r="M12">
            <v>7.4375955170657093E-2</v>
          </cell>
          <cell r="N12">
            <v>0.19309838472834073</v>
          </cell>
          <cell r="O12">
            <v>5.2470708099847219E-2</v>
          </cell>
          <cell r="P12">
            <v>-1.9845111326234233E-2</v>
          </cell>
          <cell r="Q12">
            <v>-4.9382716049382713E-2</v>
          </cell>
          <cell r="R12">
            <v>9.5584415584415661E-2</v>
          </cell>
          <cell r="U12" t="str">
            <v>Total</v>
          </cell>
          <cell r="V12">
            <v>7005</v>
          </cell>
          <cell r="W12">
            <v>7303</v>
          </cell>
          <cell r="X12">
            <v>14308</v>
          </cell>
          <cell r="Y12">
            <v>7140</v>
          </cell>
          <cell r="Z12">
            <v>21448</v>
          </cell>
          <cell r="AA12">
            <v>7852</v>
          </cell>
          <cell r="AB12">
            <v>27240</v>
          </cell>
          <cell r="AC12">
            <v>0.11190476190476195</v>
          </cell>
          <cell r="AD12">
            <v>0.10802609619177672</v>
          </cell>
          <cell r="AE12">
            <v>4.4776119402984982E-2</v>
          </cell>
          <cell r="AF12">
            <v>4.4843646041250906E-2</v>
          </cell>
          <cell r="AG12">
            <v>0</v>
          </cell>
          <cell r="AH12">
            <v>-6.7864271457085845E-2</v>
          </cell>
          <cell r="AI12">
            <v>4.2541042112776539E-2</v>
          </cell>
          <cell r="AJ12">
            <v>-2.2319594687114863E-2</v>
          </cell>
          <cell r="AK12">
            <v>9.9719887955182163E-2</v>
          </cell>
          <cell r="AN12" t="str">
            <v>Total</v>
          </cell>
          <cell r="AO12">
            <v>6300</v>
          </cell>
          <cell r="AP12">
            <v>6591</v>
          </cell>
          <cell r="AQ12">
            <v>12891</v>
          </cell>
          <cell r="AR12">
            <v>6834</v>
          </cell>
          <cell r="AS12">
            <v>19725</v>
          </cell>
          <cell r="AT12">
            <v>7515</v>
          </cell>
          <cell r="AU12">
            <v>27240</v>
          </cell>
          <cell r="AV12">
            <v>0.13595384060584204</v>
          </cell>
          <cell r="AW12">
            <v>0.11071789686552069</v>
          </cell>
          <cell r="AX12">
            <v>0.12605042016806722</v>
          </cell>
          <cell r="AY12">
            <v>0.15366902057107779</v>
          </cell>
          <cell r="AZ12">
            <v>0.13202842538336856</v>
          </cell>
          <cell r="BA12">
            <v>-3.2852318084126475E-2</v>
          </cell>
          <cell r="BB12">
            <v>4.6190476190476115E-2</v>
          </cell>
          <cell r="BC12">
            <v>3.686845698680008E-2</v>
          </cell>
          <cell r="BD12">
            <v>9.964881474978049E-2</v>
          </cell>
          <cell r="BF12" t="str">
            <v>Total</v>
          </cell>
          <cell r="BG12">
            <v>5546</v>
          </cell>
          <cell r="BH12">
            <v>5934</v>
          </cell>
          <cell r="BI12">
            <v>11480</v>
          </cell>
          <cell r="BJ12">
            <v>6069</v>
          </cell>
          <cell r="BK12">
            <v>17549</v>
          </cell>
          <cell r="BL12">
            <v>6514</v>
          </cell>
          <cell r="BM12">
            <v>24063</v>
          </cell>
          <cell r="BN12">
            <v>0.16219614417435047</v>
          </cell>
          <cell r="BO12">
            <v>0.15514891960288102</v>
          </cell>
          <cell r="BP12">
            <v>0.14466239155035843</v>
          </cell>
          <cell r="BQ12">
            <v>0.13011797362942401</v>
          </cell>
          <cell r="BR12">
            <v>0.14722288438617404</v>
          </cell>
          <cell r="BS12">
            <v>-3.7820957668285859E-2</v>
          </cell>
          <cell r="BT12">
            <v>6.9960331770645423E-2</v>
          </cell>
          <cell r="BU12">
            <v>2.2750252780586511E-2</v>
          </cell>
          <cell r="BV12">
            <v>7.3323447025869237E-2</v>
          </cell>
          <cell r="BX12" t="str">
            <v>Total</v>
          </cell>
          <cell r="BY12">
            <v>4772</v>
          </cell>
          <cell r="BZ12">
            <v>5137</v>
          </cell>
          <cell r="CA12">
            <v>9909</v>
          </cell>
          <cell r="CB12">
            <v>5302</v>
          </cell>
          <cell r="CC12">
            <v>15211</v>
          </cell>
          <cell r="CD12">
            <v>5764</v>
          </cell>
          <cell r="CE12">
            <v>20975</v>
          </cell>
          <cell r="CF12">
            <v>2.7120103314679289E-2</v>
          </cell>
          <cell r="CG12">
            <v>0.10425623387790206</v>
          </cell>
          <cell r="CH12">
            <v>0.14095115128039604</v>
          </cell>
          <cell r="CI12">
            <v>0.17083079423115977</v>
          </cell>
          <cell r="CJ12">
            <v>0.11167055331778664</v>
          </cell>
          <cell r="CK12">
            <v>-3.0672354255535272E-2</v>
          </cell>
          <cell r="CL12">
            <v>7.6487845766973983E-2</v>
          </cell>
          <cell r="CM12">
            <v>3.2119914346895095E-2</v>
          </cell>
          <cell r="CN12">
            <v>8.7136929460580825E-2</v>
          </cell>
          <cell r="CP12" t="str">
            <v>Total</v>
          </cell>
          <cell r="CQ12">
            <v>4646</v>
          </cell>
          <cell r="CR12">
            <v>4652</v>
          </cell>
          <cell r="CS12">
            <v>9298</v>
          </cell>
          <cell r="CT12">
            <v>4647</v>
          </cell>
          <cell r="CU12">
            <v>13945</v>
          </cell>
          <cell r="CV12">
            <v>4923</v>
          </cell>
          <cell r="CW12">
            <v>18868</v>
          </cell>
          <cell r="CX12">
            <v>0.37171538234425738</v>
          </cell>
          <cell r="CY12">
            <v>0.19404517453798764</v>
          </cell>
          <cell r="CZ12">
            <v>6.7049368541905796E-2</v>
          </cell>
          <cell r="DA12">
            <v>4.0583386176284098E-2</v>
          </cell>
          <cell r="DB12">
            <v>0.15556099951004421</v>
          </cell>
          <cell r="DC12">
            <v>-1.7966603255125779E-2</v>
          </cell>
          <cell r="DD12">
            <v>1.2914334911751091E-3</v>
          </cell>
          <cell r="DE12">
            <v>-1.0748065348237246E-3</v>
          </cell>
          <cell r="DF12">
            <v>5.9393156875403585E-2</v>
          </cell>
          <cell r="DH12" t="str">
            <v>Total</v>
          </cell>
          <cell r="DI12">
            <v>3387</v>
          </cell>
          <cell r="DJ12">
            <v>3896</v>
          </cell>
          <cell r="DK12">
            <v>7283</v>
          </cell>
          <cell r="DL12">
            <v>4355</v>
          </cell>
          <cell r="DM12">
            <v>11638</v>
          </cell>
          <cell r="DN12">
            <v>4731</v>
          </cell>
          <cell r="DO12">
            <v>16328</v>
          </cell>
          <cell r="DP12">
            <v>9.187620889748549E-2</v>
          </cell>
          <cell r="DQ12">
            <v>0.11123787792355962</v>
          </cell>
          <cell r="DR12">
            <v>0.32612667478684532</v>
          </cell>
          <cell r="DS12">
            <v>0.2489440337909187</v>
          </cell>
          <cell r="DT12">
            <v>0.1935672514619883</v>
          </cell>
          <cell r="DU12">
            <v>-0.10586061246040124</v>
          </cell>
          <cell r="DV12">
            <v>0.15028048420431062</v>
          </cell>
          <cell r="DW12">
            <v>0.11781314168377821</v>
          </cell>
          <cell r="DX12">
            <v>8.6337543053961019E-2</v>
          </cell>
          <cell r="DZ12" t="str">
            <v xml:space="preserve"> Total Revs.</v>
          </cell>
          <cell r="EA12">
            <v>3102</v>
          </cell>
          <cell r="EB12">
            <v>3506</v>
          </cell>
          <cell r="EC12">
            <v>6608</v>
          </cell>
          <cell r="ED12">
            <v>3284</v>
          </cell>
          <cell r="EE12">
            <v>9892</v>
          </cell>
          <cell r="EF12">
            <v>3788</v>
          </cell>
          <cell r="EG12">
            <v>13680</v>
          </cell>
          <cell r="EH12">
            <v>0.16049382716049382</v>
          </cell>
          <cell r="EI12">
            <v>0.18365968939905469</v>
          </cell>
          <cell r="EJ12">
            <v>8.7417218543046363E-2</v>
          </cell>
          <cell r="EK12">
            <v>0.11444542512503678</v>
          </cell>
          <cell r="EL12">
            <v>0.13489298158287705</v>
          </cell>
          <cell r="EM12">
            <v>-8.737864077669899E-2</v>
          </cell>
          <cell r="EN12">
            <v>0.13023855577047061</v>
          </cell>
          <cell r="EO12">
            <v>-6.3320022818026289E-2</v>
          </cell>
          <cell r="EP12">
            <v>0.15347137637028019</v>
          </cell>
          <cell r="ER12" t="str">
            <v xml:space="preserve"> Total Revs.</v>
          </cell>
          <cell r="ES12">
            <v>2673</v>
          </cell>
          <cell r="ET12">
            <v>2962</v>
          </cell>
          <cell r="EU12">
            <v>5635</v>
          </cell>
          <cell r="EV12">
            <v>3020</v>
          </cell>
          <cell r="EW12">
            <v>8655</v>
          </cell>
          <cell r="EX12">
            <v>3399</v>
          </cell>
          <cell r="EY12">
            <v>12054</v>
          </cell>
          <cell r="EZ12">
            <v>4.9882168106834247E-2</v>
          </cell>
          <cell r="FA12">
            <v>0.13183034008406572</v>
          </cell>
          <cell r="FB12">
            <v>0.20703437250199841</v>
          </cell>
          <cell r="FC12">
            <v>0.28749999999999998</v>
          </cell>
          <cell r="FD12">
            <v>0.16972343522561864</v>
          </cell>
          <cell r="FE12">
            <v>1.2499999999999956E-2</v>
          </cell>
          <cell r="FF12">
            <v>0.1081182192293304</v>
          </cell>
          <cell r="FG12">
            <v>1.9581363943281582E-2</v>
          </cell>
          <cell r="FH12">
            <v>0.12549668874172193</v>
          </cell>
          <cell r="FJ12" t="str">
            <v xml:space="preserve"> Total Revs.</v>
          </cell>
          <cell r="FK12">
            <v>2546</v>
          </cell>
          <cell r="FL12">
            <v>2617</v>
          </cell>
          <cell r="FM12">
            <v>5163</v>
          </cell>
          <cell r="FN12">
            <v>2502</v>
          </cell>
          <cell r="FO12">
            <v>7665</v>
          </cell>
          <cell r="FP12">
            <v>2640</v>
          </cell>
          <cell r="FQ12">
            <v>10305</v>
          </cell>
          <cell r="FR12">
            <v>0.27166475201038914</v>
          </cell>
          <cell r="FS12">
            <v>0.25407322215832845</v>
          </cell>
          <cell r="FT12">
            <v>0.12957110609480813</v>
          </cell>
          <cell r="FU12">
            <v>-5.68716809159744E-3</v>
          </cell>
          <cell r="FV12">
            <v>0.15023998214086393</v>
          </cell>
          <cell r="FW12">
            <v>-4.1090731045911766E-2</v>
          </cell>
          <cell r="FX12">
            <v>2.7886881382560791E-2</v>
          </cell>
          <cell r="FY12">
            <v>-4.3943446694688526E-2</v>
          </cell>
          <cell r="FZ12">
            <v>5.5155875299760293E-2</v>
          </cell>
          <cell r="GB12" t="str">
            <v xml:space="preserve"> Total Revs.</v>
          </cell>
          <cell r="GC12">
            <v>2002.1</v>
          </cell>
          <cell r="GD12">
            <v>2086.8000000000002</v>
          </cell>
          <cell r="GE12">
            <v>4088.9</v>
          </cell>
          <cell r="GF12">
            <v>2215</v>
          </cell>
          <cell r="GG12">
            <v>6303.9</v>
          </cell>
          <cell r="GH12">
            <v>2655.1000000000004</v>
          </cell>
          <cell r="GI12">
            <v>8959</v>
          </cell>
          <cell r="GJ12">
            <v>0.20797634849764679</v>
          </cell>
          <cell r="GK12">
            <v>0.20276657060518744</v>
          </cell>
          <cell r="GL12">
            <v>0.23178734289845399</v>
          </cell>
          <cell r="GM12">
            <v>0.13252857874082954</v>
          </cell>
          <cell r="GN12">
            <v>0.18898473788984738</v>
          </cell>
          <cell r="GP12">
            <v>4.230557914190114E-2</v>
          </cell>
          <cell r="GQ12">
            <v>6.1433774199731506E-2</v>
          </cell>
          <cell r="GR12">
            <v>0.19869074492099337</v>
          </cell>
        </row>
        <row r="13">
          <cell r="U13" t="str">
            <v>% Ch Y/Y</v>
          </cell>
          <cell r="V13">
            <v>0.11190476190476195</v>
          </cell>
          <cell r="W13">
            <v>0.10802609619177672</v>
          </cell>
          <cell r="X13">
            <v>0.10992165076409899</v>
          </cell>
          <cell r="Y13">
            <v>4.4776119402984982E-2</v>
          </cell>
          <cell r="Z13">
            <v>2.1384255194615158</v>
          </cell>
          <cell r="AA13">
            <v>4.4843646041250906E-2</v>
          </cell>
          <cell r="AB13">
            <v>7.562408223201178E-2</v>
          </cell>
          <cell r="AN13" t="str">
            <v>% Ch Y/Y</v>
          </cell>
          <cell r="AO13">
            <v>0.13595384060584204</v>
          </cell>
          <cell r="AP13">
            <v>0.11071789686552073</v>
          </cell>
          <cell r="AQ13">
            <v>0.12290940766550529</v>
          </cell>
          <cell r="AR13">
            <v>0.12605042016806722</v>
          </cell>
          <cell r="AS13">
            <v>0.12399566926890415</v>
          </cell>
          <cell r="AT13">
            <v>0.15366902057107767</v>
          </cell>
          <cell r="AU13">
            <v>0.13202842538336856</v>
          </cell>
          <cell r="BF13" t="str">
            <v>% Ch Y/Y</v>
          </cell>
          <cell r="BG13">
            <v>0.16219614417435038</v>
          </cell>
          <cell r="BH13">
            <v>0.15514891960288105</v>
          </cell>
          <cell r="BI13">
            <v>0.15854273892421022</v>
          </cell>
          <cell r="BJ13">
            <v>0.14466239155035834</v>
          </cell>
          <cell r="BK13">
            <v>0.15370455591348375</v>
          </cell>
          <cell r="BL13">
            <v>0.13011797362942401</v>
          </cell>
          <cell r="BM13">
            <v>0.14722288438617404</v>
          </cell>
          <cell r="BX13" t="str">
            <v>% Ch Y/Y</v>
          </cell>
          <cell r="BY13">
            <v>2.7120103314679293E-2</v>
          </cell>
          <cell r="BZ13">
            <v>0.10425623387790198</v>
          </cell>
          <cell r="CA13">
            <v>6.571305657130555E-2</v>
          </cell>
          <cell r="CB13">
            <v>0.14095115128039595</v>
          </cell>
          <cell r="CC13">
            <v>9.0785227680172165E-2</v>
          </cell>
          <cell r="CD13">
            <v>0.17083079423115985</v>
          </cell>
          <cell r="CE13">
            <v>0.11167055331778664</v>
          </cell>
          <cell r="CP13" t="str">
            <v>% Ch Y/Y</v>
          </cell>
          <cell r="CQ13">
            <v>0.37171538234425744</v>
          </cell>
          <cell r="CR13">
            <v>0.19404517453798767</v>
          </cell>
          <cell r="CS13">
            <v>0.27667170122202389</v>
          </cell>
          <cell r="CT13">
            <v>6.7049368541905852E-2</v>
          </cell>
          <cell r="CU13">
            <v>0.1982299364151916</v>
          </cell>
          <cell r="CV13">
            <v>4.0583386176284084E-2</v>
          </cell>
          <cell r="CW13">
            <v>0.15556099951004421</v>
          </cell>
          <cell r="DH13" t="str">
            <v>% Ch Y/Y</v>
          </cell>
          <cell r="DI13">
            <v>9.187620889748549E-2</v>
          </cell>
          <cell r="DJ13">
            <v>0.11123787792355962</v>
          </cell>
          <cell r="DK13">
            <v>0.10214891041162222</v>
          </cell>
          <cell r="DL13">
            <v>0.32612667478684532</v>
          </cell>
          <cell r="DM13">
            <v>0.42827558519846753</v>
          </cell>
          <cell r="DN13">
            <v>0.2489440337909187</v>
          </cell>
          <cell r="DO13">
            <v>0.19356725146198839</v>
          </cell>
          <cell r="DZ13" t="str">
            <v xml:space="preserve">  % Change</v>
          </cell>
          <cell r="EA13">
            <v>0.16049382716049387</v>
          </cell>
          <cell r="EB13">
            <v>0.18365968939905475</v>
          </cell>
          <cell r="EC13">
            <v>0.17267080745341623</v>
          </cell>
          <cell r="ED13">
            <v>8.7417218543046404E-2</v>
          </cell>
          <cell r="EE13">
            <v>0.26008802599646264</v>
          </cell>
          <cell r="EF13">
            <v>0.11444542512503686</v>
          </cell>
          <cell r="EG13">
            <v>0.13489298158287699</v>
          </cell>
          <cell r="ER13" t="str">
            <v xml:space="preserve">  % Change</v>
          </cell>
          <cell r="ES13">
            <v>4.9882168106834247E-2</v>
          </cell>
          <cell r="ET13">
            <v>0.13183034008406572</v>
          </cell>
          <cell r="EU13">
            <v>9.1419717218671259E-2</v>
          </cell>
          <cell r="EV13">
            <v>0.20703437250199841</v>
          </cell>
          <cell r="EW13">
            <v>0.12915851272015666</v>
          </cell>
          <cell r="EX13">
            <v>0.28749999999999998</v>
          </cell>
          <cell r="EY13">
            <v>0.16972343522561872</v>
          </cell>
          <cell r="FJ13" t="str">
            <v xml:space="preserve">  % Change</v>
          </cell>
          <cell r="FK13">
            <v>0.2716647520103892</v>
          </cell>
          <cell r="FL13">
            <v>0.25407322215832839</v>
          </cell>
          <cell r="FM13">
            <v>0.26268678617721153</v>
          </cell>
          <cell r="FN13">
            <v>0.12957110609480815</v>
          </cell>
          <cell r="FO13">
            <v>0.2159139580259839</v>
          </cell>
          <cell r="FP13">
            <v>-5.6871680915974165E-3</v>
          </cell>
          <cell r="FQ13">
            <v>0.15023998214086398</v>
          </cell>
          <cell r="GB13" t="str">
            <v xml:space="preserve">  % Change</v>
          </cell>
          <cell r="GC13">
            <v>0.2079763484976469</v>
          </cell>
          <cell r="GD13">
            <v>0.20276657060518732</v>
          </cell>
          <cell r="GE13">
            <v>0.2053118735998114</v>
          </cell>
          <cell r="GF13">
            <v>0.23178734289845404</v>
          </cell>
          <cell r="GG13">
            <v>0.21448387469656671</v>
          </cell>
          <cell r="GH13">
            <v>0.13252857874082946</v>
          </cell>
          <cell r="GI13">
            <v>0.18898473788984749</v>
          </cell>
        </row>
        <row r="14">
          <cell r="B14" t="str">
            <v>Operating Profit</v>
          </cell>
          <cell r="U14" t="str">
            <v>Operating Profit</v>
          </cell>
          <cell r="AN14" t="str">
            <v>Operating Profit</v>
          </cell>
          <cell r="BF14" t="str">
            <v>Operating Profit</v>
          </cell>
          <cell r="BX14" t="str">
            <v>Operating Profit</v>
          </cell>
          <cell r="CP14" t="str">
            <v>Operating Profit</v>
          </cell>
          <cell r="DH14" t="str">
            <v>Operating Profit</v>
          </cell>
          <cell r="DZ14" t="str">
            <v>Operating Profit</v>
          </cell>
          <cell r="ER14" t="str">
            <v>Operating Profit</v>
          </cell>
          <cell r="FJ14" t="str">
            <v>Operating Profit</v>
          </cell>
          <cell r="GB14" t="str">
            <v>Operating Profit</v>
          </cell>
        </row>
        <row r="15">
          <cell r="B15" t="str">
            <v>Marine Systems</v>
          </cell>
          <cell r="C15">
            <v>163</v>
          </cell>
          <cell r="D15">
            <v>168</v>
          </cell>
          <cell r="E15">
            <v>331</v>
          </cell>
          <cell r="F15">
            <v>144.15</v>
          </cell>
          <cell r="G15">
            <v>475.15</v>
          </cell>
          <cell r="H15">
            <v>153.72500000000002</v>
          </cell>
          <cell r="I15">
            <v>628.875</v>
          </cell>
          <cell r="J15">
            <v>0.33606557377049184</v>
          </cell>
          <cell r="K15">
            <v>0.32283464566929143</v>
          </cell>
          <cell r="L15">
            <v>2.9642857142857082E-2</v>
          </cell>
          <cell r="M15">
            <v>0.16458333333333353</v>
          </cell>
          <cell r="N15">
            <v>0.20705374280230315</v>
          </cell>
          <cell r="O15">
            <v>0.23484848484848486</v>
          </cell>
          <cell r="P15">
            <v>3.0674846625766916E-2</v>
          </cell>
          <cell r="Q15">
            <v>-0.14196428571428565</v>
          </cell>
          <cell r="R15">
            <v>6.6423864030523916E-2</v>
          </cell>
          <cell r="U15" t="str">
            <v>Marine Systems</v>
          </cell>
          <cell r="V15">
            <v>122</v>
          </cell>
          <cell r="W15">
            <v>127</v>
          </cell>
          <cell r="X15">
            <v>249</v>
          </cell>
          <cell r="Y15">
            <v>140</v>
          </cell>
          <cell r="Z15">
            <v>389</v>
          </cell>
          <cell r="AA15">
            <v>132</v>
          </cell>
          <cell r="AB15">
            <v>521</v>
          </cell>
          <cell r="AC15">
            <v>0.24489795918367352</v>
          </cell>
          <cell r="AD15">
            <v>0.1339285714285714</v>
          </cell>
          <cell r="AE15">
            <v>0.27272727272727271</v>
          </cell>
          <cell r="AF15">
            <v>0.30693069306930698</v>
          </cell>
          <cell r="AG15">
            <v>0.23752969121140133</v>
          </cell>
          <cell r="AH15">
            <v>0.20792079207920788</v>
          </cell>
          <cell r="AI15">
            <v>4.0983606557376984E-2</v>
          </cell>
          <cell r="AJ15">
            <v>0.10236220472440949</v>
          </cell>
          <cell r="AK15">
            <v>-5.7142857142857162E-2</v>
          </cell>
          <cell r="AN15" t="str">
            <v>Marine Systems</v>
          </cell>
          <cell r="AO15">
            <v>98</v>
          </cell>
          <cell r="AP15">
            <v>112</v>
          </cell>
          <cell r="AQ15">
            <v>210</v>
          </cell>
          <cell r="AR15">
            <v>110</v>
          </cell>
          <cell r="AS15">
            <v>320</v>
          </cell>
          <cell r="AT15">
            <v>101</v>
          </cell>
          <cell r="AU15">
            <v>421</v>
          </cell>
          <cell r="AV15">
            <v>1.0309278350515427E-2</v>
          </cell>
          <cell r="AW15">
            <v>0.21739130434782616</v>
          </cell>
          <cell r="AX15">
            <v>7.8431372549019551E-2</v>
          </cell>
          <cell r="AY15">
            <v>0.20238095238095233</v>
          </cell>
          <cell r="AZ15">
            <v>0.1226666666666667</v>
          </cell>
          <cell r="BA15">
            <v>0.16666666666666674</v>
          </cell>
          <cell r="BB15">
            <v>0.14285714285714279</v>
          </cell>
          <cell r="BC15">
            <v>-1.7857142857142905E-2</v>
          </cell>
          <cell r="BD15">
            <v>-8.181818181818179E-2</v>
          </cell>
          <cell r="BF15" t="str">
            <v>Marine Systems</v>
          </cell>
          <cell r="BG15">
            <v>97</v>
          </cell>
          <cell r="BH15">
            <v>92</v>
          </cell>
          <cell r="BI15">
            <v>189</v>
          </cell>
          <cell r="BJ15">
            <v>102</v>
          </cell>
          <cell r="BK15">
            <v>291</v>
          </cell>
          <cell r="BL15">
            <v>84</v>
          </cell>
          <cell r="BM15">
            <v>375</v>
          </cell>
          <cell r="BN15">
            <v>0.97959183673469385</v>
          </cell>
          <cell r="BO15">
            <v>0.41538461538461546</v>
          </cell>
          <cell r="BP15">
            <v>0.96153846153846145</v>
          </cell>
          <cell r="BQ15">
            <v>1.2048192771084265E-2</v>
          </cell>
          <cell r="BR15">
            <v>0.50602409638554224</v>
          </cell>
          <cell r="BS15">
            <v>0.16867469879518082</v>
          </cell>
          <cell r="BT15">
            <v>-5.1546391752577359E-2</v>
          </cell>
          <cell r="BU15">
            <v>0.10869565217391308</v>
          </cell>
          <cell r="BV15">
            <v>-0.17647058823529416</v>
          </cell>
          <cell r="BX15" t="str">
            <v>Marine Systems</v>
          </cell>
          <cell r="BY15">
            <v>49</v>
          </cell>
          <cell r="BZ15">
            <v>65</v>
          </cell>
          <cell r="CA15">
            <v>114</v>
          </cell>
          <cell r="CB15">
            <v>52</v>
          </cell>
          <cell r="CC15">
            <v>166</v>
          </cell>
          <cell r="CD15">
            <v>83</v>
          </cell>
          <cell r="CE15">
            <v>249</v>
          </cell>
          <cell r="CF15">
            <v>-0.5</v>
          </cell>
          <cell r="CG15">
            <v>-0.19753086419753085</v>
          </cell>
          <cell r="CH15">
            <v>-0.16129032258064513</v>
          </cell>
          <cell r="CI15">
            <v>0.62745098039215685</v>
          </cell>
          <cell r="CJ15">
            <v>-0.14726027397260277</v>
          </cell>
          <cell r="CK15">
            <v>-3.9215686274509776E-2</v>
          </cell>
          <cell r="CL15">
            <v>0.32653061224489788</v>
          </cell>
          <cell r="CM15">
            <v>-0.19999999999999996</v>
          </cell>
          <cell r="CN15">
            <v>0.59615384615384626</v>
          </cell>
          <cell r="CP15" t="str">
            <v>Marine Systems</v>
          </cell>
          <cell r="CQ15">
            <v>98</v>
          </cell>
          <cell r="CR15">
            <v>81</v>
          </cell>
          <cell r="CS15">
            <v>179</v>
          </cell>
          <cell r="CT15">
            <v>62</v>
          </cell>
          <cell r="CU15">
            <v>241</v>
          </cell>
          <cell r="CV15">
            <v>51</v>
          </cell>
          <cell r="CW15">
            <v>292</v>
          </cell>
          <cell r="CX15">
            <v>0.50769230769230766</v>
          </cell>
          <cell r="CY15">
            <v>0.265625</v>
          </cell>
          <cell r="CZ15">
            <v>0.72222222222222232</v>
          </cell>
          <cell r="DA15">
            <v>0</v>
          </cell>
          <cell r="DB15">
            <v>0.35185185185185186</v>
          </cell>
          <cell r="DC15">
            <v>0.92156862745098045</v>
          </cell>
          <cell r="DD15">
            <v>-0.17346938775510201</v>
          </cell>
          <cell r="DE15">
            <v>-0.23456790123456794</v>
          </cell>
          <cell r="DF15">
            <v>-0.17741935483870963</v>
          </cell>
          <cell r="DH15" t="str">
            <v>Marine Systems</v>
          </cell>
          <cell r="DI15">
            <v>65</v>
          </cell>
          <cell r="DJ15">
            <v>64</v>
          </cell>
          <cell r="DK15">
            <v>129</v>
          </cell>
          <cell r="DL15">
            <v>36</v>
          </cell>
          <cell r="DM15">
            <v>165</v>
          </cell>
          <cell r="DN15">
            <v>51</v>
          </cell>
          <cell r="DO15">
            <v>216</v>
          </cell>
          <cell r="DP15">
            <v>-0.1095890410958904</v>
          </cell>
          <cell r="DQ15">
            <v>0</v>
          </cell>
          <cell r="DR15">
            <v>-0.53846153846153844</v>
          </cell>
          <cell r="DS15">
            <v>-0.29166666666666669</v>
          </cell>
          <cell r="DT15">
            <v>-0.24738675958188153</v>
          </cell>
          <cell r="DU15">
            <v>-9.722222222222221E-2</v>
          </cell>
          <cell r="DV15">
            <v>-1.538461538461533E-2</v>
          </cell>
          <cell r="DW15">
            <v>-0.4375</v>
          </cell>
          <cell r="DX15">
            <v>0.41666666666666674</v>
          </cell>
          <cell r="DZ15" t="str">
            <v>Marine Group</v>
          </cell>
          <cell r="EA15">
            <v>73</v>
          </cell>
          <cell r="EB15">
            <v>64</v>
          </cell>
          <cell r="EC15">
            <v>137</v>
          </cell>
          <cell r="ED15">
            <v>78</v>
          </cell>
          <cell r="EE15">
            <v>215</v>
          </cell>
          <cell r="EF15">
            <v>72</v>
          </cell>
          <cell r="EG15">
            <v>287</v>
          </cell>
          <cell r="EH15">
            <v>-8.7499999999999994E-2</v>
          </cell>
          <cell r="EI15">
            <v>-0.2289156626506024</v>
          </cell>
          <cell r="EJ15">
            <v>-4.878048780487805E-2</v>
          </cell>
          <cell r="EK15">
            <v>0.1076923076923077</v>
          </cell>
          <cell r="EL15">
            <v>-7.4193548387096769E-2</v>
          </cell>
          <cell r="EM15">
            <v>0.12307692307692308</v>
          </cell>
          <cell r="EN15">
            <v>-0.12328767123287676</v>
          </cell>
          <cell r="EO15">
            <v>0.21875</v>
          </cell>
          <cell r="EP15">
            <v>-7.6923076923076872E-2</v>
          </cell>
          <cell r="ER15" t="str">
            <v>Marine Group</v>
          </cell>
          <cell r="ES15">
            <v>80</v>
          </cell>
          <cell r="ET15">
            <v>83</v>
          </cell>
          <cell r="EU15">
            <v>163</v>
          </cell>
          <cell r="EV15">
            <v>82</v>
          </cell>
          <cell r="EW15">
            <v>245</v>
          </cell>
          <cell r="EX15">
            <v>65</v>
          </cell>
          <cell r="EY15">
            <v>310</v>
          </cell>
          <cell r="EZ15">
            <v>-9.0909090909090912E-2</v>
          </cell>
          <cell r="FA15">
            <v>1.2195121951219513E-2</v>
          </cell>
          <cell r="FB15">
            <v>6.4935064935064929E-2</v>
          </cell>
          <cell r="FC15">
            <v>-0.15584415584415584</v>
          </cell>
          <cell r="FD15">
            <v>-4.3209876543209874E-2</v>
          </cell>
          <cell r="FE15">
            <v>3.8961038961038863E-2</v>
          </cell>
          <cell r="FF15">
            <v>3.7500000000000089E-2</v>
          </cell>
          <cell r="FG15">
            <v>-1.2048192771084376E-2</v>
          </cell>
          <cell r="FH15">
            <v>-0.20731707317073167</v>
          </cell>
          <cell r="FJ15" t="str">
            <v>Marine Group</v>
          </cell>
          <cell r="FK15">
            <v>88</v>
          </cell>
          <cell r="FL15">
            <v>82</v>
          </cell>
          <cell r="FM15">
            <v>170</v>
          </cell>
          <cell r="FN15">
            <v>77</v>
          </cell>
          <cell r="FO15">
            <v>247</v>
          </cell>
          <cell r="FP15">
            <v>77</v>
          </cell>
          <cell r="FQ15">
            <v>324</v>
          </cell>
          <cell r="FR15">
            <v>0</v>
          </cell>
          <cell r="FS15">
            <v>-6.8181818181818177E-2</v>
          </cell>
          <cell r="FT15">
            <v>-3.7499999999999999E-2</v>
          </cell>
          <cell r="FU15">
            <v>6.9444444444444448E-2</v>
          </cell>
          <cell r="FV15">
            <v>-1.2195121951219513E-2</v>
          </cell>
          <cell r="FW15">
            <v>0.22222222222222232</v>
          </cell>
          <cell r="FX15">
            <v>-6.8181818181818232E-2</v>
          </cell>
          <cell r="FY15">
            <v>-6.0975609756097615E-2</v>
          </cell>
          <cell r="FZ15">
            <v>0</v>
          </cell>
          <cell r="GB15" t="str">
            <v>Marine Group</v>
          </cell>
          <cell r="GC15">
            <v>88</v>
          </cell>
          <cell r="GD15">
            <v>88</v>
          </cell>
          <cell r="GE15">
            <v>176</v>
          </cell>
          <cell r="GF15">
            <v>80</v>
          </cell>
          <cell r="GG15">
            <v>256</v>
          </cell>
          <cell r="GH15">
            <v>72</v>
          </cell>
          <cell r="GI15">
            <v>328</v>
          </cell>
          <cell r="GJ15">
            <v>0.375</v>
          </cell>
          <cell r="GK15">
            <v>0.23943661971830985</v>
          </cell>
          <cell r="GL15">
            <v>0.21212121212121213</v>
          </cell>
          <cell r="GM15">
            <v>-0.14285714285714285</v>
          </cell>
          <cell r="GN15">
            <v>0.15087719298245614</v>
          </cell>
          <cell r="GP15">
            <v>0</v>
          </cell>
          <cell r="GQ15">
            <v>-9.0909090909090939E-2</v>
          </cell>
          <cell r="GR15">
            <v>-9.9999999999999978E-2</v>
          </cell>
        </row>
        <row r="16">
          <cell r="B16" t="str">
            <v>Combat Systems</v>
          </cell>
          <cell r="C16">
            <v>279</v>
          </cell>
          <cell r="D16">
            <v>300</v>
          </cell>
          <cell r="E16">
            <v>579</v>
          </cell>
          <cell r="F16">
            <v>310</v>
          </cell>
          <cell r="G16">
            <v>889</v>
          </cell>
          <cell r="H16">
            <v>336</v>
          </cell>
          <cell r="I16">
            <v>1225</v>
          </cell>
          <cell r="J16">
            <v>7.7220077220077288E-2</v>
          </cell>
          <cell r="K16">
            <v>6.3829787234042534E-2</v>
          </cell>
          <cell r="L16">
            <v>0.18320610687022909</v>
          </cell>
          <cell r="M16">
            <v>9.0909090909090828E-2</v>
          </cell>
          <cell r="N16">
            <v>0.1026102610261026</v>
          </cell>
          <cell r="O16">
            <v>-9.4155844155844104E-2</v>
          </cell>
          <cell r="P16">
            <v>7.5268817204301008E-2</v>
          </cell>
          <cell r="Q16">
            <v>3.3333333333333437E-2</v>
          </cell>
          <cell r="R16">
            <v>8.3870967741935587E-2</v>
          </cell>
          <cell r="U16" t="str">
            <v>Combat Systems</v>
          </cell>
          <cell r="V16">
            <v>259</v>
          </cell>
          <cell r="W16">
            <v>282</v>
          </cell>
          <cell r="X16">
            <v>541</v>
          </cell>
          <cell r="Y16">
            <v>262</v>
          </cell>
          <cell r="Z16">
            <v>803</v>
          </cell>
          <cell r="AA16">
            <v>308</v>
          </cell>
          <cell r="AB16">
            <v>1111</v>
          </cell>
          <cell r="AC16">
            <v>0.48850574712643668</v>
          </cell>
          <cell r="AD16">
            <v>0.47643979057591612</v>
          </cell>
          <cell r="AE16">
            <v>0.14912280701754388</v>
          </cell>
          <cell r="AF16">
            <v>-4.6439628482972117E-2</v>
          </cell>
          <cell r="AG16">
            <v>0.21288209606986896</v>
          </cell>
          <cell r="AH16">
            <v>-0.19814241486068107</v>
          </cell>
          <cell r="AI16">
            <v>8.8803088803088848E-2</v>
          </cell>
          <cell r="AJ16">
            <v>-7.0921985815602828E-2</v>
          </cell>
          <cell r="AK16">
            <v>0.17557251908396942</v>
          </cell>
          <cell r="AN16" t="str">
            <v>Combat Systems</v>
          </cell>
          <cell r="AO16">
            <v>174</v>
          </cell>
          <cell r="AP16">
            <v>191</v>
          </cell>
          <cell r="AQ16">
            <v>365</v>
          </cell>
          <cell r="AR16">
            <v>228</v>
          </cell>
          <cell r="AS16">
            <v>593</v>
          </cell>
          <cell r="AT16">
            <v>323</v>
          </cell>
          <cell r="AU16">
            <v>916</v>
          </cell>
          <cell r="AV16">
            <v>0.18367346938775508</v>
          </cell>
          <cell r="AW16">
            <v>0.11046511627906974</v>
          </cell>
          <cell r="AX16">
            <v>0.39024390243902429</v>
          </cell>
          <cell r="AY16">
            <v>0.6649484536082475</v>
          </cell>
          <cell r="AZ16">
            <v>0.35302806499261452</v>
          </cell>
          <cell r="BA16">
            <v>-0.10309278350515461</v>
          </cell>
          <cell r="BB16">
            <v>9.7701149425287293E-2</v>
          </cell>
          <cell r="BC16">
            <v>0.19371727748691092</v>
          </cell>
          <cell r="BD16">
            <v>0.41666666666666674</v>
          </cell>
          <cell r="BF16" t="str">
            <v>Combat Systems</v>
          </cell>
          <cell r="BG16">
            <v>147</v>
          </cell>
          <cell r="BH16">
            <v>172</v>
          </cell>
          <cell r="BI16">
            <v>319</v>
          </cell>
          <cell r="BJ16">
            <v>164</v>
          </cell>
          <cell r="BK16">
            <v>483</v>
          </cell>
          <cell r="BL16">
            <v>194</v>
          </cell>
          <cell r="BM16">
            <v>677</v>
          </cell>
          <cell r="BN16">
            <v>0.41346153846153855</v>
          </cell>
          <cell r="BO16">
            <v>0.39837398373983746</v>
          </cell>
          <cell r="BP16">
            <v>3.1446540880503138E-2</v>
          </cell>
          <cell r="BQ16">
            <v>2.1052631578947434E-2</v>
          </cell>
          <cell r="BR16">
            <v>0.17534722222222232</v>
          </cell>
          <cell r="BS16">
            <v>-0.22631578947368425</v>
          </cell>
          <cell r="BT16">
            <v>0.17006802721088432</v>
          </cell>
          <cell r="BU16">
            <v>-4.6511627906976716E-2</v>
          </cell>
          <cell r="BV16">
            <v>0.18292682926829262</v>
          </cell>
          <cell r="BX16" t="str">
            <v>Combat Systems</v>
          </cell>
          <cell r="BY16">
            <v>104</v>
          </cell>
          <cell r="BZ16">
            <v>123</v>
          </cell>
          <cell r="CA16">
            <v>227</v>
          </cell>
          <cell r="CB16">
            <v>159</v>
          </cell>
          <cell r="CC16">
            <v>386</v>
          </cell>
          <cell r="CD16">
            <v>190</v>
          </cell>
          <cell r="CE16">
            <v>576</v>
          </cell>
          <cell r="CF16">
            <v>-7.1428571428571397E-2</v>
          </cell>
          <cell r="CG16">
            <v>0.10810810810810811</v>
          </cell>
          <cell r="CH16">
            <v>0.2421875</v>
          </cell>
          <cell r="CI16">
            <v>0.11111111111111116</v>
          </cell>
          <cell r="CJ16">
            <v>0.10344827586206895</v>
          </cell>
          <cell r="CK16">
            <v>-0.39181286549707606</v>
          </cell>
          <cell r="CL16">
            <v>0.18269230769230771</v>
          </cell>
          <cell r="CM16">
            <v>0.29268292682926833</v>
          </cell>
          <cell r="CN16">
            <v>0.19496855345911945</v>
          </cell>
          <cell r="CP16" t="str">
            <v>Combat Systems</v>
          </cell>
          <cell r="CQ16">
            <v>112</v>
          </cell>
          <cell r="CR16">
            <v>111</v>
          </cell>
          <cell r="CS16">
            <v>223</v>
          </cell>
          <cell r="CT16">
            <v>128</v>
          </cell>
          <cell r="CU16">
            <v>351</v>
          </cell>
          <cell r="CV16">
            <v>171</v>
          </cell>
          <cell r="CW16">
            <v>522</v>
          </cell>
          <cell r="CX16">
            <v>0.27272727272727271</v>
          </cell>
          <cell r="CY16">
            <v>-3.4782608695652195E-2</v>
          </cell>
          <cell r="CZ16">
            <v>0.17431192660550465</v>
          </cell>
          <cell r="DA16">
            <v>0.30534351145038174</v>
          </cell>
          <cell r="DB16">
            <v>0.17832957110609482</v>
          </cell>
          <cell r="DC16">
            <v>-0.14503816793893132</v>
          </cell>
          <cell r="DD16">
            <v>-8.9285714285713969E-3</v>
          </cell>
          <cell r="DE16">
            <v>0.15315315315315314</v>
          </cell>
          <cell r="DF16">
            <v>0.3359375</v>
          </cell>
          <cell r="DH16" t="str">
            <v>Combat Systems</v>
          </cell>
          <cell r="DI16">
            <v>88</v>
          </cell>
          <cell r="DJ16">
            <v>115</v>
          </cell>
          <cell r="DK16">
            <v>203</v>
          </cell>
          <cell r="DL16">
            <v>109</v>
          </cell>
          <cell r="DM16">
            <v>312</v>
          </cell>
          <cell r="DN16">
            <v>131</v>
          </cell>
          <cell r="DO16">
            <v>443</v>
          </cell>
          <cell r="DP16">
            <v>0.6</v>
          </cell>
          <cell r="DQ16">
            <v>0.41975308641975306</v>
          </cell>
          <cell r="DR16">
            <v>0.36249999999999999</v>
          </cell>
          <cell r="DS16">
            <v>0.40860215053763443</v>
          </cell>
          <cell r="DT16">
            <v>0.4336569579288026</v>
          </cell>
          <cell r="DU16">
            <v>-5.3763440860215006E-2</v>
          </cell>
          <cell r="DV16">
            <v>0.30681818181818188</v>
          </cell>
          <cell r="DW16">
            <v>-5.2173913043478293E-2</v>
          </cell>
          <cell r="DX16">
            <v>0.201834862385321</v>
          </cell>
          <cell r="DZ16" t="str">
            <v>Combat Sys</v>
          </cell>
          <cell r="EA16">
            <v>55</v>
          </cell>
          <cell r="EB16">
            <v>81</v>
          </cell>
          <cell r="EC16">
            <v>136</v>
          </cell>
          <cell r="ED16">
            <v>80</v>
          </cell>
          <cell r="EE16">
            <v>216</v>
          </cell>
          <cell r="EF16">
            <v>93</v>
          </cell>
          <cell r="EG16">
            <v>309</v>
          </cell>
          <cell r="EH16">
            <v>0.14583333333333334</v>
          </cell>
          <cell r="EI16">
            <v>0.44642857142857145</v>
          </cell>
          <cell r="EJ16">
            <v>0.37931034482758619</v>
          </cell>
          <cell r="EK16">
            <v>0.22368421052631579</v>
          </cell>
          <cell r="EL16">
            <v>0.29831932773109243</v>
          </cell>
          <cell r="EM16">
            <v>-0.27631578947368418</v>
          </cell>
          <cell r="EN16">
            <v>0.47272727272727266</v>
          </cell>
          <cell r="EO16">
            <v>-1.2345679012345734E-2</v>
          </cell>
          <cell r="EP16">
            <v>0.16250000000000009</v>
          </cell>
          <cell r="ER16" t="str">
            <v>Combat Sys</v>
          </cell>
          <cell r="ES16">
            <v>48</v>
          </cell>
          <cell r="ET16">
            <v>56</v>
          </cell>
          <cell r="EU16">
            <v>104</v>
          </cell>
          <cell r="EV16">
            <v>58</v>
          </cell>
          <cell r="EW16">
            <v>162</v>
          </cell>
          <cell r="EX16">
            <v>76</v>
          </cell>
          <cell r="EY16">
            <v>238</v>
          </cell>
          <cell r="EZ16">
            <v>0.29729729729729731</v>
          </cell>
          <cell r="FA16">
            <v>0.55555555555555558</v>
          </cell>
          <cell r="FB16">
            <v>0.56756756756756754</v>
          </cell>
          <cell r="FC16">
            <v>0.65217391304347827</v>
          </cell>
          <cell r="FD16">
            <v>0.52564102564102566</v>
          </cell>
          <cell r="FE16">
            <v>4.3478260869565188E-2</v>
          </cell>
          <cell r="FF16">
            <v>0.16666666666666674</v>
          </cell>
          <cell r="FG16">
            <v>3.5714285714285809E-2</v>
          </cell>
          <cell r="FH16">
            <v>0.31034482758620685</v>
          </cell>
          <cell r="FJ16" t="str">
            <v>Combat Sys</v>
          </cell>
          <cell r="FK16">
            <v>37</v>
          </cell>
          <cell r="FL16">
            <v>36</v>
          </cell>
          <cell r="FM16">
            <v>73</v>
          </cell>
          <cell r="FN16">
            <v>37</v>
          </cell>
          <cell r="FO16">
            <v>110</v>
          </cell>
          <cell r="FP16">
            <v>46</v>
          </cell>
          <cell r="FQ16">
            <v>156</v>
          </cell>
          <cell r="FR16">
            <v>5.7142857142857141E-2</v>
          </cell>
          <cell r="FS16">
            <v>5.8823529411764705E-2</v>
          </cell>
          <cell r="FT16">
            <v>0</v>
          </cell>
          <cell r="FU16">
            <v>-6.1224489795918366E-2</v>
          </cell>
          <cell r="FV16">
            <v>6.4516129032258064E-3</v>
          </cell>
          <cell r="FW16">
            <v>-0.24489795918367352</v>
          </cell>
          <cell r="FX16">
            <v>-2.7027027027026973E-2</v>
          </cell>
          <cell r="FY16">
            <v>2.7777777777777679E-2</v>
          </cell>
          <cell r="FZ16">
            <v>0.2432432432432432</v>
          </cell>
          <cell r="GB16" t="str">
            <v>Combat Sys</v>
          </cell>
          <cell r="GC16">
            <v>35</v>
          </cell>
          <cell r="GD16">
            <v>34</v>
          </cell>
          <cell r="GE16">
            <v>69</v>
          </cell>
          <cell r="GF16">
            <v>37</v>
          </cell>
          <cell r="GG16">
            <v>106</v>
          </cell>
          <cell r="GH16">
            <v>49</v>
          </cell>
          <cell r="GI16">
            <v>155</v>
          </cell>
          <cell r="GJ16">
            <v>-0.18604651162790697</v>
          </cell>
          <cell r="GK16">
            <v>-0.10526315789473684</v>
          </cell>
          <cell r="GL16">
            <v>-5.128205128205128E-2</v>
          </cell>
          <cell r="GM16">
            <v>6.5217391304347824E-2</v>
          </cell>
          <cell r="GN16">
            <v>-6.6265060240963861E-2</v>
          </cell>
          <cell r="GP16">
            <v>-2.8571428571428581E-2</v>
          </cell>
          <cell r="GQ16">
            <v>8.8235294117646967E-2</v>
          </cell>
          <cell r="GR16">
            <v>0.32432432432432434</v>
          </cell>
        </row>
        <row r="17">
          <cell r="B17" t="str">
            <v>Info. Systems &amp; Tech.</v>
          </cell>
          <cell r="C17">
            <v>289</v>
          </cell>
          <cell r="D17">
            <v>284</v>
          </cell>
          <cell r="E17">
            <v>573</v>
          </cell>
          <cell r="F17">
            <v>265</v>
          </cell>
          <cell r="G17">
            <v>838</v>
          </cell>
          <cell r="H17">
            <v>274.39999999999986</v>
          </cell>
          <cell r="I17">
            <v>1112.3999999999999</v>
          </cell>
          <cell r="J17">
            <v>0.11153846153846159</v>
          </cell>
          <cell r="K17">
            <v>-2.7397260273972601E-2</v>
          </cell>
          <cell r="L17">
            <v>-1.851851851851849E-2</v>
          </cell>
          <cell r="M17">
            <v>8.4584980237153662E-2</v>
          </cell>
          <cell r="N17">
            <v>3.4790697674418558E-2</v>
          </cell>
          <cell r="O17">
            <v>0.14229249011857714</v>
          </cell>
          <cell r="P17">
            <v>-1.730103806228378E-2</v>
          </cell>
          <cell r="Q17">
            <v>-6.6901408450704247E-2</v>
          </cell>
          <cell r="R17">
            <v>3.5471698113207051E-2</v>
          </cell>
          <cell r="U17" t="str">
            <v>Info. Systems &amp; Tech.</v>
          </cell>
          <cell r="V17">
            <v>260</v>
          </cell>
          <cell r="W17">
            <v>292</v>
          </cell>
          <cell r="X17">
            <v>552</v>
          </cell>
          <cell r="Y17">
            <v>270</v>
          </cell>
          <cell r="Z17">
            <v>822</v>
          </cell>
          <cell r="AA17">
            <v>253</v>
          </cell>
          <cell r="AB17">
            <v>1075</v>
          </cell>
          <cell r="AC17">
            <v>4.0000000000000036E-2</v>
          </cell>
          <cell r="AD17">
            <v>8.5501858736059422E-2</v>
          </cell>
          <cell r="AE17">
            <v>6.2992125984252079E-2</v>
          </cell>
          <cell r="AF17">
            <v>-3.937007874015741E-3</v>
          </cell>
          <cell r="AG17">
            <v>4.6738072054527846E-2</v>
          </cell>
          <cell r="AH17">
            <v>2.3622047244094446E-2</v>
          </cell>
          <cell r="AI17">
            <v>0.12307692307692308</v>
          </cell>
          <cell r="AJ17">
            <v>-7.5342465753424626E-2</v>
          </cell>
          <cell r="AK17">
            <v>-6.2962962962962998E-2</v>
          </cell>
          <cell r="AN17" t="str">
            <v>Info. Systems &amp; Tech.</v>
          </cell>
          <cell r="AO17">
            <v>250</v>
          </cell>
          <cell r="AP17">
            <v>269</v>
          </cell>
          <cell r="AQ17">
            <v>519</v>
          </cell>
          <cell r="AR17">
            <v>254</v>
          </cell>
          <cell r="AS17">
            <v>773</v>
          </cell>
          <cell r="AT17">
            <v>254</v>
          </cell>
          <cell r="AU17">
            <v>1027</v>
          </cell>
          <cell r="AV17">
            <v>0.13636363636363646</v>
          </cell>
          <cell r="AW17">
            <v>0.15948275862068972</v>
          </cell>
          <cell r="AX17">
            <v>-1.5503875968992276E-2</v>
          </cell>
          <cell r="AY17">
            <v>-4.5112781954887216E-2</v>
          </cell>
          <cell r="AZ17">
            <v>5.2254098360655643E-2</v>
          </cell>
          <cell r="BA17">
            <v>-6.0150375939849621E-2</v>
          </cell>
          <cell r="BB17">
            <v>7.6000000000000068E-2</v>
          </cell>
          <cell r="BC17">
            <v>-5.5762081784386575E-2</v>
          </cell>
          <cell r="BD17">
            <v>0</v>
          </cell>
          <cell r="BF17" t="str">
            <v>Info. Systems &amp; Tech.</v>
          </cell>
          <cell r="BG17">
            <v>220</v>
          </cell>
          <cell r="BH17">
            <v>232</v>
          </cell>
          <cell r="BI17">
            <v>452</v>
          </cell>
          <cell r="BJ17">
            <v>258</v>
          </cell>
          <cell r="BK17">
            <v>710</v>
          </cell>
          <cell r="BL17">
            <v>266</v>
          </cell>
          <cell r="BM17">
            <v>976</v>
          </cell>
          <cell r="BN17">
            <v>0.11675126903553301</v>
          </cell>
          <cell r="BO17">
            <v>3.1111111111111089E-2</v>
          </cell>
          <cell r="BP17">
            <v>0.13157894736842102</v>
          </cell>
          <cell r="BQ17">
            <v>0.23720930232558146</v>
          </cell>
          <cell r="BR17">
            <v>0.12832369942196542</v>
          </cell>
          <cell r="BS17">
            <v>2.3255813953488413E-2</v>
          </cell>
          <cell r="BT17">
            <v>5.4545454545454453E-2</v>
          </cell>
          <cell r="BU17">
            <v>0.11206896551724133</v>
          </cell>
          <cell r="BV17">
            <v>3.1007751937984551E-2</v>
          </cell>
          <cell r="BX17" t="str">
            <v>Info. Systems &amp; Tech.</v>
          </cell>
          <cell r="BY17">
            <v>197</v>
          </cell>
          <cell r="BZ17">
            <v>225</v>
          </cell>
          <cell r="CA17">
            <v>422</v>
          </cell>
          <cell r="CB17">
            <v>228</v>
          </cell>
          <cell r="CC17">
            <v>650</v>
          </cell>
          <cell r="CD17">
            <v>215</v>
          </cell>
          <cell r="CE17">
            <v>865</v>
          </cell>
          <cell r="CF17">
            <v>0.16568047337278102</v>
          </cell>
          <cell r="CG17">
            <v>0.171875</v>
          </cell>
          <cell r="CH17">
            <v>0.29545454545454541</v>
          </cell>
          <cell r="CI17">
            <v>0.18784530386740328</v>
          </cell>
          <cell r="CJ17">
            <v>0.20473537604456826</v>
          </cell>
          <cell r="CK17">
            <v>8.8397790055248615E-2</v>
          </cell>
          <cell r="CL17">
            <v>0.14213197969543145</v>
          </cell>
          <cell r="CM17">
            <v>1.3333333333333419E-2</v>
          </cell>
          <cell r="CN17">
            <v>-5.7017543859649078E-2</v>
          </cell>
          <cell r="CP17" t="str">
            <v>Info. Systems &amp; Tech.</v>
          </cell>
          <cell r="CQ17">
            <v>169</v>
          </cell>
          <cell r="CR17">
            <v>192</v>
          </cell>
          <cell r="CS17">
            <v>361</v>
          </cell>
          <cell r="CT17">
            <v>176</v>
          </cell>
          <cell r="CU17">
            <v>537</v>
          </cell>
          <cell r="CV17">
            <v>181</v>
          </cell>
          <cell r="CW17">
            <v>718</v>
          </cell>
          <cell r="CX17">
            <v>0.52252252252252251</v>
          </cell>
          <cell r="CY17">
            <v>0.352112676056338</v>
          </cell>
          <cell r="CZ17">
            <v>0.20547945205479445</v>
          </cell>
          <cell r="DA17">
            <v>0.32116788321167888</v>
          </cell>
          <cell r="DB17">
            <v>0.34709193245778613</v>
          </cell>
          <cell r="DC17">
            <v>0.23357664233576636</v>
          </cell>
          <cell r="DD17">
            <v>0.13609467455621305</v>
          </cell>
          <cell r="DE17">
            <v>-8.333333333333337E-2</v>
          </cell>
          <cell r="DF17">
            <v>2.8409090909090828E-2</v>
          </cell>
          <cell r="DH17" t="str">
            <v>Info. Systems &amp; Tech.</v>
          </cell>
          <cell r="DI17">
            <v>111</v>
          </cell>
          <cell r="DJ17">
            <v>142</v>
          </cell>
          <cell r="DK17">
            <v>253</v>
          </cell>
          <cell r="DL17">
            <v>146</v>
          </cell>
          <cell r="DM17">
            <v>399</v>
          </cell>
          <cell r="DN17">
            <v>137</v>
          </cell>
          <cell r="DO17">
            <v>533</v>
          </cell>
          <cell r="DP17">
            <v>0.21978021978021978</v>
          </cell>
          <cell r="DQ17">
            <v>0.37864077669902912</v>
          </cell>
          <cell r="DR17">
            <v>8.1481481481481488E-2</v>
          </cell>
          <cell r="DS17">
            <v>0.29245283018867924</v>
          </cell>
          <cell r="DT17">
            <v>0.22528735632183908</v>
          </cell>
          <cell r="DU17">
            <v>4.7169811320754818E-2</v>
          </cell>
          <cell r="DV17">
            <v>0.27927927927927931</v>
          </cell>
          <cell r="DW17">
            <v>2.8169014084507005E-2</v>
          </cell>
          <cell r="DX17">
            <v>-6.164383561643838E-2</v>
          </cell>
          <cell r="DZ17" t="str">
            <v>Info Sys &amp; Tech</v>
          </cell>
          <cell r="EA17">
            <v>91</v>
          </cell>
          <cell r="EB17">
            <v>103</v>
          </cell>
          <cell r="EC17">
            <v>194</v>
          </cell>
          <cell r="ED17">
            <v>135</v>
          </cell>
          <cell r="EE17">
            <v>329</v>
          </cell>
          <cell r="EF17">
            <v>106</v>
          </cell>
          <cell r="EG17">
            <v>435</v>
          </cell>
          <cell r="EH17">
            <v>0.51666666666666672</v>
          </cell>
          <cell r="EI17">
            <v>0.68852459016393441</v>
          </cell>
          <cell r="EJ17">
            <v>1.2881355932203389</v>
          </cell>
          <cell r="EK17">
            <v>0.30864197530864196</v>
          </cell>
          <cell r="EL17">
            <v>0.66666666666666663</v>
          </cell>
          <cell r="EM17">
            <v>0.12345679012345689</v>
          </cell>
          <cell r="EN17">
            <v>0.13186813186813184</v>
          </cell>
          <cell r="EO17">
            <v>0.31067961165048552</v>
          </cell>
          <cell r="EP17">
            <v>-0.21481481481481479</v>
          </cell>
          <cell r="ER17" t="str">
            <v>Info Sys &amp; Tech</v>
          </cell>
          <cell r="ES17">
            <v>60</v>
          </cell>
          <cell r="ET17">
            <v>61</v>
          </cell>
          <cell r="EU17">
            <v>121</v>
          </cell>
          <cell r="EV17">
            <v>59</v>
          </cell>
          <cell r="EW17">
            <v>180</v>
          </cell>
          <cell r="EX17">
            <v>81</v>
          </cell>
          <cell r="EY17">
            <v>261</v>
          </cell>
          <cell r="EZ17">
            <v>3.4482758620689655E-2</v>
          </cell>
          <cell r="FA17">
            <v>0.15094339622641509</v>
          </cell>
          <cell r="FB17">
            <v>7.2727272727272724E-2</v>
          </cell>
          <cell r="FC17">
            <v>0.58823529411764708</v>
          </cell>
          <cell r="FD17">
            <v>0.20276497695852536</v>
          </cell>
          <cell r="FE17">
            <v>0.17647058823529416</v>
          </cell>
          <cell r="FF17">
            <v>1.6666666666666607E-2</v>
          </cell>
          <cell r="FG17">
            <v>-3.2786885245901676E-2</v>
          </cell>
          <cell r="FH17">
            <v>0.37288135593220328</v>
          </cell>
          <cell r="FJ17" t="str">
            <v>Info Sys &amp; Tech</v>
          </cell>
          <cell r="FK17">
            <v>58</v>
          </cell>
          <cell r="FL17">
            <v>53</v>
          </cell>
          <cell r="FM17">
            <v>111</v>
          </cell>
          <cell r="FN17">
            <v>55</v>
          </cell>
          <cell r="FO17">
            <v>166</v>
          </cell>
          <cell r="FP17">
            <v>51</v>
          </cell>
          <cell r="FQ17">
            <v>217</v>
          </cell>
          <cell r="FR17">
            <v>1.9</v>
          </cell>
          <cell r="FS17">
            <v>1.2083333333333333</v>
          </cell>
          <cell r="FT17">
            <v>0.83333333333333337</v>
          </cell>
          <cell r="FU17">
            <v>-3.7735849056603772E-2</v>
          </cell>
          <cell r="FV17">
            <v>0.70866141732283461</v>
          </cell>
          <cell r="FW17">
            <v>9.4339622641509413E-2</v>
          </cell>
          <cell r="FX17">
            <v>-8.6206896551724088E-2</v>
          </cell>
          <cell r="FY17">
            <v>3.7735849056603765E-2</v>
          </cell>
          <cell r="FZ17">
            <v>-7.2727272727272751E-2</v>
          </cell>
          <cell r="GB17" t="str">
            <v>Info Sys &amp; Tech</v>
          </cell>
          <cell r="GC17">
            <v>20</v>
          </cell>
          <cell r="GD17">
            <v>24</v>
          </cell>
          <cell r="GE17">
            <v>44</v>
          </cell>
          <cell r="GF17">
            <v>30</v>
          </cell>
          <cell r="GG17">
            <v>74</v>
          </cell>
          <cell r="GH17">
            <v>53</v>
          </cell>
          <cell r="GI17">
            <v>127</v>
          </cell>
          <cell r="GJ17">
            <v>0.42857142857142855</v>
          </cell>
          <cell r="GK17">
            <v>0.84615384615384615</v>
          </cell>
          <cell r="GL17">
            <v>0.66666666666666663</v>
          </cell>
          <cell r="GM17">
            <v>1.2083333333333333</v>
          </cell>
          <cell r="GN17">
            <v>0.84057971014492749</v>
          </cell>
          <cell r="GP17">
            <v>0.19999999999999996</v>
          </cell>
          <cell r="GQ17">
            <v>0.25</v>
          </cell>
          <cell r="GR17">
            <v>0.76666666666666661</v>
          </cell>
        </row>
        <row r="18">
          <cell r="B18" t="str">
            <v>Aerospace</v>
          </cell>
          <cell r="C18">
            <v>200</v>
          </cell>
          <cell r="D18">
            <v>215</v>
          </cell>
          <cell r="E18">
            <v>415</v>
          </cell>
          <cell r="F18">
            <v>100</v>
          </cell>
          <cell r="G18">
            <v>515</v>
          </cell>
          <cell r="H18">
            <v>193.75</v>
          </cell>
          <cell r="I18">
            <v>708.75</v>
          </cell>
          <cell r="J18">
            <v>-0.15254237288135597</v>
          </cell>
          <cell r="K18">
            <v>-0.10416666666666663</v>
          </cell>
          <cell r="L18">
            <v>-0.64412811387900359</v>
          </cell>
          <cell r="M18">
            <v>-0.26609848484848486</v>
          </cell>
          <cell r="N18">
            <v>-0.30582761998041141</v>
          </cell>
          <cell r="O18">
            <v>-0.24242424242424243</v>
          </cell>
          <cell r="P18">
            <v>7.4999999999999956E-2</v>
          </cell>
          <cell r="Q18">
            <v>-0.53488372093023262</v>
          </cell>
          <cell r="R18">
            <v>0.9375</v>
          </cell>
          <cell r="U18" t="str">
            <v>Aerospace</v>
          </cell>
          <cell r="V18">
            <v>236</v>
          </cell>
          <cell r="W18">
            <v>240</v>
          </cell>
          <cell r="X18">
            <v>476</v>
          </cell>
          <cell r="Y18">
            <v>281</v>
          </cell>
          <cell r="Z18">
            <v>757</v>
          </cell>
          <cell r="AA18">
            <v>264</v>
          </cell>
          <cell r="AB18">
            <v>1021</v>
          </cell>
          <cell r="AC18">
            <v>0.36416184971098264</v>
          </cell>
          <cell r="AD18">
            <v>0.20603015075376874</v>
          </cell>
          <cell r="AE18">
            <v>0.24336283185840712</v>
          </cell>
          <cell r="AF18">
            <v>0.24528301886792447</v>
          </cell>
          <cell r="AG18">
            <v>0.26049382716049374</v>
          </cell>
          <cell r="AH18">
            <v>0.1132075471698113</v>
          </cell>
          <cell r="AI18">
            <v>1.6949152542372836E-2</v>
          </cell>
          <cell r="AJ18">
            <v>0.17083333333333339</v>
          </cell>
          <cell r="AK18">
            <v>-6.0498220640569422E-2</v>
          </cell>
          <cell r="AN18" t="str">
            <v>Aerospace</v>
          </cell>
          <cell r="AO18">
            <v>173</v>
          </cell>
          <cell r="AP18">
            <v>199</v>
          </cell>
          <cell r="AQ18">
            <v>372</v>
          </cell>
          <cell r="AR18">
            <v>226</v>
          </cell>
          <cell r="AS18">
            <v>598</v>
          </cell>
          <cell r="AT18">
            <v>212</v>
          </cell>
          <cell r="AU18">
            <v>810</v>
          </cell>
          <cell r="AV18">
            <v>0.19310344827586201</v>
          </cell>
          <cell r="AW18">
            <v>0.1987951807228916</v>
          </cell>
          <cell r="AX18">
            <v>0.36969696969696964</v>
          </cell>
          <cell r="AY18">
            <v>0.26190476190476186</v>
          </cell>
          <cell r="AZ18">
            <v>0.2577639751552796</v>
          </cell>
          <cell r="BA18">
            <v>2.9761904761904656E-2</v>
          </cell>
          <cell r="BB18">
            <v>0.1502890173410405</v>
          </cell>
          <cell r="BC18">
            <v>0.13567839195979903</v>
          </cell>
          <cell r="BD18">
            <v>-6.1946902654867242E-2</v>
          </cell>
          <cell r="BF18" t="str">
            <v>Aerospace</v>
          </cell>
          <cell r="BG18">
            <v>145</v>
          </cell>
          <cell r="BH18">
            <v>166</v>
          </cell>
          <cell r="BI18">
            <v>311</v>
          </cell>
          <cell r="BJ18">
            <v>165</v>
          </cell>
          <cell r="BK18">
            <v>476</v>
          </cell>
          <cell r="BL18">
            <v>168</v>
          </cell>
          <cell r="BM18">
            <v>644</v>
          </cell>
          <cell r="BN18">
            <v>0.43564356435643559</v>
          </cell>
          <cell r="BO18">
            <v>0.32800000000000007</v>
          </cell>
          <cell r="BP18">
            <v>0.13013698630136994</v>
          </cell>
          <cell r="BQ18">
            <v>0.36585365853658547</v>
          </cell>
          <cell r="BR18">
            <v>0.30101010101010095</v>
          </cell>
          <cell r="BS18">
            <v>0.17886178861788626</v>
          </cell>
          <cell r="BT18">
            <v>0.14482758620689662</v>
          </cell>
          <cell r="BU18">
            <v>-6.0240963855421326E-3</v>
          </cell>
          <cell r="BV18">
            <v>1.8181818181818077E-2</v>
          </cell>
          <cell r="BX18" t="str">
            <v>Aerospace</v>
          </cell>
          <cell r="BY18">
            <v>101</v>
          </cell>
          <cell r="BZ18">
            <v>125</v>
          </cell>
          <cell r="CA18">
            <v>226</v>
          </cell>
          <cell r="CB18">
            <v>146</v>
          </cell>
          <cell r="CC18">
            <v>372</v>
          </cell>
          <cell r="CD18">
            <v>123</v>
          </cell>
          <cell r="CE18">
            <v>495</v>
          </cell>
          <cell r="CF18">
            <v>0.53030303030303028</v>
          </cell>
          <cell r="CG18">
            <v>0.32978723404255317</v>
          </cell>
          <cell r="CH18">
            <v>0.24786324786324787</v>
          </cell>
          <cell r="CI18">
            <v>6.0344827586206851E-2</v>
          </cell>
          <cell r="CJ18">
            <v>0.25954198473282442</v>
          </cell>
          <cell r="CK18">
            <v>-0.12931034482758619</v>
          </cell>
          <cell r="CL18">
            <v>0.23762376237623761</v>
          </cell>
          <cell r="CM18">
            <v>0.16799999999999993</v>
          </cell>
          <cell r="CN18">
            <v>-0.15753424657534243</v>
          </cell>
          <cell r="CP18" t="str">
            <v>Aerospace</v>
          </cell>
          <cell r="CQ18">
            <v>66</v>
          </cell>
          <cell r="CR18">
            <v>94</v>
          </cell>
          <cell r="CS18">
            <v>160</v>
          </cell>
          <cell r="CT18">
            <v>117</v>
          </cell>
          <cell r="CU18">
            <v>277</v>
          </cell>
          <cell r="CV18">
            <v>116</v>
          </cell>
          <cell r="CW18">
            <v>393</v>
          </cell>
          <cell r="CX18">
            <v>0.64999999999999991</v>
          </cell>
          <cell r="CY18">
            <v>1.088888888888889</v>
          </cell>
          <cell r="CZ18">
            <v>1.3399999999999999</v>
          </cell>
          <cell r="DA18">
            <v>0.39759036144578319</v>
          </cell>
          <cell r="DB18">
            <v>0.80275229357798161</v>
          </cell>
          <cell r="DC18">
            <v>-0.20481927710843373</v>
          </cell>
          <cell r="DD18">
            <v>0.42424242424242431</v>
          </cell>
          <cell r="DE18">
            <v>0.24468085106382986</v>
          </cell>
          <cell r="DF18">
            <v>-8.5470085470085166E-3</v>
          </cell>
          <cell r="DH18" t="str">
            <v>Aerospace</v>
          </cell>
          <cell r="DI18">
            <v>40</v>
          </cell>
          <cell r="DJ18">
            <v>45</v>
          </cell>
          <cell r="DK18">
            <v>85</v>
          </cell>
          <cell r="DL18">
            <v>50</v>
          </cell>
          <cell r="DM18">
            <v>135</v>
          </cell>
          <cell r="DN18">
            <v>83</v>
          </cell>
          <cell r="DO18">
            <v>218</v>
          </cell>
          <cell r="DP18">
            <v>-0.72222222222222221</v>
          </cell>
          <cell r="DQ18">
            <v>-0.7</v>
          </cell>
          <cell r="DR18">
            <v>-0.5</v>
          </cell>
          <cell r="DS18">
            <v>0.56603773584905659</v>
          </cell>
          <cell r="DT18">
            <v>-0.51230425055928408</v>
          </cell>
          <cell r="DU18">
            <v>-0.24528301886792447</v>
          </cell>
          <cell r="DV18">
            <v>0.125</v>
          </cell>
          <cell r="DW18">
            <v>0.11111111111111116</v>
          </cell>
          <cell r="DX18">
            <v>0.65999999999999992</v>
          </cell>
          <cell r="DZ18" t="str">
            <v>Gulfstream</v>
          </cell>
          <cell r="EA18">
            <v>144</v>
          </cell>
          <cell r="EB18">
            <v>150</v>
          </cell>
          <cell r="EC18">
            <v>294</v>
          </cell>
          <cell r="ED18">
            <v>100</v>
          </cell>
          <cell r="EE18">
            <v>394</v>
          </cell>
          <cell r="EF18">
            <v>53</v>
          </cell>
          <cell r="EG18">
            <v>447</v>
          </cell>
          <cell r="EH18">
            <v>0</v>
          </cell>
          <cell r="EI18">
            <v>-4.4585987261146494E-2</v>
          </cell>
          <cell r="EJ18">
            <v>-0.37888198757763975</v>
          </cell>
          <cell r="EK18">
            <v>-0.67484662576687116</v>
          </cell>
          <cell r="EL18">
            <v>-0.2848</v>
          </cell>
          <cell r="EM18">
            <v>-0.1165644171779141</v>
          </cell>
          <cell r="EN18">
            <v>4.1666666666666741E-2</v>
          </cell>
          <cell r="EO18">
            <v>-0.33333333333333337</v>
          </cell>
          <cell r="EP18">
            <v>-0.47</v>
          </cell>
          <cell r="ER18" t="str">
            <v>Gulfstream</v>
          </cell>
          <cell r="ES18">
            <v>144</v>
          </cell>
          <cell r="ET18">
            <v>157</v>
          </cell>
          <cell r="EU18">
            <v>301</v>
          </cell>
          <cell r="EV18">
            <v>161</v>
          </cell>
          <cell r="EW18">
            <v>462</v>
          </cell>
          <cell r="EX18">
            <v>163</v>
          </cell>
          <cell r="EY18">
            <v>625</v>
          </cell>
          <cell r="EZ18">
            <v>9.9236641221374045E-2</v>
          </cell>
          <cell r="FA18">
            <v>3.9735099337748346E-2</v>
          </cell>
          <cell r="FB18">
            <v>8.0536912751677847E-2</v>
          </cell>
          <cell r="FC18">
            <v>1.2422360248447204E-2</v>
          </cell>
          <cell r="FD18">
            <v>5.5743243243243243E-2</v>
          </cell>
          <cell r="FE18">
            <v>-0.10559006211180122</v>
          </cell>
          <cell r="FF18">
            <v>9.0277777777777679E-2</v>
          </cell>
          <cell r="FG18">
            <v>2.5477707006369421E-2</v>
          </cell>
          <cell r="FH18">
            <v>1.2422360248447228E-2</v>
          </cell>
          <cell r="FJ18" t="str">
            <v>Gulfstream</v>
          </cell>
          <cell r="FK18">
            <v>131</v>
          </cell>
          <cell r="FL18">
            <v>151</v>
          </cell>
          <cell r="FM18">
            <v>282</v>
          </cell>
          <cell r="FN18">
            <v>149</v>
          </cell>
          <cell r="FO18">
            <v>431</v>
          </cell>
          <cell r="FP18">
            <v>161</v>
          </cell>
          <cell r="FQ18">
            <v>592</v>
          </cell>
          <cell r="FR18">
            <v>0.34618546530746608</v>
          </cell>
          <cell r="FS18">
            <v>0.3062283737024219</v>
          </cell>
          <cell r="FT18">
            <v>0.1640625</v>
          </cell>
          <cell r="FU18">
            <v>0.14113177591290479</v>
          </cell>
          <cell r="FV18">
            <v>0.22821576763485477</v>
          </cell>
          <cell r="FW18">
            <v>-7.1501474257201658E-2</v>
          </cell>
          <cell r="FX18">
            <v>0.15267175572519087</v>
          </cell>
          <cell r="FY18">
            <v>-1.3245033112582738E-2</v>
          </cell>
          <cell r="FZ18">
            <v>8.0536912751677958E-2</v>
          </cell>
          <cell r="GB18" t="str">
            <v>Gulfstream</v>
          </cell>
          <cell r="GC18">
            <v>97.311999999999898</v>
          </cell>
          <cell r="GD18">
            <v>115.60000000000002</v>
          </cell>
          <cell r="GE18">
            <v>212.91199999999992</v>
          </cell>
          <cell r="GF18">
            <v>128</v>
          </cell>
          <cell r="GG18">
            <v>340.91199999999992</v>
          </cell>
          <cell r="GH18">
            <v>141.08800000000008</v>
          </cell>
          <cell r="GI18">
            <v>482</v>
          </cell>
          <cell r="GJ18">
            <v>0.40624277456647218</v>
          </cell>
          <cell r="GK18">
            <v>0.26200873362445448</v>
          </cell>
          <cell r="GL18">
            <v>0.23076923076923078</v>
          </cell>
          <cell r="GM18">
            <v>-4.974309859154932</v>
          </cell>
          <cell r="GN18">
            <v>1.1103327495621718</v>
          </cell>
          <cell r="GP18">
            <v>0.18793160144689391</v>
          </cell>
          <cell r="GQ18">
            <v>0.10726643598615904</v>
          </cell>
          <cell r="GR18">
            <v>0.10225000000000062</v>
          </cell>
        </row>
        <row r="19">
          <cell r="B19" t="str">
            <v>Resources</v>
          </cell>
          <cell r="C19">
            <v>-26</v>
          </cell>
          <cell r="D19">
            <v>-22</v>
          </cell>
          <cell r="E19">
            <v>-48</v>
          </cell>
          <cell r="F19">
            <v>-21</v>
          </cell>
          <cell r="G19">
            <v>-69</v>
          </cell>
          <cell r="H19">
            <v>-21</v>
          </cell>
          <cell r="I19">
            <v>-90</v>
          </cell>
          <cell r="J19">
            <v>0.625</v>
          </cell>
          <cell r="K19">
            <v>0.10000000000000009</v>
          </cell>
          <cell r="L19">
            <v>5.0000000000000044E-2</v>
          </cell>
          <cell r="M19">
            <v>0.10526315789473695</v>
          </cell>
          <cell r="N19">
            <v>0.19999999999999996</v>
          </cell>
          <cell r="O19">
            <v>0.36842105263157898</v>
          </cell>
          <cell r="P19">
            <v>-0.15384615384615385</v>
          </cell>
          <cell r="Q19">
            <v>-4.5454545454545414E-2</v>
          </cell>
          <cell r="R19">
            <v>0</v>
          </cell>
          <cell r="U19" t="str">
            <v>Resources</v>
          </cell>
          <cell r="V19">
            <v>-16</v>
          </cell>
          <cell r="W19">
            <v>-20</v>
          </cell>
          <cell r="X19">
            <v>-36</v>
          </cell>
          <cell r="Y19">
            <v>-20</v>
          </cell>
          <cell r="Z19">
            <v>-56</v>
          </cell>
          <cell r="AA19">
            <v>-19</v>
          </cell>
          <cell r="AB19">
            <v>-75</v>
          </cell>
          <cell r="AN19" t="str">
            <v>Resources</v>
          </cell>
          <cell r="AO19">
            <v>-14</v>
          </cell>
          <cell r="AP19">
            <v>-11</v>
          </cell>
          <cell r="AQ19">
            <v>-25</v>
          </cell>
          <cell r="AR19">
            <v>-17</v>
          </cell>
          <cell r="AS19">
            <v>-42</v>
          </cell>
          <cell r="AT19">
            <v>-19</v>
          </cell>
          <cell r="AU19">
            <v>-61</v>
          </cell>
          <cell r="BF19" t="str">
            <v>Resources</v>
          </cell>
          <cell r="BG19">
            <v>-13</v>
          </cell>
          <cell r="BH19">
            <v>-13</v>
          </cell>
          <cell r="BI19">
            <v>-26</v>
          </cell>
          <cell r="BJ19">
            <v>-12</v>
          </cell>
          <cell r="BK19">
            <v>-38</v>
          </cell>
          <cell r="BL19">
            <v>-9</v>
          </cell>
          <cell r="BM19">
            <v>-47</v>
          </cell>
          <cell r="BX19" t="str">
            <v>Resources</v>
          </cell>
          <cell r="BY19">
            <v>9</v>
          </cell>
          <cell r="BZ19">
            <v>1</v>
          </cell>
          <cell r="CA19">
            <v>10</v>
          </cell>
          <cell r="CB19">
            <v>-10</v>
          </cell>
          <cell r="CC19">
            <v>0</v>
          </cell>
          <cell r="CD19">
            <v>1</v>
          </cell>
          <cell r="CE19">
            <v>-6</v>
          </cell>
          <cell r="CP19" t="str">
            <v>Resources</v>
          </cell>
          <cell r="CQ19">
            <v>-9</v>
          </cell>
          <cell r="CR19">
            <v>7</v>
          </cell>
          <cell r="CS19">
            <v>-2</v>
          </cell>
          <cell r="CT19">
            <v>10</v>
          </cell>
          <cell r="CU19">
            <v>8</v>
          </cell>
          <cell r="CV19">
            <v>-2</v>
          </cell>
          <cell r="CW19">
            <v>6</v>
          </cell>
          <cell r="CX19">
            <v>-1.9</v>
          </cell>
          <cell r="CY19">
            <v>-0.22222222222222221</v>
          </cell>
          <cell r="CZ19">
            <v>0.25</v>
          </cell>
          <cell r="DA19">
            <v>-1.4</v>
          </cell>
          <cell r="DB19">
            <v>-0.8125</v>
          </cell>
          <cell r="DC19">
            <v>-2.8</v>
          </cell>
          <cell r="DD19">
            <v>-1.7777777777777777</v>
          </cell>
          <cell r="DE19">
            <v>0.4285714285714286</v>
          </cell>
          <cell r="DF19">
            <v>-1.2</v>
          </cell>
          <cell r="DH19" t="str">
            <v>Resources</v>
          </cell>
          <cell r="DI19">
            <v>10</v>
          </cell>
          <cell r="DJ19">
            <v>9</v>
          </cell>
          <cell r="DK19">
            <v>19</v>
          </cell>
          <cell r="DL19">
            <v>8</v>
          </cell>
          <cell r="DM19">
            <v>27</v>
          </cell>
          <cell r="DN19">
            <v>5</v>
          </cell>
          <cell r="DO19">
            <v>32</v>
          </cell>
          <cell r="DP19" t="str">
            <v>nm</v>
          </cell>
          <cell r="DQ19">
            <v>-0.64</v>
          </cell>
          <cell r="DR19">
            <v>-0.74193548387096775</v>
          </cell>
          <cell r="DS19">
            <v>-0.81481481481481477</v>
          </cell>
          <cell r="DT19">
            <v>-0.6404494382022472</v>
          </cell>
          <cell r="DU19">
            <v>-0.62962962962962965</v>
          </cell>
          <cell r="DV19">
            <v>-9.9999999999999978E-2</v>
          </cell>
          <cell r="DW19">
            <v>-0.11111111111111116</v>
          </cell>
          <cell r="DX19">
            <v>-0.375</v>
          </cell>
          <cell r="DZ19" t="str">
            <v>Other</v>
          </cell>
          <cell r="EA19">
            <v>6</v>
          </cell>
          <cell r="EB19">
            <v>25</v>
          </cell>
          <cell r="EC19">
            <v>31</v>
          </cell>
          <cell r="ED19">
            <v>31</v>
          </cell>
          <cell r="EE19">
            <v>62</v>
          </cell>
          <cell r="EF19">
            <v>27</v>
          </cell>
          <cell r="EG19">
            <v>89</v>
          </cell>
          <cell r="EH19" t="str">
            <v>nm</v>
          </cell>
          <cell r="EI19">
            <v>0.7857142857142857</v>
          </cell>
          <cell r="EJ19">
            <v>0.9375</v>
          </cell>
          <cell r="EK19">
            <v>0.35</v>
          </cell>
          <cell r="EL19">
            <v>0.71153846153846156</v>
          </cell>
          <cell r="EM19">
            <v>-0.7</v>
          </cell>
          <cell r="EN19">
            <v>3.166666666666667</v>
          </cell>
          <cell r="EO19">
            <v>0.24</v>
          </cell>
          <cell r="EP19">
            <v>-0.12903225806451613</v>
          </cell>
          <cell r="ER19" t="str">
            <v>Other</v>
          </cell>
          <cell r="ES19">
            <v>2</v>
          </cell>
          <cell r="ET19">
            <v>14</v>
          </cell>
          <cell r="EU19">
            <v>16</v>
          </cell>
          <cell r="EV19">
            <v>16</v>
          </cell>
          <cell r="EW19">
            <v>32</v>
          </cell>
          <cell r="EX19">
            <v>20</v>
          </cell>
          <cell r="EY19">
            <v>52</v>
          </cell>
          <cell r="EZ19" t="str">
            <v>nm</v>
          </cell>
          <cell r="FA19">
            <v>7.6923076923076927E-2</v>
          </cell>
          <cell r="FB19">
            <v>-0.15789473684210525</v>
          </cell>
          <cell r="FC19">
            <v>0.66666666666666663</v>
          </cell>
          <cell r="FD19">
            <v>0.44444444444444442</v>
          </cell>
          <cell r="FE19">
            <v>-0.83333333333333337</v>
          </cell>
          <cell r="FF19">
            <v>6</v>
          </cell>
          <cell r="FG19">
            <v>0.14285714285714279</v>
          </cell>
          <cell r="FH19">
            <v>0.25</v>
          </cell>
          <cell r="FJ19" t="str">
            <v>Other</v>
          </cell>
          <cell r="FK19">
            <v>-8</v>
          </cell>
          <cell r="FL19">
            <v>13</v>
          </cell>
          <cell r="FM19">
            <v>5</v>
          </cell>
          <cell r="FN19">
            <v>19</v>
          </cell>
          <cell r="FO19">
            <v>24</v>
          </cell>
          <cell r="FP19">
            <v>12</v>
          </cell>
          <cell r="FQ19">
            <v>36</v>
          </cell>
          <cell r="FR19" t="str">
            <v>nm</v>
          </cell>
          <cell r="FS19">
            <v>-0.23529411764705882</v>
          </cell>
          <cell r="FT19">
            <v>0.26666666666666666</v>
          </cell>
          <cell r="FU19">
            <v>-0.14285714285714285</v>
          </cell>
          <cell r="FV19">
            <v>-0.21739130434782608</v>
          </cell>
          <cell r="FW19">
            <v>-1.5714285714285714</v>
          </cell>
          <cell r="FX19">
            <v>-2.625</v>
          </cell>
          <cell r="FY19">
            <v>0.46153846153846145</v>
          </cell>
          <cell r="FZ19">
            <v>-0.36842105263157898</v>
          </cell>
          <cell r="GB19" t="str">
            <v>Other</v>
          </cell>
          <cell r="GC19">
            <v>0</v>
          </cell>
          <cell r="GD19">
            <v>17</v>
          </cell>
          <cell r="GE19">
            <v>17</v>
          </cell>
          <cell r="GF19">
            <v>15</v>
          </cell>
          <cell r="GG19">
            <v>32</v>
          </cell>
          <cell r="GH19">
            <v>14</v>
          </cell>
          <cell r="GI19">
            <v>46</v>
          </cell>
          <cell r="GJ19">
            <v>-1</v>
          </cell>
          <cell r="GK19">
            <v>0.30769230769230771</v>
          </cell>
          <cell r="GL19">
            <v>-6.25E-2</v>
          </cell>
          <cell r="GM19" t="str">
            <v>nm</v>
          </cell>
          <cell r="GN19">
            <v>0.4375</v>
          </cell>
          <cell r="GQ19">
            <v>-0.11764705882352944</v>
          </cell>
          <cell r="GR19">
            <v>-6.6666666666666652E-2</v>
          </cell>
        </row>
        <row r="20">
          <cell r="B20" t="str">
            <v>Total</v>
          </cell>
          <cell r="C20">
            <v>905</v>
          </cell>
          <cell r="D20">
            <v>945</v>
          </cell>
          <cell r="E20">
            <v>1850</v>
          </cell>
          <cell r="F20">
            <v>798.15</v>
          </cell>
          <cell r="G20">
            <v>2648.15</v>
          </cell>
          <cell r="H20">
            <v>936.87499999999989</v>
          </cell>
          <cell r="I20">
            <v>3585.0249999999996</v>
          </cell>
          <cell r="J20">
            <v>5.1103368176538932E-2</v>
          </cell>
          <cell r="K20">
            <v>2.6058631921824116E-2</v>
          </cell>
          <cell r="L20">
            <v>-0.14453376205787782</v>
          </cell>
          <cell r="M20">
            <v>-1.1993603411515341E-3</v>
          </cell>
          <cell r="N20">
            <v>-1.860799343005759E-2</v>
          </cell>
          <cell r="O20">
            <v>-3.5181236673774041E-2</v>
          </cell>
          <cell r="P20">
            <v>4.4198895027624419E-2</v>
          </cell>
          <cell r="Q20">
            <v>-0.15539682539682542</v>
          </cell>
          <cell r="R20">
            <v>0.17380818141953247</v>
          </cell>
          <cell r="U20" t="str">
            <v>Total</v>
          </cell>
          <cell r="V20">
            <v>861</v>
          </cell>
          <cell r="W20">
            <v>921</v>
          </cell>
          <cell r="X20">
            <v>1782</v>
          </cell>
          <cell r="Y20">
            <v>933</v>
          </cell>
          <cell r="Z20">
            <v>2715</v>
          </cell>
          <cell r="AA20">
            <v>938</v>
          </cell>
          <cell r="AB20">
            <v>3653</v>
          </cell>
          <cell r="AC20">
            <v>0.26431718061674014</v>
          </cell>
          <cell r="AD20">
            <v>0.21184210526315783</v>
          </cell>
          <cell r="AE20">
            <v>0.16479400749063666</v>
          </cell>
          <cell r="AF20">
            <v>7.6923076923076872E-2</v>
          </cell>
          <cell r="AG20">
            <v>0.1734661098618695</v>
          </cell>
          <cell r="AH20">
            <v>-1.1481056257175659E-2</v>
          </cell>
          <cell r="AI20">
            <v>6.9686411149825878E-2</v>
          </cell>
          <cell r="AJ20">
            <v>1.3029315960912058E-2</v>
          </cell>
          <cell r="AK20">
            <v>5.3590568060022381E-3</v>
          </cell>
          <cell r="AN20" t="str">
            <v>Total</v>
          </cell>
          <cell r="AO20">
            <v>681</v>
          </cell>
          <cell r="AP20">
            <v>760</v>
          </cell>
          <cell r="AQ20">
            <v>1441</v>
          </cell>
          <cell r="AR20">
            <v>801</v>
          </cell>
          <cell r="AS20">
            <v>2242</v>
          </cell>
          <cell r="AT20">
            <v>871</v>
          </cell>
          <cell r="AU20">
            <v>3113</v>
          </cell>
          <cell r="AV20">
            <v>0.14261744966442946</v>
          </cell>
          <cell r="AW20">
            <v>0.17103235747303547</v>
          </cell>
          <cell r="AX20">
            <v>0.18316100443131456</v>
          </cell>
          <cell r="AY20">
            <v>0.23897581792318645</v>
          </cell>
          <cell r="AZ20">
            <v>0.18590476190476179</v>
          </cell>
          <cell r="BA20">
            <v>-3.1294452347083945E-2</v>
          </cell>
          <cell r="BB20">
            <v>0.11600587371512483</v>
          </cell>
          <cell r="BC20">
            <v>5.3947368421052522E-2</v>
          </cell>
          <cell r="BD20">
            <v>8.739076154806491E-2</v>
          </cell>
          <cell r="BF20" t="str">
            <v>Total</v>
          </cell>
          <cell r="BG20">
            <v>596</v>
          </cell>
          <cell r="BH20">
            <v>649</v>
          </cell>
          <cell r="BI20">
            <v>1245</v>
          </cell>
          <cell r="BJ20">
            <v>677</v>
          </cell>
          <cell r="BK20">
            <v>1922</v>
          </cell>
          <cell r="BL20">
            <v>703</v>
          </cell>
          <cell r="BM20">
            <v>2625</v>
          </cell>
          <cell r="BN20">
            <v>0.29565217391304355</v>
          </cell>
          <cell r="BO20">
            <v>0.20408163265306123</v>
          </cell>
          <cell r="BP20">
            <v>0.17739130434782613</v>
          </cell>
          <cell r="BQ20">
            <v>0.14869281045751626</v>
          </cell>
          <cell r="BR20">
            <v>0.20468104635153739</v>
          </cell>
          <cell r="BS20">
            <v>-2.6143790849673221E-2</v>
          </cell>
          <cell r="BT20">
            <v>8.8926174496644306E-2</v>
          </cell>
          <cell r="BU20">
            <v>4.3143297380585421E-2</v>
          </cell>
          <cell r="BV20">
            <v>3.8404726735598249E-2</v>
          </cell>
          <cell r="BX20" t="str">
            <v>Total</v>
          </cell>
          <cell r="BY20">
            <v>460</v>
          </cell>
          <cell r="BZ20">
            <v>539</v>
          </cell>
          <cell r="CA20">
            <v>999</v>
          </cell>
          <cell r="CB20">
            <v>575</v>
          </cell>
          <cell r="CC20">
            <v>1574</v>
          </cell>
          <cell r="CD20">
            <v>612</v>
          </cell>
          <cell r="CE20">
            <v>2179</v>
          </cell>
          <cell r="CF20">
            <v>5.504587155963292E-2</v>
          </cell>
          <cell r="CG20">
            <v>0.11134020618556706</v>
          </cell>
          <cell r="CH20">
            <v>0.16632860040567943</v>
          </cell>
          <cell r="CI20">
            <v>0.18375241779497098</v>
          </cell>
          <cell r="CJ20">
            <v>0.12843086483687216</v>
          </cell>
          <cell r="CK20">
            <v>-0.11025145067698261</v>
          </cell>
          <cell r="CL20">
            <v>0.17173913043478262</v>
          </cell>
          <cell r="CM20">
            <v>6.6790352504638273E-2</v>
          </cell>
          <cell r="CN20">
            <v>6.434782608695655E-2</v>
          </cell>
          <cell r="CP20" t="str">
            <v>Total</v>
          </cell>
          <cell r="CQ20">
            <v>436</v>
          </cell>
          <cell r="CR20">
            <v>485</v>
          </cell>
          <cell r="CS20">
            <v>921</v>
          </cell>
          <cell r="CT20">
            <v>493</v>
          </cell>
          <cell r="CU20">
            <v>1414</v>
          </cell>
          <cell r="CV20">
            <v>517</v>
          </cell>
          <cell r="CW20">
            <v>1931</v>
          </cell>
          <cell r="CX20">
            <v>0.38853503184713367</v>
          </cell>
          <cell r="CY20">
            <v>0.29333333333333322</v>
          </cell>
          <cell r="CZ20">
            <v>0.41260744985673359</v>
          </cell>
          <cell r="DA20">
            <v>0.27027027027027017</v>
          </cell>
          <cell r="DB20">
            <v>0.33911234396671297</v>
          </cell>
          <cell r="DC20">
            <v>7.1253071253071232E-2</v>
          </cell>
          <cell r="DD20">
            <v>0.11238532110091737</v>
          </cell>
          <cell r="DE20">
            <v>1.6494845360824684E-2</v>
          </cell>
          <cell r="DF20">
            <v>4.8681541582150212E-2</v>
          </cell>
          <cell r="DH20" t="str">
            <v>Total</v>
          </cell>
          <cell r="DI20">
            <v>314</v>
          </cell>
          <cell r="DJ20">
            <v>375</v>
          </cell>
          <cell r="DK20">
            <v>689</v>
          </cell>
          <cell r="DL20">
            <v>349</v>
          </cell>
          <cell r="DM20">
            <v>1038</v>
          </cell>
          <cell r="DN20">
            <v>407</v>
          </cell>
          <cell r="DO20">
            <v>1442</v>
          </cell>
          <cell r="DP20">
            <v>-0.14905149051490515</v>
          </cell>
          <cell r="DQ20">
            <v>-0.11347517730496454</v>
          </cell>
          <cell r="DR20">
            <v>-0.17688679245283018</v>
          </cell>
          <cell r="DS20">
            <v>0.15954415954415954</v>
          </cell>
          <cell r="DT20">
            <v>-7.9770261646458201E-2</v>
          </cell>
          <cell r="DU20">
            <v>-0.10541310541310545</v>
          </cell>
          <cell r="DV20">
            <v>0.19426751592356695</v>
          </cell>
          <cell r="DW20">
            <v>-6.9333333333333358E-2</v>
          </cell>
          <cell r="DX20">
            <v>0.16618911174785089</v>
          </cell>
          <cell r="DZ20" t="str">
            <v xml:space="preserve"> Total Operating Profit</v>
          </cell>
          <cell r="EA20">
            <v>369</v>
          </cell>
          <cell r="EB20">
            <v>423</v>
          </cell>
          <cell r="EC20">
            <v>792</v>
          </cell>
          <cell r="ED20">
            <v>424</v>
          </cell>
          <cell r="EE20">
            <v>1216</v>
          </cell>
          <cell r="EF20">
            <v>351</v>
          </cell>
          <cell r="EG20">
            <v>1567</v>
          </cell>
          <cell r="EH20">
            <v>0.10479041916167664</v>
          </cell>
          <cell r="EI20">
            <v>0.14016172506738545</v>
          </cell>
          <cell r="EJ20">
            <v>0.1276595744680851</v>
          </cell>
          <cell r="EK20">
            <v>-0.13333333333333333</v>
          </cell>
          <cell r="EL20">
            <v>5.4508748317631223E-2</v>
          </cell>
          <cell r="EM20">
            <v>-8.8888888888888906E-2</v>
          </cell>
          <cell r="EN20">
            <v>0.14634146341463405</v>
          </cell>
          <cell r="EO20">
            <v>2.3640661938533203E-3</v>
          </cell>
          <cell r="EP20">
            <v>-0.17216981132075471</v>
          </cell>
          <cell r="ER20" t="str">
            <v xml:space="preserve"> Total Operating Profit</v>
          </cell>
          <cell r="ES20">
            <v>334</v>
          </cell>
          <cell r="ET20">
            <v>371</v>
          </cell>
          <cell r="EU20">
            <v>705</v>
          </cell>
          <cell r="EV20">
            <v>376</v>
          </cell>
          <cell r="EW20">
            <v>1081</v>
          </cell>
          <cell r="EX20">
            <v>405</v>
          </cell>
          <cell r="EY20">
            <v>1486</v>
          </cell>
          <cell r="EZ20">
            <v>9.1503267973856203E-2</v>
          </cell>
          <cell r="FA20">
            <v>0.10746268656716418</v>
          </cell>
          <cell r="FB20">
            <v>0.11572700296735905</v>
          </cell>
          <cell r="FC20">
            <v>0.16714697406340057</v>
          </cell>
          <cell r="FD20">
            <v>0.12150943396226416</v>
          </cell>
          <cell r="FE20">
            <v>-3.7463976945244948E-2</v>
          </cell>
          <cell r="FF20">
            <v>0.11077844311377238</v>
          </cell>
          <cell r="FG20">
            <v>1.3477088948786964E-2</v>
          </cell>
          <cell r="FH20">
            <v>7.7127659574468099E-2</v>
          </cell>
          <cell r="FJ20" t="str">
            <v xml:space="preserve"> Total Operating Profit</v>
          </cell>
          <cell r="FK20">
            <v>306</v>
          </cell>
          <cell r="FL20">
            <v>335</v>
          </cell>
          <cell r="FM20">
            <v>641</v>
          </cell>
          <cell r="FN20">
            <v>337</v>
          </cell>
          <cell r="FO20">
            <v>978</v>
          </cell>
          <cell r="FP20">
            <v>347</v>
          </cell>
          <cell r="FQ20">
            <v>1325</v>
          </cell>
          <cell r="FR20">
            <v>0.27334465195246233</v>
          </cell>
          <cell r="FS20">
            <v>0.20244077530509683</v>
          </cell>
          <cell r="FT20">
            <v>0.16206896551724137</v>
          </cell>
          <cell r="FU20">
            <v>5.4429210423959297E-2</v>
          </cell>
          <cell r="FV20">
            <v>0.16432337434094904</v>
          </cell>
          <cell r="FW20">
            <v>-7.015752625437599E-2</v>
          </cell>
          <cell r="FX20">
            <v>9.4771241830065467E-2</v>
          </cell>
          <cell r="FY20">
            <v>5.9701492537314049E-3</v>
          </cell>
          <cell r="FZ20">
            <v>2.9673590504450953E-2</v>
          </cell>
          <cell r="GB20" t="str">
            <v xml:space="preserve"> Total Operating Profit</v>
          </cell>
          <cell r="GC20">
            <v>240.3119999999999</v>
          </cell>
          <cell r="GD20">
            <v>278.60000000000002</v>
          </cell>
          <cell r="GE20">
            <v>518.91199999999992</v>
          </cell>
          <cell r="GF20">
            <v>290</v>
          </cell>
          <cell r="GG20">
            <v>808.91199999999992</v>
          </cell>
          <cell r="GH20">
            <v>329.08800000000008</v>
          </cell>
          <cell r="GI20">
            <v>1138</v>
          </cell>
          <cell r="GJ20">
            <v>0.24385093167701799</v>
          </cell>
          <cell r="GK20">
            <v>0.22947925860547233</v>
          </cell>
          <cell r="GL20">
            <v>0.19341563786008231</v>
          </cell>
          <cell r="GM20">
            <v>1.7983673469387755</v>
          </cell>
          <cell r="GN20">
            <v>0.45822655048692984</v>
          </cell>
          <cell r="GP20">
            <v>0.15932620926129415</v>
          </cell>
          <cell r="GQ20">
            <v>4.091888011485989E-2</v>
          </cell>
          <cell r="GR20">
            <v>0.13478620689655196</v>
          </cell>
        </row>
        <row r="21">
          <cell r="B21" t="str">
            <v>Operating Margins</v>
          </cell>
          <cell r="U21" t="str">
            <v>Operating Margins</v>
          </cell>
          <cell r="AN21" t="str">
            <v>Operating Margins</v>
          </cell>
          <cell r="BF21" t="str">
            <v>Interest,net</v>
          </cell>
          <cell r="BG21">
            <v>-17</v>
          </cell>
          <cell r="BH21">
            <v>-23</v>
          </cell>
          <cell r="BI21">
            <v>-40</v>
          </cell>
          <cell r="BJ21">
            <v>-34</v>
          </cell>
          <cell r="BK21">
            <v>-74</v>
          </cell>
          <cell r="BL21">
            <v>-27</v>
          </cell>
          <cell r="BM21">
            <v>-101</v>
          </cell>
          <cell r="BN21">
            <v>-0.5</v>
          </cell>
          <cell r="BO21">
            <v>-0.2068965517241379</v>
          </cell>
          <cell r="BP21">
            <v>0.1333333333333333</v>
          </cell>
          <cell r="BQ21">
            <v>8.0000000000000071E-2</v>
          </cell>
          <cell r="BR21">
            <v>-0.14406779661016944</v>
          </cell>
          <cell r="BS21">
            <v>-0.31999999999999995</v>
          </cell>
          <cell r="BT21">
            <v>0.35294117647058831</v>
          </cell>
          <cell r="BU21">
            <v>0.47826086956521729</v>
          </cell>
          <cell r="BV21">
            <v>-0.20588235294117652</v>
          </cell>
          <cell r="BX21" t="str">
            <v>Interest,net</v>
          </cell>
          <cell r="BY21">
            <v>-34</v>
          </cell>
          <cell r="BZ21">
            <v>-29</v>
          </cell>
          <cell r="CA21">
            <v>-63</v>
          </cell>
          <cell r="CB21">
            <v>-30</v>
          </cell>
          <cell r="CC21">
            <v>-93</v>
          </cell>
          <cell r="CD21">
            <v>-25</v>
          </cell>
          <cell r="CE21">
            <v>-118</v>
          </cell>
          <cell r="CF21">
            <v>-0.12820512820512819</v>
          </cell>
          <cell r="CG21">
            <v>-0.25641025641025639</v>
          </cell>
          <cell r="CH21">
            <v>-9.0909090909090939E-2</v>
          </cell>
          <cell r="CI21">
            <v>-0.32432432432432434</v>
          </cell>
          <cell r="CJ21">
            <v>-0.20270270270270274</v>
          </cell>
          <cell r="CK21">
            <v>-8.108108108108103E-2</v>
          </cell>
          <cell r="CL21">
            <v>-0.1470588235294118</v>
          </cell>
          <cell r="CM21">
            <v>3.4482758620689724E-2</v>
          </cell>
          <cell r="CN21">
            <v>-0.16666666666666663</v>
          </cell>
          <cell r="CP21" t="str">
            <v>Interest,net</v>
          </cell>
          <cell r="CQ21">
            <v>-39</v>
          </cell>
          <cell r="CR21">
            <v>-39</v>
          </cell>
          <cell r="CS21">
            <v>-78</v>
          </cell>
          <cell r="CT21">
            <v>-33</v>
          </cell>
          <cell r="CU21">
            <v>-111</v>
          </cell>
          <cell r="CV21">
            <v>-37</v>
          </cell>
          <cell r="CW21">
            <v>-148</v>
          </cell>
          <cell r="CX21">
            <v>2.5454545454545454</v>
          </cell>
          <cell r="CY21">
            <v>1.0526315789473686</v>
          </cell>
          <cell r="CZ21">
            <v>0.13793103448275867</v>
          </cell>
          <cell r="DA21">
            <v>-5.1282051282051322E-2</v>
          </cell>
          <cell r="DB21">
            <v>0.51020408163265296</v>
          </cell>
          <cell r="DC21">
            <v>0</v>
          </cell>
          <cell r="DD21">
            <v>0</v>
          </cell>
          <cell r="DE21">
            <v>-0.15384615384615385</v>
          </cell>
          <cell r="DF21">
            <v>0.1212121212121211</v>
          </cell>
          <cell r="DH21" t="str">
            <v>Interest,net</v>
          </cell>
          <cell r="DI21">
            <v>-11</v>
          </cell>
          <cell r="DJ21">
            <v>-19</v>
          </cell>
          <cell r="DK21">
            <v>-30</v>
          </cell>
          <cell r="DL21">
            <v>-29</v>
          </cell>
          <cell r="DM21">
            <v>-59</v>
          </cell>
          <cell r="DN21">
            <v>-39</v>
          </cell>
          <cell r="DO21">
            <v>-98</v>
          </cell>
          <cell r="DP21" t="str">
            <v>nm</v>
          </cell>
          <cell r="DQ21" t="str">
            <v>nm</v>
          </cell>
          <cell r="DR21" t="str">
            <v>nm</v>
          </cell>
          <cell r="DS21" t="str">
            <v>nm</v>
          </cell>
          <cell r="DT21">
            <v>1.1777777777777778</v>
          </cell>
          <cell r="DU21" t="str">
            <v>nm</v>
          </cell>
          <cell r="DV21" t="str">
            <v>nm</v>
          </cell>
          <cell r="DW21" t="str">
            <v>nm</v>
          </cell>
          <cell r="DX21" t="str">
            <v>nm</v>
          </cell>
          <cell r="DZ21" t="str">
            <v>Interest,net</v>
          </cell>
          <cell r="EA21">
            <v>-12</v>
          </cell>
          <cell r="EB21">
            <v>-11</v>
          </cell>
          <cell r="EC21">
            <v>-23</v>
          </cell>
          <cell r="ED21">
            <v>0.12911084043848964</v>
          </cell>
          <cell r="EE21">
            <v>-22.870889159561511</v>
          </cell>
          <cell r="EF21">
            <v>-11</v>
          </cell>
          <cell r="EG21">
            <v>-45</v>
          </cell>
          <cell r="EH21" t="str">
            <v>nm</v>
          </cell>
          <cell r="EI21" t="str">
            <v>nm</v>
          </cell>
          <cell r="EJ21" t="str">
            <v>nm</v>
          </cell>
          <cell r="EK21" t="str">
            <v>nm</v>
          </cell>
          <cell r="EL21">
            <v>-0.19642857142857142</v>
          </cell>
          <cell r="EM21" t="str">
            <v>nm</v>
          </cell>
          <cell r="EN21" t="str">
            <v>nm</v>
          </cell>
          <cell r="EO21" t="str">
            <v>nm</v>
          </cell>
          <cell r="EP21" t="str">
            <v>nm</v>
          </cell>
          <cell r="ER21" t="str">
            <v>Interest,net</v>
          </cell>
          <cell r="ES21">
            <v>-12</v>
          </cell>
          <cell r="ET21">
            <v>-15</v>
          </cell>
          <cell r="EU21">
            <v>-27</v>
          </cell>
          <cell r="EV21">
            <v>-13</v>
          </cell>
          <cell r="EW21">
            <v>-40</v>
          </cell>
          <cell r="EX21">
            <v>-16</v>
          </cell>
          <cell r="EY21">
            <v>-56</v>
          </cell>
          <cell r="EZ21" t="str">
            <v>nm</v>
          </cell>
          <cell r="FA21" t="str">
            <v>nm</v>
          </cell>
          <cell r="FB21" t="str">
            <v>nm</v>
          </cell>
          <cell r="FC21" t="str">
            <v>nm</v>
          </cell>
          <cell r="FD21">
            <v>-6.6666666666666666E-2</v>
          </cell>
          <cell r="FE21" t="str">
            <v>nm</v>
          </cell>
          <cell r="FF21" t="str">
            <v>nm</v>
          </cell>
          <cell r="FG21" t="str">
            <v>nm</v>
          </cell>
          <cell r="FH21" t="str">
            <v>nm</v>
          </cell>
          <cell r="FJ21" t="str">
            <v>Interest,net</v>
          </cell>
          <cell r="FK21">
            <v>-19</v>
          </cell>
          <cell r="FL21">
            <v>-16</v>
          </cell>
          <cell r="FM21">
            <v>-35</v>
          </cell>
          <cell r="FN21">
            <v>-17</v>
          </cell>
          <cell r="FO21">
            <v>-52</v>
          </cell>
          <cell r="FP21">
            <v>-8</v>
          </cell>
          <cell r="FQ21">
            <v>-60</v>
          </cell>
          <cell r="FR21" t="str">
            <v>nm</v>
          </cell>
          <cell r="FS21" t="str">
            <v>nm</v>
          </cell>
          <cell r="FT21" t="str">
            <v>nm</v>
          </cell>
          <cell r="FU21" t="str">
            <v>nm</v>
          </cell>
          <cell r="FV21">
            <v>0.76470588235294112</v>
          </cell>
          <cell r="FW21" t="str">
            <v>nm</v>
          </cell>
          <cell r="FX21" t="str">
            <v>nm</v>
          </cell>
          <cell r="FY21" t="str">
            <v>nm</v>
          </cell>
          <cell r="FZ21" t="str">
            <v>nm</v>
          </cell>
          <cell r="GB21" t="str">
            <v>Interest,net</v>
          </cell>
          <cell r="GC21">
            <v>-5.5</v>
          </cell>
          <cell r="GD21">
            <v>-5</v>
          </cell>
          <cell r="GE21">
            <v>-10.5</v>
          </cell>
          <cell r="GF21">
            <v>-6</v>
          </cell>
          <cell r="GG21">
            <v>-16.5</v>
          </cell>
          <cell r="GH21">
            <v>-17.5</v>
          </cell>
          <cell r="GI21">
            <v>-34</v>
          </cell>
          <cell r="GJ21" t="str">
            <v>nm</v>
          </cell>
          <cell r="GK21" t="str">
            <v>nm</v>
          </cell>
          <cell r="GL21" t="str">
            <v>nm</v>
          </cell>
          <cell r="GM21" t="str">
            <v>nm</v>
          </cell>
          <cell r="GN21" t="str">
            <v>nm</v>
          </cell>
          <cell r="GP21" t="str">
            <v>nm</v>
          </cell>
          <cell r="GQ21" t="str">
            <v>nm</v>
          </cell>
          <cell r="GR21" t="str">
            <v>nm</v>
          </cell>
        </row>
        <row r="22">
          <cell r="B22" t="str">
            <v>Marine Systems</v>
          </cell>
          <cell r="C22">
            <v>9.7663271420011979E-2</v>
          </cell>
          <cell r="D22">
            <v>0.10338461538461538</v>
          </cell>
          <cell r="E22">
            <v>0.10048573163327262</v>
          </cell>
          <cell r="F22">
            <v>9.2999999999999999E-2</v>
          </cell>
          <cell r="G22">
            <v>9.8090421139554088E-2</v>
          </cell>
          <cell r="H22">
            <v>9.5719178082191797E-2</v>
          </cell>
          <cell r="I22">
            <v>9.7500000000000003E-2</v>
          </cell>
          <cell r="U22" t="str">
            <v>Marine Systems</v>
          </cell>
          <cell r="V22">
            <v>8.8534107402031936E-2</v>
          </cell>
          <cell r="W22">
            <v>9.1104734576757537E-2</v>
          </cell>
          <cell r="X22">
            <v>8.9826839826839824E-2</v>
          </cell>
          <cell r="Y22">
            <v>9.9715099715099717E-2</v>
          </cell>
          <cell r="Z22">
            <v>9.3151340996168577E-2</v>
          </cell>
          <cell r="AA22">
            <v>9.5652173913043481E-2</v>
          </cell>
          <cell r="AB22">
            <v>9.3772498200143994E-2</v>
          </cell>
          <cell r="AN22" t="str">
            <v>Marine Systems</v>
          </cell>
          <cell r="AO22">
            <v>7.7963404932378674E-2</v>
          </cell>
          <cell r="AP22">
            <v>8.8050314465408799E-2</v>
          </cell>
          <cell r="AQ22">
            <v>8.3036773428232499E-2</v>
          </cell>
          <cell r="AR22">
            <v>8.8282504012841087E-2</v>
          </cell>
          <cell r="AS22">
            <v>8.4768211920529801E-2</v>
          </cell>
          <cell r="AT22">
            <v>8.2922824302134643E-2</v>
          </cell>
          <cell r="AU22">
            <v>8.431804526336871E-2</v>
          </cell>
          <cell r="BF22" t="str">
            <v>Other</v>
          </cell>
          <cell r="BG22">
            <v>0</v>
          </cell>
          <cell r="BH22">
            <v>2</v>
          </cell>
          <cell r="BI22">
            <v>2</v>
          </cell>
          <cell r="BJ22">
            <v>1</v>
          </cell>
          <cell r="BK22">
            <v>3</v>
          </cell>
          <cell r="BL22">
            <v>0</v>
          </cell>
          <cell r="BM22">
            <v>3</v>
          </cell>
          <cell r="BX22" t="str">
            <v>Other</v>
          </cell>
          <cell r="BY22">
            <v>-1</v>
          </cell>
          <cell r="BZ22">
            <v>1</v>
          </cell>
          <cell r="CA22">
            <v>0</v>
          </cell>
          <cell r="CB22">
            <v>-4</v>
          </cell>
          <cell r="CC22">
            <v>-4</v>
          </cell>
          <cell r="CD22">
            <v>12</v>
          </cell>
          <cell r="CE22">
            <v>8</v>
          </cell>
          <cell r="CP22" t="str">
            <v>Other</v>
          </cell>
          <cell r="CQ22">
            <v>0</v>
          </cell>
          <cell r="CR22">
            <v>-12</v>
          </cell>
          <cell r="CS22">
            <v>-12</v>
          </cell>
          <cell r="CT22">
            <v>3</v>
          </cell>
          <cell r="CU22">
            <v>-9</v>
          </cell>
          <cell r="CV22">
            <v>0</v>
          </cell>
          <cell r="CW22">
            <v>-9</v>
          </cell>
          <cell r="DH22" t="str">
            <v>Other</v>
          </cell>
          <cell r="DI22">
            <v>4</v>
          </cell>
          <cell r="DJ22">
            <v>2</v>
          </cell>
          <cell r="DK22">
            <v>6</v>
          </cell>
          <cell r="DL22">
            <v>-3</v>
          </cell>
          <cell r="DM22">
            <v>3</v>
          </cell>
          <cell r="DN22">
            <v>0</v>
          </cell>
          <cell r="DO22">
            <v>3</v>
          </cell>
          <cell r="DP22" t="str">
            <v>nm</v>
          </cell>
          <cell r="DQ22" t="str">
            <v>nm</v>
          </cell>
          <cell r="DR22" t="str">
            <v>nm</v>
          </cell>
          <cell r="DS22" t="str">
            <v>nm</v>
          </cell>
          <cell r="DT22" t="str">
            <v>nm</v>
          </cell>
          <cell r="DU22" t="str">
            <v>nm</v>
          </cell>
          <cell r="DV22" t="str">
            <v>nm</v>
          </cell>
          <cell r="DW22" t="str">
            <v>nm</v>
          </cell>
          <cell r="DX22" t="str">
            <v>nm</v>
          </cell>
          <cell r="DZ22" t="str">
            <v>Other</v>
          </cell>
          <cell r="EA22">
            <v>-3</v>
          </cell>
          <cell r="EB22">
            <v>3</v>
          </cell>
          <cell r="EC22">
            <v>0</v>
          </cell>
          <cell r="ED22">
            <v>-11</v>
          </cell>
          <cell r="EE22">
            <v>-11</v>
          </cell>
          <cell r="EF22">
            <v>39</v>
          </cell>
          <cell r="EG22">
            <v>47</v>
          </cell>
          <cell r="EH22" t="str">
            <v>nm</v>
          </cell>
          <cell r="EI22" t="str">
            <v>nm</v>
          </cell>
          <cell r="EJ22" t="str">
            <v>nm</v>
          </cell>
          <cell r="EK22" t="str">
            <v>nm</v>
          </cell>
          <cell r="EL22" t="str">
            <v>nm</v>
          </cell>
          <cell r="EM22" t="str">
            <v>nm</v>
          </cell>
          <cell r="EN22" t="str">
            <v>nm</v>
          </cell>
          <cell r="EO22" t="str">
            <v>nm</v>
          </cell>
          <cell r="EP22" t="str">
            <v>nm</v>
          </cell>
          <cell r="ER22" t="str">
            <v>Other</v>
          </cell>
          <cell r="ES22">
            <v>8</v>
          </cell>
          <cell r="ET22">
            <v>-3</v>
          </cell>
          <cell r="EU22">
            <v>5</v>
          </cell>
          <cell r="EV22">
            <v>-5</v>
          </cell>
          <cell r="EW22">
            <v>0</v>
          </cell>
          <cell r="EX22">
            <v>-5</v>
          </cell>
          <cell r="EY22">
            <v>-5</v>
          </cell>
          <cell r="EZ22" t="str">
            <v>nm</v>
          </cell>
          <cell r="FA22" t="str">
            <v>nm</v>
          </cell>
          <cell r="FB22" t="str">
            <v>nm</v>
          </cell>
          <cell r="FC22">
            <v>1.5</v>
          </cell>
          <cell r="FD22">
            <v>-0.2857142857142857</v>
          </cell>
          <cell r="FE22" t="str">
            <v>nm</v>
          </cell>
          <cell r="FF22" t="str">
            <v>nm</v>
          </cell>
          <cell r="FG22" t="str">
            <v>nm</v>
          </cell>
          <cell r="FH22" t="str">
            <v>nm</v>
          </cell>
          <cell r="FJ22" t="str">
            <v>Other</v>
          </cell>
          <cell r="FK22">
            <v>-1</v>
          </cell>
          <cell r="FL22">
            <v>-1</v>
          </cell>
          <cell r="FM22">
            <v>-2</v>
          </cell>
          <cell r="FN22">
            <v>-3</v>
          </cell>
          <cell r="FO22">
            <v>-5</v>
          </cell>
          <cell r="FP22">
            <v>-2</v>
          </cell>
          <cell r="FQ22">
            <v>-7</v>
          </cell>
          <cell r="FR22" t="str">
            <v>nm</v>
          </cell>
          <cell r="FS22" t="str">
            <v>nm</v>
          </cell>
          <cell r="FT22" t="str">
            <v>nm</v>
          </cell>
          <cell r="FU22">
            <v>-1.1111111111111112</v>
          </cell>
          <cell r="FV22">
            <v>-1.3181818181818181</v>
          </cell>
          <cell r="FW22" t="str">
            <v>nm</v>
          </cell>
          <cell r="FX22" t="str">
            <v>nm</v>
          </cell>
          <cell r="FY22" t="str">
            <v>nm</v>
          </cell>
          <cell r="FZ22" t="str">
            <v>nm</v>
          </cell>
          <cell r="GB22" t="str">
            <v>Other</v>
          </cell>
          <cell r="GC22">
            <v>9</v>
          </cell>
          <cell r="GD22">
            <v>-4</v>
          </cell>
          <cell r="GE22">
            <v>5</v>
          </cell>
          <cell r="GF22">
            <v>-1</v>
          </cell>
          <cell r="GG22">
            <v>4</v>
          </cell>
          <cell r="GH22">
            <v>18</v>
          </cell>
          <cell r="GI22">
            <v>22</v>
          </cell>
          <cell r="GJ22" t="str">
            <v>nm</v>
          </cell>
          <cell r="GK22" t="str">
            <v>nm</v>
          </cell>
          <cell r="GL22" t="str">
            <v>nm</v>
          </cell>
          <cell r="GM22" t="str">
            <v>nm</v>
          </cell>
          <cell r="GN22">
            <v>6.333333333333333</v>
          </cell>
          <cell r="GP22" t="str">
            <v>nm</v>
          </cell>
          <cell r="GQ22" t="str">
            <v>nm</v>
          </cell>
          <cell r="GR22" t="str">
            <v>nm</v>
          </cell>
        </row>
        <row r="23">
          <cell r="B23" t="str">
            <v>Combat Systems</v>
          </cell>
          <cell r="C23">
            <v>0.11591192355629414</v>
          </cell>
          <cell r="D23">
            <v>0.12474012474012475</v>
          </cell>
          <cell r="E23">
            <v>0.12032418952618454</v>
          </cell>
          <cell r="F23">
            <v>0.124</v>
          </cell>
          <cell r="G23">
            <v>0.12158096280087527</v>
          </cell>
          <cell r="H23">
            <v>0.125</v>
          </cell>
          <cell r="I23">
            <v>0.1225</v>
          </cell>
          <cell r="U23" t="str">
            <v>Combat Systems</v>
          </cell>
          <cell r="V23">
            <v>0.12969454181271908</v>
          </cell>
          <cell r="W23">
            <v>0.13995037220843673</v>
          </cell>
          <cell r="X23">
            <v>0.13484546360917249</v>
          </cell>
          <cell r="Y23">
            <v>0.14162162162162162</v>
          </cell>
          <cell r="Z23">
            <v>0.13698396451722961</v>
          </cell>
          <cell r="AA23">
            <v>0.13207547169811321</v>
          </cell>
          <cell r="AB23">
            <v>0.13558701488894312</v>
          </cell>
          <cell r="AN23" t="str">
            <v>Combat Systems</v>
          </cell>
          <cell r="AO23">
            <v>0.11096938775510204</v>
          </cell>
          <cell r="AP23">
            <v>0.11156542056074767</v>
          </cell>
          <cell r="AQ23">
            <v>0.11128048780487805</v>
          </cell>
          <cell r="AR23">
            <v>0.12179487179487179</v>
          </cell>
          <cell r="AS23">
            <v>0.11510093167701864</v>
          </cell>
          <cell r="AT23">
            <v>0.12211720226843101</v>
          </cell>
          <cell r="AU23">
            <v>0.11748108246761575</v>
          </cell>
          <cell r="AZ23">
            <v>43.271463151838553</v>
          </cell>
          <cell r="BF23" t="str">
            <v>Pretax Inc</v>
          </cell>
          <cell r="BG23">
            <v>579</v>
          </cell>
          <cell r="BH23">
            <v>628</v>
          </cell>
          <cell r="BI23">
            <v>1207</v>
          </cell>
          <cell r="BJ23">
            <v>644</v>
          </cell>
          <cell r="BK23">
            <v>1851</v>
          </cell>
          <cell r="BL23">
            <v>676</v>
          </cell>
          <cell r="BM23">
            <v>2527</v>
          </cell>
          <cell r="BN23">
            <v>0.36235294117647054</v>
          </cell>
          <cell r="BO23">
            <v>0.22896281800391383</v>
          </cell>
          <cell r="BP23">
            <v>0.19038817005545283</v>
          </cell>
          <cell r="BQ23">
            <v>0.12854757929883132</v>
          </cell>
          <cell r="BR23">
            <v>0.22136297728371201</v>
          </cell>
          <cell r="BS23">
            <v>-3.3388981636060078E-2</v>
          </cell>
          <cell r="BT23">
            <v>8.4628670120898031E-2</v>
          </cell>
          <cell r="BU23">
            <v>2.5477707006369421E-2</v>
          </cell>
          <cell r="BV23">
            <v>4.9689440993788914E-2</v>
          </cell>
          <cell r="BX23" t="str">
            <v>Pretax Inc</v>
          </cell>
          <cell r="BY23">
            <v>425</v>
          </cell>
          <cell r="BZ23">
            <v>511</v>
          </cell>
          <cell r="CA23">
            <v>936</v>
          </cell>
          <cell r="CB23">
            <v>541</v>
          </cell>
          <cell r="CC23">
            <v>1477</v>
          </cell>
          <cell r="CD23">
            <v>599</v>
          </cell>
          <cell r="CE23">
            <v>2069</v>
          </cell>
          <cell r="CF23">
            <v>7.0528967254408048E-2</v>
          </cell>
          <cell r="CG23">
            <v>0.17741935483870974</v>
          </cell>
          <cell r="CH23">
            <v>0.16846652267818585</v>
          </cell>
          <cell r="CI23">
            <v>0.24791666666666656</v>
          </cell>
          <cell r="CJ23">
            <v>0.16629086809470128</v>
          </cell>
          <cell r="CK23">
            <v>-0.11458333333333337</v>
          </cell>
          <cell r="CL23">
            <v>0.20235294117647062</v>
          </cell>
          <cell r="CM23">
            <v>5.8708414872798542E-2</v>
          </cell>
          <cell r="CN23">
            <v>0.10720887245841038</v>
          </cell>
          <cell r="CP23" t="str">
            <v>Pretax Inc</v>
          </cell>
          <cell r="CQ23">
            <v>397</v>
          </cell>
          <cell r="CR23">
            <v>434</v>
          </cell>
          <cell r="CS23">
            <v>831</v>
          </cell>
          <cell r="CT23">
            <v>463</v>
          </cell>
          <cell r="CU23">
            <v>1294</v>
          </cell>
          <cell r="CV23">
            <v>480</v>
          </cell>
          <cell r="CW23">
            <v>1774</v>
          </cell>
          <cell r="CX23">
            <v>0.29315960912052108</v>
          </cell>
          <cell r="CY23">
            <v>0.2122905027932962</v>
          </cell>
          <cell r="CZ23">
            <v>0.4605678233438486</v>
          </cell>
          <cell r="DA23">
            <v>0.30434782608695654</v>
          </cell>
          <cell r="DB23">
            <v>0.31700074239049747</v>
          </cell>
          <cell r="DC23">
            <v>7.8804347826086918E-2</v>
          </cell>
          <cell r="DD23">
            <v>9.3198992443324968E-2</v>
          </cell>
          <cell r="DE23">
            <v>6.6820276497695952E-2</v>
          </cell>
          <cell r="DF23">
            <v>3.6717062634989306E-2</v>
          </cell>
          <cell r="DH23" t="str">
            <v>Pretax Inc</v>
          </cell>
          <cell r="DI23">
            <v>307</v>
          </cell>
          <cell r="DJ23">
            <v>358</v>
          </cell>
          <cell r="DK23">
            <v>665</v>
          </cell>
          <cell r="DL23">
            <v>317</v>
          </cell>
          <cell r="DM23">
            <v>982</v>
          </cell>
          <cell r="DN23">
            <v>368</v>
          </cell>
          <cell r="DO23">
            <v>1347</v>
          </cell>
          <cell r="DP23">
            <v>-0.1327683615819209</v>
          </cell>
          <cell r="DQ23">
            <v>-0.13734939759036144</v>
          </cell>
          <cell r="DR23">
            <v>-0.23268539620672271</v>
          </cell>
          <cell r="DS23">
            <v>-2.9023746701846966E-2</v>
          </cell>
          <cell r="DT23">
            <v>-0.14149139579349904</v>
          </cell>
          <cell r="DU23">
            <v>-0.18997361477572561</v>
          </cell>
          <cell r="DV23">
            <v>0.16612377850162874</v>
          </cell>
          <cell r="DW23">
            <v>-0.11452513966480449</v>
          </cell>
          <cell r="DX23">
            <v>0.1608832807570979</v>
          </cell>
          <cell r="DZ23" t="str">
            <v>Pretax Inc</v>
          </cell>
          <cell r="EA23">
            <v>354</v>
          </cell>
          <cell r="EB23">
            <v>415</v>
          </cell>
          <cell r="EC23">
            <v>769</v>
          </cell>
          <cell r="ED23">
            <v>413.1291108404385</v>
          </cell>
          <cell r="EE23">
            <v>1182.1291108404384</v>
          </cell>
          <cell r="EF23">
            <v>379</v>
          </cell>
          <cell r="EG23">
            <v>1569</v>
          </cell>
          <cell r="EH23">
            <v>7.2727272727272724E-2</v>
          </cell>
          <cell r="EI23">
            <v>0.17563739376770537</v>
          </cell>
          <cell r="EJ23">
            <v>0.15399192972189524</v>
          </cell>
          <cell r="EK23">
            <v>-1.3020833333333334E-2</v>
          </cell>
          <cell r="EL23">
            <v>0.10105263157894737</v>
          </cell>
          <cell r="EM23">
            <v>-7.8125E-2</v>
          </cell>
          <cell r="EN23">
            <v>0.17231638418079087</v>
          </cell>
          <cell r="EO23">
            <v>-4.5081666495457862E-3</v>
          </cell>
          <cell r="EP23">
            <v>-8.2611246568920826E-2</v>
          </cell>
          <cell r="ER23" t="str">
            <v>Pretax Inc</v>
          </cell>
          <cell r="ES23">
            <v>330</v>
          </cell>
          <cell r="ET23">
            <v>353</v>
          </cell>
          <cell r="EU23">
            <v>683</v>
          </cell>
          <cell r="EV23">
            <v>358</v>
          </cell>
          <cell r="EW23">
            <v>1041</v>
          </cell>
          <cell r="EX23">
            <v>384</v>
          </cell>
          <cell r="EY23">
            <v>1425</v>
          </cell>
          <cell r="EZ23">
            <v>0.15384615384615385</v>
          </cell>
          <cell r="FA23">
            <v>0.11006289308176101</v>
          </cell>
          <cell r="FB23">
            <v>0.12933753943217666</v>
          </cell>
          <cell r="FC23">
            <v>0.1394658753709199</v>
          </cell>
          <cell r="FD23">
            <v>0.13275039745627981</v>
          </cell>
          <cell r="FE23">
            <v>-2.0771513353115778E-2</v>
          </cell>
          <cell r="FF23">
            <v>6.9696969696969591E-2</v>
          </cell>
          <cell r="FG23">
            <v>1.4164305949008416E-2</v>
          </cell>
          <cell r="FH23">
            <v>7.2625698324022325E-2</v>
          </cell>
          <cell r="FJ23" t="str">
            <v>Pretax Inc</v>
          </cell>
          <cell r="FK23">
            <v>286</v>
          </cell>
          <cell r="FL23">
            <v>318</v>
          </cell>
          <cell r="FM23">
            <v>604</v>
          </cell>
          <cell r="FN23">
            <v>317</v>
          </cell>
          <cell r="FO23">
            <v>921</v>
          </cell>
          <cell r="FP23">
            <v>337</v>
          </cell>
          <cell r="FQ23">
            <v>1258</v>
          </cell>
          <cell r="FR23">
            <v>0.17303496136367413</v>
          </cell>
          <cell r="FS23">
            <v>0.17952522255192868</v>
          </cell>
          <cell r="FT23">
            <v>0.12014134275618374</v>
          </cell>
          <cell r="FU23">
            <v>2.2488682840394431E-2</v>
          </cell>
          <cell r="FV23">
            <v>0.11722912966252221</v>
          </cell>
          <cell r="FW23">
            <v>-0.13224996055681659</v>
          </cell>
          <cell r="FX23">
            <v>0.11188811188811187</v>
          </cell>
          <cell r="FY23">
            <v>-3.1446540880503138E-3</v>
          </cell>
          <cell r="FZ23">
            <v>6.3091482649842323E-2</v>
          </cell>
          <cell r="GB23" t="str">
            <v>Pretax Inc</v>
          </cell>
          <cell r="GC23">
            <v>243.8119999999999</v>
          </cell>
          <cell r="GD23">
            <v>269.60000000000002</v>
          </cell>
          <cell r="GE23">
            <v>513.41199999999992</v>
          </cell>
          <cell r="GF23">
            <v>283</v>
          </cell>
          <cell r="GG23">
            <v>796.41199999999992</v>
          </cell>
          <cell r="GH23">
            <v>329.58800000000008</v>
          </cell>
          <cell r="GI23">
            <v>1126</v>
          </cell>
          <cell r="GJ23">
            <v>0.29533585162280851</v>
          </cell>
          <cell r="GK23">
            <v>0.18923687692986341</v>
          </cell>
          <cell r="GL23">
            <v>0.16412998765939946</v>
          </cell>
          <cell r="GM23">
            <v>2.0411249619384209</v>
          </cell>
          <cell r="GN23">
            <v>0.46920668058455117</v>
          </cell>
          <cell r="GP23">
            <v>0.10577001952323983</v>
          </cell>
          <cell r="GQ23">
            <v>4.9703264094955291E-2</v>
          </cell>
          <cell r="GR23">
            <v>0.16462190812720867</v>
          </cell>
        </row>
        <row r="24">
          <cell r="B24" t="str">
            <v>Info. Systems &amp; Tech.</v>
          </cell>
          <cell r="C24">
            <v>0.10574460300036589</v>
          </cell>
          <cell r="D24">
            <v>0.10696798493408663</v>
          </cell>
          <cell r="E24">
            <v>0.10634743875278396</v>
          </cell>
          <cell r="F24">
            <v>0.1</v>
          </cell>
          <cell r="G24">
            <v>0.1042547897486937</v>
          </cell>
          <cell r="H24">
            <v>9.9348298334540133E-2</v>
          </cell>
          <cell r="I24">
            <v>0.10299999999999998</v>
          </cell>
          <cell r="U24" t="str">
            <v>Info. Systems &amp; Tech.</v>
          </cell>
          <cell r="V24">
            <v>0.11059123777116121</v>
          </cell>
          <cell r="W24">
            <v>0.1138401559454191</v>
          </cell>
          <cell r="X24">
            <v>0.11228641171684296</v>
          </cell>
          <cell r="Y24">
            <v>0.10739856801909307</v>
          </cell>
          <cell r="Z24">
            <v>0.11063257065948856</v>
          </cell>
          <cell r="AA24">
            <v>9.7009202453987725E-2</v>
          </cell>
          <cell r="AB24">
            <v>0.10709304642359035</v>
          </cell>
          <cell r="AN24" t="str">
            <v>Info. Systems &amp; Tech.</v>
          </cell>
          <cell r="AO24">
            <v>0.10499790004199916</v>
          </cell>
          <cell r="AP24">
            <v>0.11213005418924551</v>
          </cell>
          <cell r="AQ24">
            <v>0.10857740585774059</v>
          </cell>
          <cell r="AR24">
            <v>0.10578925447730113</v>
          </cell>
          <cell r="AS24">
            <v>0.10764517476674558</v>
          </cell>
          <cell r="AT24">
            <v>0.10405571487095452</v>
          </cell>
          <cell r="AU24">
            <v>0.1067345666181667</v>
          </cell>
          <cell r="BF24" t="str">
            <v>Eff Tax Rate</v>
          </cell>
          <cell r="BG24">
            <v>0.33160621761658032</v>
          </cell>
          <cell r="BH24">
            <v>0.33121019108280253</v>
          </cell>
          <cell r="BI24">
            <v>0.3314001657000829</v>
          </cell>
          <cell r="BJ24">
            <v>0.31677018633540371</v>
          </cell>
          <cell r="BK24">
            <v>0.32631010264721771</v>
          </cell>
          <cell r="BL24">
            <v>0.3150887573964497</v>
          </cell>
          <cell r="BM24">
            <v>0.32330827067669171</v>
          </cell>
          <cell r="BX24" t="str">
            <v>Eff Tax Rate</v>
          </cell>
          <cell r="BY24">
            <v>0.16941176470588235</v>
          </cell>
          <cell r="BZ24">
            <v>0.33855185909980429</v>
          </cell>
          <cell r="CA24">
            <v>0.26175213675213671</v>
          </cell>
          <cell r="CB24">
            <v>0.32717190388170053</v>
          </cell>
          <cell r="CC24">
            <v>0.2857142857142857</v>
          </cell>
          <cell r="CD24">
            <v>0.335559265442404</v>
          </cell>
          <cell r="CE24">
            <v>0.3001449975833736</v>
          </cell>
          <cell r="CP24" t="str">
            <v>Eff Tax Rate</v>
          </cell>
          <cell r="CQ24">
            <v>0.33250000000000002</v>
          </cell>
          <cell r="CR24">
            <v>0.33179723502304148</v>
          </cell>
          <cell r="CS24">
            <v>0.33213297232250305</v>
          </cell>
          <cell r="CT24">
            <v>0.30885529157667385</v>
          </cell>
          <cell r="CU24">
            <v>0.3238040958268934</v>
          </cell>
          <cell r="CV24">
            <v>0.33198380566801622</v>
          </cell>
          <cell r="CW24">
            <v>0.32694475760992109</v>
          </cell>
          <cell r="DH24" t="str">
            <v>Eff Tax Rate</v>
          </cell>
          <cell r="DI24">
            <v>0.28999999999999998</v>
          </cell>
          <cell r="DJ24">
            <v>0.33</v>
          </cell>
          <cell r="DK24">
            <v>0.31153383458646622</v>
          </cell>
          <cell r="DL24">
            <v>0.215</v>
          </cell>
          <cell r="DM24">
            <v>0.28037169042769861</v>
          </cell>
          <cell r="DN24">
            <v>0.25271739130434784</v>
          </cell>
          <cell r="DO24">
            <v>0.27319970304380103</v>
          </cell>
          <cell r="DZ24" t="str">
            <v>Eff Tax Rate</v>
          </cell>
          <cell r="EA24">
            <v>0.34499999999999997</v>
          </cell>
          <cell r="EB24">
            <v>0.34399999999999997</v>
          </cell>
          <cell r="EC24">
            <v>0.34399999999999997</v>
          </cell>
          <cell r="ED24">
            <v>0.33849000000000001</v>
          </cell>
          <cell r="EE24">
            <v>0.68249000000000004</v>
          </cell>
          <cell r="EF24">
            <v>0.317</v>
          </cell>
          <cell r="EG24">
            <v>0.33715742511153601</v>
          </cell>
          <cell r="ER24" t="str">
            <v>Eff Tax Rate</v>
          </cell>
          <cell r="ES24">
            <v>0.35799999999999998</v>
          </cell>
          <cell r="ET24">
            <v>0.35799999999999998</v>
          </cell>
          <cell r="EU24">
            <v>0.35799999999999998</v>
          </cell>
          <cell r="EV24">
            <v>0.36</v>
          </cell>
          <cell r="EW24">
            <v>0.35868780019212299</v>
          </cell>
          <cell r="EX24">
            <v>0.36</v>
          </cell>
          <cell r="EY24">
            <v>0.33824561403508774</v>
          </cell>
          <cell r="FJ24" t="str">
            <v>Eff Tax Rate</v>
          </cell>
          <cell r="FK24">
            <v>0.35799999999999998</v>
          </cell>
          <cell r="FL24">
            <v>0.36</v>
          </cell>
          <cell r="FM24">
            <v>0.35905298013245035</v>
          </cell>
          <cell r="FN24">
            <v>0.35599999999999998</v>
          </cell>
          <cell r="FO24">
            <v>0.35800217155266023</v>
          </cell>
          <cell r="FP24">
            <v>0.35699999999999998</v>
          </cell>
          <cell r="FQ24">
            <v>0.35699999999999998</v>
          </cell>
          <cell r="GB24" t="str">
            <v>Eff Tax Rate</v>
          </cell>
          <cell r="GC24">
            <v>0.35</v>
          </cell>
          <cell r="GD24">
            <v>0.35399999999999998</v>
          </cell>
          <cell r="GE24">
            <v>0.3543629677529937</v>
          </cell>
          <cell r="GF24">
            <v>0.35299999999999998</v>
          </cell>
          <cell r="GG24">
            <v>0.35387864572608141</v>
          </cell>
          <cell r="GH24">
            <v>0.39187349053970433</v>
          </cell>
          <cell r="GI24">
            <v>0.36499999999999999</v>
          </cell>
        </row>
        <row r="25">
          <cell r="B25" t="str">
            <v>Aerospace</v>
          </cell>
          <cell r="C25">
            <v>0.13745704467353953</v>
          </cell>
          <cell r="D25">
            <v>0.1519434628975265</v>
          </cell>
          <cell r="E25">
            <v>0.14459930313588851</v>
          </cell>
          <cell r="F25">
            <v>0.1</v>
          </cell>
          <cell r="G25">
            <v>0.13307493540051679</v>
          </cell>
          <cell r="H25">
            <v>0.14039855072463769</v>
          </cell>
          <cell r="I25">
            <v>0.13500000000000001</v>
          </cell>
          <cell r="U25" t="str">
            <v>Aerospace</v>
          </cell>
          <cell r="V25">
            <v>0.18451915559030493</v>
          </cell>
          <cell r="W25">
            <v>0.18058690744920994</v>
          </cell>
          <cell r="X25">
            <v>0.18251533742331288</v>
          </cell>
          <cell r="Y25">
            <v>0.20481049562682216</v>
          </cell>
          <cell r="Z25">
            <v>0.19020100502512563</v>
          </cell>
          <cell r="AA25">
            <v>0.17232375979112272</v>
          </cell>
          <cell r="AB25">
            <v>0.18523222060957911</v>
          </cell>
          <cell r="AN25" t="str">
            <v>Aerospace</v>
          </cell>
          <cell r="AO25">
            <v>0.15813528336380256</v>
          </cell>
          <cell r="AP25">
            <v>0.16473509933774835</v>
          </cell>
          <cell r="AQ25">
            <v>0.16159860990443092</v>
          </cell>
          <cell r="AR25">
            <v>0.17186311787072242</v>
          </cell>
          <cell r="AS25">
            <v>0.16533038429637822</v>
          </cell>
          <cell r="AT25">
            <v>0.1750619322873658</v>
          </cell>
          <cell r="AU25">
            <v>0.16777133388566695</v>
          </cell>
        </row>
        <row r="26">
          <cell r="B26" t="str">
            <v>Resources</v>
          </cell>
          <cell r="U26" t="str">
            <v>Resources</v>
          </cell>
          <cell r="V26" t="str">
            <v xml:space="preserve">NA </v>
          </cell>
          <cell r="W26" t="str">
            <v xml:space="preserve">NA </v>
          </cell>
          <cell r="X26" t="str">
            <v xml:space="preserve">NA </v>
          </cell>
          <cell r="Y26" t="str">
            <v xml:space="preserve">NA </v>
          </cell>
          <cell r="Z26" t="str">
            <v xml:space="preserve">NA </v>
          </cell>
          <cell r="AA26" t="str">
            <v xml:space="preserve">NA </v>
          </cell>
          <cell r="AB26" t="str">
            <v xml:space="preserve">NA </v>
          </cell>
          <cell r="AN26" t="str">
            <v>Resources</v>
          </cell>
          <cell r="AO26" t="str">
            <v xml:space="preserve">NA </v>
          </cell>
          <cell r="AP26" t="str">
            <v xml:space="preserve">NA </v>
          </cell>
          <cell r="AQ26" t="str">
            <v xml:space="preserve">NA </v>
          </cell>
          <cell r="AR26" t="str">
            <v xml:space="preserve">NA </v>
          </cell>
          <cell r="AS26" t="str">
            <v xml:space="preserve">NA </v>
          </cell>
          <cell r="AT26" t="str">
            <v xml:space="preserve">NA </v>
          </cell>
          <cell r="AU26" t="str">
            <v xml:space="preserve">NA </v>
          </cell>
          <cell r="BF26" t="str">
            <v>Net Income</v>
          </cell>
          <cell r="BG26">
            <v>386.99999999999994</v>
          </cell>
          <cell r="BH26">
            <v>420.00000000000006</v>
          </cell>
          <cell r="BI26">
            <v>807</v>
          </cell>
          <cell r="BJ26">
            <v>440</v>
          </cell>
          <cell r="BK26">
            <v>1247</v>
          </cell>
          <cell r="BL26">
            <v>463</v>
          </cell>
          <cell r="BM26">
            <v>1710.0000000000002</v>
          </cell>
          <cell r="BN26">
            <v>9.6317280453257714E-2</v>
          </cell>
          <cell r="BO26">
            <v>0.24260355029585789</v>
          </cell>
          <cell r="BP26">
            <v>0.20879120879120849</v>
          </cell>
          <cell r="BQ26">
            <v>0.16331658291457285</v>
          </cell>
          <cell r="BR26">
            <v>0.18093922651933725</v>
          </cell>
          <cell r="BS26">
            <v>-2.7638190954774045E-2</v>
          </cell>
          <cell r="BT26">
            <v>8.5271317829457738E-2</v>
          </cell>
          <cell r="BU26">
            <v>4.761904761904745E-2</v>
          </cell>
          <cell r="BV26">
            <v>5.2272727272727249E-2</v>
          </cell>
          <cell r="BX26" t="str">
            <v>Net Income</v>
          </cell>
          <cell r="BY26">
            <v>353</v>
          </cell>
          <cell r="BZ26">
            <v>338.00000000000006</v>
          </cell>
          <cell r="CA26">
            <v>691</v>
          </cell>
          <cell r="CB26">
            <v>364.00000000000006</v>
          </cell>
          <cell r="CC26">
            <v>1055</v>
          </cell>
          <cell r="CD26">
            <v>398</v>
          </cell>
          <cell r="CE26">
            <v>1448</v>
          </cell>
          <cell r="CF26">
            <v>0.33208803856640157</v>
          </cell>
          <cell r="CG26">
            <v>0.16551724137931045</v>
          </cell>
          <cell r="CH26">
            <v>0.13749999999999996</v>
          </cell>
          <cell r="CI26">
            <v>0.24123737373737364</v>
          </cell>
          <cell r="CJ26">
            <v>0.21273031825795652</v>
          </cell>
          <cell r="CK26">
            <v>0.10089646464646451</v>
          </cell>
          <cell r="CL26">
            <v>-4.2492917847025358E-2</v>
          </cell>
          <cell r="CM26">
            <v>7.6923076923076872E-2</v>
          </cell>
          <cell r="CN26">
            <v>9.3406593406593297E-2</v>
          </cell>
          <cell r="CP26" t="str">
            <v>Net Income</v>
          </cell>
          <cell r="CQ26">
            <v>264.9975</v>
          </cell>
          <cell r="CR26">
            <v>290</v>
          </cell>
          <cell r="CS26">
            <v>554.99749999999995</v>
          </cell>
          <cell r="CT26">
            <v>320.00000000000006</v>
          </cell>
          <cell r="CU26">
            <v>874.99749999999995</v>
          </cell>
          <cell r="CV26">
            <v>320.64777327935224</v>
          </cell>
          <cell r="CW26">
            <v>1194</v>
          </cell>
          <cell r="CX26">
            <v>0.21575216772950401</v>
          </cell>
          <cell r="CY26">
            <v>0.20903860585341461</v>
          </cell>
          <cell r="CZ26">
            <v>0.28594104764009742</v>
          </cell>
          <cell r="DA26">
            <v>0.16599190283400822</v>
          </cell>
          <cell r="DB26">
            <v>0.21961184882533202</v>
          </cell>
          <cell r="DC26">
            <v>-3.6372727272727223E-2</v>
          </cell>
          <cell r="DD26">
            <v>9.4349946697610321E-2</v>
          </cell>
          <cell r="DE26">
            <v>0.10344827586206917</v>
          </cell>
          <cell r="DF26">
            <v>2.0242914979755611E-3</v>
          </cell>
          <cell r="DH26" t="str">
            <v>Net Income</v>
          </cell>
          <cell r="DI26">
            <v>217.97</v>
          </cell>
          <cell r="DJ26">
            <v>239.85999999999999</v>
          </cell>
          <cell r="DK26">
            <v>457.83</v>
          </cell>
          <cell r="DL26">
            <v>248.845</v>
          </cell>
          <cell r="DM26">
            <v>706.67499999999995</v>
          </cell>
          <cell r="DN26">
            <v>275</v>
          </cell>
          <cell r="DO26">
            <v>979</v>
          </cell>
          <cell r="DP26">
            <v>-5.994738431017383E-2</v>
          </cell>
          <cell r="DQ26">
            <v>-0.11893917131942412</v>
          </cell>
          <cell r="DR26">
            <v>-0.10646738508108447</v>
          </cell>
          <cell r="DS26">
            <v>6.2362617197912244E-2</v>
          </cell>
          <cell r="DT26">
            <v>-5.8653846153846154E-2</v>
          </cell>
          <cell r="DU26">
            <v>-0.15795207392498567</v>
          </cell>
          <cell r="DV26">
            <v>0.10042666421984681</v>
          </cell>
          <cell r="DW26">
            <v>3.7459351288251508E-2</v>
          </cell>
          <cell r="DX26">
            <v>0.10510558781570856</v>
          </cell>
          <cell r="DZ26" t="str">
            <v>Net Income</v>
          </cell>
          <cell r="EA26">
            <v>231.87</v>
          </cell>
          <cell r="EB26">
            <v>272.24</v>
          </cell>
          <cell r="EC26">
            <v>504.11</v>
          </cell>
          <cell r="ED26">
            <v>278.49571000000003</v>
          </cell>
          <cell r="EE26">
            <v>782.60571000000004</v>
          </cell>
          <cell r="EF26">
            <v>258.85700000000003</v>
          </cell>
          <cell r="EG26">
            <v>1040</v>
          </cell>
          <cell r="EH26">
            <v>9.4449164542622435E-2</v>
          </cell>
          <cell r="EI26">
            <v>0.20127434627977375</v>
          </cell>
          <cell r="EJ26">
            <v>0.21550152758379901</v>
          </cell>
          <cell r="EK26">
            <v>5.3291829427083486E-2</v>
          </cell>
          <cell r="EL26">
            <v>0.10286320254506906</v>
          </cell>
          <cell r="EM26">
            <v>-5.65185546875E-2</v>
          </cell>
          <cell r="EN26">
            <v>0.17410618018717394</v>
          </cell>
          <cell r="EO26">
            <v>2.2978658536585428E-2</v>
          </cell>
          <cell r="EP26">
            <v>-7.0517100604529981E-2</v>
          </cell>
          <cell r="ER26" t="str">
            <v>Net Income</v>
          </cell>
          <cell r="ES26">
            <v>211.86</v>
          </cell>
          <cell r="ET26">
            <v>226.626</v>
          </cell>
          <cell r="EU26">
            <v>438.48599999999999</v>
          </cell>
          <cell r="EV26">
            <v>229.12</v>
          </cell>
          <cell r="EW26">
            <v>667.60599999999999</v>
          </cell>
          <cell r="EX26">
            <v>245.76</v>
          </cell>
          <cell r="EY26">
            <v>942.99999999999989</v>
          </cell>
          <cell r="EZ26">
            <v>0.15384615384615397</v>
          </cell>
          <cell r="FA26">
            <v>0.11353183962264148</v>
          </cell>
          <cell r="FB26">
            <v>0.12232302055371598</v>
          </cell>
          <cell r="FC26">
            <v>0.13414954935830278</v>
          </cell>
          <cell r="FD26">
            <v>0.16578933704539764</v>
          </cell>
          <cell r="FE26">
            <v>-2.229441924214659E-2</v>
          </cell>
          <cell r="FF26">
            <v>6.9696969696969591E-2</v>
          </cell>
          <cell r="FG26">
            <v>1.1004915587796704E-2</v>
          </cell>
          <cell r="FH26">
            <v>7.2625698324022325E-2</v>
          </cell>
          <cell r="FJ26" t="str">
            <v>Net Income</v>
          </cell>
          <cell r="FK26">
            <v>183.61199999999999</v>
          </cell>
          <cell r="FL26">
            <v>203.52</v>
          </cell>
          <cell r="FM26">
            <v>387.13200000000001</v>
          </cell>
          <cell r="FN26">
            <v>204.148</v>
          </cell>
          <cell r="FO26">
            <v>591.28</v>
          </cell>
          <cell r="FP26">
            <v>216.691</v>
          </cell>
          <cell r="FQ26">
            <v>808.89400000000001</v>
          </cell>
          <cell r="FR26">
            <v>0.15859760799304418</v>
          </cell>
          <cell r="FS26">
            <v>0.17641618497109832</v>
          </cell>
          <cell r="FT26">
            <v>0.11494748799842708</v>
          </cell>
          <cell r="FU26">
            <v>8.1124096448058056E-2</v>
          </cell>
          <cell r="FV26">
            <v>0.13130445728031778</v>
          </cell>
          <cell r="FW26">
            <v>-8.3915079089483036E-2</v>
          </cell>
          <cell r="FX26">
            <v>0.10842428599437959</v>
          </cell>
          <cell r="FY26">
            <v>3.0856918238992836E-3</v>
          </cell>
          <cell r="FZ26">
            <v>6.1440719478025763E-2</v>
          </cell>
          <cell r="GB26" t="str">
            <v>Net Income</v>
          </cell>
          <cell r="GC26">
            <v>158.47779999999995</v>
          </cell>
          <cell r="GD26">
            <v>173</v>
          </cell>
          <cell r="GE26">
            <v>331.47779999999995</v>
          </cell>
          <cell r="GF26">
            <v>183.101</v>
          </cell>
          <cell r="GG26">
            <v>514.5788</v>
          </cell>
          <cell r="GH26">
            <v>200.43119999999999</v>
          </cell>
          <cell r="GI26">
            <v>715.01</v>
          </cell>
          <cell r="GJ26">
            <v>0.2943704557965694</v>
          </cell>
          <cell r="GK26">
            <v>0.1719295108108804</v>
          </cell>
          <cell r="GL26">
            <v>0.1511418340449816</v>
          </cell>
          <cell r="GM26">
            <v>1.9046316155585186</v>
          </cell>
          <cell r="GN26">
            <v>0.4419570976370788</v>
          </cell>
          <cell r="GP26">
            <v>9.163554769185378E-2</v>
          </cell>
          <cell r="GQ26">
            <v>5.838728323699427E-2</v>
          </cell>
          <cell r="GR26">
            <v>9.4648308856860375E-2</v>
          </cell>
        </row>
        <row r="27">
          <cell r="B27" t="str">
            <v>Total</v>
          </cell>
          <cell r="C27">
            <v>0.10951113262342692</v>
          </cell>
          <cell r="D27">
            <v>0.11666666666666667</v>
          </cell>
          <cell r="E27">
            <v>0.1130530432657052</v>
          </cell>
          <cell r="F27">
            <v>0.10365584415584415</v>
          </cell>
          <cell r="G27">
            <v>0.11004612699468086</v>
          </cell>
          <cell r="H27">
            <v>0.11105678046467519</v>
          </cell>
          <cell r="I27">
            <v>0.11030846153846152</v>
          </cell>
          <cell r="U27" t="str">
            <v>Total</v>
          </cell>
          <cell r="V27">
            <v>0.12291220556745182</v>
          </cell>
          <cell r="W27">
            <v>0.12611255648363687</v>
          </cell>
          <cell r="X27">
            <v>0.12454570869443668</v>
          </cell>
          <cell r="Y27">
            <v>0.13067226890756303</v>
          </cell>
          <cell r="Z27">
            <v>0.12658522939201791</v>
          </cell>
          <cell r="AA27">
            <v>0.11946001018848701</v>
          </cell>
          <cell r="AB27">
            <v>0.13410425844346549</v>
          </cell>
          <cell r="AN27" t="str">
            <v>Total</v>
          </cell>
          <cell r="AO27">
            <v>0.10809523809523809</v>
          </cell>
          <cell r="AP27">
            <v>0.1153087543620088</v>
          </cell>
          <cell r="AQ27">
            <v>0.11178341478550927</v>
          </cell>
          <cell r="AR27">
            <v>0.11720807726075505</v>
          </cell>
          <cell r="AS27">
            <v>0.11366286438529785</v>
          </cell>
          <cell r="AT27">
            <v>0.11590153027278775</v>
          </cell>
          <cell r="AU27">
            <v>0.11428046989720998</v>
          </cell>
          <cell r="BF27" t="str">
            <v>% Ch Y/Y</v>
          </cell>
          <cell r="BG27">
            <v>9.6317280453257631E-2</v>
          </cell>
          <cell r="BH27">
            <v>0.24260355029585795</v>
          </cell>
          <cell r="BI27">
            <v>0.16787264833574533</v>
          </cell>
          <cell r="BJ27">
            <v>0.2087912087912086</v>
          </cell>
          <cell r="BK27">
            <v>0.18199052132701432</v>
          </cell>
          <cell r="BL27">
            <v>0.16331658291457288</v>
          </cell>
          <cell r="BM27">
            <v>0.18093922651933717</v>
          </cell>
          <cell r="BX27" t="str">
            <v>% Ch Y/Y</v>
          </cell>
          <cell r="BY27">
            <v>0.33208803856640157</v>
          </cell>
          <cell r="BZ27">
            <v>0.16551724137931054</v>
          </cell>
          <cell r="CA27">
            <v>0.2450506533813217</v>
          </cell>
          <cell r="CB27">
            <v>0.13749999999999998</v>
          </cell>
          <cell r="CC27">
            <v>0.20571773062208765</v>
          </cell>
          <cell r="CD27">
            <v>0.24123737373737369</v>
          </cell>
          <cell r="CE27">
            <v>0.21273031825795644</v>
          </cell>
          <cell r="CP27" t="str">
            <v>% Ch Y/Y</v>
          </cell>
          <cell r="CQ27">
            <v>0.21575216772950409</v>
          </cell>
          <cell r="CR27">
            <v>0.20903860585341458</v>
          </cell>
          <cell r="CS27">
            <v>0.21223489067994672</v>
          </cell>
          <cell r="CT27">
            <v>0.28594104764009748</v>
          </cell>
          <cell r="CU27">
            <v>0.23818940814377187</v>
          </cell>
          <cell r="CV27">
            <v>0.16599190283400814</v>
          </cell>
          <cell r="CW27">
            <v>0.21961184882533197</v>
          </cell>
          <cell r="DH27" t="str">
            <v>% Ch Y/Y</v>
          </cell>
          <cell r="DI27">
            <v>-5.994738431017383E-2</v>
          </cell>
          <cell r="DJ27">
            <v>-0.11893917131942412</v>
          </cell>
          <cell r="DK27">
            <v>-9.1805359941282708E-2</v>
          </cell>
          <cell r="DL27">
            <v>-0.10646738508108447</v>
          </cell>
          <cell r="DM27">
            <v>-0.19827274502236719</v>
          </cell>
          <cell r="DN27">
            <v>6.2362617197912244E-2</v>
          </cell>
          <cell r="DO27">
            <v>-5.8653846153846154E-2</v>
          </cell>
          <cell r="DZ27" t="str">
            <v xml:space="preserve">  % change</v>
          </cell>
          <cell r="EA27">
            <v>9.4449164542622435E-2</v>
          </cell>
          <cell r="EB27">
            <v>0.20127434627977375</v>
          </cell>
          <cell r="EC27">
            <v>0.14966042245362457</v>
          </cell>
          <cell r="ED27">
            <v>0.21550152758379901</v>
          </cell>
          <cell r="EE27">
            <v>0.36516195003742358</v>
          </cell>
          <cell r="EF27">
            <v>5.3291829427083486E-2</v>
          </cell>
          <cell r="EG27">
            <v>0.10286320254506906</v>
          </cell>
          <cell r="ER27" t="str">
            <v xml:space="preserve">  % change</v>
          </cell>
          <cell r="ES27">
            <v>0.15384615384615397</v>
          </cell>
          <cell r="ET27">
            <v>0.11353183962264148</v>
          </cell>
          <cell r="EU27">
            <v>0.13265242862899473</v>
          </cell>
          <cell r="EV27">
            <v>0.12232302055371598</v>
          </cell>
          <cell r="EW27">
            <v>0.12908605060208367</v>
          </cell>
          <cell r="EX27">
            <v>0.13414954935830278</v>
          </cell>
          <cell r="EY27">
            <v>0.16578933704539764</v>
          </cell>
          <cell r="FJ27" t="str">
            <v xml:space="preserve">  % change</v>
          </cell>
          <cell r="FK27">
            <v>0.15859760799304423</v>
          </cell>
          <cell r="FL27">
            <v>0.17641618497109834</v>
          </cell>
          <cell r="FM27">
            <v>0.16789721664618285</v>
          </cell>
          <cell r="FN27">
            <v>0.11494748799842713</v>
          </cell>
          <cell r="FO27">
            <v>0.14905627670630808</v>
          </cell>
          <cell r="FP27">
            <v>8.1124096448057958E-2</v>
          </cell>
          <cell r="FQ27">
            <v>0.13130445728031778</v>
          </cell>
          <cell r="GB27" t="str">
            <v xml:space="preserve">  % change</v>
          </cell>
          <cell r="GC27">
            <v>0.2943704557965694</v>
          </cell>
          <cell r="GD27">
            <v>0.1719295108108804</v>
          </cell>
          <cell r="GE27">
            <v>0.22744097520514228</v>
          </cell>
          <cell r="GF27">
            <v>0.1511418340449816</v>
          </cell>
          <cell r="GG27">
            <v>0.19915921167577078</v>
          </cell>
          <cell r="GH27">
            <v>1.9046316155585186</v>
          </cell>
          <cell r="GI27">
            <v>0.4419570976370788</v>
          </cell>
        </row>
        <row r="28">
          <cell r="B28" t="str">
            <v>Interest,net</v>
          </cell>
          <cell r="C28">
            <v>-39</v>
          </cell>
          <cell r="D28">
            <v>-38</v>
          </cell>
          <cell r="E28">
            <v>-77</v>
          </cell>
          <cell r="F28">
            <v>-37</v>
          </cell>
          <cell r="G28">
            <v>-114</v>
          </cell>
          <cell r="H28">
            <v>-35.714400000000012</v>
          </cell>
          <cell r="I28">
            <v>-149.71440000000001</v>
          </cell>
          <cell r="J28">
            <v>1.0526315789473686</v>
          </cell>
          <cell r="K28">
            <v>2.1666666666666665</v>
          </cell>
          <cell r="L28">
            <v>2.3636363636363638</v>
          </cell>
          <cell r="M28">
            <v>0.48810000000000042</v>
          </cell>
          <cell r="N28">
            <v>1.2684000000000002</v>
          </cell>
          <cell r="O28">
            <v>0.625</v>
          </cell>
          <cell r="P28">
            <v>-2.5641025641025661E-2</v>
          </cell>
          <cell r="Q28">
            <v>-2.6315789473684181E-2</v>
          </cell>
          <cell r="R28">
            <v>-3.47459459459456E-2</v>
          </cell>
          <cell r="U28" t="str">
            <v>Interest,net</v>
          </cell>
          <cell r="V28">
            <v>-19</v>
          </cell>
          <cell r="W28">
            <v>-12</v>
          </cell>
          <cell r="X28">
            <v>-31</v>
          </cell>
          <cell r="Y28">
            <v>-11</v>
          </cell>
          <cell r="Z28">
            <v>-42</v>
          </cell>
          <cell r="AA28">
            <v>-24</v>
          </cell>
          <cell r="AB28">
            <v>-66</v>
          </cell>
          <cell r="AH28">
            <v>0.72727272727272729</v>
          </cell>
          <cell r="AI28">
            <v>-0.36842105263157898</v>
          </cell>
          <cell r="AJ28">
            <v>-8.333333333333337E-2</v>
          </cell>
          <cell r="AK28" t="str">
            <v>NA</v>
          </cell>
          <cell r="AN28" t="str">
            <v>Interest,net</v>
          </cell>
          <cell r="AO28">
            <v>-26</v>
          </cell>
          <cell r="AP28">
            <v>-21</v>
          </cell>
          <cell r="AQ28">
            <v>-47</v>
          </cell>
          <cell r="AR28">
            <v>-12</v>
          </cell>
          <cell r="AS28">
            <v>-59</v>
          </cell>
          <cell r="AT28">
            <v>-11</v>
          </cell>
          <cell r="AU28">
            <v>-70</v>
          </cell>
          <cell r="AV28">
            <v>0.52941176470588225</v>
          </cell>
          <cell r="AW28">
            <v>-8.6956521739130488E-2</v>
          </cell>
          <cell r="AX28">
            <v>-0.64705882352941169</v>
          </cell>
          <cell r="AY28">
            <v>-0.59259259259259256</v>
          </cell>
          <cell r="AZ28">
            <v>-0.30693069306930698</v>
          </cell>
          <cell r="BA28">
            <v>-3.703703703703709E-2</v>
          </cell>
          <cell r="BB28">
            <v>-0.19230769230769229</v>
          </cell>
          <cell r="BC28">
            <v>-0.4285714285714286</v>
          </cell>
          <cell r="BD28">
            <v>-8.333333333333337E-2</v>
          </cell>
        </row>
        <row r="29">
          <cell r="B29" t="str">
            <v>Other</v>
          </cell>
          <cell r="C29">
            <v>3</v>
          </cell>
          <cell r="D29">
            <v>0</v>
          </cell>
          <cell r="E29">
            <v>3</v>
          </cell>
          <cell r="F29">
            <v>0</v>
          </cell>
          <cell r="G29">
            <v>3</v>
          </cell>
          <cell r="H29">
            <v>0</v>
          </cell>
          <cell r="I29">
            <v>3</v>
          </cell>
          <cell r="U29" t="str">
            <v>Other</v>
          </cell>
          <cell r="V29">
            <v>3</v>
          </cell>
          <cell r="W29">
            <v>0</v>
          </cell>
          <cell r="X29">
            <v>3</v>
          </cell>
          <cell r="Y29">
            <v>0</v>
          </cell>
          <cell r="Z29">
            <v>3</v>
          </cell>
          <cell r="AA29">
            <v>14</v>
          </cell>
          <cell r="AB29">
            <v>17</v>
          </cell>
          <cell r="AN29" t="str">
            <v>Other</v>
          </cell>
          <cell r="AO29">
            <v>1</v>
          </cell>
          <cell r="AP29">
            <v>1</v>
          </cell>
          <cell r="AQ29">
            <v>2</v>
          </cell>
          <cell r="AR29">
            <v>2</v>
          </cell>
          <cell r="AS29">
            <v>4</v>
          </cell>
          <cell r="AT29">
            <v>0</v>
          </cell>
          <cell r="AU29">
            <v>4</v>
          </cell>
          <cell r="BF29" t="str">
            <v>EPS, Cont. Ops</v>
          </cell>
          <cell r="BG29">
            <v>0.95673671199011112</v>
          </cell>
          <cell r="BH29">
            <v>1.0320485247395879</v>
          </cell>
          <cell r="BI29">
            <v>1.9890133287295355</v>
          </cell>
          <cell r="BJ29">
            <v>1.0806109303643339</v>
          </cell>
          <cell r="BK29">
            <v>3.069828918360527</v>
          </cell>
          <cell r="BL29">
            <v>1.1328602887203327</v>
          </cell>
          <cell r="BM29">
            <v>4.2035398230088497</v>
          </cell>
          <cell r="BN29">
            <v>9.5090998756902634E-2</v>
          </cell>
          <cell r="BO29">
            <v>0.23478674454132631</v>
          </cell>
          <cell r="BP29">
            <v>0.20412934933271965</v>
          </cell>
          <cell r="BQ29">
            <v>0.15364577589439721</v>
          </cell>
          <cell r="BR29">
            <v>0.17527257615019809</v>
          </cell>
          <cell r="BS29">
            <v>-2.5709279934903462E-2</v>
          </cell>
          <cell r="BT29">
            <v>7.8717385677424589E-2</v>
          </cell>
          <cell r="BU29">
            <v>4.7054382096035186E-2</v>
          </cell>
          <cell r="BV29">
            <v>4.8351684114820825E-2</v>
          </cell>
          <cell r="BX29" t="str">
            <v>EPS, Cont. Ops</v>
          </cell>
          <cell r="BY29">
            <v>0.87365955256335326</v>
          </cell>
          <cell r="BZ29">
            <v>0.8358111465821999</v>
          </cell>
          <cell r="CA29">
            <v>1.7094543122247943</v>
          </cell>
          <cell r="CB29">
            <v>0.8974209713957767</v>
          </cell>
          <cell r="CC29">
            <v>2.6069726371855473</v>
          </cell>
          <cell r="CD29">
            <v>0.98198278222971003</v>
          </cell>
          <cell r="CE29">
            <v>3.5766509900011854</v>
          </cell>
          <cell r="CF29">
            <v>0.32074293805138465</v>
          </cell>
          <cell r="CG29">
            <v>0.15860717560704951</v>
          </cell>
          <cell r="CH29">
            <v>0.13216564561280753</v>
          </cell>
          <cell r="CI29">
            <v>0.24078712545662984</v>
          </cell>
          <cell r="CJ29">
            <v>0.20699689280162303</v>
          </cell>
          <cell r="CK29">
            <v>0.10391500184086522</v>
          </cell>
          <cell r="CL29">
            <v>-4.332168734389108E-2</v>
          </cell>
          <cell r="CM29">
            <v>7.3712614465016202E-2</v>
          </cell>
          <cell r="CN29">
            <v>9.4227584967635281E-2</v>
          </cell>
          <cell r="CP29" t="str">
            <v>EPS</v>
          </cell>
          <cell r="CQ29">
            <v>0.66149098919457006</v>
          </cell>
          <cell r="CR29">
            <v>0.72139303482587069</v>
          </cell>
          <cell r="CS29">
            <v>1.3829880372092338</v>
          </cell>
          <cell r="CT29">
            <v>0.79265871992611958</v>
          </cell>
          <cell r="CU29">
            <v>2.1760495427795985</v>
          </cell>
          <cell r="CV29">
            <v>0.79141922259092146</v>
          </cell>
          <cell r="CW29">
            <v>2.9632644552209539</v>
          </cell>
          <cell r="CX29">
            <v>-0.3939544407847152</v>
          </cell>
          <cell r="CY29">
            <v>-0.40269883800376083</v>
          </cell>
          <cell r="CZ29">
            <v>-0.36604503302402636</v>
          </cell>
          <cell r="DA29">
            <v>-0.42570711885631951</v>
          </cell>
          <cell r="DB29">
            <v>0.20559763592678948</v>
          </cell>
          <cell r="DC29">
            <v>-0.51998946299097559</v>
          </cell>
          <cell r="DD29">
            <v>9.0556102214237599E-2</v>
          </cell>
          <cell r="DE29">
            <v>9.8788984173448391E-2</v>
          </cell>
          <cell r="DF29">
            <v>-1.5637213141534989E-3</v>
          </cell>
          <cell r="DH29" t="str">
            <v>EPS</v>
          </cell>
          <cell r="DI29">
            <v>1.0914872308462695</v>
          </cell>
          <cell r="DJ29">
            <v>1.2077542799597181</v>
          </cell>
          <cell r="DK29">
            <v>2.2989204117499376</v>
          </cell>
          <cell r="DL29">
            <v>1.2503391584849917</v>
          </cell>
          <cell r="DM29">
            <v>3.5492163355777953</v>
          </cell>
          <cell r="DN29">
            <v>1.3780759758241174</v>
          </cell>
          <cell r="DO29">
            <v>2.457921587531132</v>
          </cell>
          <cell r="DP29">
            <v>-4.582541211653586E-2</v>
          </cell>
          <cell r="DQ29">
            <v>-9.5870106318724044E-2</v>
          </cell>
          <cell r="DR29">
            <v>-8.8158725718605252E-2</v>
          </cell>
          <cell r="DS29">
            <v>7.645133147504804E-2</v>
          </cell>
          <cell r="DT29">
            <v>-4.116478870410533E-2</v>
          </cell>
          <cell r="DU29">
            <v>-0.14741066273225889</v>
          </cell>
          <cell r="DV29">
            <v>0.10652167595520323</v>
          </cell>
          <cell r="DW29">
            <v>3.5259555053445135E-2</v>
          </cell>
          <cell r="DX29">
            <v>0.10216173465598066</v>
          </cell>
          <cell r="DZ29" t="str">
            <v>EPS</v>
          </cell>
          <cell r="EA29">
            <v>1.1439072520966946</v>
          </cell>
          <cell r="EB29">
            <v>1.3358194308145239</v>
          </cell>
          <cell r="EC29">
            <v>2.4797266829112186</v>
          </cell>
          <cell r="ED29">
            <v>1.3712245691777452</v>
          </cell>
          <cell r="EE29">
            <v>3.8509512520889637</v>
          </cell>
          <cell r="EF29">
            <v>1.2802027695351139</v>
          </cell>
          <cell r="EG29">
            <v>2.5634452704434758</v>
          </cell>
          <cell r="EH29">
            <v>9.1749487274387018E-2</v>
          </cell>
          <cell r="EI29">
            <v>0.1965588434484497</v>
          </cell>
          <cell r="EJ29">
            <v>0.21849389963595023</v>
          </cell>
          <cell r="EK29">
            <v>-2.3256765252708038</v>
          </cell>
          <cell r="EL29">
            <v>0.10312416834142381</v>
          </cell>
          <cell r="EM29">
            <v>-2.1845396895542537</v>
          </cell>
          <cell r="EN29">
            <v>0.16776900257085425</v>
          </cell>
          <cell r="EO29">
            <v>2.6504434316869219E-2</v>
          </cell>
          <cell r="EP29">
            <v>-6.6379936363897274E-2</v>
          </cell>
          <cell r="ER29" t="str">
            <v>EPS</v>
          </cell>
          <cell r="ES29">
            <v>1.0477744807121663</v>
          </cell>
          <cell r="ET29">
            <v>1.116384236453202</v>
          </cell>
          <cell r="EU29">
            <v>2.1641587171653685</v>
          </cell>
          <cell r="EV29">
            <v>1.1253438113948919</v>
          </cell>
          <cell r="EW29">
            <v>3.2895025285602602</v>
          </cell>
          <cell r="EX29">
            <v>-0.96569769859476029</v>
          </cell>
          <cell r="EY29">
            <v>2.3238048299654999</v>
          </cell>
          <cell r="EZ29">
            <v>0.15441679981739356</v>
          </cell>
          <cell r="FA29">
            <v>0.10694938539827117</v>
          </cell>
          <cell r="FB29">
            <v>0.1057858444158911</v>
          </cell>
          <cell r="FC29">
            <v>-1.8993349773475714</v>
          </cell>
          <cell r="FD29">
            <v>0.15659632108052515</v>
          </cell>
          <cell r="FE29">
            <v>-2.4228554911301603E-2</v>
          </cell>
          <cell r="FF29">
            <v>6.5481415136587451E-2</v>
          </cell>
          <cell r="FG29">
            <v>8.0255297854749941E-3</v>
          </cell>
          <cell r="FH29">
            <v>-1.8581356993448552</v>
          </cell>
          <cell r="FJ29" t="str">
            <v>EPS</v>
          </cell>
          <cell r="FK29">
            <v>0.90762234305486889</v>
          </cell>
          <cell r="FL29">
            <v>1.0085232903865213</v>
          </cell>
          <cell r="FM29">
            <v>1.9161456334413902</v>
          </cell>
          <cell r="FN29">
            <v>1.0176869391824526</v>
          </cell>
          <cell r="FO29">
            <v>2.9338325726238428</v>
          </cell>
          <cell r="FP29">
            <v>1.073790882061447</v>
          </cell>
          <cell r="FQ29">
            <v>2.0091753601589666</v>
          </cell>
          <cell r="FR29">
            <v>0.15825398042764821</v>
          </cell>
          <cell r="FS29">
            <v>0.17699914641062814</v>
          </cell>
          <cell r="FT29">
            <v>0.12606361449890977</v>
          </cell>
          <cell r="FU29">
            <v>8.5410019526147435E-2</v>
          </cell>
          <cell r="FV29">
            <v>0.13580045114929057</v>
          </cell>
          <cell r="FW29">
            <v>-8.2556574510772585E-2</v>
          </cell>
          <cell r="FX29">
            <v>0.11117062961676405</v>
          </cell>
          <cell r="FY29">
            <v>9.0862044370032535E-3</v>
          </cell>
          <cell r="FZ29">
            <v>5.512888170114949E-2</v>
          </cell>
          <cell r="GB29" t="str">
            <v>EPS</v>
          </cell>
          <cell r="GC29">
            <v>0.78361253955696175</v>
          </cell>
          <cell r="GD29">
            <v>0.85685983159980184</v>
          </cell>
          <cell r="GE29">
            <v>1.6404723711567635</v>
          </cell>
          <cell r="GF29">
            <v>0.90375616979269502</v>
          </cell>
          <cell r="GG29">
            <v>2.5442285409494585</v>
          </cell>
          <cell r="GH29">
            <v>0.98929516288252717</v>
          </cell>
          <cell r="GI29">
            <v>1.7689510143493321</v>
          </cell>
          <cell r="GJ29">
            <v>0.2946584634632568</v>
          </cell>
          <cell r="GK29">
            <v>0.18063626794914847</v>
          </cell>
          <cell r="GL29">
            <v>0.1505736495266968</v>
          </cell>
          <cell r="GM29">
            <v>0.31906021717670291</v>
          </cell>
          <cell r="GN29">
            <v>0.44267058457306957</v>
          </cell>
          <cell r="GP29">
            <v>9.3473864116891958E-2</v>
          </cell>
          <cell r="GQ29">
            <v>5.4730466365000785E-2</v>
          </cell>
          <cell r="GR29">
            <v>9.4648308856860375E-2</v>
          </cell>
        </row>
        <row r="30">
          <cell r="B30" t="str">
            <v>Pretax Inc</v>
          </cell>
          <cell r="C30">
            <v>869</v>
          </cell>
          <cell r="D30">
            <v>907</v>
          </cell>
          <cell r="E30">
            <v>1776</v>
          </cell>
          <cell r="F30">
            <v>761.15</v>
          </cell>
          <cell r="G30">
            <v>2537.15</v>
          </cell>
          <cell r="H30">
            <v>901.16059999999993</v>
          </cell>
          <cell r="I30">
            <v>3438.3105999999998</v>
          </cell>
          <cell r="J30">
            <v>2.8402366863905293E-2</v>
          </cell>
          <cell r="K30">
            <v>-2.2002200220021528E-3</v>
          </cell>
          <cell r="L30">
            <v>-0.17445770065075927</v>
          </cell>
          <cell r="M30">
            <v>-2.8921767241379404E-2</v>
          </cell>
          <cell r="N30">
            <v>-4.5973751387347495E-2</v>
          </cell>
          <cell r="O30">
            <v>-6.3577586206896575E-2</v>
          </cell>
          <cell r="P30">
            <v>4.3728423475258849E-2</v>
          </cell>
          <cell r="Q30">
            <v>-0.16080485115766263</v>
          </cell>
          <cell r="R30">
            <v>0.18394613413913152</v>
          </cell>
          <cell r="U30" t="str">
            <v>Pretax Inc</v>
          </cell>
          <cell r="V30">
            <v>845</v>
          </cell>
          <cell r="W30">
            <v>909</v>
          </cell>
          <cell r="X30">
            <v>1754</v>
          </cell>
          <cell r="Y30">
            <v>922</v>
          </cell>
          <cell r="Z30">
            <v>2676</v>
          </cell>
          <cell r="AA30">
            <v>928</v>
          </cell>
          <cell r="AB30">
            <v>3604</v>
          </cell>
          <cell r="AC30">
            <v>0.28810975609756095</v>
          </cell>
          <cell r="AD30">
            <v>0.22837837837837838</v>
          </cell>
          <cell r="AE30">
            <v>0.16561314791403281</v>
          </cell>
          <cell r="AF30">
            <v>7.9069767441860561E-2</v>
          </cell>
          <cell r="AG30">
            <v>0.18280275680997704</v>
          </cell>
          <cell r="AH30">
            <v>-1.744186046511631E-2</v>
          </cell>
          <cell r="AI30">
            <v>7.5739644970414188E-2</v>
          </cell>
          <cell r="AJ30">
            <v>1.4301430143014215E-2</v>
          </cell>
          <cell r="AK30">
            <v>6.5075921908894774E-3</v>
          </cell>
          <cell r="AN30" t="str">
            <v>Pretax Inc</v>
          </cell>
          <cell r="AO30">
            <v>656</v>
          </cell>
          <cell r="AP30">
            <v>740</v>
          </cell>
          <cell r="AQ30">
            <v>1396</v>
          </cell>
          <cell r="AR30">
            <v>791</v>
          </cell>
          <cell r="AS30">
            <v>2187</v>
          </cell>
          <cell r="AT30">
            <v>860</v>
          </cell>
          <cell r="AU30">
            <v>3047</v>
          </cell>
          <cell r="AV30">
            <v>0.13298791018998268</v>
          </cell>
          <cell r="AW30">
            <v>0.17834394904458595</v>
          </cell>
          <cell r="AX30">
            <v>0.22826086956521729</v>
          </cell>
          <cell r="AY30">
            <v>0.27218934911242609</v>
          </cell>
          <cell r="AZ30">
            <v>0.20577760189948546</v>
          </cell>
          <cell r="BA30">
            <v>-2.9585798816568087E-2</v>
          </cell>
          <cell r="BB30">
            <v>0.12804878048780477</v>
          </cell>
          <cell r="BC30">
            <v>6.8918918918918992E-2</v>
          </cell>
          <cell r="BD30">
            <v>8.7231352718078359E-2</v>
          </cell>
          <cell r="BF30" t="str">
            <v>EPS, Non-recurring</v>
          </cell>
          <cell r="BG30">
            <v>-3.2138442521631644E-2</v>
          </cell>
          <cell r="BH30">
            <v>0.5307678127232166</v>
          </cell>
          <cell r="BI30">
            <v>0.49862937020158493</v>
          </cell>
          <cell r="BJ30">
            <v>-4.9118678652924266E-3</v>
          </cell>
          <cell r="BK30">
            <v>0.49371750233629252</v>
          </cell>
          <cell r="BL30">
            <v>-0.13457303645705898</v>
          </cell>
          <cell r="BM30">
            <v>0.35889872173058013</v>
          </cell>
          <cell r="BX30" t="str">
            <v>EPS, Non-recurring</v>
          </cell>
          <cell r="BY30">
            <v>-4.2074256072456108E-2</v>
          </cell>
          <cell r="BZ30">
            <v>5.0000000000000001E-3</v>
          </cell>
          <cell r="CA30">
            <v>-3.707425607245611E-2</v>
          </cell>
          <cell r="CB30">
            <v>2.4654422291092763E-2</v>
          </cell>
          <cell r="CC30">
            <v>-1.2419833781363347E-2</v>
          </cell>
          <cell r="CD30">
            <v>1.9738347381501709E-2</v>
          </cell>
          <cell r="CE30">
            <v>3.2110816899181917E-2</v>
          </cell>
          <cell r="CP30" t="str">
            <v>EPS-Disc. Opns</v>
          </cell>
          <cell r="CQ30">
            <v>9.9848638450486527E-3</v>
          </cell>
          <cell r="CR30">
            <v>2.4875621890547265E-2</v>
          </cell>
          <cell r="CS30">
            <v>3.4860485735595914E-2</v>
          </cell>
          <cell r="CT30">
            <v>4.954116999538247E-3</v>
          </cell>
          <cell r="CU30">
            <v>3.9814602735134159E-2</v>
          </cell>
          <cell r="CV30">
            <v>1.4999999999999999E-2</v>
          </cell>
          <cell r="CW30">
            <v>5.459951257526046E-2</v>
          </cell>
          <cell r="DH30" t="str">
            <v>EPS-Disc. Opns</v>
          </cell>
          <cell r="DI30">
            <v>0</v>
          </cell>
          <cell r="DJ30">
            <v>0</v>
          </cell>
          <cell r="DK30">
            <v>0</v>
          </cell>
          <cell r="DL30">
            <v>3.5171991036166861E-2</v>
          </cell>
          <cell r="DM30">
            <v>3.5171991036166861E-2</v>
          </cell>
          <cell r="DN30">
            <v>2.0044741466532619E-2</v>
          </cell>
          <cell r="DO30">
            <v>5.5234192978227688E-2</v>
          </cell>
          <cell r="DZ30" t="str">
            <v>EPS-Disc. Opns</v>
          </cell>
          <cell r="EA30">
            <v>-0.01</v>
          </cell>
          <cell r="EB30">
            <v>-0.05</v>
          </cell>
          <cell r="EC30">
            <v>-6.0000000000000005E-2</v>
          </cell>
          <cell r="ED30">
            <v>-0.05</v>
          </cell>
          <cell r="EE30">
            <v>-0.11000000000000001</v>
          </cell>
          <cell r="EF30">
            <v>-0.55000000000000004</v>
          </cell>
          <cell r="EG30">
            <v>-0.66</v>
          </cell>
          <cell r="ER30" t="str">
            <v>EPS-Disc. Opns</v>
          </cell>
          <cell r="ES30">
            <v>0.14000000000000001</v>
          </cell>
          <cell r="ET30">
            <v>0</v>
          </cell>
          <cell r="EV30">
            <v>0</v>
          </cell>
          <cell r="EW30">
            <v>0</v>
          </cell>
          <cell r="EX30">
            <v>0</v>
          </cell>
          <cell r="EY30">
            <v>0</v>
          </cell>
          <cell r="EZ30" t="str">
            <v>nm</v>
          </cell>
          <cell r="FJ30" t="str">
            <v>EPS-Disc. Opns</v>
          </cell>
          <cell r="FK30">
            <v>0</v>
          </cell>
          <cell r="FL30">
            <v>0</v>
          </cell>
          <cell r="FN30">
            <v>0.47</v>
          </cell>
          <cell r="FO30">
            <v>0.47</v>
          </cell>
          <cell r="FP30">
            <v>-0.24499999999999997</v>
          </cell>
          <cell r="FQ30">
            <v>0.22500000000000001</v>
          </cell>
          <cell r="FR30" t="str">
            <v>nm</v>
          </cell>
          <cell r="GB30" t="str">
            <v>EPS-Disc. Opns</v>
          </cell>
          <cell r="GC30">
            <v>0.82</v>
          </cell>
          <cell r="GE30">
            <v>0.82</v>
          </cell>
          <cell r="GG30">
            <v>0.82</v>
          </cell>
          <cell r="GI30">
            <v>0.41</v>
          </cell>
        </row>
        <row r="31">
          <cell r="B31" t="str">
            <v>Eff Tax Rate</v>
          </cell>
          <cell r="C31">
            <v>0.31726121979286537</v>
          </cell>
          <cell r="D31">
            <v>0.31477398015435504</v>
          </cell>
          <cell r="E31">
            <v>0.31599099099099104</v>
          </cell>
          <cell r="F31">
            <v>0.316</v>
          </cell>
          <cell r="G31">
            <v>0.31599369371144798</v>
          </cell>
          <cell r="H31">
            <v>0.31143924499140313</v>
          </cell>
          <cell r="I31">
            <v>0.31480000000000002</v>
          </cell>
          <cell r="U31" t="str">
            <v>Eff Tax Rate</v>
          </cell>
          <cell r="V31">
            <v>0.32189349112426036</v>
          </cell>
          <cell r="W31">
            <v>0.33333333333333331</v>
          </cell>
          <cell r="X31">
            <v>0.32782212086659068</v>
          </cell>
          <cell r="Y31">
            <v>0.31236442516268981</v>
          </cell>
          <cell r="Z31">
            <v>0.32249626307922274</v>
          </cell>
          <cell r="AA31">
            <v>0.32112068965517238</v>
          </cell>
          <cell r="AB31">
            <v>0.32214206437291898</v>
          </cell>
          <cell r="AN31" t="str">
            <v>Eff Tax Rate</v>
          </cell>
          <cell r="AO31">
            <v>0.32926829268292684</v>
          </cell>
          <cell r="AP31">
            <v>0.3</v>
          </cell>
          <cell r="AQ31">
            <v>0.31375358166189116</v>
          </cell>
          <cell r="AR31">
            <v>0.31226300000000001</v>
          </cell>
          <cell r="AS31">
            <v>0.31321446410608134</v>
          </cell>
          <cell r="AT31">
            <v>0.32790693837209323</v>
          </cell>
          <cell r="AU31">
            <v>0.31736133902198882</v>
          </cell>
          <cell r="BF31" t="str">
            <v>EPS, Reported</v>
          </cell>
          <cell r="BG31">
            <v>0.92459826946847945</v>
          </cell>
          <cell r="BH31">
            <v>1.5628163374628046</v>
          </cell>
          <cell r="BI31">
            <v>2.4876426989311202</v>
          </cell>
          <cell r="BJ31">
            <v>1.0756990624990415</v>
          </cell>
          <cell r="BK31">
            <v>3.5635464206968193</v>
          </cell>
          <cell r="BL31">
            <v>0.99828725226327375</v>
          </cell>
          <cell r="BM31">
            <v>4.5624385447394298</v>
          </cell>
          <cell r="BN31">
            <v>0.11185018947554282</v>
          </cell>
          <cell r="BO31">
            <v>0.85870078413621442</v>
          </cell>
          <cell r="BP31">
            <v>0.16660640752803957</v>
          </cell>
          <cell r="BQ31">
            <v>-3.4279773546065373E-3</v>
          </cell>
          <cell r="BR31">
            <v>0.26426702256034829</v>
          </cell>
          <cell r="BS31">
            <v>-7.6990349771962285E-2</v>
          </cell>
          <cell r="BT31">
            <v>0.69026526337888927</v>
          </cell>
          <cell r="BU31">
            <v>-0.3116919520783783</v>
          </cell>
          <cell r="BV31">
            <v>-7.1964188623467096E-2</v>
          </cell>
          <cell r="BX31" t="str">
            <v>EPS, Reported</v>
          </cell>
          <cell r="BY31">
            <v>0.83158529649089719</v>
          </cell>
          <cell r="BZ31">
            <v>0.84081114658219991</v>
          </cell>
          <cell r="CA31">
            <v>1.6723800561523381</v>
          </cell>
          <cell r="CB31">
            <v>0.92207539368686942</v>
          </cell>
          <cell r="CC31">
            <v>2.5945528034041838</v>
          </cell>
          <cell r="CD31">
            <v>1.0017211296112118</v>
          </cell>
          <cell r="CE31">
            <v>3.6087618069003673</v>
          </cell>
          <cell r="CF31">
            <v>0.23844408213117307</v>
          </cell>
          <cell r="CG31">
            <v>0.12668693642014772</v>
          </cell>
          <cell r="CH31">
            <v>0.15604382351836743</v>
          </cell>
          <cell r="CI31">
            <v>0.24218409178393641</v>
          </cell>
          <cell r="CJ31">
            <v>0.19580002459012569</v>
          </cell>
          <cell r="CK31">
            <v>3.1207185040952101E-2</v>
          </cell>
          <cell r="CL31">
            <v>1.109429198692391E-2</v>
          </cell>
          <cell r="CM31">
            <v>9.6649821348110398E-2</v>
          </cell>
          <cell r="CN31">
            <v>8.6376598345047739E-2</v>
          </cell>
          <cell r="CP31" t="str">
            <v>Total EPS</v>
          </cell>
          <cell r="CQ31">
            <v>0.67147585303961876</v>
          </cell>
          <cell r="CR31">
            <v>0.74626865671641796</v>
          </cell>
          <cell r="CS31">
            <v>1.4178485229448297</v>
          </cell>
          <cell r="CT31">
            <v>0.79761283692565776</v>
          </cell>
          <cell r="CU31">
            <v>2.2158641455147325</v>
          </cell>
          <cell r="CV31">
            <v>0.80641922259092147</v>
          </cell>
          <cell r="CW31">
            <v>3.0178639677962145</v>
          </cell>
          <cell r="CX31">
            <v>-0.38480649698576941</v>
          </cell>
          <cell r="CY31">
            <v>-0.38210224621078714</v>
          </cell>
          <cell r="CZ31">
            <v>-0.37953643014083438</v>
          </cell>
          <cell r="DA31">
            <v>-1.7525397262523237</v>
          </cell>
          <cell r="DB31">
            <v>0.20082646336573773</v>
          </cell>
          <cell r="DC31">
            <v>-1.6266123629939981</v>
          </cell>
          <cell r="DD31">
            <v>0.11138569367495377</v>
          </cell>
          <cell r="DE31">
            <v>6.880120148038138E-2</v>
          </cell>
          <cell r="DF31">
            <v>1.1040927700220138E-2</v>
          </cell>
          <cell r="DH31" t="str">
            <v>Total EPS</v>
          </cell>
          <cell r="DI31">
            <v>1.0914872308462695</v>
          </cell>
          <cell r="DJ31">
            <v>1.2077542799597181</v>
          </cell>
          <cell r="DK31">
            <v>2.2989204117499376</v>
          </cell>
          <cell r="DL31">
            <v>1.2855111495211586</v>
          </cell>
          <cell r="DM31">
            <v>3.5843883266139622</v>
          </cell>
          <cell r="DN31">
            <v>-1.0715968798177866</v>
          </cell>
          <cell r="DO31">
            <v>2.5131557805093596</v>
          </cell>
          <cell r="DP31">
            <v>-3.7410485885848895E-2</v>
          </cell>
          <cell r="DQ31">
            <v>-6.0712374524744997E-2</v>
          </cell>
          <cell r="DR31">
            <v>-2.70305446096968E-2</v>
          </cell>
          <cell r="DS31">
            <v>-2.4675332996888284</v>
          </cell>
          <cell r="DT31">
            <v>0.11188369986452498</v>
          </cell>
          <cell r="DU31">
            <v>0.49477278967480309</v>
          </cell>
          <cell r="DV31">
            <v>0.10652167595520323</v>
          </cell>
          <cell r="DW31">
            <v>6.4381365358551212E-2</v>
          </cell>
          <cell r="DX31">
            <v>-1.8335959436967519</v>
          </cell>
          <cell r="DZ31" t="str">
            <v>Total EPS</v>
          </cell>
          <cell r="EA31">
            <v>1.1339072520966946</v>
          </cell>
          <cell r="EB31">
            <v>1.2858194308145239</v>
          </cell>
          <cell r="EC31">
            <v>2.4197266829112185</v>
          </cell>
          <cell r="ED31">
            <v>1.3212245691777451</v>
          </cell>
          <cell r="EE31">
            <v>3.7409512520889638</v>
          </cell>
          <cell r="EF31">
            <v>0.73020276953511387</v>
          </cell>
          <cell r="EG31">
            <v>2.260268570189103</v>
          </cell>
          <cell r="EH31">
            <v>-4.5351394132641935E-2</v>
          </cell>
          <cell r="EI31">
            <v>0.1517713962888122</v>
          </cell>
          <cell r="EJ31">
            <v>0.17406303371416249</v>
          </cell>
          <cell r="EK31">
            <v>-1.6604000084861661</v>
          </cell>
          <cell r="EL31">
            <v>-2.73414784912639E-2</v>
          </cell>
          <cell r="EM31">
            <v>-2.0255128988129272</v>
          </cell>
          <cell r="EN31">
            <v>0.13397231425844591</v>
          </cell>
          <cell r="EO31">
            <v>2.753507803253008E-2</v>
          </cell>
          <cell r="EP31">
            <v>-0.44732879892662725</v>
          </cell>
          <cell r="ER31" t="str">
            <v>Total EPS</v>
          </cell>
          <cell r="ES31">
            <v>1.1877744807121662</v>
          </cell>
          <cell r="ET31">
            <v>1.116384236453202</v>
          </cell>
          <cell r="EU31">
            <v>2.3041587171653681</v>
          </cell>
          <cell r="EV31">
            <v>1.1253438113948919</v>
          </cell>
          <cell r="EW31">
            <v>3.4295025285602598</v>
          </cell>
          <cell r="EX31">
            <v>-1.10569769859476</v>
          </cell>
          <cell r="EY31">
            <v>2.3238048299654999</v>
          </cell>
          <cell r="EZ31">
            <v>0.30866597743105706</v>
          </cell>
          <cell r="FA31">
            <v>0.10694938539827117</v>
          </cell>
          <cell r="FB31">
            <v>-0.24356140949028135</v>
          </cell>
          <cell r="FC31">
            <v>-5.4682272026802876E-2</v>
          </cell>
          <cell r="FD31">
            <v>4.0117473052856449E-2</v>
          </cell>
          <cell r="FE31">
            <v>-2.0154893827475409</v>
          </cell>
          <cell r="FF31">
            <v>-6.010420784268744E-2</v>
          </cell>
          <cell r="FG31">
            <v>8.0255297854749941E-3</v>
          </cell>
          <cell r="FH31">
            <v>-1.9825421239258603</v>
          </cell>
          <cell r="FJ31" t="str">
            <v>Total EPS</v>
          </cell>
          <cell r="FK31">
            <v>0.90762234305486889</v>
          </cell>
          <cell r="FL31">
            <v>1.0085232903865213</v>
          </cell>
          <cell r="FM31">
            <v>1.9161456334413902</v>
          </cell>
          <cell r="FN31">
            <v>1.4876869391824525</v>
          </cell>
          <cell r="FO31">
            <v>3.403832572623843</v>
          </cell>
          <cell r="FP31">
            <v>-1.1696572124648763</v>
          </cell>
          <cell r="FQ31">
            <v>2.2341753601589667</v>
          </cell>
          <cell r="FR31">
            <v>-0.43401393998476567</v>
          </cell>
          <cell r="FS31">
            <v>0.17699914641062814</v>
          </cell>
          <cell r="FT31">
            <v>0.64611538920248857</v>
          </cell>
          <cell r="FU31">
            <v>-1.3178613265414776E-2</v>
          </cell>
          <cell r="FV31">
            <v>2.5344464123313704E-2</v>
          </cell>
          <cell r="FW31">
            <v>-1.7657466902779391</v>
          </cell>
          <cell r="FX31">
            <v>0.11117062961676405</v>
          </cell>
          <cell r="FY31">
            <v>0.47511411324203467</v>
          </cell>
          <cell r="FZ31">
            <v>-1.7862253688317336</v>
          </cell>
          <cell r="GB31" t="str">
            <v>Total EPS</v>
          </cell>
          <cell r="GC31">
            <v>1.6036125395569618</v>
          </cell>
          <cell r="GD31">
            <v>0.85685983159980184</v>
          </cell>
          <cell r="GE31">
            <v>2.4604723711567638</v>
          </cell>
          <cell r="GF31">
            <v>0.90375616979269502</v>
          </cell>
          <cell r="GG31">
            <v>3.3642285409494588</v>
          </cell>
          <cell r="GH31">
            <v>-1.1852775266001268</v>
          </cell>
          <cell r="GI31">
            <v>2.178951014349332</v>
          </cell>
          <cell r="GJ31">
            <v>1.6494350736488066</v>
          </cell>
          <cell r="GK31">
            <v>0.18063626794914847</v>
          </cell>
          <cell r="GL31">
            <v>0.1505736495266968</v>
          </cell>
          <cell r="GM31">
            <v>0.3312552313687942</v>
          </cell>
          <cell r="GN31">
            <v>0.77704668367184893</v>
          </cell>
          <cell r="GP31">
            <v>-0.46566903758651645</v>
          </cell>
          <cell r="GQ31">
            <v>5.4730466365000785E-2</v>
          </cell>
          <cell r="GR31">
            <v>-2.3115014494141795</v>
          </cell>
        </row>
        <row r="32">
          <cell r="B32" t="str">
            <v>Net Income</v>
          </cell>
          <cell r="C32">
            <v>593.29999999999995</v>
          </cell>
          <cell r="D32">
            <v>621.5</v>
          </cell>
          <cell r="E32">
            <v>1214.8</v>
          </cell>
          <cell r="F32">
            <v>520.62659999999994</v>
          </cell>
          <cell r="G32">
            <v>1735.4265999999998</v>
          </cell>
          <cell r="H32">
            <v>620.50382312000011</v>
          </cell>
          <cell r="I32">
            <v>2355.9304231199999</v>
          </cell>
          <cell r="J32">
            <v>3.5427574171029486E-2</v>
          </cell>
          <cell r="K32">
            <v>2.5577557755775304E-2</v>
          </cell>
          <cell r="L32">
            <v>-0.17882239747634077</v>
          </cell>
          <cell r="M32">
            <v>-1.5073296634920519E-2</v>
          </cell>
          <cell r="N32">
            <v>-3.5640432615636541E-2</v>
          </cell>
          <cell r="O32">
            <v>-5.8253968253968336E-2</v>
          </cell>
          <cell r="P32">
            <v>4.7530760155064966E-2</v>
          </cell>
          <cell r="Q32">
            <v>-0.16230635559131146</v>
          </cell>
          <cell r="R32">
            <v>0.19184041522273376</v>
          </cell>
          <cell r="BF32" t="str">
            <v>% Ch Y/Y</v>
          </cell>
          <cell r="BG32">
            <v>9.5090998756902551E-2</v>
          </cell>
          <cell r="BH32">
            <v>0.23478674454132625</v>
          </cell>
          <cell r="BI32">
            <v>0.16353699218840489</v>
          </cell>
          <cell r="BJ32">
            <v>0.2041293493327197</v>
          </cell>
          <cell r="BK32">
            <v>0.17754550798610347</v>
          </cell>
          <cell r="BL32">
            <v>0.15364577589439724</v>
          </cell>
          <cell r="BM32">
            <v>0.17527257615019809</v>
          </cell>
          <cell r="BX32" t="str">
            <v>% Ch Y/Y</v>
          </cell>
          <cell r="BY32">
            <v>0.32074293805138476</v>
          </cell>
          <cell r="BZ32">
            <v>0.15860717560704946</v>
          </cell>
          <cell r="CA32">
            <v>0.23605863986672282</v>
          </cell>
          <cell r="CB32">
            <v>0.13216564561280744</v>
          </cell>
          <cell r="CC32">
            <v>0.19803000158512241</v>
          </cell>
          <cell r="CD32">
            <v>0.24078712545662972</v>
          </cell>
          <cell r="CE32">
            <v>0.20699689280162303</v>
          </cell>
          <cell r="CP32" t="str">
            <v>% Ch Y/Y</v>
          </cell>
          <cell r="CQ32">
            <v>-0.3939544407847152</v>
          </cell>
          <cell r="CR32">
            <v>-0.40269883800376088</v>
          </cell>
          <cell r="CS32">
            <v>-0.39841847932590946</v>
          </cell>
          <cell r="CT32">
            <v>-0.36604503302402636</v>
          </cell>
          <cell r="CU32">
            <v>-0.38689295409620383</v>
          </cell>
          <cell r="CV32">
            <v>-0.42570711885631946</v>
          </cell>
          <cell r="CW32">
            <v>0.20559763592678948</v>
          </cell>
          <cell r="DH32" t="str">
            <v>% Ch Y/Y</v>
          </cell>
          <cell r="DI32">
            <v>-4.582541211653586E-2</v>
          </cell>
          <cell r="DJ32">
            <v>-9.5870106318724044E-2</v>
          </cell>
          <cell r="DK32">
            <v>-7.2913790220224151E-2</v>
          </cell>
          <cell r="DL32">
            <v>-8.8158725718605252E-2</v>
          </cell>
          <cell r="DM32">
            <v>-7.8353346162845172E-2</v>
          </cell>
          <cell r="DN32">
            <v>7.645133147504804E-2</v>
          </cell>
          <cell r="DO32">
            <v>-4.1164788704105337E-2</v>
          </cell>
          <cell r="DZ32" t="str">
            <v xml:space="preserve">  % change</v>
          </cell>
          <cell r="EA32">
            <v>9.1749487274387018E-2</v>
          </cell>
          <cell r="EB32">
            <v>0.1965588434484497</v>
          </cell>
          <cell r="EC32">
            <v>0.14581553711512596</v>
          </cell>
          <cell r="ED32">
            <v>0.21849389963595023</v>
          </cell>
          <cell r="EE32">
            <v>0.17067891532353885</v>
          </cell>
          <cell r="EF32">
            <v>-2.3256765252708038</v>
          </cell>
          <cell r="EG32">
            <v>0.10312416834142391</v>
          </cell>
          <cell r="ER32" t="str">
            <v xml:space="preserve">  % change</v>
          </cell>
          <cell r="ES32">
            <v>0.15441679981739356</v>
          </cell>
          <cell r="ET32">
            <v>0.10694938539827117</v>
          </cell>
          <cell r="EU32">
            <v>0.12943331623418808</v>
          </cell>
          <cell r="EV32">
            <v>0.1057858444158911</v>
          </cell>
          <cell r="EW32">
            <v>0.12123048849318874</v>
          </cell>
          <cell r="EX32">
            <v>-1.8993349773475714</v>
          </cell>
          <cell r="EY32">
            <v>0.15659632108052524</v>
          </cell>
          <cell r="FJ32" t="str">
            <v xml:space="preserve">  % change</v>
          </cell>
          <cell r="FK32">
            <v>0.15825398042764816</v>
          </cell>
          <cell r="FL32">
            <v>0.17699914641062819</v>
          </cell>
          <cell r="FM32">
            <v>0.16804505039620898</v>
          </cell>
          <cell r="FN32">
            <v>0.12606361449890979</v>
          </cell>
          <cell r="FO32">
            <v>0.15313248216647679</v>
          </cell>
          <cell r="FP32">
            <v>8.5410019526147352E-2</v>
          </cell>
          <cell r="FQ32">
            <v>0.13580045114929051</v>
          </cell>
          <cell r="GB32" t="str">
            <v xml:space="preserve">  % change</v>
          </cell>
          <cell r="GC32">
            <v>1.6494350736488066</v>
          </cell>
          <cell r="GD32">
            <v>0.18063626794914844</v>
          </cell>
          <cell r="GE32" t="str">
            <v>NA</v>
          </cell>
          <cell r="GF32">
            <v>0.15057364952669672</v>
          </cell>
          <cell r="GG32" t="str">
            <v>NA</v>
          </cell>
          <cell r="GH32">
            <v>0.3312552313687942</v>
          </cell>
          <cell r="GI32">
            <v>0.44267058457306963</v>
          </cell>
        </row>
        <row r="33">
          <cell r="U33" t="str">
            <v>Net Income</v>
          </cell>
          <cell r="V33">
            <v>573</v>
          </cell>
          <cell r="W33">
            <v>606.00000000000011</v>
          </cell>
          <cell r="X33">
            <v>1179</v>
          </cell>
          <cell r="Y33">
            <v>634</v>
          </cell>
          <cell r="Z33">
            <v>1813</v>
          </cell>
          <cell r="AA33">
            <v>630</v>
          </cell>
          <cell r="AB33">
            <v>2443</v>
          </cell>
          <cell r="AC33">
            <v>0.30227272727272747</v>
          </cell>
          <cell r="AD33">
            <v>0.16988416988417021</v>
          </cell>
          <cell r="AE33">
            <v>0.16544124716831088</v>
          </cell>
          <cell r="AF33">
            <v>8.9965335694021098E-2</v>
          </cell>
          <cell r="AG33">
            <v>0.1745192307692307</v>
          </cell>
          <cell r="AH33">
            <v>-8.6505756306761716E-3</v>
          </cell>
          <cell r="AI33">
            <v>5.7591623036649331E-2</v>
          </cell>
          <cell r="AJ33">
            <v>4.6204620462046098E-2</v>
          </cell>
          <cell r="AK33">
            <v>-6.3091482649841879E-3</v>
          </cell>
          <cell r="AN33" t="str">
            <v>Net Income</v>
          </cell>
          <cell r="AO33">
            <v>439.99999999999994</v>
          </cell>
          <cell r="AP33">
            <v>518</v>
          </cell>
          <cell r="AQ33">
            <v>958</v>
          </cell>
          <cell r="AR33">
            <v>543.99996700000008</v>
          </cell>
          <cell r="AS33">
            <v>1501.9999670000002</v>
          </cell>
          <cell r="AT33">
            <v>578.0000329999998</v>
          </cell>
          <cell r="AU33">
            <v>2080</v>
          </cell>
          <cell r="AV33">
            <v>0.13695090439276481</v>
          </cell>
          <cell r="AW33">
            <v>0.23333333333333317</v>
          </cell>
          <cell r="AX33">
            <v>0.23636356136363657</v>
          </cell>
          <cell r="AY33">
            <v>0.24838020086393042</v>
          </cell>
          <cell r="AZ33">
            <v>0.21637426900584789</v>
          </cell>
          <cell r="BA33">
            <v>-4.9676025917926636E-2</v>
          </cell>
          <cell r="BB33">
            <v>0.17727272727272747</v>
          </cell>
          <cell r="BC33">
            <v>5.0192986486486735E-2</v>
          </cell>
          <cell r="BD33">
            <v>6.2500125114896665E-2</v>
          </cell>
        </row>
        <row r="34">
          <cell r="B34" t="str">
            <v>EPS, Cont. Ops</v>
          </cell>
          <cell r="C34">
            <v>1.5350582147477361</v>
          </cell>
          <cell r="D34">
            <v>1.6059431524547803</v>
          </cell>
          <cell r="E34">
            <v>3.1410013672025165</v>
          </cell>
          <cell r="F34">
            <v>1.352276883116883</v>
          </cell>
          <cell r="G34">
            <v>4.4932782503193991</v>
          </cell>
          <cell r="H34">
            <v>1.6260975273969744</v>
          </cell>
          <cell r="I34">
            <v>6.1189391025198736</v>
          </cell>
          <cell r="J34">
            <v>8.2041907393735736E-2</v>
          </cell>
          <cell r="K34">
            <v>6.4798611644109938E-2</v>
          </cell>
          <cell r="L34">
            <v>-0.14725505067802858</v>
          </cell>
          <cell r="M34">
            <v>5.5993597997798794E-3</v>
          </cell>
          <cell r="N34">
            <v>-1.3831272309973164E-3</v>
          </cell>
          <cell r="O34">
            <v>-5.0700507197273037E-2</v>
          </cell>
          <cell r="P34">
            <v>4.6177361240135717E-2</v>
          </cell>
          <cell r="Q34">
            <v>-0.15795470029568182</v>
          </cell>
          <cell r="R34">
            <v>0.20248859364434169</v>
          </cell>
          <cell r="U34" t="str">
            <v>% Ch Y/Y</v>
          </cell>
          <cell r="V34">
            <v>0.30227272727272747</v>
          </cell>
          <cell r="W34">
            <v>0.16988416988417021</v>
          </cell>
          <cell r="X34">
            <v>0.23068893528183709</v>
          </cell>
          <cell r="Y34">
            <v>0.18730420203014742</v>
          </cell>
          <cell r="Z34">
            <v>0.20705728351057928</v>
          </cell>
          <cell r="AA34">
            <v>0.10212629325406475</v>
          </cell>
          <cell r="AB34">
            <v>0.20234299333410499</v>
          </cell>
          <cell r="AN34" t="str">
            <v>% Ch Y/Y</v>
          </cell>
          <cell r="AO34">
            <v>0.13695090439276489</v>
          </cell>
          <cell r="AP34">
            <v>0.23333333333333317</v>
          </cell>
          <cell r="AQ34">
            <v>0.18711276332094173</v>
          </cell>
          <cell r="AR34">
            <v>0.23636356136363657</v>
          </cell>
          <cell r="AS34">
            <v>0.20449075140336825</v>
          </cell>
          <cell r="AT34">
            <v>0.24838020086393045</v>
          </cell>
          <cell r="AU34">
            <v>0.2163742690058478</v>
          </cell>
          <cell r="BF34" t="str">
            <v>Avg. Diluted Shares</v>
          </cell>
          <cell r="BG34">
            <v>404.5</v>
          </cell>
          <cell r="BH34">
            <v>406.95760899999999</v>
          </cell>
          <cell r="BI34">
            <v>405.72880450000002</v>
          </cell>
          <cell r="BJ34">
            <v>407.177077</v>
          </cell>
          <cell r="BK34">
            <v>406.21156199999996</v>
          </cell>
          <cell r="BL34">
            <v>408.7</v>
          </cell>
          <cell r="BM34">
            <v>406.8</v>
          </cell>
          <cell r="BN34">
            <v>1.1197989004996245E-3</v>
          </cell>
          <cell r="BO34">
            <v>6.3304904989365252E-3</v>
          </cell>
          <cell r="BP34">
            <v>3.8715603610794957E-3</v>
          </cell>
          <cell r="BQ34">
            <v>8.3828218524684139E-3</v>
          </cell>
          <cell r="BR34">
            <v>4.8215626605541129E-3</v>
          </cell>
          <cell r="BS34">
            <v>-1.9798105228198137E-3</v>
          </cell>
          <cell r="BT34">
            <v>6.0756711990110901E-3</v>
          </cell>
          <cell r="BU34">
            <v>5.392895848275181E-4</v>
          </cell>
          <cell r="BV34">
            <v>3.7401982725073779E-3</v>
          </cell>
          <cell r="BX34" t="str">
            <v>Avg. Diluted Shares</v>
          </cell>
          <cell r="BY34">
            <v>404.04754800000001</v>
          </cell>
          <cell r="BZ34">
            <v>404.39757400000002</v>
          </cell>
          <cell r="CA34">
            <v>404.22256100000004</v>
          </cell>
          <cell r="CB34">
            <v>405.60674599999999</v>
          </cell>
          <cell r="CC34">
            <v>404.68395600000002</v>
          </cell>
          <cell r="CD34">
            <v>405.30242199999998</v>
          </cell>
          <cell r="CE34">
            <v>404.84800000000001</v>
          </cell>
          <cell r="CF34">
            <v>8.5899384264400691E-3</v>
          </cell>
          <cell r="CG34">
            <v>5.9641144278608227E-3</v>
          </cell>
          <cell r="CH34">
            <v>4.7116377429958778E-3</v>
          </cell>
          <cell r="CI34">
            <v>3.6287310813154505E-4</v>
          </cell>
          <cell r="CJ34">
            <v>4.7501575940476215E-3</v>
          </cell>
          <cell r="CK34">
            <v>-2.7343927651740652E-3</v>
          </cell>
          <cell r="CL34">
            <v>8.6629903270685205E-4</v>
          </cell>
          <cell r="CM34">
            <v>2.9900575021748477E-3</v>
          </cell>
          <cell r="CN34">
            <v>-7.5029324093145444E-4</v>
          </cell>
          <cell r="CP34" t="str">
            <v>Avg. Diluted Shares</v>
          </cell>
          <cell r="CQ34">
            <v>400.60636399999999</v>
          </cell>
          <cell r="CR34">
            <v>402</v>
          </cell>
          <cell r="CS34">
            <v>401.30318199999999</v>
          </cell>
          <cell r="CT34">
            <v>403.70463599999999</v>
          </cell>
          <cell r="CU34">
            <v>402.10366666666664</v>
          </cell>
          <cell r="CV34">
            <v>405.15540199999998</v>
          </cell>
          <cell r="CW34">
            <v>402.93400000000003</v>
          </cell>
          <cell r="CX34">
            <v>1.006040881321983</v>
          </cell>
          <cell r="CY34">
            <v>1.0241691842900305</v>
          </cell>
          <cell r="CZ34">
            <v>1.028442262664429</v>
          </cell>
          <cell r="DA34">
            <v>1.0303088217147729</v>
          </cell>
          <cell r="DB34">
            <v>1.162428697678175E-2</v>
          </cell>
          <cell r="DC34">
            <v>1.0075127490569149</v>
          </cell>
          <cell r="DD34">
            <v>3.4788164273895639E-3</v>
          </cell>
          <cell r="DE34">
            <v>4.2403880597015053E-3</v>
          </cell>
          <cell r="DF34">
            <v>3.5936322514760199E-3</v>
          </cell>
          <cell r="DH34" t="str">
            <v>Avg. Diluted Shares</v>
          </cell>
          <cell r="DI34">
            <v>199.7</v>
          </cell>
          <cell r="DJ34">
            <v>198.6</v>
          </cell>
          <cell r="DK34">
            <v>199.14999999999998</v>
          </cell>
          <cell r="DL34">
            <v>199.02199999999999</v>
          </cell>
          <cell r="DM34">
            <v>199.10733333333334</v>
          </cell>
          <cell r="DN34">
            <v>199.553584</v>
          </cell>
          <cell r="DO34">
            <v>398.30399999999997</v>
          </cell>
          <cell r="DP34">
            <v>-1.480019733596448E-2</v>
          </cell>
          <cell r="DQ34">
            <v>-2.5515210991167894E-2</v>
          </cell>
          <cell r="DR34">
            <v>-2.0078778926637141E-2</v>
          </cell>
          <cell r="DS34">
            <v>-1.3088110781404491E-2</v>
          </cell>
          <cell r="DT34">
            <v>-1.8239899039694047E-2</v>
          </cell>
          <cell r="DU34">
            <v>-1.236399604352123E-2</v>
          </cell>
          <cell r="DV34">
            <v>-5.5082623935903685E-3</v>
          </cell>
          <cell r="DW34">
            <v>2.1248741188317766E-3</v>
          </cell>
          <cell r="DX34">
            <v>2.6709810975671378E-3</v>
          </cell>
          <cell r="DZ34" t="str">
            <v xml:space="preserve"> Avg. Shs.</v>
          </cell>
          <cell r="EA34">
            <v>202.7</v>
          </cell>
          <cell r="EB34">
            <v>203.8</v>
          </cell>
          <cell r="ED34">
            <v>203.1</v>
          </cell>
          <cell r="EF34">
            <v>202.2</v>
          </cell>
          <cell r="EG34">
            <v>405.70400000000001</v>
          </cell>
          <cell r="EH34">
            <v>2.4727992087042534E-3</v>
          </cell>
          <cell r="EI34">
            <v>3.9408866995074452E-3</v>
          </cell>
          <cell r="EJ34">
            <v>-2.455795677799607E-3</v>
          </cell>
          <cell r="EK34">
            <v>9.9009900990093373E-4</v>
          </cell>
          <cell r="EL34">
            <v>-2.3656973878758905E-4</v>
          </cell>
          <cell r="EM34">
            <v>3.4653465346534684E-3</v>
          </cell>
          <cell r="EN34">
            <v>5.4267390231870216E-3</v>
          </cell>
          <cell r="EO34">
            <v>-3.4347399411188695E-3</v>
          </cell>
          <cell r="EP34">
            <v>-4.4313146233382339E-3</v>
          </cell>
          <cell r="ER34" t="str">
            <v xml:space="preserve"> Avg. Shs.</v>
          </cell>
          <cell r="ES34">
            <v>202.2</v>
          </cell>
          <cell r="ET34">
            <v>203</v>
          </cell>
          <cell r="EV34">
            <v>203.6</v>
          </cell>
          <cell r="EX34">
            <v>202</v>
          </cell>
          <cell r="EY34">
            <v>405.8</v>
          </cell>
          <cell r="EZ34">
            <v>-4.9431537320821916E-4</v>
          </cell>
          <cell r="FA34">
            <v>5.9464816650148097E-3</v>
          </cell>
          <cell r="FB34">
            <v>1.4955134596211367E-2</v>
          </cell>
          <cell r="FC34">
            <v>9.910802775024213E-4</v>
          </cell>
          <cell r="FD34">
            <v>7.9483358171882467E-3</v>
          </cell>
          <cell r="FE34">
            <v>1.9821605550047749E-3</v>
          </cell>
          <cell r="FF34">
            <v>3.9564787339267937E-3</v>
          </cell>
          <cell r="FG34">
            <v>2.9556650246305161E-3</v>
          </cell>
          <cell r="FH34">
            <v>-7.8585461689587577E-3</v>
          </cell>
          <cell r="FJ34" t="str">
            <v xml:space="preserve"> Avg. Shs.</v>
          </cell>
          <cell r="FK34">
            <v>202.3</v>
          </cell>
          <cell r="FL34">
            <v>201.8</v>
          </cell>
          <cell r="FN34">
            <v>200.6</v>
          </cell>
          <cell r="FP34">
            <v>201.8</v>
          </cell>
          <cell r="FQ34">
            <v>402.6</v>
          </cell>
          <cell r="FR34">
            <v>2.9667721518988465E-4</v>
          </cell>
          <cell r="FS34">
            <v>-4.9529470034667808E-4</v>
          </cell>
          <cell r="FT34">
            <v>-9.8716683119447184E-3</v>
          </cell>
          <cell r="FU34">
            <v>-3.9486673247778031E-3</v>
          </cell>
          <cell r="FV34">
            <v>-3.9584364176149574E-3</v>
          </cell>
          <cell r="FW34">
            <v>-1.4807502467916178E-3</v>
          </cell>
          <cell r="FX34">
            <v>-2.4715768660404924E-3</v>
          </cell>
          <cell r="FY34">
            <v>-5.946481665014991E-3</v>
          </cell>
          <cell r="FZ34">
            <v>5.9820538384847133E-3</v>
          </cell>
          <cell r="GB34" t="str">
            <v xml:space="preserve"> Avg. Shs.</v>
          </cell>
          <cell r="GC34">
            <v>202.24</v>
          </cell>
          <cell r="GD34">
            <v>201.9</v>
          </cell>
          <cell r="GF34">
            <v>202.6</v>
          </cell>
          <cell r="GH34">
            <v>202.6</v>
          </cell>
          <cell r="GI34">
            <v>404.2</v>
          </cell>
          <cell r="GJ34">
            <v>-2.2245841263557602E-4</v>
          </cell>
          <cell r="GK34">
            <v>-7.3746312684365781E-3</v>
          </cell>
          <cell r="GL34">
            <v>4.9382716049379909E-4</v>
          </cell>
          <cell r="GM34">
            <v>-1.4785608674224315E-3</v>
          </cell>
          <cell r="GN34">
            <v>-4.9455984174082254E-4</v>
          </cell>
          <cell r="GP34">
            <v>-1.681170886076E-3</v>
          </cell>
          <cell r="GQ34">
            <v>3.4670629024269317E-3</v>
          </cell>
          <cell r="GR34">
            <v>0</v>
          </cell>
        </row>
        <row r="35">
          <cell r="B35" t="str">
            <v>EPS, Non-recurring</v>
          </cell>
          <cell r="C35">
            <v>-7.7619663648124193E-3</v>
          </cell>
          <cell r="D35">
            <v>-7.7519379844961239E-3</v>
          </cell>
          <cell r="E35">
            <v>-1.5513904349308542E-2</v>
          </cell>
          <cell r="F35">
            <v>0</v>
          </cell>
          <cell r="G35">
            <v>-1.5513904349308542E-2</v>
          </cell>
          <cell r="H35">
            <v>0</v>
          </cell>
          <cell r="I35">
            <v>-1.5513904349308542E-2</v>
          </cell>
        </row>
        <row r="36">
          <cell r="B36" t="str">
            <v>EPS, Reported</v>
          </cell>
          <cell r="C36">
            <v>1.5272962483829235</v>
          </cell>
          <cell r="D36">
            <v>1.5981912144702841</v>
          </cell>
          <cell r="E36">
            <v>3.1254874628532079</v>
          </cell>
          <cell r="F36">
            <v>1.352276883116883</v>
          </cell>
          <cell r="G36">
            <v>4.4777643459700904</v>
          </cell>
          <cell r="H36">
            <v>1.6260975273969744</v>
          </cell>
          <cell r="I36">
            <v>6.1034251981705649</v>
          </cell>
          <cell r="J36">
            <v>7.469504306944752E-2</v>
          </cell>
          <cell r="K36">
            <v>1.7991107241186466E-3</v>
          </cell>
          <cell r="L36">
            <v>-0.14725505067802858</v>
          </cell>
          <cell r="M36">
            <v>3.6870043656074047E-2</v>
          </cell>
          <cell r="N36">
            <v>-1.039624786067328E-2</v>
          </cell>
          <cell r="O36">
            <v>-2.6129920834718434E-2</v>
          </cell>
          <cell r="P36">
            <v>4.6418608153082852E-2</v>
          </cell>
          <cell r="Q36">
            <v>-0.15387040619849024</v>
          </cell>
          <cell r="R36">
            <v>0.20248859364434169</v>
          </cell>
          <cell r="U36" t="str">
            <v>EPS, Cont. Ops</v>
          </cell>
          <cell r="V36">
            <v>1.4186679871255261</v>
          </cell>
          <cell r="W36">
            <v>1.5082130413140868</v>
          </cell>
          <cell r="X36">
            <v>2.9266476355963755</v>
          </cell>
          <cell r="Y36">
            <v>1.585792896448224</v>
          </cell>
          <cell r="Z36">
            <v>4.511820821236002</v>
          </cell>
          <cell r="AA36">
            <v>1.6170431211498972</v>
          </cell>
          <cell r="AB36">
            <v>6.1274140958113872</v>
          </cell>
          <cell r="AC36">
            <v>0.32000607711179629</v>
          </cell>
          <cell r="AD36">
            <v>0.19055658801801179</v>
          </cell>
          <cell r="AE36">
            <v>0.18730420203014742</v>
          </cell>
          <cell r="AF36">
            <v>0.13836472046688164</v>
          </cell>
          <cell r="AG36">
            <v>0.20234299333410499</v>
          </cell>
          <cell r="AH36">
            <v>-1.287247398173208E-3</v>
          </cell>
          <cell r="AI36">
            <v>6.311910538701504E-2</v>
          </cell>
          <cell r="AJ36">
            <v>5.1438260384317314E-2</v>
          </cell>
          <cell r="AK36">
            <v>1.9706371980645176E-2</v>
          </cell>
          <cell r="AN36" t="str">
            <v>EPS, Cont. Ops</v>
          </cell>
          <cell r="AO36">
            <v>1.074743527112848</v>
          </cell>
          <cell r="AP36">
            <v>1.2668134018097335</v>
          </cell>
          <cell r="AQ36">
            <v>2.341439569839912</v>
          </cell>
          <cell r="AR36">
            <v>1.3356247655290943</v>
          </cell>
          <cell r="AS36">
            <v>3.6765664988577029</v>
          </cell>
          <cell r="AT36">
            <v>1.4204965175718847</v>
          </cell>
          <cell r="AU36">
            <v>5.0962280562055158</v>
          </cell>
          <cell r="AV36">
            <v>0.12334304061278312</v>
          </cell>
          <cell r="AW36">
            <v>0.22747465011820323</v>
          </cell>
          <cell r="AX36">
            <v>0.23599042726578845</v>
          </cell>
          <cell r="AY36">
            <v>0.25390264952835695</v>
          </cell>
          <cell r="AZ36">
            <v>0.21236583231836481</v>
          </cell>
          <cell r="BA36">
            <v>-5.1300908140343382E-2</v>
          </cell>
          <cell r="BB36">
            <v>0.1787122879566021</v>
          </cell>
          <cell r="BC36">
            <v>5.4318468387734908E-2</v>
          </cell>
          <cell r="BD36">
            <v>6.354460791176586E-2</v>
          </cell>
          <cell r="BF36" t="str">
            <v>Operating Margins</v>
          </cell>
          <cell r="BX36" t="str">
            <v>Operating Margins</v>
          </cell>
          <cell r="CP36" t="str">
            <v>Operating Margins</v>
          </cell>
          <cell r="DH36" t="str">
            <v>Operating Margins</v>
          </cell>
          <cell r="DZ36" t="str">
            <v>Operating Margins</v>
          </cell>
          <cell r="ER36" t="str">
            <v>Operating Margins</v>
          </cell>
          <cell r="FJ36" t="str">
            <v>Operating Margins</v>
          </cell>
          <cell r="GB36" t="str">
            <v>Operating Margins</v>
          </cell>
        </row>
        <row r="37">
          <cell r="B37" t="str">
            <v>% of Year</v>
          </cell>
          <cell r="C37">
            <v>0.25023592471334194</v>
          </cell>
          <cell r="D37">
            <v>0.26185152804843492</v>
          </cell>
          <cell r="F37">
            <v>0.22156032706392687</v>
          </cell>
          <cell r="H37">
            <v>0.26642376609848178</v>
          </cell>
          <cell r="U37" t="str">
            <v>EPS, Non-recurring</v>
          </cell>
          <cell r="V37">
            <v>2.4758603614756128E-3</v>
          </cell>
          <cell r="W37">
            <v>8.7108013937282222E-2</v>
          </cell>
          <cell r="X37">
            <v>8.9583874298757832E-2</v>
          </cell>
          <cell r="Y37">
            <v>0</v>
          </cell>
          <cell r="Z37">
            <v>8.9583874298757832E-2</v>
          </cell>
          <cell r="AA37">
            <v>-4.8767967145790549E-2</v>
          </cell>
          <cell r="AB37">
            <v>4.0130423877602212E-2</v>
          </cell>
          <cell r="AN37" t="str">
            <v>EPS, Non-recurring</v>
          </cell>
          <cell r="AO37">
            <v>-1.4655593551538839E-2</v>
          </cell>
          <cell r="AP37">
            <v>-0.01</v>
          </cell>
          <cell r="AQ37">
            <v>-2.4655593551538839E-2</v>
          </cell>
          <cell r="AR37">
            <v>0</v>
          </cell>
          <cell r="AS37">
            <v>-2.4655593551538839E-2</v>
          </cell>
          <cell r="AT37">
            <v>2.4576062914721062E-3</v>
          </cell>
          <cell r="AU37">
            <v>-1.9600877139251984E-2</v>
          </cell>
          <cell r="BF37" t="str">
            <v>Marine Systems</v>
          </cell>
          <cell r="BG37">
            <v>7.6078431372549021E-2</v>
          </cell>
          <cell r="BH37">
            <v>7.266982622432859E-2</v>
          </cell>
          <cell r="BI37">
            <v>7.43801652892562E-2</v>
          </cell>
          <cell r="BJ37">
            <v>8.3538083538083535E-2</v>
          </cell>
          <cell r="BK37">
            <v>7.73524720893142E-2</v>
          </cell>
          <cell r="BL37">
            <v>7.1307300509337868E-2</v>
          </cell>
          <cell r="BM37">
            <v>7.5910931174089064E-2</v>
          </cell>
          <cell r="BX37" t="str">
            <v>Marine Systems</v>
          </cell>
          <cell r="BY37">
            <v>4.049586776859504E-2</v>
          </cell>
          <cell r="BZ37">
            <v>5.5178268251273345E-2</v>
          </cell>
          <cell r="CA37">
            <v>4.7738693467336682E-2</v>
          </cell>
          <cell r="CB37">
            <v>4.4406490179333902E-2</v>
          </cell>
          <cell r="CC37">
            <v>4.6642315257094689E-2</v>
          </cell>
          <cell r="CD37">
            <v>7.3063380281690141E-2</v>
          </cell>
          <cell r="CE37">
            <v>5.3035143769968054E-2</v>
          </cell>
          <cell r="CP37" t="str">
            <v>Marine Systems</v>
          </cell>
          <cell r="CQ37">
            <v>7.6562500000000006E-2</v>
          </cell>
          <cell r="CR37">
            <v>6.881903143585387E-2</v>
          </cell>
          <cell r="CS37">
            <v>7.2853072853072853E-2</v>
          </cell>
          <cell r="CT37">
            <v>5.3726169844020795E-2</v>
          </cell>
          <cell r="CU37">
            <v>6.6740515092772082E-2</v>
          </cell>
          <cell r="CV37">
            <v>4.5739910313901344E-2</v>
          </cell>
          <cell r="CW37">
            <v>6.1785865425306813E-2</v>
          </cell>
          <cell r="DH37" t="str">
            <v>Marine Systems</v>
          </cell>
          <cell r="DI37">
            <v>6.6598360655737709E-2</v>
          </cell>
          <cell r="DJ37">
            <v>6.5106815869786366E-2</v>
          </cell>
          <cell r="DK37">
            <v>6.5849923430321589E-2</v>
          </cell>
          <cell r="DL37">
            <v>3.0252100840336135E-2</v>
          </cell>
          <cell r="DM37">
            <v>5.2397586535408068E-2</v>
          </cell>
          <cell r="DN37">
            <v>4.5454545454545456E-2</v>
          </cell>
          <cell r="DO37">
            <v>5.0573636150784362E-2</v>
          </cell>
          <cell r="DZ37" t="str">
            <v>Marine Group</v>
          </cell>
          <cell r="EA37">
            <v>8.4490740740740741E-2</v>
          </cell>
          <cell r="EB37">
            <v>6.9868995633187769E-2</v>
          </cell>
          <cell r="EC37">
            <v>7.6966292134831457E-2</v>
          </cell>
          <cell r="ED37">
            <v>9.0382387022016217E-2</v>
          </cell>
          <cell r="EE37">
            <v>8.1346954218690884E-2</v>
          </cell>
          <cell r="EF37">
            <v>7.1499503475670315E-2</v>
          </cell>
          <cell r="EG37">
            <v>9.2807424593967514E-2</v>
          </cell>
          <cell r="EH37">
            <v>-8.9612268518518473E-2</v>
          </cell>
          <cell r="EI37">
            <v>-0.20282001367917085</v>
          </cell>
          <cell r="EJ37">
            <v>5.2284995619364377E-3</v>
          </cell>
          <cell r="EK37">
            <v>-1.9906806202734623E-2</v>
          </cell>
          <cell r="EL37">
            <v>8.1356185914227955E-2</v>
          </cell>
          <cell r="EM37">
            <v>0.15817307692307692</v>
          </cell>
          <cell r="EN37">
            <v>-0.17305736675240779</v>
          </cell>
          <cell r="EO37">
            <v>0.29359791425260706</v>
          </cell>
          <cell r="EP37">
            <v>-0.20892216026277588</v>
          </cell>
          <cell r="ER37" t="str">
            <v>Marine Group</v>
          </cell>
          <cell r="ES37">
            <v>9.2807424593967514E-2</v>
          </cell>
          <cell r="ET37">
            <v>8.7645195353748678E-2</v>
          </cell>
          <cell r="EV37">
            <v>8.9912280701754388E-2</v>
          </cell>
          <cell r="EX37">
            <v>7.2951739618406286E-2</v>
          </cell>
          <cell r="EY37">
            <v>8.58250276854928E-2</v>
          </cell>
          <cell r="EZ37">
            <v>-0.10778316810799411</v>
          </cell>
          <cell r="FA37">
            <v>-8.6138511860303385E-2</v>
          </cell>
          <cell r="FB37">
            <v>-6.8181818181818107E-2</v>
          </cell>
          <cell r="FC37">
            <v>-0.13405337647761895</v>
          </cell>
          <cell r="FD37">
            <v>-9.5923396633990937E-2</v>
          </cell>
          <cell r="FE37">
            <v>0.10163618284267928</v>
          </cell>
          <cell r="FF37">
            <v>-5.5623020063357953E-2</v>
          </cell>
          <cell r="FG37">
            <v>2.5866624392306026E-2</v>
          </cell>
          <cell r="FH37">
            <v>-0.18863431058553015</v>
          </cell>
          <cell r="FJ37" t="str">
            <v>Marine Group</v>
          </cell>
          <cell r="FK37">
            <v>0.10401891252955082</v>
          </cell>
          <cell r="FL37">
            <v>9.5906432748538009E-2</v>
          </cell>
          <cell r="FN37">
            <v>9.6491228070175433E-2</v>
          </cell>
          <cell r="FP37">
            <v>8.4245076586433265E-2</v>
          </cell>
          <cell r="FQ37">
            <v>9.4931145619689419E-2</v>
          </cell>
          <cell r="FR37">
            <v>-4.4917257683215146E-2</v>
          </cell>
          <cell r="FS37">
            <v>-0.16735778841041998</v>
          </cell>
          <cell r="FT37">
            <v>-4.9561403508771973E-2</v>
          </cell>
          <cell r="FU37">
            <v>-0.14818867007050807</v>
          </cell>
          <cell r="FV37">
            <v>-0.10625799489755818</v>
          </cell>
          <cell r="FW37">
            <v>5.1746782243236256E-2</v>
          </cell>
          <cell r="FX37">
            <v>-7.799043062200961E-2</v>
          </cell>
          <cell r="FY37">
            <v>6.0975609756097615E-3</v>
          </cell>
          <cell r="FZ37">
            <v>-0.12691466083150971</v>
          </cell>
          <cell r="GB37" t="str">
            <v>Marine Group</v>
          </cell>
          <cell r="GC37">
            <v>0.10891089108910891</v>
          </cell>
          <cell r="GD37">
            <v>0.11518324607329843</v>
          </cell>
          <cell r="GF37">
            <v>0.10152284263959391</v>
          </cell>
          <cell r="GH37">
            <v>9.8901098901098897E-2</v>
          </cell>
          <cell r="GI37">
            <v>0.10621761658031088</v>
          </cell>
        </row>
        <row r="38">
          <cell r="B38" t="str">
            <v>Avg. Diluted Shares</v>
          </cell>
          <cell r="C38">
            <v>386.5</v>
          </cell>
          <cell r="D38">
            <v>387</v>
          </cell>
          <cell r="F38">
            <v>385</v>
          </cell>
          <cell r="H38">
            <v>381.5907795600001</v>
          </cell>
          <cell r="I38">
            <v>385.02269489000003</v>
          </cell>
          <cell r="J38">
            <v>-4.3079970289675584E-2</v>
          </cell>
          <cell r="K38">
            <v>-3.6834245893479389E-2</v>
          </cell>
          <cell r="L38">
            <v>-3.7018509254627352E-2</v>
          </cell>
          <cell r="M38">
            <v>-2.0557547330595227E-2</v>
          </cell>
          <cell r="N38">
            <v>-3.4304753222974549E-2</v>
          </cell>
          <cell r="O38">
            <v>-7.9568788501027665E-3</v>
          </cell>
          <cell r="P38">
            <v>1.2936610608020871E-3</v>
          </cell>
          <cell r="Q38">
            <v>-5.1679586563307955E-3</v>
          </cell>
          <cell r="R38">
            <v>-8.8551180259737183E-3</v>
          </cell>
          <cell r="U38" t="str">
            <v>EPS, Reported</v>
          </cell>
          <cell r="V38">
            <v>1.4211438474870017</v>
          </cell>
          <cell r="W38">
            <v>1.595321055251369</v>
          </cell>
          <cell r="X38">
            <v>3.0162315098951336</v>
          </cell>
          <cell r="Y38">
            <v>1.585792896448224</v>
          </cell>
          <cell r="Z38">
            <v>4.6014046955347601</v>
          </cell>
          <cell r="AA38">
            <v>1.5682751540041067</v>
          </cell>
          <cell r="AB38">
            <v>6.1675445196889891</v>
          </cell>
          <cell r="AC38">
            <v>0.34059053262944361</v>
          </cell>
          <cell r="AD38">
            <v>0.26933803614299912</v>
          </cell>
          <cell r="AE38">
            <v>0.18730420203014742</v>
          </cell>
          <cell r="AF38">
            <v>0.10212629325406475</v>
          </cell>
          <cell r="AG38">
            <v>0.21489018242686408</v>
          </cell>
          <cell r="AH38">
            <v>-1.2721958817899504E-3</v>
          </cell>
          <cell r="AI38">
            <v>0.12256127912199988</v>
          </cell>
          <cell r="AJ38">
            <v>-5.9725650656843321E-3</v>
          </cell>
          <cell r="AK38">
            <v>-1.1046677333056976E-2</v>
          </cell>
          <cell r="AN38" t="str">
            <v>EPS, Reported</v>
          </cell>
          <cell r="AO38">
            <v>1.0600879335613091</v>
          </cell>
          <cell r="AP38">
            <v>1.2568134018097334</v>
          </cell>
          <cell r="AQ38">
            <v>2.3167839762883733</v>
          </cell>
          <cell r="AR38">
            <v>1.3356247655290943</v>
          </cell>
          <cell r="AS38">
            <v>3.6519109053061642</v>
          </cell>
          <cell r="AT38">
            <v>1.4229541238633567</v>
          </cell>
          <cell r="AU38">
            <v>5.0766271790662634</v>
          </cell>
          <cell r="AV38">
            <v>0.14653895488114865</v>
          </cell>
          <cell r="AW38">
            <v>-0.19580223748483438</v>
          </cell>
          <cell r="AX38">
            <v>0.24163421917111183</v>
          </cell>
          <cell r="AY38">
            <v>0.42539546672292627</v>
          </cell>
          <cell r="AZ38">
            <v>0.11270039679103228</v>
          </cell>
          <cell r="BA38">
            <v>6.1906711878693788E-2</v>
          </cell>
          <cell r="BB38">
            <v>0.18557466981775317</v>
          </cell>
          <cell r="BC38">
            <v>6.2707290999505005E-2</v>
          </cell>
          <cell r="BD38">
            <v>6.5384650380953202E-2</v>
          </cell>
          <cell r="BF38" t="str">
            <v>Combat Systems</v>
          </cell>
          <cell r="BG38">
            <v>0.10737764791818846</v>
          </cell>
          <cell r="BH38">
            <v>0.11911357340720222</v>
          </cell>
          <cell r="BI38">
            <v>0.1134020618556701</v>
          </cell>
          <cell r="BJ38">
            <v>0.12014652014652015</v>
          </cell>
          <cell r="BK38">
            <v>0.11560555289612255</v>
          </cell>
          <cell r="BL38">
            <v>0.1074792243767313</v>
          </cell>
          <cell r="BM38">
            <v>0.1131539361524319</v>
          </cell>
          <cell r="BX38" t="str">
            <v>Combat Systems</v>
          </cell>
          <cell r="BY38">
            <v>9.8391674550614955E-2</v>
          </cell>
          <cell r="BZ38">
            <v>0.11001788908765653</v>
          </cell>
          <cell r="CA38">
            <v>0.10436781609195403</v>
          </cell>
          <cell r="CB38">
            <v>0.12822580645161291</v>
          </cell>
          <cell r="CC38">
            <v>0.1130307467057101</v>
          </cell>
          <cell r="CD38">
            <v>0.11830635118306351</v>
          </cell>
          <cell r="CE38">
            <v>0.11471818362875921</v>
          </cell>
          <cell r="CP38" t="str">
            <v>Combat Systems</v>
          </cell>
          <cell r="CQ38">
            <v>0.10467289719626169</v>
          </cell>
          <cell r="CR38">
            <v>0.11122244488977956</v>
          </cell>
          <cell r="CS38">
            <v>0.10783365570599614</v>
          </cell>
          <cell r="CT38">
            <v>0.12415130940834142</v>
          </cell>
          <cell r="CU38">
            <v>0.1132623426911907</v>
          </cell>
          <cell r="CV38">
            <v>0.13073394495412843</v>
          </cell>
          <cell r="CW38">
            <v>0.11844792375765827</v>
          </cell>
          <cell r="DH38" t="str">
            <v>Combat Systems</v>
          </cell>
          <cell r="DI38">
            <v>0.1123882503192848</v>
          </cell>
          <cell r="DJ38">
            <v>0.11746680286006128</v>
          </cell>
          <cell r="DK38">
            <v>0.1152099886492622</v>
          </cell>
          <cell r="DL38">
            <v>0.10845771144278607</v>
          </cell>
          <cell r="DM38">
            <v>0.11275749909649439</v>
          </cell>
          <cell r="DN38">
            <v>0.10564516129032259</v>
          </cell>
          <cell r="DO38">
            <v>0.11055652607936112</v>
          </cell>
          <cell r="DZ38" t="str">
            <v>Combat Sys</v>
          </cell>
          <cell r="EA38">
            <v>9.5986038394415357E-2</v>
          </cell>
          <cell r="EB38">
            <v>0.11790393013100436</v>
          </cell>
          <cell r="EC38">
            <v>0.10793650793650794</v>
          </cell>
          <cell r="ED38">
            <v>0.11315417256011315</v>
          </cell>
          <cell r="EE38">
            <v>0.10981189628876462</v>
          </cell>
          <cell r="EF38">
            <v>0.11355311355311355</v>
          </cell>
          <cell r="EG38">
            <v>0.1095890410958904</v>
          </cell>
          <cell r="EH38">
            <v>-0.12412739965095981</v>
          </cell>
          <cell r="EI38">
            <v>7.3767935121646908E-2</v>
          </cell>
          <cell r="EJ38">
            <v>6.3259035263132105E-2</v>
          </cell>
          <cell r="EK38">
            <v>7.1283979178716025E-2</v>
          </cell>
          <cell r="EL38">
            <v>1.7612524461839418E-2</v>
          </cell>
          <cell r="EM38">
            <v>-9.4447506200055154E-2</v>
          </cell>
          <cell r="EN38">
            <v>0.22834458118300915</v>
          </cell>
          <cell r="EO38">
            <v>-4.0284980879040311E-2</v>
          </cell>
          <cell r="EP38">
            <v>3.5256410256410131E-3</v>
          </cell>
          <cell r="ER38" t="str">
            <v>Combat Sys</v>
          </cell>
          <cell r="ES38">
            <v>0.1095890410958904</v>
          </cell>
          <cell r="ET38">
            <v>0.10980392156862745</v>
          </cell>
          <cell r="EV38">
            <v>0.10642201834862386</v>
          </cell>
          <cell r="EX38">
            <v>0.10599721059972106</v>
          </cell>
          <cell r="EY38">
            <v>0.1076923076923077</v>
          </cell>
          <cell r="EZ38">
            <v>-6.7012217697149254E-2</v>
          </cell>
          <cell r="FA38">
            <v>-0.1215686274509804</v>
          </cell>
          <cell r="FB38">
            <v>-0.14287131167865108</v>
          </cell>
          <cell r="FC38">
            <v>-0.1428051664544297</v>
          </cell>
          <cell r="FD38">
            <v>-0.12120315581854041</v>
          </cell>
          <cell r="FE38">
            <v>-0.1137581893984515</v>
          </cell>
          <cell r="FF38">
            <v>1.9607843137254832E-3</v>
          </cell>
          <cell r="FG38">
            <v>-3.0799475753604089E-2</v>
          </cell>
          <cell r="FH38">
            <v>-3.9917279853797227E-3</v>
          </cell>
          <cell r="FJ38" t="str">
            <v>Combat Sys</v>
          </cell>
          <cell r="FK38">
            <v>0.11746031746031746</v>
          </cell>
          <cell r="FL38">
            <v>0.125</v>
          </cell>
          <cell r="FN38">
            <v>0.12416107382550336</v>
          </cell>
          <cell r="FP38">
            <v>0.12365591397849462</v>
          </cell>
          <cell r="FQ38">
            <v>0.12254516889238021</v>
          </cell>
          <cell r="FR38">
            <v>-2.6757369614512524E-2</v>
          </cell>
          <cell r="FS38">
            <v>0.12500000000000006</v>
          </cell>
          <cell r="FT38">
            <v>-6.7114093959731447E-3</v>
          </cell>
          <cell r="FU38">
            <v>4.3888523151195593E-3</v>
          </cell>
          <cell r="FV38">
            <v>1.9892050781744906E-2</v>
          </cell>
          <cell r="FW38">
            <v>-4.593456430191134E-2</v>
          </cell>
          <cell r="FX38">
            <v>6.4189189189189255E-2</v>
          </cell>
          <cell r="FY38">
            <v>-6.7114093959731447E-3</v>
          </cell>
          <cell r="FZ38">
            <v>-4.0685847137460485E-3</v>
          </cell>
          <cell r="GB38" t="str">
            <v>Combat Sys</v>
          </cell>
          <cell r="GC38">
            <v>0.1206896551724138</v>
          </cell>
          <cell r="GD38">
            <v>0.1111111111111111</v>
          </cell>
          <cell r="GF38">
            <v>0.125</v>
          </cell>
          <cell r="GH38">
            <v>0.12311557788944724</v>
          </cell>
          <cell r="GI38">
            <v>0.12015503875968993</v>
          </cell>
        </row>
        <row r="39">
          <cell r="U39" t="str">
            <v>% Ch Y/Y</v>
          </cell>
          <cell r="V39">
            <v>0.34059053262944361</v>
          </cell>
          <cell r="W39">
            <v>0.26933803614299912</v>
          </cell>
          <cell r="X39">
            <v>1.9266476355963755</v>
          </cell>
          <cell r="Y39">
            <v>0.18730420203014742</v>
          </cell>
          <cell r="Z39">
            <v>1.255910410618001</v>
          </cell>
          <cell r="AA39">
            <v>0.10212629325406475</v>
          </cell>
          <cell r="AB39">
            <v>0.13580045114929051</v>
          </cell>
          <cell r="AN39" t="str">
            <v>% Ch Y/Y</v>
          </cell>
          <cell r="AO39">
            <v>0.12334304061278317</v>
          </cell>
          <cell r="AP39">
            <v>0.22747465011820325</v>
          </cell>
          <cell r="AQ39">
            <v>0.17718646527898607</v>
          </cell>
          <cell r="AR39">
            <v>0.23599042726578853</v>
          </cell>
          <cell r="AS39">
            <v>0.19764540521079277</v>
          </cell>
          <cell r="AT39">
            <v>0.25390264952835695</v>
          </cell>
          <cell r="AU39">
            <v>0.21236583231836481</v>
          </cell>
          <cell r="BF39" t="str">
            <v>Info. Systems &amp; Tech.</v>
          </cell>
          <cell r="BG39">
            <v>0.11150532184490623</v>
          </cell>
          <cell r="BH39">
            <v>0.10755679184051924</v>
          </cell>
          <cell r="BI39">
            <v>0.10944309927360775</v>
          </cell>
          <cell r="BJ39">
            <v>0.10767946577629382</v>
          </cell>
          <cell r="BK39">
            <v>0.10879558688323629</v>
          </cell>
          <cell r="BL39">
            <v>0.10648518815052041</v>
          </cell>
          <cell r="BM39">
            <v>0.10815602836879433</v>
          </cell>
          <cell r="BX39" t="str">
            <v>Info. Systems &amp; Tech.</v>
          </cell>
          <cell r="BY39">
            <v>0.11244292237442922</v>
          </cell>
          <cell r="BZ39">
            <v>0.11177347242921014</v>
          </cell>
          <cell r="CA39">
            <v>0.11208499335989376</v>
          </cell>
          <cell r="CB39">
            <v>0.11486146095717883</v>
          </cell>
          <cell r="CC39">
            <v>0.11304347826086956</v>
          </cell>
          <cell r="CD39">
            <v>0.1035645472061657</v>
          </cell>
          <cell r="CE39">
            <v>0.11052900587784309</v>
          </cell>
          <cell r="CP39" t="str">
            <v>Info. Systems &amp; Tech.</v>
          </cell>
          <cell r="CQ39">
            <v>0.10286062081558126</v>
          </cell>
          <cell r="CR39">
            <v>0.1170018281535649</v>
          </cell>
          <cell r="CS39">
            <v>0.10992691839220463</v>
          </cell>
          <cell r="CT39">
            <v>0.11069182389937107</v>
          </cell>
          <cell r="CU39">
            <v>0.11017644645055397</v>
          </cell>
          <cell r="CV39">
            <v>9.7943722943722944E-2</v>
          </cell>
          <cell r="CW39">
            <v>0.1068134483784588</v>
          </cell>
          <cell r="DH39" t="str">
            <v>Info. Systems &amp; Tech.</v>
          </cell>
          <cell r="DI39">
            <v>0.11178247734138973</v>
          </cell>
          <cell r="DJ39">
            <v>0.12347826086956522</v>
          </cell>
          <cell r="DK39">
            <v>0.11805879608026132</v>
          </cell>
          <cell r="DL39">
            <v>0.11459968602825746</v>
          </cell>
          <cell r="DM39">
            <v>0.11676909569798069</v>
          </cell>
          <cell r="DN39">
            <v>9.307065217391304E-2</v>
          </cell>
          <cell r="DO39">
            <v>0.10994224422442245</v>
          </cell>
          <cell r="DZ39" t="str">
            <v>Info Sys &amp; Tech</v>
          </cell>
          <cell r="EA39">
            <v>0.1068075117370892</v>
          </cell>
          <cell r="EB39">
            <v>0.10887949260042283</v>
          </cell>
          <cell r="EC39">
            <v>0.10789766407119021</v>
          </cell>
          <cell r="ED39">
            <v>0.15168539325842698</v>
          </cell>
          <cell r="EE39">
            <v>0.12239583333333333</v>
          </cell>
          <cell r="EF39">
            <v>0.10805300713557595</v>
          </cell>
          <cell r="EG39">
            <v>9.8039215686274508E-2</v>
          </cell>
          <cell r="EH39">
            <v>8.9436619718309879E-2</v>
          </cell>
          <cell r="EI39">
            <v>0.19588950888989015</v>
          </cell>
          <cell r="EJ39">
            <v>0.66339744810512302</v>
          </cell>
          <cell r="EK39">
            <v>1.649865971986255E-2</v>
          </cell>
          <cell r="EL39">
            <v>1.0818120351588847E-2</v>
          </cell>
          <cell r="EM39">
            <v>4.7817770822464745E-3</v>
          </cell>
          <cell r="EN39">
            <v>1.9399205445717049E-2</v>
          </cell>
          <cell r="EO39">
            <v>0.39314934002399915</v>
          </cell>
          <cell r="EP39">
            <v>-0.28765054555064751</v>
          </cell>
          <cell r="ER39" t="str">
            <v>Info Sys &amp; Tech</v>
          </cell>
          <cell r="ES39">
            <v>9.8039215686274508E-2</v>
          </cell>
          <cell r="ET39">
            <v>9.1044776119402981E-2</v>
          </cell>
          <cell r="EV39">
            <v>9.1190108191653782E-2</v>
          </cell>
          <cell r="EX39">
            <v>0.1062992125984252</v>
          </cell>
          <cell r="EY39">
            <v>9.6989966555183951E-2</v>
          </cell>
          <cell r="EZ39">
            <v>2.4340770791074967E-2</v>
          </cell>
          <cell r="FA39">
            <v>1.3517319065052064E-2</v>
          </cell>
          <cell r="FB39">
            <v>-1.1830827595897259E-2</v>
          </cell>
          <cell r="FC39">
            <v>0.13594256600277907</v>
          </cell>
          <cell r="FD39">
            <v>4.4541713545921194E-2</v>
          </cell>
          <cell r="FE39">
            <v>4.7673971549403893E-2</v>
          </cell>
          <cell r="FF39">
            <v>-7.1343283582089523E-2</v>
          </cell>
          <cell r="FG39">
            <v>1.5962703017711188E-3</v>
          </cell>
          <cell r="FH39">
            <v>0.16568797544374769</v>
          </cell>
          <cell r="FJ39" t="str">
            <v>Info Sys &amp; Tech</v>
          </cell>
          <cell r="FK39">
            <v>9.5709570957095716E-2</v>
          </cell>
          <cell r="FL39">
            <v>8.9830508474576271E-2</v>
          </cell>
          <cell r="FN39">
            <v>9.2281879194630878E-2</v>
          </cell>
          <cell r="FP39">
            <v>9.3577981651376152E-2</v>
          </cell>
          <cell r="FQ39">
            <v>9.2854086435601196E-2</v>
          </cell>
          <cell r="FR39">
            <v>0.1150165016501651</v>
          </cell>
          <cell r="FS39">
            <v>-9.0466101694915216E-2</v>
          </cell>
          <cell r="FT39">
            <v>8.8926174496644403E-2</v>
          </cell>
          <cell r="FU39">
            <v>4.5248398822918513E-2</v>
          </cell>
          <cell r="FV39">
            <v>3.9673314263188188E-2</v>
          </cell>
          <cell r="FW39">
            <v>6.9057849181144659E-2</v>
          </cell>
          <cell r="FX39">
            <v>-6.1426066627703113E-2</v>
          </cell>
          <cell r="FY39">
            <v>2.7288843864758938E-2</v>
          </cell>
          <cell r="FZ39">
            <v>1.404503753127595E-2</v>
          </cell>
          <cell r="GB39" t="str">
            <v>Info Sys &amp; Tech</v>
          </cell>
          <cell r="GC39">
            <v>8.5836909871244635E-2</v>
          </cell>
          <cell r="GD39">
            <v>9.8765432098765427E-2</v>
          </cell>
          <cell r="GF39">
            <v>8.4745762711864403E-2</v>
          </cell>
          <cell r="GH39">
            <v>8.9527027027027029E-2</v>
          </cell>
          <cell r="GI39">
            <v>8.9310829817158932E-2</v>
          </cell>
        </row>
        <row r="40">
          <cell r="B40" t="str">
            <v>Balance Sheet</v>
          </cell>
          <cell r="U40" t="str">
            <v>"% of Year</v>
          </cell>
          <cell r="V40">
            <v>0.23042295729689613</v>
          </cell>
          <cell r="W40">
            <v>0.25866388968227771</v>
          </cell>
          <cell r="Y40">
            <v>0.2571190027710073</v>
          </cell>
          <cell r="AA40">
            <v>0.25427869211119858</v>
          </cell>
          <cell r="AN40" t="str">
            <v>Avg. Diluted Shares</v>
          </cell>
          <cell r="AO40">
            <v>409.4</v>
          </cell>
          <cell r="AP40">
            <v>408.9</v>
          </cell>
          <cell r="AQ40">
            <v>409.15</v>
          </cell>
          <cell r="AR40">
            <v>407.3</v>
          </cell>
          <cell r="AS40">
            <v>408.5333333333333</v>
          </cell>
          <cell r="AT40">
            <v>406.9</v>
          </cell>
          <cell r="AU40">
            <v>408.14499999999998</v>
          </cell>
          <cell r="AV40">
            <v>1.2113720642768833E-2</v>
          </cell>
          <cell r="AW40">
            <v>4.7729565857557166E-3</v>
          </cell>
          <cell r="AX40">
            <v>3.0189076680264826E-4</v>
          </cell>
          <cell r="AY40">
            <v>-4.4042084658674208E-3</v>
          </cell>
          <cell r="AZ40">
            <v>3.3062930186822381E-3</v>
          </cell>
          <cell r="BA40">
            <v>1.71274773672625E-3</v>
          </cell>
          <cell r="BB40">
            <v>-1.221299462628278E-3</v>
          </cell>
          <cell r="BC40">
            <v>-3.9129371484469821E-3</v>
          </cell>
          <cell r="BD40">
            <v>-9.8207709305186963E-4</v>
          </cell>
          <cell r="BF40" t="str">
            <v>Aerospace</v>
          </cell>
          <cell r="BG40">
            <v>0.15608180839612487</v>
          </cell>
          <cell r="BH40">
            <v>0.15557638238050608</v>
          </cell>
          <cell r="BI40">
            <v>0.15581162324649298</v>
          </cell>
          <cell r="BJ40">
            <v>0.15179392824287027</v>
          </cell>
          <cell r="BK40">
            <v>0.15439506973726888</v>
          </cell>
          <cell r="BL40">
            <v>0.16263310745401743</v>
          </cell>
          <cell r="BM40">
            <v>0.15646258503401361</v>
          </cell>
          <cell r="BX40" t="str">
            <v>Aerospace</v>
          </cell>
          <cell r="BY40">
            <v>0.13413014608233731</v>
          </cell>
          <cell r="BZ40">
            <v>0.15096618357487923</v>
          </cell>
          <cell r="CA40">
            <v>0.14294750158127767</v>
          </cell>
          <cell r="CB40">
            <v>0.16114790286975716</v>
          </cell>
          <cell r="CC40">
            <v>0.14957780458383596</v>
          </cell>
          <cell r="CD40">
            <v>0.13002114164904863</v>
          </cell>
          <cell r="CE40">
            <v>0.14418875618992136</v>
          </cell>
          <cell r="CP40" t="str">
            <v>Aerospace</v>
          </cell>
          <cell r="CQ40">
            <v>0.10891089108910891</v>
          </cell>
          <cell r="CR40">
            <v>0.12191958495460441</v>
          </cell>
          <cell r="CS40">
            <v>0.11619462599854757</v>
          </cell>
          <cell r="CT40">
            <v>0.14661654135338345</v>
          </cell>
          <cell r="CU40">
            <v>0.12735632183908047</v>
          </cell>
          <cell r="CV40">
            <v>0.13859020310633213</v>
          </cell>
          <cell r="CW40">
            <v>0.13047808764940239</v>
          </cell>
          <cell r="DH40" t="str">
            <v>Aerospace</v>
          </cell>
          <cell r="DI40">
            <v>6.7340067340067339E-2</v>
          </cell>
          <cell r="DJ40">
            <v>6.2937062937062943E-2</v>
          </cell>
          <cell r="DK40">
            <v>6.4935064935064929E-2</v>
          </cell>
          <cell r="DL40">
            <v>6.1881188118811881E-2</v>
          </cell>
          <cell r="DM40">
            <v>6.3769485120453467E-2</v>
          </cell>
          <cell r="DN40">
            <v>0.10012062726176116</v>
          </cell>
          <cell r="DO40">
            <v>7.3998642226748138E-2</v>
          </cell>
          <cell r="DZ40" t="str">
            <v>Gulfstream</v>
          </cell>
          <cell r="EA40">
            <v>0.18872870249017037</v>
          </cell>
          <cell r="EB40">
            <v>0.17045454545454544</v>
          </cell>
          <cell r="EC40">
            <v>0.17894096165550821</v>
          </cell>
          <cell r="ED40">
            <v>0.13531799729364005</v>
          </cell>
          <cell r="EE40">
            <v>0.16540722082283796</v>
          </cell>
          <cell r="EF40">
            <v>5.8434399117971332E-2</v>
          </cell>
          <cell r="EG40">
            <v>0.20224719101123595</v>
          </cell>
          <cell r="EH40">
            <v>-6.6841415465268672E-2</v>
          </cell>
          <cell r="EI40">
            <v>-0.16944122756224669</v>
          </cell>
          <cell r="EJ40">
            <v>-0.29567402650887969</v>
          </cell>
          <cell r="EK40">
            <v>-0.65943141618360268</v>
          </cell>
          <cell r="EL40">
            <v>5.6539325842696532E-2</v>
          </cell>
          <cell r="EM40">
            <v>9.9952560525532919E-2</v>
          </cell>
          <cell r="EN40">
            <v>-9.6827651515151603E-2</v>
          </cell>
          <cell r="EO40">
            <v>-0.20613441587731163</v>
          </cell>
          <cell r="EP40">
            <v>-0.56816979051819183</v>
          </cell>
          <cell r="ER40" t="str">
            <v>Gulfstream</v>
          </cell>
          <cell r="ES40">
            <v>0.20224719101123595</v>
          </cell>
          <cell r="ET40">
            <v>0.20522875816993463</v>
          </cell>
          <cell r="EV40">
            <v>0.19212410501193317</v>
          </cell>
          <cell r="EX40">
            <v>0.17157894736842105</v>
          </cell>
          <cell r="EY40">
            <v>0.19142419601837674</v>
          </cell>
          <cell r="EZ40">
            <v>0.12702633158933002</v>
          </cell>
          <cell r="FA40">
            <v>0.11584642687096913</v>
          </cell>
          <cell r="FB40">
            <v>-5.4852557223174392E-2</v>
          </cell>
          <cell r="FC40">
            <v>-0.20604772801569141</v>
          </cell>
          <cell r="FD40">
            <v>-2.0567753818136629E-2</v>
          </cell>
          <cell r="FE40">
            <v>-6.4135668923162803E-2</v>
          </cell>
          <cell r="FF40">
            <v>1.4742193173565621E-2</v>
          </cell>
          <cell r="FG40">
            <v>-6.3853883222109054E-2</v>
          </cell>
          <cell r="FH40">
            <v>-0.10693690748610651</v>
          </cell>
          <cell r="FJ40" t="str">
            <v>Gulfstream</v>
          </cell>
          <cell r="FK40">
            <v>0.17945205479452056</v>
          </cell>
          <cell r="FL40">
            <v>0.18392204628501826</v>
          </cell>
          <cell r="FN40">
            <v>0.20327421555252387</v>
          </cell>
          <cell r="FP40">
            <v>0.21610738255033557</v>
          </cell>
          <cell r="FQ40">
            <v>0.19544404093760318</v>
          </cell>
          <cell r="FR40">
            <v>0.15274045803246189</v>
          </cell>
          <cell r="FS40">
            <v>0.12612477820532772</v>
          </cell>
          <cell r="FT40">
            <v>0.11800818553888125</v>
          </cell>
          <cell r="FU40">
            <v>0.33581345204515983</v>
          </cell>
          <cell r="FV40">
            <v>0.17955750018150968</v>
          </cell>
          <cell r="FW40">
            <v>0.10923775931547164</v>
          </cell>
          <cell r="FX40">
            <v>2.4909112885979523E-2</v>
          </cell>
          <cell r="FY40">
            <v>0.1052194103882258</v>
          </cell>
          <cell r="FZ40">
            <v>6.3132291338227953E-2</v>
          </cell>
          <cell r="GB40" t="str">
            <v>Gulfstream</v>
          </cell>
          <cell r="GC40">
            <v>0.1556742921132617</v>
          </cell>
          <cell r="GD40">
            <v>0.16332297259112749</v>
          </cell>
          <cell r="GF40">
            <v>0.18181818181818182</v>
          </cell>
          <cell r="GH40">
            <v>0.16177961242976735</v>
          </cell>
          <cell r="GI40">
            <v>0.16569267789618425</v>
          </cell>
        </row>
        <row r="41">
          <cell r="B41" t="str">
            <v>Total  Debt</v>
          </cell>
          <cell r="C41">
            <v>3882</v>
          </cell>
          <cell r="D41">
            <v>3915</v>
          </cell>
          <cell r="E41">
            <v>3915</v>
          </cell>
          <cell r="F41">
            <v>0</v>
          </cell>
          <cell r="G41">
            <v>0</v>
          </cell>
          <cell r="H41">
            <v>0</v>
          </cell>
          <cell r="I41">
            <v>4003</v>
          </cell>
          <cell r="U41" t="str">
            <v>Avg. Diluted Shares</v>
          </cell>
          <cell r="V41">
            <v>403.9</v>
          </cell>
          <cell r="W41">
            <v>401.8</v>
          </cell>
          <cell r="X41">
            <v>402.85</v>
          </cell>
          <cell r="Y41">
            <v>399.8</v>
          </cell>
          <cell r="Z41">
            <v>401.83333333333331</v>
          </cell>
          <cell r="AA41">
            <v>389.6</v>
          </cell>
          <cell r="AB41">
            <v>398.7</v>
          </cell>
          <cell r="AC41">
            <v>-1.3434294088910614E-2</v>
          </cell>
          <cell r="AD41">
            <v>-1.7363658596233678E-2</v>
          </cell>
          <cell r="AE41">
            <v>-1.8413945494721307E-2</v>
          </cell>
          <cell r="AF41">
            <v>-4.251658884246734E-2</v>
          </cell>
          <cell r="AG41">
            <v>-2.3141285572529369E-2</v>
          </cell>
          <cell r="AH41">
            <v>-7.3728188744163203E-3</v>
          </cell>
          <cell r="AI41">
            <v>-5.199306759098743E-3</v>
          </cell>
          <cell r="AJ41">
            <v>-4.9776007964161817E-3</v>
          </cell>
          <cell r="AK41">
            <v>-2.5512756378189061E-2</v>
          </cell>
          <cell r="BF41" t="str">
            <v>Resources</v>
          </cell>
          <cell r="BG41" t="str">
            <v xml:space="preserve">NA </v>
          </cell>
          <cell r="BH41" t="str">
            <v xml:space="preserve">NA </v>
          </cell>
          <cell r="BI41" t="str">
            <v xml:space="preserve">NA </v>
          </cell>
          <cell r="BJ41" t="str">
            <v xml:space="preserve">NA </v>
          </cell>
          <cell r="BK41" t="str">
            <v xml:space="preserve">NA </v>
          </cell>
          <cell r="BL41" t="str">
            <v xml:space="preserve">NA </v>
          </cell>
          <cell r="BM41" t="str">
            <v xml:space="preserve">NA </v>
          </cell>
          <cell r="BX41" t="str">
            <v>Resources</v>
          </cell>
          <cell r="BY41" t="str">
            <v xml:space="preserve">NA </v>
          </cell>
          <cell r="BZ41" t="str">
            <v xml:space="preserve">NA </v>
          </cell>
          <cell r="CA41" t="str">
            <v xml:space="preserve">NA </v>
          </cell>
          <cell r="CB41" t="str">
            <v xml:space="preserve">NA </v>
          </cell>
          <cell r="CC41" t="str">
            <v xml:space="preserve">NA </v>
          </cell>
          <cell r="CD41" t="str">
            <v xml:space="preserve">NA </v>
          </cell>
          <cell r="CE41" t="str">
            <v xml:space="preserve">NA </v>
          </cell>
          <cell r="CP41" t="str">
            <v>Resources</v>
          </cell>
          <cell r="CQ41">
            <v>-0.19148936170212766</v>
          </cell>
          <cell r="CR41">
            <v>0.1076923076923077</v>
          </cell>
          <cell r="CS41">
            <v>-1.7857142857142856E-2</v>
          </cell>
          <cell r="CT41">
            <v>0.13513513513513514</v>
          </cell>
          <cell r="CU41">
            <v>4.3010752688172046E-2</v>
          </cell>
          <cell r="CV41">
            <v>1.0810810810810811E-2</v>
          </cell>
          <cell r="CW41">
            <v>6</v>
          </cell>
          <cell r="DH41" t="str">
            <v>Resources</v>
          </cell>
          <cell r="DI41">
            <v>0.24390243902439024</v>
          </cell>
          <cell r="DJ41">
            <v>0.13043478260869565</v>
          </cell>
          <cell r="DK41">
            <v>0.17272727272727273</v>
          </cell>
          <cell r="DL41">
            <v>0.10256410256410256</v>
          </cell>
          <cell r="DM41">
            <v>0.14361702127659576</v>
          </cell>
          <cell r="DN41">
            <v>7.3529411764705885E-2</v>
          </cell>
          <cell r="DO41">
            <v>0.125</v>
          </cell>
          <cell r="DZ41" t="str">
            <v>Other</v>
          </cell>
          <cell r="EA41">
            <v>0.12</v>
          </cell>
          <cell r="EB41">
            <v>0.32467532467532467</v>
          </cell>
          <cell r="EC41">
            <v>0.24409448818897639</v>
          </cell>
          <cell r="ED41">
            <v>0.36470588235294116</v>
          </cell>
          <cell r="EE41">
            <v>0.29245283018867924</v>
          </cell>
          <cell r="EF41">
            <v>0.36486486486486486</v>
          </cell>
          <cell r="EG41">
            <v>4.0816326530612242E-2</v>
          </cell>
          <cell r="EH41">
            <v>1.9400000000000004</v>
          </cell>
          <cell r="EI41">
            <v>0.62337662337662325</v>
          </cell>
          <cell r="EJ41">
            <v>0.77794117647058825</v>
          </cell>
          <cell r="EK41">
            <v>0.44121621621621609</v>
          </cell>
          <cell r="EM41">
            <v>-0.52600000000000002</v>
          </cell>
          <cell r="EN41">
            <v>1.7056277056277058</v>
          </cell>
          <cell r="EO41">
            <v>0.12329411764705878</v>
          </cell>
          <cell r="EP41">
            <v>4.3591979075863208E-4</v>
          </cell>
          <cell r="ER41" t="str">
            <v>Other</v>
          </cell>
          <cell r="ES41">
            <v>4.0816326530612242E-2</v>
          </cell>
          <cell r="ET41">
            <v>0.2</v>
          </cell>
          <cell r="EV41">
            <v>0.20512820512820512</v>
          </cell>
          <cell r="EX41">
            <v>0.25316455696202533</v>
          </cell>
          <cell r="EY41">
            <v>0</v>
          </cell>
          <cell r="EZ41">
            <v>-1.25</v>
          </cell>
          <cell r="FA41">
            <v>-3.076923076923066E-2</v>
          </cell>
          <cell r="FB41">
            <v>-0.16869095816464241</v>
          </cell>
          <cell r="FC41">
            <v>0.35021097046413513</v>
          </cell>
          <cell r="FE41">
            <v>-0.78231292517006801</v>
          </cell>
          <cell r="FF41">
            <v>3.9000000000000004</v>
          </cell>
          <cell r="FG41">
            <v>2.564102564102555E-2</v>
          </cell>
          <cell r="FH41">
            <v>0.23417721518987356</v>
          </cell>
          <cell r="FJ41" t="str">
            <v>Other</v>
          </cell>
          <cell r="FK41">
            <v>-0.16326530612244897</v>
          </cell>
          <cell r="FL41">
            <v>0.20634920634920634</v>
          </cell>
          <cell r="FN41">
            <v>0.24675324675324675</v>
          </cell>
          <cell r="FP41">
            <v>0.1875</v>
          </cell>
          <cell r="FQ41">
            <v>0</v>
          </cell>
          <cell r="FS41">
            <v>-0.19887955182072831</v>
          </cell>
          <cell r="FT41">
            <v>0.20086580086580091</v>
          </cell>
          <cell r="FU41">
            <v>-0.12946428571428575</v>
          </cell>
          <cell r="FV41">
            <v>-1</v>
          </cell>
          <cell r="FW41">
            <v>-1.7580174927113701</v>
          </cell>
          <cell r="FX41">
            <v>-2.2638888888888888</v>
          </cell>
          <cell r="FY41">
            <v>0.19580419580419584</v>
          </cell>
          <cell r="FZ41">
            <v>-0.24013157894736836</v>
          </cell>
          <cell r="GB41" t="str">
            <v>Other</v>
          </cell>
          <cell r="GC41">
            <v>0</v>
          </cell>
          <cell r="GD41">
            <v>0.25757575757575757</v>
          </cell>
          <cell r="GF41">
            <v>0.20547945205479451</v>
          </cell>
          <cell r="GH41">
            <v>0.2153846153846154</v>
          </cell>
          <cell r="GI41">
            <v>0.184</v>
          </cell>
        </row>
        <row r="42">
          <cell r="B42" t="str">
            <v>Cash</v>
          </cell>
          <cell r="C42">
            <v>1126</v>
          </cell>
          <cell r="D42">
            <v>1614</v>
          </cell>
          <cell r="E42">
            <v>1614</v>
          </cell>
          <cell r="F42">
            <v>0</v>
          </cell>
          <cell r="G42">
            <v>0</v>
          </cell>
          <cell r="H42">
            <v>0</v>
          </cell>
          <cell r="I42">
            <v>3613.2032682729555</v>
          </cell>
          <cell r="AN42" t="str">
            <v>Balance Sheet</v>
          </cell>
          <cell r="BF42" t="str">
            <v>Total</v>
          </cell>
          <cell r="BG42">
            <v>0.10746483952398125</v>
          </cell>
          <cell r="BH42">
            <v>0.10936973373778228</v>
          </cell>
          <cell r="BI42">
            <v>0.10844947735191637</v>
          </cell>
          <cell r="BJ42">
            <v>0.11155050255396276</v>
          </cell>
          <cell r="BK42">
            <v>0.10952191008034645</v>
          </cell>
          <cell r="BL42">
            <v>0.1079214000614062</v>
          </cell>
          <cell r="BM42">
            <v>0.10908864231392594</v>
          </cell>
          <cell r="BX42" t="str">
            <v>Total</v>
          </cell>
          <cell r="BY42">
            <v>9.6395641240569985E-2</v>
          </cell>
          <cell r="BZ42">
            <v>0.10492505353319058</v>
          </cell>
          <cell r="CA42">
            <v>0.1008174386920981</v>
          </cell>
          <cell r="CB42">
            <v>0.10844964164466239</v>
          </cell>
          <cell r="CC42">
            <v>0.10347774636776018</v>
          </cell>
          <cell r="CD42">
            <v>0.10617626648160999</v>
          </cell>
          <cell r="CE42">
            <v>0.10388557806912992</v>
          </cell>
          <cell r="CP42" t="str">
            <v>Total</v>
          </cell>
          <cell r="CQ42">
            <v>9.384416702539819E-2</v>
          </cell>
          <cell r="CR42">
            <v>0.10425623387790198</v>
          </cell>
          <cell r="CS42">
            <v>9.9053559905355984E-2</v>
          </cell>
          <cell r="CT42">
            <v>0.10608995050570261</v>
          </cell>
          <cell r="CU42">
            <v>0.10139835066332019</v>
          </cell>
          <cell r="CV42">
            <v>0.10501726589477961</v>
          </cell>
          <cell r="CW42">
            <v>0.10234259062963748</v>
          </cell>
          <cell r="DH42" t="str">
            <v>Total</v>
          </cell>
          <cell r="DI42">
            <v>9.2707410687924416E-2</v>
          </cell>
          <cell r="DJ42">
            <v>9.625256673511294E-2</v>
          </cell>
          <cell r="DK42">
            <v>9.4603872030756556E-2</v>
          </cell>
          <cell r="DL42">
            <v>8.0137772675086108E-2</v>
          </cell>
          <cell r="DM42">
            <v>8.919058257432548E-2</v>
          </cell>
          <cell r="DN42">
            <v>8.6028323821602193E-2</v>
          </cell>
          <cell r="DO42">
            <v>8.8314551690347867E-2</v>
          </cell>
          <cell r="DZ42" t="str">
            <v xml:space="preserve">  Total</v>
          </cell>
          <cell r="EA42">
            <v>0.11895551257253385</v>
          </cell>
          <cell r="EB42">
            <v>0.12065031374786081</v>
          </cell>
          <cell r="EC42">
            <v>0.11985472154963681</v>
          </cell>
          <cell r="ED42">
            <v>0.12911084043848964</v>
          </cell>
          <cell r="EE42">
            <v>0.12292761827739587</v>
          </cell>
          <cell r="EF42">
            <v>9.2661034846884899E-2</v>
          </cell>
          <cell r="EG42">
            <v>0.12495323606434718</v>
          </cell>
          <cell r="EH42">
            <v>-4.7999745190470094E-2</v>
          </cell>
          <cell r="EI42">
            <v>-3.6748708029208321E-2</v>
          </cell>
          <cell r="EJ42">
            <v>3.7007282245315756E-2</v>
          </cell>
          <cell r="EK42">
            <v>-0.22233368532206971</v>
          </cell>
          <cell r="EM42">
            <v>-1.6548463356973464E-3</v>
          </cell>
          <cell r="EN42">
            <v>1.4247352969821714E-2</v>
          </cell>
          <cell r="EO42">
            <v>7.0124365431074809E-2</v>
          </cell>
          <cell r="EP42">
            <v>-0.2823140602896933</v>
          </cell>
          <cell r="ER42" t="str">
            <v xml:space="preserve">  Total</v>
          </cell>
          <cell r="ES42">
            <v>0.12495323606434718</v>
          </cell>
          <cell r="ET42">
            <v>0.12525320729237002</v>
          </cell>
          <cell r="EV42">
            <v>0.12450331125827814</v>
          </cell>
          <cell r="EX42">
            <v>0.11915269196822595</v>
          </cell>
          <cell r="EZ42">
            <v>3.9643591568065101E-2</v>
          </cell>
          <cell r="FA42">
            <v>-2.1529422435425886E-2</v>
          </cell>
          <cell r="FB42">
            <v>-7.5646039263466178E-2</v>
          </cell>
          <cell r="FC42">
            <v>-9.3478078397358777E-2</v>
          </cell>
          <cell r="FE42">
            <v>-4.9347137723698697E-2</v>
          </cell>
          <cell r="FF42">
            <v>2.4006679416319621E-3</v>
          </cell>
          <cell r="FG42">
            <v>-5.9870405740705124E-3</v>
          </cell>
          <cell r="FH42">
            <v>-4.2975718765844717E-2</v>
          </cell>
          <cell r="FJ42" t="str">
            <v xml:space="preserve">  Total</v>
          </cell>
          <cell r="FK42">
            <v>0.1201885310290652</v>
          </cell>
          <cell r="FL42">
            <v>0.12800917080626673</v>
          </cell>
          <cell r="FN42">
            <v>0.13469224620303757</v>
          </cell>
          <cell r="FP42">
            <v>0.13143939393939394</v>
          </cell>
          <cell r="FR42">
            <v>1.3210242238902482E-3</v>
          </cell>
          <cell r="FS42">
            <v>-4.1171795985221173E-2</v>
          </cell>
          <cell r="FT42">
            <v>2.8770087378373235E-2</v>
          </cell>
          <cell r="FU42">
            <v>6.0460225983581341E-2</v>
          </cell>
          <cell r="FW42">
            <v>-3.0312351908088453E-2</v>
          </cell>
          <cell r="FX42">
            <v>6.5069767558023184E-2</v>
          </cell>
          <cell r="FY42">
            <v>5.220778600999787E-2</v>
          </cell>
          <cell r="FZ42">
            <v>-2.4150256271918025E-2</v>
          </cell>
          <cell r="GB42" t="str">
            <v xml:space="preserve">  Total</v>
          </cell>
          <cell r="GC42">
            <v>0.12002996853304027</v>
          </cell>
          <cell r="GD42">
            <v>0.13350584627180373</v>
          </cell>
          <cell r="GF42">
            <v>0.1309255079006772</v>
          </cell>
          <cell r="GH42">
            <v>0.12394561410116381</v>
          </cell>
        </row>
        <row r="43">
          <cell r="B43" t="str">
            <v>Net Debt (Cash)</v>
          </cell>
          <cell r="C43">
            <v>2756</v>
          </cell>
          <cell r="D43">
            <v>2301</v>
          </cell>
          <cell r="E43">
            <v>2301</v>
          </cell>
          <cell r="F43">
            <v>0</v>
          </cell>
          <cell r="G43">
            <v>0</v>
          </cell>
          <cell r="H43">
            <v>0</v>
          </cell>
          <cell r="I43">
            <v>389.79673172704452</v>
          </cell>
          <cell r="U43" t="str">
            <v>Balance Sheet</v>
          </cell>
          <cell r="AN43" t="str">
            <v>Total  Debt</v>
          </cell>
          <cell r="AO43">
            <v>2790</v>
          </cell>
          <cell r="AP43">
            <v>2789</v>
          </cell>
          <cell r="AQ43">
            <v>2789</v>
          </cell>
          <cell r="AR43">
            <v>2796</v>
          </cell>
          <cell r="AS43">
            <v>5585</v>
          </cell>
        </row>
        <row r="44">
          <cell r="B44" t="str">
            <v>Equity</v>
          </cell>
          <cell r="C44">
            <v>10271</v>
          </cell>
          <cell r="D44">
            <v>11001</v>
          </cell>
          <cell r="E44">
            <v>11001</v>
          </cell>
          <cell r="F44">
            <v>0</v>
          </cell>
          <cell r="G44">
            <v>0</v>
          </cell>
          <cell r="H44">
            <v>0</v>
          </cell>
          <cell r="I44">
            <v>11045.995472989402</v>
          </cell>
          <cell r="U44" t="str">
            <v>Total  Debt</v>
          </cell>
          <cell r="V44">
            <v>2790</v>
          </cell>
          <cell r="W44">
            <v>2289</v>
          </cell>
          <cell r="X44">
            <v>2289</v>
          </cell>
          <cell r="Y44">
            <v>2139</v>
          </cell>
          <cell r="Z44">
            <v>2139</v>
          </cell>
          <cell r="AA44">
            <v>4024</v>
          </cell>
          <cell r="AB44">
            <v>4024</v>
          </cell>
          <cell r="AN44" t="str">
            <v>Cash</v>
          </cell>
          <cell r="AO44">
            <v>1492</v>
          </cell>
          <cell r="AP44">
            <v>1794</v>
          </cell>
          <cell r="AQ44">
            <v>1794</v>
          </cell>
          <cell r="AR44">
            <v>2033</v>
          </cell>
          <cell r="AS44">
            <v>3827</v>
          </cell>
          <cell r="DZ44" t="str">
            <v>Balance Sheet</v>
          </cell>
          <cell r="ER44" t="str">
            <v>Balance Sheet</v>
          </cell>
        </row>
        <row r="45">
          <cell r="B45" t="str">
            <v>Net Debt/Cap</v>
          </cell>
          <cell r="C45">
            <v>0.21156060489752054</v>
          </cell>
          <cell r="D45">
            <v>0.17298150654036987</v>
          </cell>
          <cell r="E45">
            <v>0.17298150654036987</v>
          </cell>
          <cell r="F45">
            <v>0</v>
          </cell>
          <cell r="G45">
            <v>0</v>
          </cell>
          <cell r="H45">
            <v>0</v>
          </cell>
          <cell r="I45">
            <v>3.4085678084136685E-2</v>
          </cell>
          <cell r="U45" t="str">
            <v>Cash</v>
          </cell>
          <cell r="V45">
            <v>2605</v>
          </cell>
          <cell r="W45">
            <v>2740</v>
          </cell>
          <cell r="X45">
            <v>2740</v>
          </cell>
          <cell r="Y45">
            <v>2617</v>
          </cell>
          <cell r="Z45">
            <v>2617</v>
          </cell>
          <cell r="AA45">
            <v>1621</v>
          </cell>
          <cell r="AB45">
            <v>1621</v>
          </cell>
          <cell r="AN45" t="str">
            <v>Net Debt (Cash)</v>
          </cell>
          <cell r="AO45">
            <v>1298</v>
          </cell>
          <cell r="AP45">
            <v>995</v>
          </cell>
          <cell r="AQ45">
            <v>995</v>
          </cell>
          <cell r="AR45">
            <v>763</v>
          </cell>
          <cell r="AS45">
            <v>1758</v>
          </cell>
          <cell r="BF45" t="str">
            <v>Balance Sheet</v>
          </cell>
          <cell r="BX45" t="str">
            <v>Balance Sheet</v>
          </cell>
          <cell r="CP45" t="str">
            <v>Balance Sheet</v>
          </cell>
          <cell r="DH45" t="str">
            <v>Balance Sheet</v>
          </cell>
          <cell r="DZ45" t="str">
            <v>Total  Debt</v>
          </cell>
          <cell r="EA45">
            <v>2016</v>
          </cell>
          <cell r="EB45">
            <v>1948</v>
          </cell>
          <cell r="ED45">
            <v>2021</v>
          </cell>
          <cell r="EF45">
            <v>1450</v>
          </cell>
          <cell r="EG45">
            <v>1471</v>
          </cell>
          <cell r="ER45" t="str">
            <v>Total  Debt</v>
          </cell>
          <cell r="ES45">
            <v>1143</v>
          </cell>
          <cell r="ET45">
            <v>1183</v>
          </cell>
          <cell r="EV45">
            <v>2239</v>
          </cell>
        </row>
        <row r="46">
          <cell r="B46" t="str">
            <v>Funded Backlog ($B)</v>
          </cell>
          <cell r="U46" t="str">
            <v>Net Debt (Cash)</v>
          </cell>
          <cell r="V46">
            <v>185</v>
          </cell>
          <cell r="W46">
            <v>-451</v>
          </cell>
          <cell r="X46">
            <v>-451</v>
          </cell>
          <cell r="Y46">
            <v>-478</v>
          </cell>
          <cell r="Z46">
            <v>-478</v>
          </cell>
          <cell r="AA46">
            <v>2403</v>
          </cell>
          <cell r="AB46">
            <v>2403</v>
          </cell>
          <cell r="AN46" t="str">
            <v>Equity</v>
          </cell>
          <cell r="AO46">
            <v>10075</v>
          </cell>
          <cell r="AP46">
            <v>10622</v>
          </cell>
          <cell r="AQ46">
            <v>10622</v>
          </cell>
          <cell r="AR46">
            <v>10910</v>
          </cell>
          <cell r="AS46">
            <v>21532</v>
          </cell>
          <cell r="BF46" t="str">
            <v>Total  Debt</v>
          </cell>
          <cell r="BG46">
            <v>3285</v>
          </cell>
          <cell r="BH46">
            <v>3649</v>
          </cell>
          <cell r="BI46">
            <v>3649</v>
          </cell>
          <cell r="BJ46">
            <v>3107</v>
          </cell>
          <cell r="BK46">
            <v>3107</v>
          </cell>
          <cell r="BL46">
            <v>2781</v>
          </cell>
          <cell r="BM46">
            <v>2781</v>
          </cell>
          <cell r="BX46" t="str">
            <v>Total  Debt</v>
          </cell>
          <cell r="BY46">
            <v>3297</v>
          </cell>
          <cell r="BZ46">
            <v>3298</v>
          </cell>
          <cell r="CB46">
            <v>3297</v>
          </cell>
          <cell r="CD46">
            <v>3291</v>
          </cell>
          <cell r="CE46">
            <v>3287</v>
          </cell>
          <cell r="CP46" t="str">
            <v>Total  Debt</v>
          </cell>
          <cell r="CQ46">
            <v>3858</v>
          </cell>
          <cell r="CR46">
            <v>3816</v>
          </cell>
          <cell r="CT46">
            <v>3687</v>
          </cell>
          <cell r="CV46">
            <v>3297</v>
          </cell>
          <cell r="CW46">
            <v>3297</v>
          </cell>
          <cell r="DH46" t="str">
            <v>Total  Debt</v>
          </cell>
          <cell r="DI46">
            <v>3100</v>
          </cell>
          <cell r="DJ46">
            <v>3084</v>
          </cell>
          <cell r="DL46">
            <v>4544</v>
          </cell>
          <cell r="DN46">
            <v>4043</v>
          </cell>
          <cell r="DO46">
            <v>4043</v>
          </cell>
          <cell r="DZ46" t="str">
            <v>Cash</v>
          </cell>
          <cell r="EA46">
            <v>377</v>
          </cell>
          <cell r="EB46">
            <v>376</v>
          </cell>
          <cell r="ED46">
            <v>468</v>
          </cell>
          <cell r="EF46">
            <v>328</v>
          </cell>
          <cell r="EG46">
            <v>328</v>
          </cell>
          <cell r="ER46" t="str">
            <v>Cash</v>
          </cell>
          <cell r="ES46">
            <v>280</v>
          </cell>
          <cell r="ET46">
            <v>163</v>
          </cell>
          <cell r="EV46">
            <v>579</v>
          </cell>
        </row>
        <row r="47">
          <cell r="B47" t="str">
            <v>Marine Systems</v>
          </cell>
          <cell r="C47">
            <v>9.4309999999999992</v>
          </cell>
          <cell r="D47">
            <v>8.6449999999999996</v>
          </cell>
          <cell r="E47">
            <v>8.6449999999999996</v>
          </cell>
          <cell r="F47">
            <v>0</v>
          </cell>
          <cell r="G47">
            <v>0</v>
          </cell>
          <cell r="H47">
            <v>0</v>
          </cell>
          <cell r="I47">
            <v>0</v>
          </cell>
          <cell r="U47" t="str">
            <v>Equity</v>
          </cell>
          <cell r="V47">
            <v>11777</v>
          </cell>
          <cell r="W47">
            <v>12184</v>
          </cell>
          <cell r="X47">
            <v>12184</v>
          </cell>
          <cell r="Y47">
            <v>12134</v>
          </cell>
          <cell r="Z47">
            <v>12134</v>
          </cell>
          <cell r="AA47">
            <v>12134</v>
          </cell>
          <cell r="AB47">
            <v>10053</v>
          </cell>
          <cell r="AN47" t="str">
            <v>Net Debt/Cap</v>
          </cell>
          <cell r="AO47">
            <v>0.11412995691550162</v>
          </cell>
          <cell r="AP47">
            <v>8.565034001893776E-2</v>
          </cell>
          <cell r="AQ47">
            <v>8.565034001893776E-2</v>
          </cell>
          <cell r="AR47">
            <v>6.5364516405379935E-2</v>
          </cell>
          <cell r="AS47">
            <v>6.5364516405379935E-2</v>
          </cell>
          <cell r="BF47" t="str">
            <v>Cash</v>
          </cell>
          <cell r="BG47">
            <v>2599</v>
          </cell>
          <cell r="BH47">
            <v>1399</v>
          </cell>
          <cell r="BI47">
            <v>1399</v>
          </cell>
          <cell r="BJ47">
            <v>963</v>
          </cell>
          <cell r="BK47">
            <v>963</v>
          </cell>
          <cell r="BL47">
            <v>1604</v>
          </cell>
          <cell r="BM47">
            <v>1604</v>
          </cell>
          <cell r="BX47" t="str">
            <v>Cash</v>
          </cell>
          <cell r="BY47">
            <v>1511</v>
          </cell>
          <cell r="BZ47">
            <v>1438</v>
          </cell>
          <cell r="CB47">
            <v>1754</v>
          </cell>
          <cell r="CD47">
            <v>2331</v>
          </cell>
          <cell r="CE47">
            <v>2331</v>
          </cell>
          <cell r="CP47" t="str">
            <v>Cash</v>
          </cell>
          <cell r="CQ47">
            <v>869</v>
          </cell>
          <cell r="CR47">
            <v>1100</v>
          </cell>
          <cell r="CT47">
            <v>686</v>
          </cell>
          <cell r="CV47">
            <v>976</v>
          </cell>
          <cell r="CW47">
            <v>976</v>
          </cell>
          <cell r="DH47" t="str">
            <v>Cash</v>
          </cell>
          <cell r="DI47">
            <v>748</v>
          </cell>
          <cell r="DJ47">
            <v>811</v>
          </cell>
          <cell r="DL47">
            <v>697</v>
          </cell>
          <cell r="DN47">
            <v>861</v>
          </cell>
          <cell r="DO47">
            <v>861</v>
          </cell>
          <cell r="DZ47" t="str">
            <v>Net Debt (Cash)</v>
          </cell>
          <cell r="EA47">
            <v>1639</v>
          </cell>
          <cell r="EB47">
            <v>1572</v>
          </cell>
          <cell r="ED47">
            <v>1553</v>
          </cell>
          <cell r="EF47">
            <v>1122</v>
          </cell>
          <cell r="EG47">
            <v>1143</v>
          </cell>
          <cell r="ER47" t="str">
            <v>Net Debt (Cash)</v>
          </cell>
          <cell r="ES47">
            <v>863</v>
          </cell>
          <cell r="ET47">
            <v>1020</v>
          </cell>
          <cell r="EV47">
            <v>1660</v>
          </cell>
        </row>
        <row r="48">
          <cell r="B48" t="str">
            <v>Combat Systems</v>
          </cell>
          <cell r="C48">
            <v>11.746</v>
          </cell>
          <cell r="D48">
            <v>11.494</v>
          </cell>
          <cell r="E48">
            <v>11.494</v>
          </cell>
          <cell r="F48">
            <v>0</v>
          </cell>
          <cell r="G48">
            <v>0</v>
          </cell>
          <cell r="H48">
            <v>0</v>
          </cell>
          <cell r="I48">
            <v>0</v>
          </cell>
          <cell r="U48" t="str">
            <v>Net Debt/Cap</v>
          </cell>
          <cell r="V48">
            <v>1.5465641197124227E-2</v>
          </cell>
          <cell r="W48">
            <v>-3.84385920054547E-2</v>
          </cell>
          <cell r="X48">
            <v>-3.84385920054547E-2</v>
          </cell>
          <cell r="Y48">
            <v>-4.1008922443376804E-2</v>
          </cell>
          <cell r="Z48">
            <v>-4.1008922443376804E-2</v>
          </cell>
          <cell r="AA48">
            <v>0.16530233198046365</v>
          </cell>
          <cell r="AB48">
            <v>0.19291907514450868</v>
          </cell>
          <cell r="AN48" t="str">
            <v>Funded Backlog ($B)</v>
          </cell>
          <cell r="BF48" t="str">
            <v>Net Debt (Cash)</v>
          </cell>
          <cell r="BG48">
            <v>686</v>
          </cell>
          <cell r="BH48">
            <v>2250</v>
          </cell>
          <cell r="BI48">
            <v>2250</v>
          </cell>
          <cell r="BJ48">
            <v>2144</v>
          </cell>
          <cell r="BK48">
            <v>2144</v>
          </cell>
          <cell r="BL48">
            <v>1177</v>
          </cell>
          <cell r="BM48">
            <v>1177</v>
          </cell>
          <cell r="BX48" t="str">
            <v>Net Debt (Cash)</v>
          </cell>
          <cell r="BY48">
            <v>1786</v>
          </cell>
          <cell r="BZ48">
            <v>1860</v>
          </cell>
          <cell r="CB48">
            <v>1543</v>
          </cell>
          <cell r="CD48">
            <v>960</v>
          </cell>
          <cell r="CE48">
            <v>960</v>
          </cell>
          <cell r="CP48" t="str">
            <v>Net Debt (Cash)</v>
          </cell>
          <cell r="CQ48">
            <v>2989</v>
          </cell>
          <cell r="CR48">
            <v>2716</v>
          </cell>
          <cell r="CT48">
            <v>3001</v>
          </cell>
          <cell r="CV48">
            <v>2321</v>
          </cell>
          <cell r="CW48">
            <v>2321</v>
          </cell>
          <cell r="DH48" t="str">
            <v>Net Debt (Cash)</v>
          </cell>
          <cell r="DI48">
            <v>2352</v>
          </cell>
          <cell r="DJ48">
            <v>2273</v>
          </cell>
          <cell r="DL48">
            <v>3847</v>
          </cell>
          <cell r="DN48">
            <v>3182</v>
          </cell>
          <cell r="DO48">
            <v>3182</v>
          </cell>
          <cell r="DZ48" t="str">
            <v>Equity</v>
          </cell>
          <cell r="EA48">
            <v>4741</v>
          </cell>
          <cell r="EB48">
            <v>4989</v>
          </cell>
          <cell r="ED48">
            <v>5121</v>
          </cell>
          <cell r="EF48">
            <v>5199</v>
          </cell>
          <cell r="EG48">
            <v>5199</v>
          </cell>
          <cell r="ER48" t="str">
            <v>Equity</v>
          </cell>
          <cell r="ES48">
            <v>4008</v>
          </cell>
          <cell r="ET48">
            <v>4214</v>
          </cell>
          <cell r="EV48">
            <v>4434</v>
          </cell>
        </row>
        <row r="49">
          <cell r="B49" t="str">
            <v>Info. Systems &amp; Tech.</v>
          </cell>
          <cell r="C49">
            <v>7.7949999999999999</v>
          </cell>
          <cell r="D49">
            <v>8.2080000000000002</v>
          </cell>
          <cell r="E49">
            <v>8.2080000000000002</v>
          </cell>
          <cell r="F49">
            <v>0</v>
          </cell>
          <cell r="G49">
            <v>0</v>
          </cell>
          <cell r="H49">
            <v>0</v>
          </cell>
          <cell r="I49">
            <v>0</v>
          </cell>
          <cell r="U49" t="str">
            <v>Funded Backlog ($B)</v>
          </cell>
          <cell r="AN49" t="str">
            <v>Marine Systems</v>
          </cell>
          <cell r="AO49">
            <v>8.9269999999999996</v>
          </cell>
          <cell r="AP49">
            <v>8.2899999999999991</v>
          </cell>
          <cell r="AQ49">
            <v>8.2899999999999991</v>
          </cell>
          <cell r="AR49">
            <v>8.1059999999999999</v>
          </cell>
          <cell r="AS49">
            <v>8.1059999999999999</v>
          </cell>
          <cell r="BF49" t="str">
            <v>Equity</v>
          </cell>
          <cell r="BG49">
            <v>8467</v>
          </cell>
          <cell r="BH49">
            <v>9081</v>
          </cell>
          <cell r="BI49">
            <v>9081</v>
          </cell>
          <cell r="BJ49">
            <v>9472</v>
          </cell>
          <cell r="BK49">
            <v>9472</v>
          </cell>
          <cell r="BL49">
            <v>9827</v>
          </cell>
          <cell r="BM49">
            <v>9827</v>
          </cell>
          <cell r="BX49" t="str">
            <v>Equity</v>
          </cell>
          <cell r="BY49">
            <v>7396</v>
          </cell>
          <cell r="BZ49">
            <v>7576</v>
          </cell>
          <cell r="CB49">
            <v>7973</v>
          </cell>
          <cell r="CD49">
            <v>8145</v>
          </cell>
          <cell r="CE49">
            <v>8145</v>
          </cell>
          <cell r="CP49" t="str">
            <v>Equity</v>
          </cell>
          <cell r="CQ49">
            <v>6217</v>
          </cell>
          <cell r="CR49">
            <v>6458</v>
          </cell>
          <cell r="CT49">
            <v>6777</v>
          </cell>
          <cell r="CV49">
            <v>7189</v>
          </cell>
          <cell r="CW49">
            <v>7189</v>
          </cell>
          <cell r="DH49" t="str">
            <v>Equity</v>
          </cell>
          <cell r="DI49">
            <v>5108</v>
          </cell>
          <cell r="DJ49">
            <v>5407</v>
          </cell>
          <cell r="DL49">
            <v>5586</v>
          </cell>
          <cell r="DN49">
            <v>5921</v>
          </cell>
          <cell r="DO49">
            <v>5921</v>
          </cell>
          <cell r="DZ49" t="str">
            <v>N. Debt/cap</v>
          </cell>
          <cell r="EA49">
            <v>0.25689655172413794</v>
          </cell>
          <cell r="EB49">
            <v>0.23959762231367171</v>
          </cell>
          <cell r="ED49">
            <v>0.23269403655978424</v>
          </cell>
          <cell r="EF49">
            <v>0.17750355956336022</v>
          </cell>
          <cell r="EG49">
            <v>0.18022705771050143</v>
          </cell>
          <cell r="ER49" t="str">
            <v>N. Debt/cap</v>
          </cell>
        </row>
        <row r="50">
          <cell r="B50" t="str">
            <v>Aerospace</v>
          </cell>
          <cell r="C50">
            <v>20.178999999999998</v>
          </cell>
          <cell r="D50">
            <v>19.306000000000001</v>
          </cell>
          <cell r="E50">
            <v>19.306000000000001</v>
          </cell>
          <cell r="F50">
            <v>0</v>
          </cell>
          <cell r="G50">
            <v>0</v>
          </cell>
          <cell r="H50">
            <v>0</v>
          </cell>
          <cell r="I50">
            <v>0</v>
          </cell>
          <cell r="U50" t="str">
            <v>Marine Systems</v>
          </cell>
          <cell r="V50">
            <v>9.5519999999999996</v>
          </cell>
          <cell r="W50">
            <v>8.8989999999999991</v>
          </cell>
          <cell r="X50">
            <v>8.8989999999999991</v>
          </cell>
          <cell r="Y50">
            <v>7.907</v>
          </cell>
          <cell r="Z50">
            <v>7.907</v>
          </cell>
          <cell r="AA50">
            <v>10.481999999999999</v>
          </cell>
          <cell r="AB50">
            <v>10.481999999999999</v>
          </cell>
          <cell r="AN50" t="str">
            <v>Combat Systems</v>
          </cell>
          <cell r="AO50">
            <v>10.55</v>
          </cell>
          <cell r="AP50">
            <v>10.712</v>
          </cell>
          <cell r="AQ50">
            <v>10.712</v>
          </cell>
          <cell r="AR50">
            <v>11.371</v>
          </cell>
          <cell r="AS50">
            <v>11.371</v>
          </cell>
          <cell r="BF50" t="str">
            <v>Net Debt/Cap</v>
          </cell>
          <cell r="BG50">
            <v>7.4948104446629527E-2</v>
          </cell>
          <cell r="BH50">
            <v>0.19857029388403494</v>
          </cell>
          <cell r="BI50">
            <v>0.19857029388403494</v>
          </cell>
          <cell r="BJ50">
            <v>0.18457300275482094</v>
          </cell>
          <cell r="BK50">
            <v>0.18457300275482094</v>
          </cell>
          <cell r="BL50">
            <v>0.1069611050527081</v>
          </cell>
          <cell r="BM50">
            <v>0.1069611050527081</v>
          </cell>
          <cell r="BX50" t="str">
            <v>Net Debt/Cap</v>
          </cell>
          <cell r="BY50">
            <v>0.19451099978218253</v>
          </cell>
          <cell r="BZ50">
            <v>0.19711742263671048</v>
          </cell>
          <cell r="CB50">
            <v>0.16214796132828921</v>
          </cell>
          <cell r="CD50">
            <v>0.10543657331136738</v>
          </cell>
          <cell r="CE50">
            <v>0.10543657331136738</v>
          </cell>
          <cell r="CP50" t="str">
            <v>Net Debt/Cap</v>
          </cell>
          <cell r="CQ50">
            <v>0.32467955681077559</v>
          </cell>
          <cell r="CR50">
            <v>0.29605406583823851</v>
          </cell>
          <cell r="CT50">
            <v>0.30691347923910822</v>
          </cell>
          <cell r="CV50">
            <v>0.24405888538380652</v>
          </cell>
          <cell r="CW50">
            <v>0.24405888538380652</v>
          </cell>
          <cell r="DH50" t="str">
            <v>Net Debt/Cap</v>
          </cell>
          <cell r="DI50">
            <v>0.31528150134048255</v>
          </cell>
          <cell r="DJ50">
            <v>0.29596354166666666</v>
          </cell>
          <cell r="DL50">
            <v>0.40782359800699669</v>
          </cell>
          <cell r="DN50">
            <v>0.34955509172800175</v>
          </cell>
          <cell r="DO50">
            <v>0.34955509172800175</v>
          </cell>
          <cell r="DZ50" t="str">
            <v>Funded BL-GD</v>
          </cell>
          <cell r="EA50">
            <v>20.7</v>
          </cell>
          <cell r="EB50">
            <v>20.5</v>
          </cell>
          <cell r="ED50">
            <v>21.6</v>
          </cell>
          <cell r="EF50">
            <v>21.3</v>
          </cell>
          <cell r="EG50">
            <v>21.3</v>
          </cell>
          <cell r="ER50" t="str">
            <v>Funded BL-GD</v>
          </cell>
          <cell r="ES50">
            <v>15.32</v>
          </cell>
          <cell r="ET50">
            <v>16.2</v>
          </cell>
          <cell r="EV50">
            <v>20.9</v>
          </cell>
        </row>
        <row r="51">
          <cell r="B51" t="str">
            <v>Resources</v>
          </cell>
          <cell r="C51">
            <v>0</v>
          </cell>
          <cell r="D51">
            <v>0</v>
          </cell>
          <cell r="E51">
            <v>0</v>
          </cell>
          <cell r="F51">
            <v>0</v>
          </cell>
          <cell r="G51">
            <v>0</v>
          </cell>
          <cell r="H51">
            <v>0</v>
          </cell>
          <cell r="I51">
            <v>0</v>
          </cell>
          <cell r="U51" t="str">
            <v>Combat Systems</v>
          </cell>
          <cell r="V51">
            <v>11.116</v>
          </cell>
          <cell r="W51">
            <v>10.611000000000001</v>
          </cell>
          <cell r="X51">
            <v>10.611000000000001</v>
          </cell>
          <cell r="Y51">
            <v>12.54</v>
          </cell>
          <cell r="Z51">
            <v>12.54</v>
          </cell>
          <cell r="AA51">
            <v>12.127000000000001</v>
          </cell>
          <cell r="AB51">
            <v>12.127000000000001</v>
          </cell>
          <cell r="AN51" t="str">
            <v>Info. Systems &amp; Tech.</v>
          </cell>
          <cell r="AO51">
            <v>7.343</v>
          </cell>
          <cell r="AP51">
            <v>6.98</v>
          </cell>
          <cell r="AQ51">
            <v>6.98</v>
          </cell>
          <cell r="AR51">
            <v>7.1840000000000002</v>
          </cell>
          <cell r="AS51">
            <v>7.1840000000000002</v>
          </cell>
        </row>
        <row r="52">
          <cell r="B52" t="str">
            <v>Total</v>
          </cell>
          <cell r="C52">
            <v>49.150999999999996</v>
          </cell>
          <cell r="D52">
            <v>47.653000000000006</v>
          </cell>
          <cell r="E52">
            <v>47.653000000000006</v>
          </cell>
          <cell r="F52">
            <v>0</v>
          </cell>
          <cell r="G52">
            <v>0</v>
          </cell>
          <cell r="H52">
            <v>0</v>
          </cell>
          <cell r="I52">
            <v>0</v>
          </cell>
          <cell r="U52" t="str">
            <v>Info. Systems &amp; Tech.</v>
          </cell>
          <cell r="V52">
            <v>7.5819999999999999</v>
          </cell>
          <cell r="W52">
            <v>7.5309999999999997</v>
          </cell>
          <cell r="X52">
            <v>7.5309999999999997</v>
          </cell>
          <cell r="Y52">
            <v>7.7610000000000001</v>
          </cell>
          <cell r="Z52">
            <v>7.7610000000000001</v>
          </cell>
          <cell r="AA52">
            <v>7.242</v>
          </cell>
          <cell r="AB52">
            <v>7.242</v>
          </cell>
          <cell r="AN52" t="str">
            <v>Aerospace</v>
          </cell>
          <cell r="AO52">
            <v>7.7160000000000002</v>
          </cell>
          <cell r="AP52">
            <v>9.4269999999999996</v>
          </cell>
          <cell r="AQ52">
            <v>9.4269999999999996</v>
          </cell>
          <cell r="AR52">
            <v>10.241</v>
          </cell>
          <cell r="AS52">
            <v>10.241</v>
          </cell>
          <cell r="BF52" t="str">
            <v>Funded Backlog ($B)</v>
          </cell>
          <cell r="BX52" t="str">
            <v>Funded Backlog ($B)</v>
          </cell>
          <cell r="CP52" t="str">
            <v>Funded Backlog ($B)</v>
          </cell>
          <cell r="DH52" t="str">
            <v>Funded Backlog ($B)</v>
          </cell>
          <cell r="DZ52" t="str">
            <v>Backlog by division, Funded</v>
          </cell>
          <cell r="ER52" t="str">
            <v>Backlog by division, Funded</v>
          </cell>
        </row>
        <row r="53">
          <cell r="U53" t="str">
            <v>Aerospace</v>
          </cell>
          <cell r="V53">
            <v>11.802</v>
          </cell>
          <cell r="W53">
            <v>18.195</v>
          </cell>
          <cell r="X53">
            <v>18.195</v>
          </cell>
          <cell r="Y53">
            <v>21.466000000000001</v>
          </cell>
          <cell r="Z53">
            <v>21.466000000000001</v>
          </cell>
          <cell r="AA53">
            <v>21.861000000000001</v>
          </cell>
          <cell r="AB53">
            <v>21.861000000000001</v>
          </cell>
          <cell r="AN53" t="str">
            <v>Resources</v>
          </cell>
          <cell r="AO53">
            <v>0</v>
          </cell>
          <cell r="AP53">
            <v>0</v>
          </cell>
          <cell r="AQ53">
            <v>0</v>
          </cell>
          <cell r="AR53">
            <v>0</v>
          </cell>
          <cell r="AS53">
            <v>0</v>
          </cell>
          <cell r="BF53" t="str">
            <v>Marine Systems</v>
          </cell>
          <cell r="BG53">
            <v>9.5449999999999999</v>
          </cell>
          <cell r="BH53">
            <v>8.8030000000000008</v>
          </cell>
          <cell r="BI53">
            <v>8.8030000000000008</v>
          </cell>
          <cell r="BJ53">
            <v>8.64</v>
          </cell>
          <cell r="BK53">
            <v>8.64</v>
          </cell>
          <cell r="BL53">
            <v>8.1739999999999995</v>
          </cell>
          <cell r="BM53">
            <v>8.1739999999999995</v>
          </cell>
          <cell r="BX53" t="str">
            <v>Marine Systems</v>
          </cell>
          <cell r="BY53">
            <v>10.396000000000001</v>
          </cell>
          <cell r="BZ53">
            <v>9.6539999999999999</v>
          </cell>
          <cell r="CB53">
            <v>8.8759999999999994</v>
          </cell>
          <cell r="CD53">
            <v>8.4190000000000005</v>
          </cell>
          <cell r="CE53">
            <v>8.4190000000000005</v>
          </cell>
          <cell r="CP53" t="str">
            <v>Marine Systems</v>
          </cell>
          <cell r="CQ53">
            <v>9.968</v>
          </cell>
          <cell r="CR53">
            <v>9.3870000000000005</v>
          </cell>
          <cell r="CT53">
            <v>8.4459999999999997</v>
          </cell>
          <cell r="CV53">
            <v>9.8989999999999991</v>
          </cell>
          <cell r="CW53">
            <v>9.8989999999999991</v>
          </cell>
          <cell r="DH53" t="str">
            <v>Marine Systems</v>
          </cell>
          <cell r="DI53">
            <v>8.26</v>
          </cell>
          <cell r="DJ53">
            <v>7.7610000000000001</v>
          </cell>
          <cell r="DL53">
            <v>8.81</v>
          </cell>
          <cell r="DN53">
            <v>8.7750000000000004</v>
          </cell>
          <cell r="DO53">
            <v>8.7750000000000004</v>
          </cell>
          <cell r="DZ53" t="str">
            <v>Marine</v>
          </cell>
          <cell r="EA53">
            <v>9.4049999999999994</v>
          </cell>
          <cell r="EB53">
            <v>8.7579999999999991</v>
          </cell>
          <cell r="ED53">
            <v>12.164</v>
          </cell>
          <cell r="EF53">
            <v>11.6</v>
          </cell>
          <cell r="EG53">
            <v>11.6</v>
          </cell>
          <cell r="ER53" t="str">
            <v>Marine</v>
          </cell>
          <cell r="ES53">
            <v>6.9370000000000003</v>
          </cell>
          <cell r="ET53">
            <v>6.4</v>
          </cell>
          <cell r="EV53">
            <v>9.5280000000000005</v>
          </cell>
        </row>
        <row r="54">
          <cell r="U54" t="str">
            <v>Resources</v>
          </cell>
          <cell r="V54">
            <v>0</v>
          </cell>
          <cell r="W54">
            <v>0</v>
          </cell>
          <cell r="X54">
            <v>0</v>
          </cell>
          <cell r="Y54">
            <v>0</v>
          </cell>
          <cell r="Z54">
            <v>0</v>
          </cell>
          <cell r="AA54">
            <v>0</v>
          </cell>
          <cell r="AB54">
            <v>0</v>
          </cell>
          <cell r="AN54" t="str">
            <v>Total</v>
          </cell>
          <cell r="AO54">
            <v>34.536000000000001</v>
          </cell>
          <cell r="AP54">
            <v>35.408999999999999</v>
          </cell>
          <cell r="AQ54">
            <v>35.408999999999999</v>
          </cell>
          <cell r="AR54">
            <v>36.902000000000001</v>
          </cell>
          <cell r="AS54">
            <v>36.902000000000001</v>
          </cell>
          <cell r="BF54" t="str">
            <v>Combat Systems</v>
          </cell>
          <cell r="BG54">
            <v>7.5629999999999997</v>
          </cell>
          <cell r="BH54">
            <v>8.3140000000000001</v>
          </cell>
          <cell r="BI54">
            <v>8.3140000000000001</v>
          </cell>
          <cell r="BJ54">
            <v>9.2129999999999992</v>
          </cell>
          <cell r="BK54">
            <v>9.2129999999999992</v>
          </cell>
          <cell r="BL54">
            <v>10.086</v>
          </cell>
          <cell r="BM54">
            <v>10.086</v>
          </cell>
          <cell r="BX54" t="str">
            <v>Combat Systems</v>
          </cell>
          <cell r="BY54">
            <v>8.06</v>
          </cell>
          <cell r="BZ54">
            <v>7.9020000000000001</v>
          </cell>
          <cell r="CB54">
            <v>7.7709999999999999</v>
          </cell>
          <cell r="CD54">
            <v>6.9539999999999997</v>
          </cell>
          <cell r="CE54">
            <v>6.9539999999999997</v>
          </cell>
          <cell r="CP54" t="str">
            <v>Combat Systems</v>
          </cell>
          <cell r="CQ54">
            <v>6.32</v>
          </cell>
          <cell r="CR54">
            <v>6.6440000000000001</v>
          </cell>
          <cell r="CT54">
            <v>6.202</v>
          </cell>
          <cell r="CV54">
            <v>6.3979999999999997</v>
          </cell>
          <cell r="CW54">
            <v>6.3979999999999997</v>
          </cell>
          <cell r="DH54" t="str">
            <v>Combat Systems</v>
          </cell>
          <cell r="DI54">
            <v>5.867</v>
          </cell>
          <cell r="DJ54">
            <v>5.8890000000000002</v>
          </cell>
          <cell r="DL54">
            <v>5.569</v>
          </cell>
          <cell r="DN54">
            <v>5.8259999999999996</v>
          </cell>
          <cell r="DO54">
            <v>5.8259999999999996</v>
          </cell>
          <cell r="DZ54" t="str">
            <v>Combat</v>
          </cell>
          <cell r="EA54">
            <v>5.5270000000000001</v>
          </cell>
          <cell r="EB54">
            <v>5.1710000000000003</v>
          </cell>
          <cell r="ED54">
            <v>5.0430000000000001</v>
          </cell>
          <cell r="EF54">
            <v>4.9000000000000004</v>
          </cell>
          <cell r="EG54">
            <v>4.9000000000000004</v>
          </cell>
          <cell r="ER54" t="str">
            <v>Combat</v>
          </cell>
          <cell r="ES54">
            <v>2.3719999999999999</v>
          </cell>
          <cell r="ET54">
            <v>2.2000000000000002</v>
          </cell>
          <cell r="EV54">
            <v>5.1829999999999998</v>
          </cell>
        </row>
        <row r="55">
          <cell r="U55" t="str">
            <v>Total</v>
          </cell>
          <cell r="V55">
            <v>40.052</v>
          </cell>
          <cell r="W55">
            <v>45.235999999999997</v>
          </cell>
          <cell r="X55">
            <v>45.235999999999997</v>
          </cell>
          <cell r="Y55">
            <v>49.673999999999999</v>
          </cell>
          <cell r="Z55">
            <v>49.673999999999999</v>
          </cell>
          <cell r="AA55">
            <v>51.712000000000003</v>
          </cell>
          <cell r="AB55">
            <v>51.712000000000003</v>
          </cell>
          <cell r="BF55" t="str">
            <v>Info. Systems &amp; Tech.</v>
          </cell>
          <cell r="BG55">
            <v>6.3220000000000001</v>
          </cell>
          <cell r="BH55">
            <v>7.125</v>
          </cell>
          <cell r="BI55">
            <v>7.125</v>
          </cell>
          <cell r="BJ55">
            <v>7.3440000000000003</v>
          </cell>
          <cell r="BK55">
            <v>7.3440000000000003</v>
          </cell>
          <cell r="BL55">
            <v>7.548</v>
          </cell>
          <cell r="BM55">
            <v>7.548</v>
          </cell>
          <cell r="BX55" t="str">
            <v>Info. Systems &amp; Tech.</v>
          </cell>
          <cell r="BY55">
            <v>7.4660000000000002</v>
          </cell>
          <cell r="BZ55">
            <v>7.1740000000000004</v>
          </cell>
          <cell r="CB55">
            <v>7.31</v>
          </cell>
          <cell r="CD55">
            <v>6.96</v>
          </cell>
          <cell r="CE55">
            <v>6.96</v>
          </cell>
          <cell r="CP55" t="str">
            <v>Info. Systems &amp; Tech.</v>
          </cell>
          <cell r="CQ55">
            <v>6.48</v>
          </cell>
          <cell r="CR55">
            <v>6.1719999999999997</v>
          </cell>
          <cell r="CT55">
            <v>6.1639999999999997</v>
          </cell>
          <cell r="CV55">
            <v>7.0709999999999997</v>
          </cell>
          <cell r="CW55">
            <v>7.0709999999999997</v>
          </cell>
          <cell r="DH55" t="str">
            <v>Info. Systems &amp; Tech.</v>
          </cell>
          <cell r="DI55">
            <v>5.2389999999999999</v>
          </cell>
          <cell r="DJ55">
            <v>5.5190000000000001</v>
          </cell>
          <cell r="DL55">
            <v>5.931</v>
          </cell>
          <cell r="DN55">
            <v>5.95</v>
          </cell>
          <cell r="DO55">
            <v>5.95</v>
          </cell>
          <cell r="DZ55" t="str">
            <v>Info</v>
          </cell>
          <cell r="EA55">
            <v>4.9080000000000004</v>
          </cell>
          <cell r="EB55">
            <v>5.1349999999999998</v>
          </cell>
          <cell r="ED55">
            <v>5.1429999999999998</v>
          </cell>
          <cell r="EF55">
            <v>5.3</v>
          </cell>
          <cell r="EG55">
            <v>5.3</v>
          </cell>
          <cell r="ER55" t="str">
            <v>Info</v>
          </cell>
          <cell r="ES55">
            <v>1.9670000000000001</v>
          </cell>
          <cell r="ET55">
            <v>2</v>
          </cell>
          <cell r="EV55">
            <v>5.1829999999999998</v>
          </cell>
        </row>
        <row r="56">
          <cell r="BF56" t="str">
            <v>Aerospace</v>
          </cell>
          <cell r="BG56">
            <v>5.798</v>
          </cell>
          <cell r="BH56">
            <v>6.2939999999999996</v>
          </cell>
          <cell r="BI56">
            <v>6.2939999999999996</v>
          </cell>
          <cell r="BJ56">
            <v>6.5</v>
          </cell>
          <cell r="BK56">
            <v>6.5</v>
          </cell>
          <cell r="BL56">
            <v>6.9409999999999998</v>
          </cell>
          <cell r="BM56">
            <v>6.9409999999999998</v>
          </cell>
          <cell r="BX56" t="str">
            <v>Aerospace</v>
          </cell>
          <cell r="BY56">
            <v>4.7249999999999996</v>
          </cell>
          <cell r="BZ56">
            <v>4.9770000000000003</v>
          </cell>
          <cell r="CB56">
            <v>5.1559999999999997</v>
          </cell>
          <cell r="CD56">
            <v>5.8529999999999998</v>
          </cell>
          <cell r="CE56">
            <v>5.8529999999999998</v>
          </cell>
          <cell r="CP56" t="str">
            <v>Aerospace</v>
          </cell>
          <cell r="CQ56">
            <v>4.0940000000000003</v>
          </cell>
          <cell r="CR56">
            <v>3.97</v>
          </cell>
          <cell r="CT56">
            <v>4.0659999999999998</v>
          </cell>
          <cell r="CV56">
            <v>4.6520000000000001</v>
          </cell>
          <cell r="CW56">
            <v>4.6520000000000001</v>
          </cell>
          <cell r="DH56" t="str">
            <v>Aerospace</v>
          </cell>
          <cell r="DI56">
            <v>4.28</v>
          </cell>
          <cell r="DJ56">
            <v>4.13</v>
          </cell>
          <cell r="DL56">
            <v>3.831</v>
          </cell>
          <cell r="DN56">
            <v>4.1269999999999998</v>
          </cell>
          <cell r="DO56">
            <v>4.1269999999999998</v>
          </cell>
          <cell r="DZ56" t="str">
            <v>Gulfstream</v>
          </cell>
          <cell r="EA56">
            <v>6.41</v>
          </cell>
          <cell r="EB56">
            <v>6.16</v>
          </cell>
          <cell r="ED56">
            <v>6.907</v>
          </cell>
          <cell r="EF56">
            <v>6.7809999999999997</v>
          </cell>
          <cell r="EG56">
            <v>6.8</v>
          </cell>
          <cell r="ER56" t="str">
            <v>Gulfstream</v>
          </cell>
          <cell r="ES56">
            <v>3.64</v>
          </cell>
          <cell r="ET56">
            <v>5.0999999999999996</v>
          </cell>
          <cell r="EV56">
            <v>9.0370000000000008</v>
          </cell>
        </row>
        <row r="57">
          <cell r="BF57" t="str">
            <v>Resources</v>
          </cell>
          <cell r="BG57">
            <v>0.14599999999999999</v>
          </cell>
          <cell r="BH57">
            <v>0</v>
          </cell>
          <cell r="BI57">
            <v>0</v>
          </cell>
          <cell r="BJ57">
            <v>0</v>
          </cell>
          <cell r="BK57">
            <v>0</v>
          </cell>
          <cell r="BL57">
            <v>0</v>
          </cell>
          <cell r="BM57">
            <v>0</v>
          </cell>
          <cell r="BX57" t="str">
            <v>Resources</v>
          </cell>
          <cell r="BY57">
            <v>0.22800000000000001</v>
          </cell>
          <cell r="BZ57">
            <v>0.20200000000000001</v>
          </cell>
          <cell r="CB57">
            <v>0.18099999999999999</v>
          </cell>
          <cell r="CD57">
            <v>0</v>
          </cell>
          <cell r="CE57">
            <v>0</v>
          </cell>
          <cell r="CP57" t="str">
            <v>Resources</v>
          </cell>
          <cell r="CQ57">
            <v>0.14499999999999999</v>
          </cell>
          <cell r="CR57">
            <v>0.23499999999999999</v>
          </cell>
          <cell r="CT57">
            <v>0.216</v>
          </cell>
          <cell r="CV57">
            <v>0.2</v>
          </cell>
          <cell r="CW57">
            <v>0.2</v>
          </cell>
          <cell r="DH57" t="str">
            <v>Resources</v>
          </cell>
          <cell r="DI57">
            <v>0.221</v>
          </cell>
          <cell r="DJ57">
            <v>0.19900000000000001</v>
          </cell>
          <cell r="DL57">
            <v>0.18</v>
          </cell>
          <cell r="DN57">
            <v>0.16300000000000001</v>
          </cell>
          <cell r="DO57">
            <v>0.16300000000000001</v>
          </cell>
          <cell r="DZ57" t="str">
            <v>Other</v>
          </cell>
          <cell r="EA57">
            <v>0.29499999999999998</v>
          </cell>
          <cell r="EB57">
            <v>0.29499999999999998</v>
          </cell>
          <cell r="ED57">
            <v>0.27600000000000002</v>
          </cell>
          <cell r="EF57">
            <v>0.3</v>
          </cell>
          <cell r="EG57">
            <v>0.3</v>
          </cell>
          <cell r="ER57" t="str">
            <v>Other</v>
          </cell>
          <cell r="ES57">
            <v>0.39900000000000002</v>
          </cell>
          <cell r="ET57">
            <v>0.5</v>
          </cell>
          <cell r="EV57">
            <v>0.44600000000000001</v>
          </cell>
        </row>
        <row r="58">
          <cell r="BF58" t="str">
            <v>Total</v>
          </cell>
          <cell r="BG58">
            <v>29.374000000000002</v>
          </cell>
          <cell r="BH58">
            <v>30.536000000000001</v>
          </cell>
          <cell r="BI58">
            <v>30.536000000000001</v>
          </cell>
          <cell r="BJ58">
            <v>31.697000000000003</v>
          </cell>
          <cell r="BK58">
            <v>31.697000000000003</v>
          </cell>
          <cell r="BL58">
            <v>32.749000000000002</v>
          </cell>
          <cell r="BM58">
            <v>32.749000000000002</v>
          </cell>
          <cell r="BX58" t="str">
            <v>Total</v>
          </cell>
          <cell r="BY58">
            <v>30.875000000000007</v>
          </cell>
          <cell r="BZ58">
            <v>29.909000000000002</v>
          </cell>
          <cell r="CB58">
            <v>29.293999999999997</v>
          </cell>
          <cell r="CD58">
            <v>28.186</v>
          </cell>
          <cell r="CE58">
            <v>28.186</v>
          </cell>
          <cell r="CP58" t="str">
            <v>Total</v>
          </cell>
          <cell r="CQ58">
            <v>27.007000000000001</v>
          </cell>
          <cell r="CR58">
            <v>26.407999999999998</v>
          </cell>
          <cell r="CT58">
            <v>25.093999999999998</v>
          </cell>
          <cell r="CV58">
            <v>28.219999999999995</v>
          </cell>
          <cell r="CW58">
            <v>28.219999999999995</v>
          </cell>
          <cell r="DH58" t="str">
            <v>Total</v>
          </cell>
          <cell r="DI58">
            <v>23.867000000000001</v>
          </cell>
          <cell r="DJ58">
            <v>23.498000000000001</v>
          </cell>
          <cell r="DL58">
            <v>24.321000000000002</v>
          </cell>
          <cell r="DN58">
            <v>24.840999999999998</v>
          </cell>
          <cell r="DO58">
            <v>24.840999999999998</v>
          </cell>
          <cell r="DZ58" t="str">
            <v>Total B-L GD</v>
          </cell>
          <cell r="EA58">
            <v>26.545000000000002</v>
          </cell>
          <cell r="EB58">
            <v>25.518999999999998</v>
          </cell>
          <cell r="ED58">
            <v>29.532999999999998</v>
          </cell>
          <cell r="EF58">
            <v>28.881</v>
          </cell>
          <cell r="EG58">
            <v>28.900000000000002</v>
          </cell>
          <cell r="ER58" t="str">
            <v>Total B-L GD</v>
          </cell>
          <cell r="ES58">
            <v>15.315000000000001</v>
          </cell>
          <cell r="ET58">
            <v>16.2</v>
          </cell>
          <cell r="EV58">
            <v>29.377000000000002</v>
          </cell>
        </row>
        <row r="59">
          <cell r="DZ59" t="str">
            <v>GAC Backlog, firm</v>
          </cell>
          <cell r="ER59" t="str">
            <v>GAC Backlog, firm</v>
          </cell>
        </row>
        <row r="126">
          <cell r="AN126" t="str">
            <v>General Dynamics</v>
          </cell>
        </row>
        <row r="127">
          <cell r="AN127" t="str">
            <v xml:space="preserve">Estimated GD "Free" Cash Position </v>
          </cell>
        </row>
        <row r="130">
          <cell r="AN130" t="str">
            <v>Operations</v>
          </cell>
          <cell r="AO130" t="str">
            <v>Q1</v>
          </cell>
          <cell r="AP130" t="str">
            <v>Q2</v>
          </cell>
          <cell r="AQ130" t="str">
            <v>Q3</v>
          </cell>
          <cell r="AR130" t="str">
            <v>Q4</v>
          </cell>
          <cell r="AS130" t="str">
            <v>Q1</v>
          </cell>
          <cell r="AT130" t="str">
            <v>Q2</v>
          </cell>
          <cell r="AU130" t="str">
            <v>Q3</v>
          </cell>
          <cell r="AV130" t="str">
            <v>Q4</v>
          </cell>
          <cell r="BF130" t="str">
            <v>General Dynamics</v>
          </cell>
          <cell r="BX130" t="str">
            <v>General Dynamics</v>
          </cell>
          <cell r="CP130" t="str">
            <v>General Dynamics</v>
          </cell>
          <cell r="DH130" t="str">
            <v>General Dynamics</v>
          </cell>
          <cell r="DZ130" t="str">
            <v>General Dynamics</v>
          </cell>
          <cell r="ER130" t="str">
            <v>General Dynamics</v>
          </cell>
        </row>
        <row r="131">
          <cell r="AN131" t="str">
            <v>Net Income</v>
          </cell>
          <cell r="AO131">
            <v>239.85999999999999</v>
          </cell>
          <cell r="AP131">
            <v>457.83</v>
          </cell>
          <cell r="AQ131">
            <v>706.67499999999995</v>
          </cell>
          <cell r="AR131">
            <v>979</v>
          </cell>
          <cell r="AS131">
            <v>290</v>
          </cell>
          <cell r="AT131">
            <v>554.99749999999995</v>
          </cell>
          <cell r="AU131">
            <v>874.99749999999995</v>
          </cell>
          <cell r="AV131">
            <v>1194</v>
          </cell>
          <cell r="BF131" t="str">
            <v xml:space="preserve">Estimated GD "Free" Cash Position </v>
          </cell>
          <cell r="BX131" t="str">
            <v xml:space="preserve">Estimated GD "Free" Cash Position </v>
          </cell>
          <cell r="CP131" t="str">
            <v xml:space="preserve">Estimated GD "Free" Cash Position </v>
          </cell>
          <cell r="DH131" t="str">
            <v xml:space="preserve">Estimated GD "Free" Cash Position </v>
          </cell>
          <cell r="DZ131" t="str">
            <v xml:space="preserve">Estimated GD "Free" Cash Position </v>
          </cell>
          <cell r="ER131" t="str">
            <v xml:space="preserve">Estimated GD "Free" Cash Position </v>
          </cell>
        </row>
        <row r="132">
          <cell r="AN132" t="str">
            <v>Depn/Depletion</v>
          </cell>
        </row>
        <row r="133">
          <cell r="AN133" t="str">
            <v>Goodwill Amort</v>
          </cell>
        </row>
        <row r="134">
          <cell r="AN134" t="str">
            <v>Capex</v>
          </cell>
          <cell r="BF134" t="str">
            <v>Operations</v>
          </cell>
          <cell r="BG134" t="str">
            <v>Q1</v>
          </cell>
          <cell r="BH134" t="str">
            <v>Q2</v>
          </cell>
          <cell r="BI134" t="str">
            <v>Q3</v>
          </cell>
          <cell r="BJ134" t="str">
            <v>Q4</v>
          </cell>
          <cell r="BK134" t="str">
            <v>Q1</v>
          </cell>
          <cell r="BL134" t="str">
            <v>Q2</v>
          </cell>
          <cell r="BM134" t="str">
            <v>Q3</v>
          </cell>
          <cell r="BN134" t="str">
            <v>Q4</v>
          </cell>
          <cell r="BX134" t="str">
            <v>Operations</v>
          </cell>
          <cell r="BY134" t="str">
            <v>Q1</v>
          </cell>
          <cell r="BZ134" t="str">
            <v>Q2</v>
          </cell>
          <cell r="CA134" t="str">
            <v>Q3</v>
          </cell>
          <cell r="CB134" t="str">
            <v>Q4</v>
          </cell>
          <cell r="CC134" t="str">
            <v>Q1</v>
          </cell>
          <cell r="CD134" t="str">
            <v>Q2</v>
          </cell>
          <cell r="CE134" t="str">
            <v>Q3</v>
          </cell>
          <cell r="CF134" t="str">
            <v>Q4</v>
          </cell>
          <cell r="CP134" t="str">
            <v>Operations</v>
          </cell>
          <cell r="CQ134" t="str">
            <v>Q1</v>
          </cell>
          <cell r="CR134" t="str">
            <v>Q2</v>
          </cell>
          <cell r="CS134" t="str">
            <v>Q3</v>
          </cell>
          <cell r="CT134" t="str">
            <v>Q4</v>
          </cell>
          <cell r="CU134" t="str">
            <v>Q1</v>
          </cell>
          <cell r="CV134" t="str">
            <v>Q2</v>
          </cell>
          <cell r="CW134" t="str">
            <v>Q3</v>
          </cell>
          <cell r="CX134" t="str">
            <v>Q4</v>
          </cell>
          <cell r="DH134" t="str">
            <v>Operations</v>
          </cell>
          <cell r="DI134" t="str">
            <v>Q1</v>
          </cell>
          <cell r="DJ134" t="str">
            <v>Q2</v>
          </cell>
          <cell r="DK134" t="str">
            <v>Q3</v>
          </cell>
          <cell r="DL134" t="str">
            <v>Q4</v>
          </cell>
          <cell r="DM134" t="str">
            <v>Q1</v>
          </cell>
          <cell r="DN134" t="str">
            <v>Q2</v>
          </cell>
          <cell r="DO134" t="str">
            <v>Q3</v>
          </cell>
          <cell r="DP134" t="str">
            <v>Q4</v>
          </cell>
          <cell r="DZ134" t="str">
            <v>Operations</v>
          </cell>
          <cell r="EA134" t="str">
            <v>Q1</v>
          </cell>
          <cell r="EB134" t="str">
            <v>Q2</v>
          </cell>
          <cell r="EC134" t="str">
            <v>Q3</v>
          </cell>
          <cell r="ED134" t="str">
            <v>Q4</v>
          </cell>
          <cell r="EE134" t="str">
            <v>Q1</v>
          </cell>
          <cell r="EF134" t="str">
            <v>Q2</v>
          </cell>
          <cell r="EG134" t="str">
            <v>Q3</v>
          </cell>
          <cell r="EH134" t="str">
            <v>Q4</v>
          </cell>
          <cell r="ER134" t="str">
            <v>Operations</v>
          </cell>
          <cell r="ES134" t="str">
            <v>Q1</v>
          </cell>
          <cell r="ET134" t="str">
            <v>Q2</v>
          </cell>
          <cell r="EU134" t="str">
            <v>Q3</v>
          </cell>
          <cell r="EV134" t="str">
            <v>Q4</v>
          </cell>
          <cell r="EW134" t="str">
            <v>Q1</v>
          </cell>
          <cell r="EX134" t="str">
            <v>Q2</v>
          </cell>
          <cell r="EY134" t="str">
            <v>Q3</v>
          </cell>
          <cell r="EZ134" t="str">
            <v>Q4</v>
          </cell>
        </row>
        <row r="135">
          <cell r="AN135" t="str">
            <v>Defd. Taxes</v>
          </cell>
          <cell r="BF135" t="str">
            <v>Net Income</v>
          </cell>
          <cell r="BG135">
            <v>272.24</v>
          </cell>
          <cell r="BH135">
            <v>504.11</v>
          </cell>
          <cell r="BI135">
            <v>782.60571000000004</v>
          </cell>
          <cell r="BJ135">
            <v>1040</v>
          </cell>
          <cell r="BK135">
            <v>239.85999999999999</v>
          </cell>
          <cell r="BL135">
            <v>457.83</v>
          </cell>
          <cell r="BM135">
            <v>706.67499999999995</v>
          </cell>
          <cell r="BN135">
            <v>979</v>
          </cell>
          <cell r="BX135" t="str">
            <v>Net Income</v>
          </cell>
          <cell r="BY135">
            <v>226.626</v>
          </cell>
          <cell r="BZ135">
            <v>438.48599999999999</v>
          </cell>
          <cell r="CA135">
            <v>667.60599999999999</v>
          </cell>
          <cell r="CB135">
            <v>942.99999999999989</v>
          </cell>
          <cell r="CC135">
            <v>272.24</v>
          </cell>
          <cell r="CD135">
            <v>504.11</v>
          </cell>
          <cell r="CE135">
            <v>782.60571000000004</v>
          </cell>
          <cell r="CF135">
            <v>1040</v>
          </cell>
          <cell r="CP135" t="str">
            <v>Net Income</v>
          </cell>
          <cell r="CQ135">
            <v>203.52</v>
          </cell>
          <cell r="CR135">
            <v>387.13200000000001</v>
          </cell>
          <cell r="CS135">
            <v>591.28</v>
          </cell>
          <cell r="CT135">
            <v>808.89400000000001</v>
          </cell>
          <cell r="CU135">
            <v>226.626</v>
          </cell>
          <cell r="CV135">
            <v>438.48599999999999</v>
          </cell>
          <cell r="CW135">
            <v>667.60599999999999</v>
          </cell>
          <cell r="CX135">
            <v>942.99999999999989</v>
          </cell>
          <cell r="DH135" t="str">
            <v>Net Income</v>
          </cell>
          <cell r="DI135">
            <v>211.86</v>
          </cell>
          <cell r="DJ135">
            <v>226.626</v>
          </cell>
          <cell r="DK135">
            <v>229.12</v>
          </cell>
          <cell r="DL135">
            <v>245.76</v>
          </cell>
          <cell r="DM135">
            <v>231.87</v>
          </cell>
          <cell r="DN135">
            <v>272.24</v>
          </cell>
          <cell r="DO135">
            <v>278.49571000000003</v>
          </cell>
          <cell r="DP135">
            <v>258.85700000000003</v>
          </cell>
          <cell r="DZ135" t="str">
            <v>Net Income</v>
          </cell>
          <cell r="EA135">
            <v>183.61199999999999</v>
          </cell>
          <cell r="EB135">
            <v>203.52</v>
          </cell>
          <cell r="EC135">
            <v>204.148</v>
          </cell>
          <cell r="ED135">
            <v>216.691</v>
          </cell>
          <cell r="EE135">
            <v>211.86</v>
          </cell>
          <cell r="EF135">
            <v>226.626</v>
          </cell>
          <cell r="EG135">
            <v>229.12</v>
          </cell>
          <cell r="EH135">
            <v>245.76</v>
          </cell>
          <cell r="ER135" t="str">
            <v>Net Income</v>
          </cell>
          <cell r="ES135">
            <v>158.47779999999995</v>
          </cell>
          <cell r="ET135">
            <v>173</v>
          </cell>
          <cell r="EU135">
            <v>183.101</v>
          </cell>
          <cell r="EV135">
            <v>200.43119999999999</v>
          </cell>
          <cell r="EW135">
            <v>183.61199999999999</v>
          </cell>
          <cell r="EX135">
            <v>203.52</v>
          </cell>
          <cell r="EY135">
            <v>204.148</v>
          </cell>
          <cell r="EZ135">
            <v>216.691</v>
          </cell>
        </row>
        <row r="136">
          <cell r="AN136" t="str">
            <v>Dividends</v>
          </cell>
          <cell r="BF136" t="str">
            <v>Depn/Depletion</v>
          </cell>
          <cell r="BX136" t="str">
            <v>Depn/Depletion</v>
          </cell>
          <cell r="CP136" t="str">
            <v>Depn/Depletion</v>
          </cell>
          <cell r="DH136" t="str">
            <v>Depn/Depletion</v>
          </cell>
          <cell r="DZ136" t="str">
            <v>Depn/Depletion</v>
          </cell>
          <cell r="ER136" t="str">
            <v>Depn/Depletion</v>
          </cell>
        </row>
        <row r="137">
          <cell r="AN137" t="str">
            <v>W.C./Other</v>
          </cell>
          <cell r="BF137" t="str">
            <v>Goodwill Amort</v>
          </cell>
          <cell r="BX137" t="str">
            <v>Goodwill Amort</v>
          </cell>
          <cell r="CP137" t="str">
            <v>Goodwill Amort</v>
          </cell>
          <cell r="DH137" t="str">
            <v>Goodwill Amort</v>
          </cell>
          <cell r="DZ137" t="str">
            <v>Goodwill Amort</v>
          </cell>
          <cell r="ER137" t="str">
            <v>Goodwill Amort</v>
          </cell>
        </row>
        <row r="138">
          <cell r="AN138" t="str">
            <v>- subtotal</v>
          </cell>
          <cell r="BF138" t="str">
            <v>Capex</v>
          </cell>
          <cell r="BX138" t="str">
            <v>Capex</v>
          </cell>
          <cell r="CP138" t="str">
            <v>Capex</v>
          </cell>
          <cell r="DH138" t="str">
            <v>Capex</v>
          </cell>
          <cell r="DZ138" t="str">
            <v>Capex</v>
          </cell>
          <cell r="ER138" t="str">
            <v>Capex</v>
          </cell>
        </row>
        <row r="139">
          <cell r="AN139" t="str">
            <v>Non-Opns/Discretionary</v>
          </cell>
          <cell r="BF139" t="str">
            <v>Defd. Taxes</v>
          </cell>
          <cell r="BX139" t="str">
            <v>Defd. Taxes</v>
          </cell>
          <cell r="CP139" t="str">
            <v>Defd. Taxes</v>
          </cell>
          <cell r="DH139" t="str">
            <v>Defd. Taxes</v>
          </cell>
          <cell r="DZ139" t="str">
            <v>Defd. Taxes</v>
          </cell>
          <cell r="ER139" t="str">
            <v>Defd. Taxes</v>
          </cell>
        </row>
        <row r="140">
          <cell r="AN140" t="str">
            <v>Real Estate &amp; Asset Sales</v>
          </cell>
          <cell r="BF140" t="str">
            <v>Dividends</v>
          </cell>
          <cell r="BX140" t="str">
            <v>Dividends</v>
          </cell>
          <cell r="CP140" t="str">
            <v>Dividends</v>
          </cell>
          <cell r="DH140" t="str">
            <v>Dividends</v>
          </cell>
          <cell r="DZ140" t="str">
            <v>Dividends</v>
          </cell>
          <cell r="ER140" t="str">
            <v>Dividends</v>
          </cell>
        </row>
        <row r="141">
          <cell r="AN141" t="str">
            <v>R&amp;D Tax refund</v>
          </cell>
          <cell r="BF141" t="str">
            <v>W.C./Other</v>
          </cell>
          <cell r="BX141" t="str">
            <v>W.C./Other</v>
          </cell>
          <cell r="CP141" t="str">
            <v>W.C./Other</v>
          </cell>
          <cell r="DH141" t="str">
            <v>W.C./Other</v>
          </cell>
          <cell r="DZ141" t="str">
            <v>W.C./Other</v>
          </cell>
          <cell r="ER141" t="str">
            <v>W.C./Other</v>
          </cell>
        </row>
        <row r="142">
          <cell r="AN142" t="str">
            <v>Acquis./Divests</v>
          </cell>
          <cell r="BF142" t="str">
            <v>- subtotal</v>
          </cell>
          <cell r="BX142" t="str">
            <v>- subtotal</v>
          </cell>
          <cell r="CP142" t="str">
            <v>- subtotal</v>
          </cell>
          <cell r="DH142" t="str">
            <v>- subtotal</v>
          </cell>
          <cell r="DZ142" t="str">
            <v>- subtotal</v>
          </cell>
          <cell r="ER142" t="str">
            <v>- subtotal</v>
          </cell>
        </row>
        <row r="143">
          <cell r="AN143" t="str">
            <v>Stock Repurchase</v>
          </cell>
          <cell r="BF143" t="str">
            <v>Non-Opns/Discretionary</v>
          </cell>
          <cell r="BX143" t="str">
            <v>Non-Opns/Discretionary</v>
          </cell>
          <cell r="CP143" t="str">
            <v>Non-Opns/Discretionary</v>
          </cell>
          <cell r="DH143" t="str">
            <v>Non-Opns/Discretionary</v>
          </cell>
          <cell r="DZ143" t="str">
            <v>Non-Opns/Discretionary</v>
          </cell>
          <cell r="ER143" t="str">
            <v>Non-Opns/Discretionary</v>
          </cell>
        </row>
        <row r="144">
          <cell r="AN144" t="str">
            <v>Securities sales (purchases)</v>
          </cell>
          <cell r="BF144" t="str">
            <v>Real Estate &amp; Asset Sales</v>
          </cell>
          <cell r="BX144" t="str">
            <v>Real Estate &amp; Asset Sales</v>
          </cell>
          <cell r="CP144" t="str">
            <v>Real Estate &amp; Asset Sales</v>
          </cell>
          <cell r="DH144" t="str">
            <v>Real Estate &amp; Asset Sales</v>
          </cell>
          <cell r="DZ144" t="str">
            <v>Real Estate &amp; Asset Sales</v>
          </cell>
          <cell r="ER144" t="str">
            <v>Real Estate &amp; Asset Sales</v>
          </cell>
        </row>
        <row r="145">
          <cell r="AN145" t="str">
            <v>A-12/Restruct.</v>
          </cell>
          <cell r="BF145" t="str">
            <v>R&amp;D Tax refund</v>
          </cell>
          <cell r="BX145" t="str">
            <v>R&amp;D Tax refund</v>
          </cell>
          <cell r="CP145" t="str">
            <v>R&amp;D Tax refund</v>
          </cell>
          <cell r="DH145" t="str">
            <v>R&amp;D Tax refund</v>
          </cell>
          <cell r="DZ145" t="str">
            <v>R&amp;D Tax refund</v>
          </cell>
          <cell r="ER145" t="str">
            <v>R&amp;D Tax refund</v>
          </cell>
        </row>
        <row r="146">
          <cell r="AN146" t="str">
            <v>Finance operations leases</v>
          </cell>
          <cell r="BF146" t="str">
            <v>Acquis./Divests</v>
          </cell>
          <cell r="BX146" t="str">
            <v>Acquis./Divests</v>
          </cell>
          <cell r="CP146" t="str">
            <v>Acquis./Divests</v>
          </cell>
          <cell r="DH146" t="str">
            <v>Acquis./Divests</v>
          </cell>
          <cell r="DZ146" t="str">
            <v>Acquis./Divests</v>
          </cell>
          <cell r="ER146" t="str">
            <v>Acquis./Divests</v>
          </cell>
        </row>
        <row r="147">
          <cell r="AN147" t="str">
            <v>Other</v>
          </cell>
          <cell r="BF147" t="str">
            <v>Stock Repurchase</v>
          </cell>
          <cell r="BX147" t="str">
            <v>Stock Repurchase</v>
          </cell>
          <cell r="CP147" t="str">
            <v>Stock Repurchase</v>
          </cell>
          <cell r="DH147" t="str">
            <v>Stock Repurchase</v>
          </cell>
          <cell r="DZ147" t="str">
            <v>Stock Repurchase</v>
          </cell>
          <cell r="ER147" t="str">
            <v>Stock Repurchase</v>
          </cell>
        </row>
        <row r="148">
          <cell r="AN148" t="str">
            <v>- subtotal</v>
          </cell>
          <cell r="BF148" t="str">
            <v>Securities sales (purchases)</v>
          </cell>
          <cell r="BX148" t="str">
            <v>Securities sales (purchases)</v>
          </cell>
          <cell r="CP148" t="str">
            <v>Securities sales (purchases)</v>
          </cell>
          <cell r="DH148" t="str">
            <v>Securities sales (purchases)</v>
          </cell>
          <cell r="DZ148" t="str">
            <v>Securities sales (purchases)</v>
          </cell>
          <cell r="ER148" t="str">
            <v>Securities sales (purchases)</v>
          </cell>
        </row>
        <row r="149">
          <cell r="AN149" t="str">
            <v>Cash Throwoff</v>
          </cell>
          <cell r="BF149" t="str">
            <v>A-12/Restruct.</v>
          </cell>
          <cell r="BX149" t="str">
            <v>A-12/Restruct.</v>
          </cell>
          <cell r="CP149" t="str">
            <v>A-12/Restruct.</v>
          </cell>
          <cell r="DH149" t="str">
            <v>A-12/Restruct.</v>
          </cell>
          <cell r="DZ149" t="str">
            <v>A-12/Restruct.</v>
          </cell>
          <cell r="ER149" t="str">
            <v>A-12/Restruct.</v>
          </cell>
        </row>
        <row r="150">
          <cell r="BF150" t="str">
            <v>Finance operations leases</v>
          </cell>
          <cell r="BX150" t="str">
            <v>Finance operations leases</v>
          </cell>
          <cell r="CP150" t="str">
            <v>Finance operations leases</v>
          </cell>
          <cell r="DH150" t="str">
            <v>Finance operations leases</v>
          </cell>
          <cell r="DZ150" t="str">
            <v>Finance operations leases</v>
          </cell>
          <cell r="ER150" t="str">
            <v>Finance operations leases</v>
          </cell>
        </row>
        <row r="151">
          <cell r="AN151" t="str">
            <v>Debt issuance (repayment)</v>
          </cell>
          <cell r="BF151" t="str">
            <v>Other</v>
          </cell>
          <cell r="BX151" t="str">
            <v>Other</v>
          </cell>
          <cell r="CP151" t="str">
            <v>Other</v>
          </cell>
          <cell r="DH151" t="str">
            <v>Other</v>
          </cell>
          <cell r="DZ151" t="str">
            <v>Other</v>
          </cell>
          <cell r="ER151" t="str">
            <v>Other</v>
          </cell>
        </row>
        <row r="152">
          <cell r="AN152" t="str">
            <v>Finance operations debt</v>
          </cell>
          <cell r="BF152" t="str">
            <v>- subtotal</v>
          </cell>
          <cell r="BX152" t="str">
            <v>- subtotal</v>
          </cell>
          <cell r="CP152" t="str">
            <v>- subtotal</v>
          </cell>
          <cell r="DH152" t="str">
            <v>- subtotal</v>
          </cell>
          <cell r="DZ152" t="str">
            <v>- subtotal</v>
          </cell>
          <cell r="ER152" t="str">
            <v>- subtotal</v>
          </cell>
        </row>
        <row r="153">
          <cell r="BF153" t="str">
            <v>Cash Throwoff</v>
          </cell>
          <cell r="BX153" t="str">
            <v>Cash Throwoff</v>
          </cell>
          <cell r="CP153" t="str">
            <v>Cash Throwoff</v>
          </cell>
          <cell r="DH153" t="str">
            <v>Cash Throwoff</v>
          </cell>
          <cell r="DZ153" t="str">
            <v>Cash Throwoff</v>
          </cell>
          <cell r="ER153" t="str">
            <v>Cash Throwoff</v>
          </cell>
        </row>
        <row r="154">
          <cell r="AN154" t="str">
            <v>Increase (decrease) in Cash and Equivalents</v>
          </cell>
        </row>
        <row r="155">
          <cell r="BF155" t="str">
            <v>Debt issuance (repayment)</v>
          </cell>
          <cell r="BX155" t="str">
            <v>Debt issuance (repayment)</v>
          </cell>
          <cell r="CP155" t="str">
            <v>Debt issuance (repayment)</v>
          </cell>
          <cell r="DH155" t="str">
            <v>Debt issuance (repayment)</v>
          </cell>
          <cell r="DZ155" t="str">
            <v>Debt issuance (repayment)</v>
          </cell>
          <cell r="ER155" t="str">
            <v>Debt issuance (repayment)</v>
          </cell>
        </row>
        <row r="156">
          <cell r="AN156" t="str">
            <v>CASH FLOW/NINC</v>
          </cell>
          <cell r="BF156" t="str">
            <v>Finance operations debt</v>
          </cell>
          <cell r="BX156" t="str">
            <v>Finance operations debt</v>
          </cell>
          <cell r="CP156" t="str">
            <v>Finance operations debt</v>
          </cell>
          <cell r="DH156" t="str">
            <v>Finance operations debt</v>
          </cell>
          <cell r="DZ156" t="str">
            <v>Finance operations debt</v>
          </cell>
          <cell r="ER156" t="str">
            <v>Finance operations debt</v>
          </cell>
        </row>
        <row r="158">
          <cell r="AN158" t="str">
            <v>Cash - Begin'g</v>
          </cell>
          <cell r="BF158" t="str">
            <v>Increase (decrease) in Cash and Equivalents</v>
          </cell>
          <cell r="BX158" t="str">
            <v>Increase (decrease) in Cash and Equivalents</v>
          </cell>
          <cell r="CP158" t="str">
            <v>Increase (decrease) in Cash and Equivalents</v>
          </cell>
          <cell r="DH158" t="str">
            <v>Increase (decrease) in Cash and Equivalents</v>
          </cell>
          <cell r="DZ158" t="str">
            <v>Increase (decrease) in Cash and Equivalents</v>
          </cell>
          <cell r="ER158" t="str">
            <v>Increase (decrease) in Cash and Equivalents</v>
          </cell>
        </row>
        <row r="159">
          <cell r="AN159" t="str">
            <v>Cash - Endin'g</v>
          </cell>
        </row>
        <row r="160">
          <cell r="AN160" t="str">
            <v>Ending Marketable Securities</v>
          </cell>
          <cell r="BF160" t="str">
            <v>CASH FLOW/NINC</v>
          </cell>
          <cell r="BX160" t="str">
            <v>CASH FLOW/NINC</v>
          </cell>
          <cell r="CP160" t="str">
            <v>CASH FLOW/NINC</v>
          </cell>
          <cell r="DH160" t="str">
            <v>CASH FLOW/NINC</v>
          </cell>
          <cell r="DZ160" t="str">
            <v>CASH FLOW/NINC</v>
          </cell>
          <cell r="ER160" t="str">
            <v>CASH FLOW/NINC</v>
          </cell>
        </row>
        <row r="161">
          <cell r="AN161" t="str">
            <v>Ending Cash &amp; Marketable Securities</v>
          </cell>
        </row>
        <row r="162">
          <cell r="BF162" t="str">
            <v>Cash - Begin'g</v>
          </cell>
          <cell r="BX162" t="str">
            <v>Cash - Begin'g</v>
          </cell>
          <cell r="CP162" t="str">
            <v>Cash - Begin'g</v>
          </cell>
          <cell r="DH162" t="str">
            <v>Cash - Begin'g</v>
          </cell>
          <cell r="DZ162" t="str">
            <v>Cash - Begin'g</v>
          </cell>
          <cell r="ER162" t="str">
            <v>Cash - Begin'g</v>
          </cell>
        </row>
        <row r="163">
          <cell r="AN163" t="str">
            <v>Debt</v>
          </cell>
          <cell r="BF163" t="str">
            <v>Cash - Endin'g</v>
          </cell>
          <cell r="BX163" t="str">
            <v>Cash - Endin'g</v>
          </cell>
          <cell r="CP163" t="str">
            <v>Cash - Endin'g</v>
          </cell>
          <cell r="DH163" t="str">
            <v>Cash - Endin'g</v>
          </cell>
          <cell r="DZ163" t="str">
            <v>Cash - Endin'g</v>
          </cell>
          <cell r="ER163" t="str">
            <v>Cash - Endin'g</v>
          </cell>
        </row>
        <row r="164">
          <cell r="AN164" t="str">
            <v>Net Cash (Debt)</v>
          </cell>
          <cell r="BF164" t="str">
            <v>Ending Marketable Securities</v>
          </cell>
          <cell r="BX164" t="str">
            <v>Ending Marketable Securities</v>
          </cell>
          <cell r="CP164" t="str">
            <v>Ending Marketable Securities</v>
          </cell>
          <cell r="DH164" t="str">
            <v>Ending Marketable Securities</v>
          </cell>
          <cell r="DZ164" t="str">
            <v>Ending Marketable Securities</v>
          </cell>
          <cell r="ER164" t="str">
            <v>Ending Marketable Securities</v>
          </cell>
        </row>
        <row r="165">
          <cell r="AN165" t="str">
            <v xml:space="preserve">  -- Per Share</v>
          </cell>
          <cell r="BF165" t="str">
            <v>Ending Cash &amp; Marketable Securities</v>
          </cell>
          <cell r="BX165" t="str">
            <v>Ending Cash &amp; Marketable Securities</v>
          </cell>
          <cell r="CP165" t="str">
            <v>Ending Cash &amp; Marketable Securities</v>
          </cell>
          <cell r="DH165" t="str">
            <v>Ending Cash &amp; Marketable Securities</v>
          </cell>
          <cell r="DZ165" t="str">
            <v>Ending Cash &amp; Marketable Securities</v>
          </cell>
          <cell r="ER165" t="str">
            <v>Ending Cash &amp; Marketable Securities</v>
          </cell>
        </row>
        <row r="166">
          <cell r="AN166" t="str">
            <v>Avg Net Cash</v>
          </cell>
        </row>
        <row r="167">
          <cell r="BF167" t="str">
            <v>Debt</v>
          </cell>
          <cell r="BX167" t="str">
            <v>Debt</v>
          </cell>
          <cell r="CP167" t="str">
            <v>Debt</v>
          </cell>
          <cell r="DH167" t="str">
            <v>Debt</v>
          </cell>
          <cell r="DZ167" t="str">
            <v>Debt</v>
          </cell>
          <cell r="ER167" t="str">
            <v>Debt</v>
          </cell>
        </row>
        <row r="168">
          <cell r="BF168" t="str">
            <v>Net Cash (Debt)</v>
          </cell>
          <cell r="BX168" t="str">
            <v>Net Cash (Debt)</v>
          </cell>
          <cell r="CP168" t="str">
            <v>Net Cash (Debt)</v>
          </cell>
          <cell r="DH168" t="str">
            <v>Net Cash (Debt)</v>
          </cell>
          <cell r="DZ168" t="str">
            <v>Net Cash (Debt)</v>
          </cell>
          <cell r="ER168" t="str">
            <v>Net Cash (Debt)</v>
          </cell>
        </row>
        <row r="169">
          <cell r="AN169" t="str">
            <v>Int. rate assump</v>
          </cell>
          <cell r="BF169" t="str">
            <v xml:space="preserve">  -- Per Share</v>
          </cell>
          <cell r="BX169" t="str">
            <v xml:space="preserve">  -- Per Share</v>
          </cell>
          <cell r="CP169" t="str">
            <v xml:space="preserve">  -- Per Share</v>
          </cell>
          <cell r="DH169" t="str">
            <v xml:space="preserve">  -- Per Share</v>
          </cell>
          <cell r="DZ169" t="str">
            <v xml:space="preserve">  -- Per Share</v>
          </cell>
          <cell r="ER169" t="str">
            <v xml:space="preserve">  -- Per Share</v>
          </cell>
        </row>
        <row r="170">
          <cell r="AN170" t="str">
            <v>Int. income est. ($ X int. rate)</v>
          </cell>
          <cell r="BF170" t="str">
            <v>Avg Net Cash</v>
          </cell>
          <cell r="BX170" t="str">
            <v>Avg Net Cash</v>
          </cell>
          <cell r="CP170" t="str">
            <v>Avg Net Cash</v>
          </cell>
          <cell r="DH170" t="str">
            <v>Avg Net Cash</v>
          </cell>
          <cell r="DZ170" t="str">
            <v>Avg Net Cash</v>
          </cell>
          <cell r="ER170" t="str">
            <v>Avg Net Cash</v>
          </cell>
        </row>
        <row r="171">
          <cell r="AN171" t="str">
            <v>Int. inc actual/per P&amp;L</v>
          </cell>
        </row>
        <row r="172">
          <cell r="AN172" t="str">
            <v>Equity</v>
          </cell>
        </row>
        <row r="173">
          <cell r="AN173" t="str">
            <v>Shares out</v>
          </cell>
          <cell r="BF173" t="str">
            <v>Int. rate assump</v>
          </cell>
          <cell r="BX173" t="str">
            <v>Int. rate assump</v>
          </cell>
          <cell r="CP173" t="str">
            <v>Int. rate assump</v>
          </cell>
          <cell r="DH173" t="str">
            <v>Int. rate assump</v>
          </cell>
          <cell r="DZ173" t="str">
            <v>Int. rate assump</v>
          </cell>
          <cell r="ER173" t="str">
            <v>Int. rate assump</v>
          </cell>
        </row>
        <row r="174">
          <cell r="AN174" t="str">
            <v>BVPS</v>
          </cell>
          <cell r="BF174" t="str">
            <v>Int. income est. ($ X int. rate)</v>
          </cell>
          <cell r="BX174" t="str">
            <v>Int. income est. ($ X int. rate)</v>
          </cell>
          <cell r="CP174" t="str">
            <v>Int. income est. ($ X int. rate)</v>
          </cell>
          <cell r="DH174" t="str">
            <v>Int. income est. ($ X int. rate)</v>
          </cell>
          <cell r="DZ174" t="str">
            <v>Int. income est. ($ X int. rate)</v>
          </cell>
          <cell r="ER174" t="str">
            <v>Int. income est. ($ X int. rate)</v>
          </cell>
        </row>
        <row r="175">
          <cell r="AN175" t="str">
            <v>Net debt/cap</v>
          </cell>
          <cell r="BF175" t="str">
            <v>Int. inc actual/per P&amp;L</v>
          </cell>
          <cell r="BX175" t="str">
            <v>Int. inc actual/per P&amp;L</v>
          </cell>
          <cell r="CP175" t="str">
            <v>Int. inc actual/per P&amp;L</v>
          </cell>
          <cell r="DH175" t="str">
            <v>Int. inc actual/per P&amp;L</v>
          </cell>
          <cell r="DZ175" t="str">
            <v>Int. inc actual/per P&amp;L</v>
          </cell>
          <cell r="ER175" t="str">
            <v>Int. inc actual/per P&amp;L</v>
          </cell>
        </row>
        <row r="176">
          <cell r="AN176" t="str">
            <v xml:space="preserve">   vs. peer avg (need to update)</v>
          </cell>
          <cell r="BF176" t="str">
            <v>Equity</v>
          </cell>
          <cell r="BX176" t="str">
            <v>Equity</v>
          </cell>
          <cell r="CP176" t="str">
            <v>Equity</v>
          </cell>
          <cell r="DH176" t="str">
            <v>Equity</v>
          </cell>
          <cell r="DZ176" t="str">
            <v>Equity</v>
          </cell>
          <cell r="ER176" t="str">
            <v>Equity</v>
          </cell>
        </row>
        <row r="177">
          <cell r="BF177" t="str">
            <v>Shares out</v>
          </cell>
          <cell r="BX177" t="str">
            <v>Shares out</v>
          </cell>
          <cell r="CP177" t="str">
            <v>Shares out</v>
          </cell>
          <cell r="DH177" t="str">
            <v>Shares out</v>
          </cell>
          <cell r="DZ177" t="str">
            <v>Shares out</v>
          </cell>
          <cell r="ER177" t="str">
            <v>Shares out</v>
          </cell>
        </row>
        <row r="178">
          <cell r="AN178" t="str">
            <v>Cash EPS ((NI+Dep+Amort)/Shares)</v>
          </cell>
          <cell r="BF178" t="str">
            <v>BVPS</v>
          </cell>
          <cell r="BX178" t="str">
            <v>BVPS</v>
          </cell>
          <cell r="CP178" t="str">
            <v>BVPS</v>
          </cell>
          <cell r="DH178" t="str">
            <v>BVPS</v>
          </cell>
          <cell r="DZ178" t="str">
            <v>BVPS</v>
          </cell>
          <cell r="ER178" t="str">
            <v>BVPS</v>
          </cell>
        </row>
        <row r="179">
          <cell r="AN179" t="str">
            <v>Dividends Per Share</v>
          </cell>
          <cell r="BF179" t="str">
            <v>Net debt/cap</v>
          </cell>
          <cell r="BX179" t="str">
            <v>Net debt/cap</v>
          </cell>
          <cell r="CP179" t="str">
            <v>Net debt/cap</v>
          </cell>
          <cell r="DH179" t="str">
            <v>Net debt/cap</v>
          </cell>
          <cell r="DZ179" t="str">
            <v>Net debt/cap</v>
          </cell>
          <cell r="ER179" t="str">
            <v>Net debt/cap</v>
          </cell>
        </row>
        <row r="180">
          <cell r="AN180" t="str">
            <v>Return on Average Equity</v>
          </cell>
          <cell r="BF180" t="str">
            <v xml:space="preserve">   vs. peer avg (need to update)</v>
          </cell>
          <cell r="BX180" t="str">
            <v xml:space="preserve">   vs. peer avg (need to update)</v>
          </cell>
          <cell r="CP180" t="str">
            <v xml:space="preserve">   vs. peer avg (need to update)</v>
          </cell>
          <cell r="DH180" t="str">
            <v xml:space="preserve">   vs. peer avg (need to update)</v>
          </cell>
          <cell r="DZ180" t="str">
            <v xml:space="preserve">   vs. peer avg (need to update)</v>
          </cell>
          <cell r="ER180" t="str">
            <v xml:space="preserve">   vs. peer avg (need to update)</v>
          </cell>
        </row>
        <row r="181">
          <cell r="AN181" t="str">
            <v>ROA</v>
          </cell>
        </row>
        <row r="182">
          <cell r="AN182" t="str">
            <v>Asset Turnover</v>
          </cell>
          <cell r="BF182" t="str">
            <v>Cash EPS ((NI+Dep+Amort)/Shares)</v>
          </cell>
          <cell r="BX182" t="str">
            <v>Cash EPS ((NI+Dep+Amort)/Shares)</v>
          </cell>
          <cell r="CP182" t="str">
            <v>Cash EPS ((NI+Dep+Amort)/Shares)</v>
          </cell>
          <cell r="DH182" t="str">
            <v>Cash EPS ((NI+Dep+Amort)/Shares)</v>
          </cell>
          <cell r="DZ182" t="str">
            <v>Cash EPS ((NI+Dep+Amort)/Shares)</v>
          </cell>
          <cell r="ER182" t="str">
            <v>Cash EPS ((NI+Dep+Amort)/Shares)</v>
          </cell>
        </row>
        <row r="183">
          <cell r="AN183" t="str">
            <v>Asset Leverage</v>
          </cell>
          <cell r="BF183" t="str">
            <v>Dividends Per Share</v>
          </cell>
          <cell r="BX183" t="str">
            <v>Dividends Per Share</v>
          </cell>
          <cell r="CP183" t="str">
            <v>Dividends Per Share</v>
          </cell>
          <cell r="DH183" t="str">
            <v>Dividends Per Share</v>
          </cell>
          <cell r="DZ183" t="str">
            <v>Dividends Per Share</v>
          </cell>
          <cell r="ER183" t="str">
            <v>Dividends Per Share</v>
          </cell>
        </row>
        <row r="184">
          <cell r="AN184" t="str">
            <v>CF per share</v>
          </cell>
          <cell r="BF184" t="str">
            <v>Return on Average Equity</v>
          </cell>
          <cell r="BX184" t="str">
            <v>Return on Average Equity</v>
          </cell>
          <cell r="CP184" t="str">
            <v>Return on Average Equity</v>
          </cell>
          <cell r="DH184" t="str">
            <v>Return on Average Equity</v>
          </cell>
          <cell r="DZ184" t="str">
            <v>Return on Average Equity</v>
          </cell>
          <cell r="ER184" t="str">
            <v>Return on Average Equity</v>
          </cell>
        </row>
        <row r="185">
          <cell r="BF185" t="str">
            <v>ROA</v>
          </cell>
          <cell r="BX185" t="str">
            <v>ROA</v>
          </cell>
          <cell r="CP185" t="str">
            <v>ROA</v>
          </cell>
          <cell r="DH185" t="str">
            <v>ROA</v>
          </cell>
          <cell r="DZ185" t="str">
            <v>ROA</v>
          </cell>
          <cell r="ER185" t="str">
            <v>ROA</v>
          </cell>
        </row>
        <row r="186">
          <cell r="BF186" t="str">
            <v>Asset Turnover</v>
          </cell>
          <cell r="BX186" t="str">
            <v>Asset Turnover</v>
          </cell>
          <cell r="CP186" t="str">
            <v>Asset Turnover</v>
          </cell>
          <cell r="DH186" t="str">
            <v>Asset Turnover</v>
          </cell>
          <cell r="DZ186" t="str">
            <v>Asset Turnover</v>
          </cell>
          <cell r="ER186" t="str">
            <v>Asset Turnover</v>
          </cell>
        </row>
        <row r="187">
          <cell r="BF187" t="str">
            <v>Asset Leverage</v>
          </cell>
          <cell r="BX187" t="str">
            <v>Asset Leverage</v>
          </cell>
          <cell r="CP187" t="str">
            <v>Asset Leverage</v>
          </cell>
          <cell r="DH187" t="str">
            <v>Asset Leverage</v>
          </cell>
          <cell r="DZ187" t="str">
            <v>Asset Leverage</v>
          </cell>
          <cell r="ER187" t="str">
            <v>Asset Leverage</v>
          </cell>
        </row>
        <row r="188">
          <cell r="BF188" t="str">
            <v>CF per share</v>
          </cell>
          <cell r="BX188" t="str">
            <v>CF per share</v>
          </cell>
          <cell r="CP188" t="str">
            <v>CF per share</v>
          </cell>
          <cell r="DH188" t="str">
            <v>CF per share</v>
          </cell>
          <cell r="DZ188" t="str">
            <v>CF per share</v>
          </cell>
          <cell r="ER188" t="str">
            <v>CF per share</v>
          </cell>
        </row>
      </sheetData>
      <sheetData sheetId="4">
        <row r="4">
          <cell r="A4" t="str">
            <v>Est. Value 2011 Operations on EV/EBITDA</v>
          </cell>
        </row>
        <row r="6">
          <cell r="A6" t="str">
            <v>Est. Value 2011 Operations on EV/EBITDA</v>
          </cell>
          <cell r="F6" t="str">
            <v xml:space="preserve">EV/EBITDA </v>
          </cell>
        </row>
        <row r="7">
          <cell r="B7" t="str">
            <v xml:space="preserve">Low </v>
          </cell>
          <cell r="C7" t="str">
            <v xml:space="preserve">High </v>
          </cell>
          <cell r="D7" t="str">
            <v>Low/Sh</v>
          </cell>
          <cell r="E7" t="str">
            <v>High/Sh</v>
          </cell>
          <cell r="F7" t="str">
            <v>Low</v>
          </cell>
          <cell r="G7" t="str">
            <v>High</v>
          </cell>
          <cell r="H7" t="str">
            <v>EBIT</v>
          </cell>
          <cell r="I7" t="str">
            <v>D+A</v>
          </cell>
          <cell r="J7" t="str">
            <v>Unallocated</v>
          </cell>
          <cell r="K7" t="str">
            <v>EBITDA</v>
          </cell>
        </row>
        <row r="8">
          <cell r="A8" t="str">
            <v>Marine</v>
          </cell>
          <cell r="B8">
            <v>3910.9422220847</v>
          </cell>
          <cell r="C8">
            <v>4693.13066650164</v>
          </cell>
          <cell r="D8">
            <v>10.118867327515394</v>
          </cell>
          <cell r="E8">
            <v>12.142640793018474</v>
          </cell>
          <cell r="F8">
            <v>5</v>
          </cell>
          <cell r="G8">
            <v>6</v>
          </cell>
          <cell r="H8">
            <v>692.86</v>
          </cell>
          <cell r="I8">
            <v>101.8344266353116</v>
          </cell>
          <cell r="J8">
            <v>-12.505982218371601</v>
          </cell>
          <cell r="K8">
            <v>782.18844441694</v>
          </cell>
        </row>
        <row r="9">
          <cell r="A9" t="str">
            <v>Combat Sys</v>
          </cell>
          <cell r="B9">
            <v>6556.2442498504442</v>
          </cell>
          <cell r="C9">
            <v>7867.4930998205336</v>
          </cell>
          <cell r="D9">
            <v>16.963115782277992</v>
          </cell>
          <cell r="E9">
            <v>20.355738938733595</v>
          </cell>
          <cell r="F9">
            <v>5</v>
          </cell>
          <cell r="G9">
            <v>6</v>
          </cell>
          <cell r="H9">
            <v>1161.5</v>
          </cell>
          <cell r="I9">
            <v>170.71368896590135</v>
          </cell>
          <cell r="J9">
            <v>-20.96483899581245</v>
          </cell>
          <cell r="K9">
            <v>1311.2488499700889</v>
          </cell>
        </row>
        <row r="10">
          <cell r="A10" t="str">
            <v>IS&amp;T</v>
          </cell>
          <cell r="B10">
            <v>5007.0175629680052</v>
          </cell>
          <cell r="C10">
            <v>5632.8947583390054</v>
          </cell>
          <cell r="D10">
            <v>12.954767303927568</v>
          </cell>
          <cell r="E10">
            <v>14.574113216918514</v>
          </cell>
          <cell r="F10">
            <v>4</v>
          </cell>
          <cell r="G10">
            <v>4.5</v>
          </cell>
          <cell r="H10">
            <v>1108.8</v>
          </cell>
          <cell r="I10">
            <v>162.96800544588154</v>
          </cell>
          <cell r="J10">
            <v>-20.01361470388019</v>
          </cell>
          <cell r="K10">
            <v>1251.7543907420013</v>
          </cell>
        </row>
        <row r="11">
          <cell r="A11" t="str">
            <v>Gulfstream</v>
          </cell>
          <cell r="B11">
            <v>3615.3891020483943</v>
          </cell>
          <cell r="C11">
            <v>5164.8415743548494</v>
          </cell>
          <cell r="D11">
            <v>9.3541762019363368</v>
          </cell>
          <cell r="E11">
            <v>13.363108859909055</v>
          </cell>
          <cell r="F11">
            <v>3.5</v>
          </cell>
          <cell r="G11">
            <v>5</v>
          </cell>
          <cell r="H11">
            <v>915</v>
          </cell>
          <cell r="I11">
            <v>134.48387895290551</v>
          </cell>
          <cell r="J11">
            <v>-16.515564081935764</v>
          </cell>
          <cell r="K11">
            <v>1032.9683148709698</v>
          </cell>
        </row>
        <row r="12">
          <cell r="A12" t="str">
            <v xml:space="preserve">  subtotal</v>
          </cell>
          <cell r="B12">
            <v>19089.593136951542</v>
          </cell>
          <cell r="C12">
            <v>23358.36009901603</v>
          </cell>
          <cell r="D12">
            <v>49.390926615657293</v>
          </cell>
          <cell r="E12">
            <v>60.435601808579634</v>
          </cell>
          <cell r="H12">
            <v>3878.16</v>
          </cell>
          <cell r="I12">
            <v>570</v>
          </cell>
          <cell r="J12">
            <v>-70</v>
          </cell>
          <cell r="K12">
            <v>4378.16</v>
          </cell>
        </row>
        <row r="14">
          <cell r="A14" t="str">
            <v>Less Net Debt (Cash)</v>
          </cell>
          <cell r="B14">
            <v>2756</v>
          </cell>
          <cell r="C14">
            <v>2756</v>
          </cell>
          <cell r="D14">
            <v>7.130659767141009</v>
          </cell>
          <cell r="E14">
            <v>7.130659767141009</v>
          </cell>
          <cell r="G14" t="str">
            <v>From Model</v>
          </cell>
          <cell r="H14">
            <v>3808.16</v>
          </cell>
          <cell r="I14">
            <v>570</v>
          </cell>
          <cell r="J14">
            <v>-70</v>
          </cell>
        </row>
        <row r="15">
          <cell r="K15" t="str">
            <v>tied to calculation</v>
          </cell>
        </row>
        <row r="16">
          <cell r="A16" t="str">
            <v>Implied Equity Value</v>
          </cell>
          <cell r="B16">
            <v>16333.593136951542</v>
          </cell>
          <cell r="C16">
            <v>20602.36009901603</v>
          </cell>
          <cell r="K16" t="str">
            <v>No. of Shares</v>
          </cell>
          <cell r="L16">
            <v>386.5</v>
          </cell>
        </row>
        <row r="18">
          <cell r="A18" t="str">
            <v>Est. GD Value per Share</v>
          </cell>
          <cell r="B18">
            <v>42.260266848516281</v>
          </cell>
          <cell r="C18">
            <v>53.304942041438629</v>
          </cell>
          <cell r="D18">
            <v>42.260266848516281</v>
          </cell>
          <cell r="E18">
            <v>53.304942041438622</v>
          </cell>
        </row>
        <row r="19">
          <cell r="B19" t="str">
            <v>Average:</v>
          </cell>
          <cell r="C19">
            <v>47.782604444977451</v>
          </cell>
        </row>
        <row r="22">
          <cell r="A22" t="str">
            <v>Est. Value 2011 Operations on P/E</v>
          </cell>
        </row>
        <row r="24">
          <cell r="B24" t="str">
            <v>Est. Value/Share</v>
          </cell>
          <cell r="E24" t="str">
            <v>P/E Multiple</v>
          </cell>
          <cell r="I24" t="str">
            <v>Interest</v>
          </cell>
        </row>
        <row r="25">
          <cell r="B25" t="str">
            <v>Low</v>
          </cell>
          <cell r="C25" t="str">
            <v>High</v>
          </cell>
          <cell r="D25" t="str">
            <v>2011 EPS</v>
          </cell>
          <cell r="E25" t="str">
            <v>Low</v>
          </cell>
          <cell r="F25" t="str">
            <v>High</v>
          </cell>
          <cell r="G25" t="str">
            <v>EBIT</v>
          </cell>
          <cell r="H25" t="str">
            <v>Unallocated</v>
          </cell>
          <cell r="I25" t="str">
            <v>&amp; Other</v>
          </cell>
          <cell r="J25" t="str">
            <v>Tax Rate</v>
          </cell>
          <cell r="K25" t="str">
            <v>Econ NI</v>
          </cell>
          <cell r="L25" t="str">
            <v>Per share</v>
          </cell>
          <cell r="M25" t="str">
            <v>EBIT Dist.</v>
          </cell>
        </row>
        <row r="26">
          <cell r="A26" t="str">
            <v>Marine</v>
          </cell>
          <cell r="B26">
            <v>7.6013903290310374</v>
          </cell>
          <cell r="C26">
            <v>8.7708349950358127</v>
          </cell>
          <cell r="D26">
            <v>1.169444666004775</v>
          </cell>
          <cell r="E26">
            <v>6.5</v>
          </cell>
          <cell r="F26">
            <v>7.5</v>
          </cell>
          <cell r="G26">
            <v>692.86</v>
          </cell>
          <cell r="H26">
            <v>-12.505982218371601</v>
          </cell>
          <cell r="I26">
            <v>-16.638359322236965</v>
          </cell>
          <cell r="J26">
            <v>0.31900000000000001</v>
          </cell>
          <cell r="K26">
            <v>451.99036341084559</v>
          </cell>
          <cell r="L26">
            <v>1.169444666004775</v>
          </cell>
          <cell r="M26">
            <v>0.17865688883388001</v>
          </cell>
        </row>
        <row r="27">
          <cell r="A27" t="str">
            <v>Combat Sys</v>
          </cell>
          <cell r="B27">
            <v>12.742855507850866</v>
          </cell>
          <cell r="C27">
            <v>14.703294816750997</v>
          </cell>
          <cell r="D27">
            <v>1.9604393089001331</v>
          </cell>
          <cell r="E27">
            <v>6.5</v>
          </cell>
          <cell r="F27">
            <v>7.5</v>
          </cell>
          <cell r="G27">
            <v>1161.5</v>
          </cell>
          <cell r="H27">
            <v>-20.96483899581245</v>
          </cell>
          <cell r="I27">
            <v>-27.892293324449724</v>
          </cell>
          <cell r="J27">
            <v>0.31900000000000001</v>
          </cell>
          <cell r="K27">
            <v>757.70979288990145</v>
          </cell>
          <cell r="L27">
            <v>1.9604393089001331</v>
          </cell>
          <cell r="M27">
            <v>0.29949769994017783</v>
          </cell>
        </row>
        <row r="28">
          <cell r="A28" t="str">
            <v>IS&amp;T</v>
          </cell>
          <cell r="B28">
            <v>10.293192493669023</v>
          </cell>
          <cell r="C28">
            <v>12.164682037972483</v>
          </cell>
          <cell r="D28">
            <v>1.8714895443034589</v>
          </cell>
          <cell r="E28">
            <v>5.5</v>
          </cell>
          <cell r="F28">
            <v>6.5</v>
          </cell>
          <cell r="G28">
            <v>1108.8</v>
          </cell>
          <cell r="H28">
            <v>-20.01361470388019</v>
          </cell>
          <cell r="I28">
            <v>-26.626754057813045</v>
          </cell>
          <cell r="J28">
            <v>0.31900000000000001</v>
          </cell>
          <cell r="K28">
            <v>723.33070887328688</v>
          </cell>
          <cell r="L28">
            <v>1.8714895443034589</v>
          </cell>
          <cell r="M28">
            <v>0.28590878148400273</v>
          </cell>
        </row>
        <row r="29">
          <cell r="A29" t="str">
            <v>Aerospace</v>
          </cell>
          <cell r="B29">
            <v>7.7219197918365126</v>
          </cell>
          <cell r="C29">
            <v>10.810687708571118</v>
          </cell>
          <cell r="D29">
            <v>1.5443839583673025</v>
          </cell>
          <cell r="E29">
            <v>5</v>
          </cell>
          <cell r="F29">
            <v>7</v>
          </cell>
          <cell r="G29">
            <v>915</v>
          </cell>
          <cell r="H29">
            <v>-16.515564081935764</v>
          </cell>
          <cell r="I29">
            <v>-21.972835464374942</v>
          </cell>
          <cell r="J29">
            <v>0.31900000000000001</v>
          </cell>
          <cell r="K29">
            <v>596.90439990896243</v>
          </cell>
          <cell r="L29">
            <v>1.5443839583673025</v>
          </cell>
          <cell r="M29">
            <v>0.23593662974193949</v>
          </cell>
        </row>
        <row r="30">
          <cell r="A30" t="str">
            <v xml:space="preserve">  subtotal</v>
          </cell>
          <cell r="B30">
            <v>38.359358122387441</v>
          </cell>
          <cell r="C30">
            <v>46.449499558330409</v>
          </cell>
          <cell r="D30">
            <v>6.5457574775756697</v>
          </cell>
          <cell r="G30">
            <v>3878.16</v>
          </cell>
          <cell r="H30">
            <v>-70</v>
          </cell>
          <cell r="I30">
            <v>-93.130242168874673</v>
          </cell>
          <cell r="K30">
            <v>2529.935265082996</v>
          </cell>
          <cell r="L30">
            <v>6.5457574775756697</v>
          </cell>
          <cell r="M30">
            <v>1</v>
          </cell>
        </row>
        <row r="32">
          <cell r="A32" t="str">
            <v>Est. GD Value per Share</v>
          </cell>
          <cell r="B32">
            <v>38.359358122387441</v>
          </cell>
          <cell r="C32">
            <v>46.449499558330409</v>
          </cell>
        </row>
        <row r="33">
          <cell r="B33" t="str">
            <v>Average:</v>
          </cell>
          <cell r="C33">
            <v>42.404428840358925</v>
          </cell>
          <cell r="F33" t="str">
            <v>From Model</v>
          </cell>
          <cell r="G33">
            <v>3808.16</v>
          </cell>
          <cell r="H33">
            <v>-70</v>
          </cell>
          <cell r="I33">
            <v>-93.130242168874673</v>
          </cell>
          <cell r="K33">
            <v>2529.9352650829965</v>
          </cell>
          <cell r="L33">
            <v>6.7478850962203394</v>
          </cell>
        </row>
        <row r="34">
          <cell r="H34" t="str">
            <v>tied to calculation</v>
          </cell>
        </row>
        <row r="35">
          <cell r="J35" t="str">
            <v>No. of Shares</v>
          </cell>
          <cell r="K35">
            <v>386.5</v>
          </cell>
        </row>
        <row r="47">
          <cell r="A47" t="str">
            <v>Est. Value 2012 Operations on EV/EBITDA</v>
          </cell>
        </row>
        <row r="49">
          <cell r="A49" t="str">
            <v>Est. Value 2010 Operations on EV/EBITDA</v>
          </cell>
          <cell r="F49" t="str">
            <v xml:space="preserve">EV/EBITDA </v>
          </cell>
        </row>
        <row r="50">
          <cell r="B50" t="str">
            <v xml:space="preserve">Low </v>
          </cell>
          <cell r="C50" t="str">
            <v xml:space="preserve">High </v>
          </cell>
          <cell r="D50" t="str">
            <v>Low/Sh</v>
          </cell>
          <cell r="E50" t="str">
            <v>High/Sh</v>
          </cell>
          <cell r="F50" t="str">
            <v>Low</v>
          </cell>
          <cell r="G50" t="str">
            <v>High</v>
          </cell>
          <cell r="H50" t="str">
            <v>EBIT</v>
          </cell>
          <cell r="I50" t="str">
            <v>D+A</v>
          </cell>
          <cell r="J50" t="str">
            <v>Unallocated</v>
          </cell>
          <cell r="K50" t="str">
            <v>EBITDA</v>
          </cell>
        </row>
        <row r="51">
          <cell r="A51" t="str">
            <v>Marine</v>
          </cell>
          <cell r="B51">
            <v>3976.5813238063515</v>
          </cell>
          <cell r="C51">
            <v>4699.5961099529613</v>
          </cell>
          <cell r="D51">
            <v>10.549564635990102</v>
          </cell>
          <cell r="E51">
            <v>12.467667297079213</v>
          </cell>
          <cell r="F51">
            <v>5.5</v>
          </cell>
          <cell r="G51">
            <v>6.5</v>
          </cell>
          <cell r="H51">
            <v>643.11</v>
          </cell>
          <cell r="I51">
            <v>91.998483509339394</v>
          </cell>
          <cell r="J51">
            <v>-12.09369736273006</v>
          </cell>
          <cell r="K51">
            <v>723.01478614660937</v>
          </cell>
        </row>
        <row r="52">
          <cell r="A52" t="str">
            <v>Combat Sys</v>
          </cell>
          <cell r="B52">
            <v>7382.933091733581</v>
          </cell>
          <cell r="C52">
            <v>8725.2845629578678</v>
          </cell>
          <cell r="D52">
            <v>19.586354084638991</v>
          </cell>
          <cell r="E52">
            <v>23.14750937275517</v>
          </cell>
          <cell r="F52">
            <v>5.5</v>
          </cell>
          <cell r="G52">
            <v>6.5</v>
          </cell>
          <cell r="H52">
            <v>1194</v>
          </cell>
          <cell r="I52">
            <v>170.8046668690445</v>
          </cell>
          <cell r="J52">
            <v>-22.453195644757024</v>
          </cell>
          <cell r="K52">
            <v>1342.3514712242875</v>
          </cell>
        </row>
        <row r="53">
          <cell r="A53" t="str">
            <v>IS&amp;T</v>
          </cell>
          <cell r="B53">
            <v>5784.084561748974</v>
          </cell>
          <cell r="C53">
            <v>6426.7606241655267</v>
          </cell>
          <cell r="D53">
            <v>15.344731812449353</v>
          </cell>
          <cell r="E53">
            <v>17.049702013832615</v>
          </cell>
          <cell r="F53">
            <v>4.5</v>
          </cell>
          <cell r="G53">
            <v>5</v>
          </cell>
          <cell r="H53">
            <v>1143.3</v>
          </cell>
          <cell r="I53">
            <v>163.5519058889268</v>
          </cell>
          <cell r="J53">
            <v>-21.499781055821362</v>
          </cell>
          <cell r="K53">
            <v>1285.3521248331053</v>
          </cell>
        </row>
        <row r="54">
          <cell r="A54" t="str">
            <v>Gulfstream</v>
          </cell>
          <cell r="B54">
            <v>2502.5748533879937</v>
          </cell>
          <cell r="C54">
            <v>3336.7664711839916</v>
          </cell>
          <cell r="D54">
            <v>6.6391387532216237</v>
          </cell>
          <cell r="E54">
            <v>8.8521850042954977</v>
          </cell>
          <cell r="F54">
            <v>3</v>
          </cell>
          <cell r="G54">
            <v>4</v>
          </cell>
          <cell r="H54">
            <v>742.00000000000011</v>
          </cell>
          <cell r="I54">
            <v>106.14494373268933</v>
          </cell>
          <cell r="J54">
            <v>-13.953325936691556</v>
          </cell>
          <cell r="K54">
            <v>834.1916177959979</v>
          </cell>
        </row>
        <row r="55">
          <cell r="A55" t="str">
            <v xml:space="preserve">  subtotal</v>
          </cell>
          <cell r="B55">
            <v>19646.1738306769</v>
          </cell>
          <cell r="C55">
            <v>23188.407768260346</v>
          </cell>
          <cell r="D55">
            <v>52.119789286300069</v>
          </cell>
          <cell r="E55">
            <v>61.517063687962498</v>
          </cell>
          <cell r="H55">
            <v>3722.41</v>
          </cell>
          <cell r="I55">
            <v>532.5</v>
          </cell>
          <cell r="J55">
            <v>-70</v>
          </cell>
          <cell r="K55">
            <v>4184.91</v>
          </cell>
        </row>
        <row r="57">
          <cell r="A57" t="str">
            <v>Less Net Debt (Cash)</v>
          </cell>
          <cell r="B57">
            <v>2756</v>
          </cell>
          <cell r="C57">
            <v>2756</v>
          </cell>
          <cell r="D57">
            <v>7.3114561904542539</v>
          </cell>
          <cell r="E57">
            <v>7.3114561904542539</v>
          </cell>
          <cell r="G57" t="str">
            <v>From Model</v>
          </cell>
          <cell r="H57">
            <v>3652.41</v>
          </cell>
          <cell r="I57">
            <v>532.5</v>
          </cell>
          <cell r="J57">
            <v>-70</v>
          </cell>
        </row>
        <row r="58">
          <cell r="K58" t="str">
            <v>tied to calculation</v>
          </cell>
        </row>
        <row r="59">
          <cell r="A59" t="str">
            <v>Implied Equity Value</v>
          </cell>
          <cell r="B59">
            <v>16890.1738306769</v>
          </cell>
          <cell r="C59">
            <v>20432.407768260346</v>
          </cell>
          <cell r="K59" t="str">
            <v>No. of Shares</v>
          </cell>
          <cell r="L59">
            <v>376.94269489000004</v>
          </cell>
        </row>
        <row r="61">
          <cell r="A61" t="str">
            <v>Est. GD Value per Share</v>
          </cell>
          <cell r="B61">
            <v>44.808333095845818</v>
          </cell>
          <cell r="C61">
            <v>54.205607497508232</v>
          </cell>
          <cell r="D61">
            <v>44.808333095845818</v>
          </cell>
          <cell r="E61">
            <v>54.205607497508247</v>
          </cell>
        </row>
        <row r="62">
          <cell r="B62" t="str">
            <v>Average:</v>
          </cell>
          <cell r="C62">
            <v>49.506970296677025</v>
          </cell>
          <cell r="J62">
            <v>5.3125704124978324</v>
          </cell>
        </row>
        <row r="65">
          <cell r="A65" t="str">
            <v>Est. Value 2010 Operations on P/E</v>
          </cell>
        </row>
        <row r="67">
          <cell r="B67" t="str">
            <v>Est. Value/Share</v>
          </cell>
          <cell r="E67" t="str">
            <v>P/E Multiple</v>
          </cell>
          <cell r="I67" t="str">
            <v>Interest</v>
          </cell>
        </row>
        <row r="68">
          <cell r="B68" t="str">
            <v>Low</v>
          </cell>
          <cell r="C68" t="str">
            <v>High</v>
          </cell>
          <cell r="D68" t="str">
            <v>2010 EPS</v>
          </cell>
          <cell r="E68" t="str">
            <v>Low</v>
          </cell>
          <cell r="F68" t="str">
            <v>High</v>
          </cell>
          <cell r="G68" t="str">
            <v>EBIT</v>
          </cell>
          <cell r="H68" t="str">
            <v>Unallocated</v>
          </cell>
          <cell r="I68" t="str">
            <v>&amp; Other</v>
          </cell>
          <cell r="J68" t="str">
            <v>Tax Rate</v>
          </cell>
          <cell r="K68" t="str">
            <v>Econ NI</v>
          </cell>
          <cell r="L68" t="str">
            <v>Per share</v>
          </cell>
          <cell r="M68" t="str">
            <v>EBIT Dist.</v>
          </cell>
        </row>
        <row r="69">
          <cell r="A69" t="str">
            <v>Marine</v>
          </cell>
          <cell r="B69">
            <v>7.7346443193794494</v>
          </cell>
          <cell r="C69">
            <v>9.9445426963450068</v>
          </cell>
          <cell r="D69">
            <v>1.1049491884827785</v>
          </cell>
          <cell r="E69">
            <v>7</v>
          </cell>
          <cell r="F69">
            <v>9</v>
          </cell>
          <cell r="G69">
            <v>643.11</v>
          </cell>
          <cell r="H69">
            <v>-12.09369736273006</v>
          </cell>
          <cell r="I69">
            <v>-22.094482720285942</v>
          </cell>
          <cell r="J69">
            <v>0.316</v>
          </cell>
          <cell r="K69">
            <v>416.50252482321707</v>
          </cell>
          <cell r="L69">
            <v>1.1049491884827785</v>
          </cell>
          <cell r="M69">
            <v>0.17276710518185801</v>
          </cell>
        </row>
        <row r="70">
          <cell r="A70" t="str">
            <v>Combat Sys</v>
          </cell>
          <cell r="B70">
            <v>18.463068494403657</v>
          </cell>
          <cell r="C70">
            <v>20.514520549337398</v>
          </cell>
          <cell r="D70">
            <v>2.0514520549337396</v>
          </cell>
          <cell r="E70">
            <v>9</v>
          </cell>
          <cell r="F70">
            <v>10</v>
          </cell>
          <cell r="G70">
            <v>1194</v>
          </cell>
          <cell r="H70">
            <v>-22.453195644757024</v>
          </cell>
          <cell r="I70">
            <v>-41.02068443659936</v>
          </cell>
          <cell r="J70">
            <v>0.316</v>
          </cell>
          <cell r="K70">
            <v>773.27986602435215</v>
          </cell>
          <cell r="L70">
            <v>2.0514520549337396</v>
          </cell>
          <cell r="M70">
            <v>0.32075993778224321</v>
          </cell>
        </row>
        <row r="71">
          <cell r="A71" t="str">
            <v>IS&amp;T</v>
          </cell>
          <cell r="B71">
            <v>21.607769244944045</v>
          </cell>
          <cell r="C71">
            <v>25.536454562206597</v>
          </cell>
          <cell r="D71">
            <v>1.9643426586312767</v>
          </cell>
          <cell r="E71">
            <v>11</v>
          </cell>
          <cell r="F71">
            <v>13</v>
          </cell>
          <cell r="G71">
            <v>1143.3</v>
          </cell>
          <cell r="H71">
            <v>-21.499781055821362</v>
          </cell>
          <cell r="I71">
            <v>-39.278851353738737</v>
          </cell>
          <cell r="J71">
            <v>0.316</v>
          </cell>
          <cell r="K71">
            <v>740.44461543186083</v>
          </cell>
          <cell r="L71">
            <v>1.9643426586312767</v>
          </cell>
          <cell r="M71">
            <v>0.30713972936887662</v>
          </cell>
        </row>
        <row r="72">
          <cell r="A72" t="str">
            <v>Aerospace</v>
          </cell>
          <cell r="B72">
            <v>11.473699181614334</v>
          </cell>
          <cell r="C72">
            <v>12.748554646238148</v>
          </cell>
          <cell r="D72">
            <v>1.2748554646238148</v>
          </cell>
          <cell r="E72">
            <v>9</v>
          </cell>
          <cell r="F72">
            <v>10</v>
          </cell>
          <cell r="G72">
            <v>742.00000000000011</v>
          </cell>
          <cell r="H72">
            <v>-13.953325936691556</v>
          </cell>
          <cell r="I72">
            <v>-25.491916123916859</v>
          </cell>
          <cell r="J72">
            <v>0.316</v>
          </cell>
          <cell r="K72">
            <v>480.54745443054384</v>
          </cell>
          <cell r="L72">
            <v>1.2748554646238148</v>
          </cell>
          <cell r="M72">
            <v>0.19933322766702222</v>
          </cell>
        </row>
        <row r="73">
          <cell r="A73" t="str">
            <v xml:space="preserve">  subtotal</v>
          </cell>
          <cell r="B73">
            <v>59.279181240341487</v>
          </cell>
          <cell r="C73">
            <v>68.744072454127149</v>
          </cell>
          <cell r="D73">
            <v>6.3955993666716093</v>
          </cell>
          <cell r="G73">
            <v>3722.41</v>
          </cell>
          <cell r="H73">
            <v>-70</v>
          </cell>
          <cell r="I73">
            <v>-127.88593463454092</v>
          </cell>
          <cell r="K73">
            <v>2410.7744607099739</v>
          </cell>
          <cell r="L73">
            <v>6.3955993666716093</v>
          </cell>
          <cell r="M73">
            <v>1</v>
          </cell>
        </row>
        <row r="75">
          <cell r="A75" t="str">
            <v>Est. GD Value per Share</v>
          </cell>
          <cell r="B75">
            <v>59.279181240341487</v>
          </cell>
          <cell r="C75">
            <v>68.744072454127149</v>
          </cell>
        </row>
        <row r="76">
          <cell r="B76" t="str">
            <v>Average:</v>
          </cell>
          <cell r="C76">
            <v>64.011626847234311</v>
          </cell>
          <cell r="H76">
            <v>-70</v>
          </cell>
          <cell r="I76">
            <v>-127.88593463454089</v>
          </cell>
          <cell r="K76">
            <v>2410.7744607099739</v>
          </cell>
          <cell r="L76">
            <v>6.3955993666716093</v>
          </cell>
        </row>
        <row r="77">
          <cell r="H77" t="str">
            <v>tied to calculation</v>
          </cell>
        </row>
        <row r="78">
          <cell r="J78" t="str">
            <v>No. of Shares</v>
          </cell>
          <cell r="K78">
            <v>376.94269489000004</v>
          </cell>
        </row>
        <row r="80">
          <cell r="F80" t="str">
            <v>From Model</v>
          </cell>
          <cell r="G80">
            <v>3652.41</v>
          </cell>
        </row>
        <row r="82">
          <cell r="L82" t="str">
            <v>CAI</v>
          </cell>
          <cell r="M82">
            <v>15.1</v>
          </cell>
        </row>
        <row r="83">
          <cell r="L83" t="str">
            <v>SAI</v>
          </cell>
          <cell r="M83">
            <v>14.6</v>
          </cell>
        </row>
        <row r="84">
          <cell r="L84" t="str">
            <v>MANT</v>
          </cell>
          <cell r="M84">
            <v>15.2</v>
          </cell>
        </row>
        <row r="92">
          <cell r="A92" t="str">
            <v>Est. Value 2009 Operations on EV/EBITDA</v>
          </cell>
        </row>
        <row r="94">
          <cell r="A94" t="str">
            <v>Est. Value 2009 Operations on EV/EBITDA</v>
          </cell>
          <cell r="F94" t="str">
            <v xml:space="preserve">EV/EBITDA </v>
          </cell>
        </row>
        <row r="95">
          <cell r="B95" t="str">
            <v xml:space="preserve">Low </v>
          </cell>
          <cell r="C95" t="str">
            <v xml:space="preserve">High </v>
          </cell>
          <cell r="D95" t="str">
            <v>Low/Sh</v>
          </cell>
          <cell r="E95" t="str">
            <v>High/Sh</v>
          </cell>
          <cell r="F95" t="str">
            <v>Low</v>
          </cell>
          <cell r="G95" t="str">
            <v>High</v>
          </cell>
          <cell r="H95" t="str">
            <v>EBIT</v>
          </cell>
          <cell r="I95" t="str">
            <v>D+A</v>
          </cell>
          <cell r="J95" t="str">
            <v>Unallocated</v>
          </cell>
          <cell r="K95" t="str">
            <v>EBITDA</v>
          </cell>
        </row>
        <row r="96">
          <cell r="A96" t="str">
            <v>Marine</v>
          </cell>
          <cell r="B96">
            <v>4192.2832463724735</v>
          </cell>
          <cell r="C96">
            <v>4890.9971207678864</v>
          </cell>
          <cell r="D96">
            <v>10.846787183369919</v>
          </cell>
          <cell r="E96">
            <v>12.654585047264906</v>
          </cell>
          <cell r="F96">
            <v>6</v>
          </cell>
          <cell r="G96">
            <v>7</v>
          </cell>
          <cell r="H96">
            <v>628.875</v>
          </cell>
          <cell r="I96">
            <v>85.239790035441942</v>
          </cell>
          <cell r="J96">
            <v>-15.400915640029661</v>
          </cell>
          <cell r="K96">
            <v>698.71387439541229</v>
          </cell>
        </row>
        <row r="97">
          <cell r="A97" t="str">
            <v>Combat Sys</v>
          </cell>
          <cell r="B97">
            <v>8166.2444473166852</v>
          </cell>
          <cell r="C97">
            <v>9527.2851885361324</v>
          </cell>
          <cell r="D97">
            <v>21.128704908969432</v>
          </cell>
          <cell r="E97">
            <v>24.650155727131004</v>
          </cell>
          <cell r="F97">
            <v>6</v>
          </cell>
          <cell r="G97">
            <v>7</v>
          </cell>
          <cell r="H97">
            <v>1225</v>
          </cell>
          <cell r="I97">
            <v>166.04053713920314</v>
          </cell>
          <cell r="J97">
            <v>-29.999795919755648</v>
          </cell>
          <cell r="K97">
            <v>1361.0407412194475</v>
          </cell>
        </row>
        <row r="98">
          <cell r="A98" t="str">
            <v>IS&amp;T</v>
          </cell>
          <cell r="B98">
            <v>6179.6804919694405</v>
          </cell>
          <cell r="C98">
            <v>6797.6485411663853</v>
          </cell>
          <cell r="D98">
            <v>15.988824041318086</v>
          </cell>
          <cell r="E98">
            <v>17.587706445449896</v>
          </cell>
          <cell r="F98">
            <v>5</v>
          </cell>
          <cell r="G98">
            <v>5.5</v>
          </cell>
          <cell r="H98">
            <v>1112.3999999999999</v>
          </cell>
          <cell r="I98">
            <v>150.77836205195882</v>
          </cell>
          <cell r="J98">
            <v>-27.242263658070353</v>
          </cell>
          <cell r="K98">
            <v>1235.9360983938882</v>
          </cell>
          <cell r="P98" t="str">
            <v>The Positives: Growing Cash Hoard = Compelling Valuation</v>
          </cell>
        </row>
        <row r="99">
          <cell r="A99" t="str">
            <v>Gulfstream</v>
          </cell>
          <cell r="B99">
            <v>2756.1075009693814</v>
          </cell>
          <cell r="C99">
            <v>3937.2964299562591</v>
          </cell>
          <cell r="D99">
            <v>7.1309379067771834</v>
          </cell>
          <cell r="E99">
            <v>10.187054152538833</v>
          </cell>
          <cell r="F99">
            <v>3.5</v>
          </cell>
          <cell r="G99">
            <v>5</v>
          </cell>
          <cell r="H99">
            <v>708.75</v>
          </cell>
          <cell r="I99">
            <v>96.066310773396111</v>
          </cell>
          <cell r="J99">
            <v>-17.357024782144343</v>
          </cell>
          <cell r="K99">
            <v>787.45928599125182</v>
          </cell>
        </row>
        <row r="100">
          <cell r="A100" t="str">
            <v xml:space="preserve">  subtotal</v>
          </cell>
          <cell r="B100">
            <v>21294.315686627982</v>
          </cell>
          <cell r="C100">
            <v>25153.227280426661</v>
          </cell>
          <cell r="D100">
            <v>55.095254040434618</v>
          </cell>
          <cell r="E100">
            <v>65.079501372384641</v>
          </cell>
          <cell r="H100">
            <v>3675.0249999999996</v>
          </cell>
          <cell r="I100">
            <v>498.125</v>
          </cell>
          <cell r="J100">
            <v>-90</v>
          </cell>
          <cell r="K100">
            <v>4083.1499999999996</v>
          </cell>
          <cell r="R100">
            <v>2009</v>
          </cell>
          <cell r="S100">
            <v>2010</v>
          </cell>
          <cell r="T100" t="str">
            <v>Comments</v>
          </cell>
        </row>
        <row r="101">
          <cell r="P101" t="str">
            <v>Stock price</v>
          </cell>
          <cell r="R101">
            <v>54.59</v>
          </cell>
          <cell r="S101">
            <v>54.59</v>
          </cell>
        </row>
        <row r="102">
          <cell r="A102" t="str">
            <v>Less Net Debt (Cash)</v>
          </cell>
          <cell r="B102">
            <v>2756</v>
          </cell>
          <cell r="C102">
            <v>2756</v>
          </cell>
          <cell r="D102">
            <v>7.130659767141009</v>
          </cell>
          <cell r="E102">
            <v>7.130659767141009</v>
          </cell>
          <cell r="F102" t="str">
            <v xml:space="preserve">- 3Q08 </v>
          </cell>
          <cell r="J102" t="str">
            <v>From Model</v>
          </cell>
          <cell r="K102">
            <v>3585.0249999999996</v>
          </cell>
          <cell r="L102">
            <v>498.125</v>
          </cell>
          <cell r="M102">
            <v>-90</v>
          </cell>
          <cell r="P102" t="str">
            <v>less cash/share</v>
          </cell>
          <cell r="R102">
            <v>-1.0123993647657794</v>
          </cell>
          <cell r="S102">
            <v>3.8415995619144265</v>
          </cell>
          <cell r="T102" t="str">
            <v>- assumed YE09, rises to $10 YE10</v>
          </cell>
        </row>
        <row r="103">
          <cell r="K103" t="str">
            <v>tied to calculation</v>
          </cell>
          <cell r="P103" t="str">
            <v>Net, stock price</v>
          </cell>
          <cell r="R103">
            <v>55.60239936476578</v>
          </cell>
          <cell r="S103">
            <v>50.748400438085575</v>
          </cell>
        </row>
        <row r="104">
          <cell r="A104" t="str">
            <v>Implied Equity Value</v>
          </cell>
          <cell r="B104">
            <v>18538.315686627982</v>
          </cell>
          <cell r="C104">
            <v>22397.227280426661</v>
          </cell>
          <cell r="K104" t="str">
            <v>No. of Shares</v>
          </cell>
          <cell r="L104">
            <v>386.5</v>
          </cell>
        </row>
        <row r="105">
          <cell r="P105" t="str">
            <v>2009 EPS</v>
          </cell>
          <cell r="R105">
            <v>6.1034251981705649</v>
          </cell>
          <cell r="S105">
            <v>6.3955993666716093</v>
          </cell>
        </row>
        <row r="106">
          <cell r="A106" t="str">
            <v>Est. GD Value per Share</v>
          </cell>
          <cell r="B106">
            <v>47.964594273293613</v>
          </cell>
          <cell r="C106">
            <v>57.948841605243622</v>
          </cell>
          <cell r="D106">
            <v>47.964594273293606</v>
          </cell>
          <cell r="E106">
            <v>57.948841605243629</v>
          </cell>
        </row>
        <row r="107">
          <cell r="B107" t="str">
            <v>Average:</v>
          </cell>
          <cell r="C107">
            <v>52.956717939268614</v>
          </cell>
          <cell r="J107">
            <v>5.5659123470849723</v>
          </cell>
          <cell r="P107" t="str">
            <v>2009 P/E adjusted</v>
          </cell>
          <cell r="R107">
            <v>9.1100320818926388</v>
          </cell>
          <cell r="S107">
            <v>7.9348935930137854</v>
          </cell>
          <cell r="T107" t="str">
            <v>- extremely cheap, even vs. peers</v>
          </cell>
        </row>
        <row r="110">
          <cell r="A110" t="str">
            <v>Est. Value 2009 Operations on P/E</v>
          </cell>
          <cell r="P110" t="str">
            <v>The Negatives: Dearth Of Catalysts Ahead, Mgmt Transition MidStorm</v>
          </cell>
        </row>
        <row r="112">
          <cell r="B112" t="str">
            <v>Est. Value/Share</v>
          </cell>
          <cell r="E112" t="str">
            <v>P/E Multiple</v>
          </cell>
          <cell r="I112" t="str">
            <v>Interest</v>
          </cell>
        </row>
        <row r="113">
          <cell r="B113" t="str">
            <v>Low</v>
          </cell>
          <cell r="C113" t="str">
            <v>High</v>
          </cell>
          <cell r="D113" t="str">
            <v>2009 EPS</v>
          </cell>
          <cell r="E113" t="str">
            <v>Low</v>
          </cell>
          <cell r="F113" t="str">
            <v>High</v>
          </cell>
          <cell r="G113" t="str">
            <v>EBIT</v>
          </cell>
          <cell r="H113" t="str">
            <v>Unallocated</v>
          </cell>
          <cell r="I113" t="str">
            <v>&amp; Other</v>
          </cell>
          <cell r="J113" t="str">
            <v>Tax Rate</v>
          </cell>
          <cell r="K113" t="str">
            <v>Econ NI</v>
          </cell>
          <cell r="L113" t="str">
            <v>Per share</v>
          </cell>
          <cell r="M113" t="str">
            <v>EBIT Dist.</v>
          </cell>
        </row>
        <row r="114">
          <cell r="A114" t="str">
            <v>Marine</v>
          </cell>
          <cell r="B114">
            <v>8.3446280178813854</v>
          </cell>
          <cell r="C114">
            <v>9.3877065201165593</v>
          </cell>
          <cell r="D114">
            <v>1.0430785022351732</v>
          </cell>
          <cell r="E114">
            <v>8</v>
          </cell>
          <cell r="F114">
            <v>9</v>
          </cell>
          <cell r="G114">
            <v>628.875</v>
          </cell>
          <cell r="H114">
            <v>-15.400915640029661</v>
          </cell>
          <cell r="I114">
            <v>-25.105956639750755</v>
          </cell>
          <cell r="J114">
            <v>0.31480000000000002</v>
          </cell>
          <cell r="K114">
            <v>403.14984111389447</v>
          </cell>
          <cell r="L114">
            <v>1.0430785022351732</v>
          </cell>
          <cell r="M114">
            <v>0.17112128488921846</v>
          </cell>
        </row>
        <row r="115">
          <cell r="A115" t="str">
            <v>Combat Sys</v>
          </cell>
          <cell r="B115">
            <v>16.254691825728006</v>
          </cell>
          <cell r="C115">
            <v>18.286528303944007</v>
          </cell>
          <cell r="D115">
            <v>2.0318364782160008</v>
          </cell>
          <cell r="E115">
            <v>8</v>
          </cell>
          <cell r="F115">
            <v>9</v>
          </cell>
          <cell r="G115">
            <v>1225</v>
          </cell>
          <cell r="H115">
            <v>-29.999795919755648</v>
          </cell>
          <cell r="I115">
            <v>-48.904467316548875</v>
          </cell>
          <cell r="J115">
            <v>0.31480000000000002</v>
          </cell>
          <cell r="K115">
            <v>785.30479883048429</v>
          </cell>
          <cell r="L115">
            <v>2.0318364782160008</v>
          </cell>
          <cell r="M115">
            <v>0.33333106577506277</v>
          </cell>
        </row>
        <row r="116">
          <cell r="A116" t="str">
            <v>IS&amp;T</v>
          </cell>
          <cell r="B116">
            <v>12.91551370495702</v>
          </cell>
          <cell r="C116">
            <v>14.760587091379451</v>
          </cell>
          <cell r="D116">
            <v>1.8450733864224313</v>
          </cell>
          <cell r="E116">
            <v>7</v>
          </cell>
          <cell r="F116">
            <v>8</v>
          </cell>
          <cell r="G116">
            <v>1112.3999999999999</v>
          </cell>
          <cell r="H116">
            <v>-27.242263658070353</v>
          </cell>
          <cell r="I116">
            <v>-44.409248524839967</v>
          </cell>
          <cell r="J116">
            <v>0.31480000000000002</v>
          </cell>
          <cell r="K116">
            <v>713.12086385226974</v>
          </cell>
          <cell r="L116">
            <v>1.8450733864224313</v>
          </cell>
          <cell r="M116">
            <v>0.30269181842300391</v>
          </cell>
        </row>
        <row r="117">
          <cell r="A117" t="str">
            <v>Aerospace</v>
          </cell>
          <cell r="B117">
            <v>7.0533752029498302</v>
          </cell>
          <cell r="C117">
            <v>9.4045002705997742</v>
          </cell>
          <cell r="D117">
            <v>1.1755625338249718</v>
          </cell>
          <cell r="E117">
            <v>6</v>
          </cell>
          <cell r="F117">
            <v>8</v>
          </cell>
          <cell r="G117">
            <v>708.75</v>
          </cell>
          <cell r="H117">
            <v>-17.357024782144343</v>
          </cell>
          <cell r="I117">
            <v>-28.294727518860423</v>
          </cell>
          <cell r="J117">
            <v>0.31480000000000002</v>
          </cell>
          <cell r="K117">
            <v>454.35491932335157</v>
          </cell>
          <cell r="L117">
            <v>1.1755625338249718</v>
          </cell>
          <cell r="M117">
            <v>0.19285583091271491</v>
          </cell>
        </row>
        <row r="118">
          <cell r="A118" t="str">
            <v xml:space="preserve">  subtotal</v>
          </cell>
          <cell r="B118">
            <v>44.568208751516245</v>
          </cell>
          <cell r="C118">
            <v>51.839322186039794</v>
          </cell>
          <cell r="D118">
            <v>6.0955509006985773</v>
          </cell>
          <cell r="G118">
            <v>3675.0249999999996</v>
          </cell>
          <cell r="H118">
            <v>-90</v>
          </cell>
          <cell r="I118">
            <v>-146.71440000000001</v>
          </cell>
          <cell r="K118">
            <v>2355.9304231200003</v>
          </cell>
          <cell r="L118">
            <v>6.0955509006985782</v>
          </cell>
          <cell r="M118">
            <v>1</v>
          </cell>
        </row>
        <row r="120">
          <cell r="A120" t="str">
            <v>Est. GD Value per Share</v>
          </cell>
          <cell r="B120">
            <v>44.568208751516245</v>
          </cell>
          <cell r="C120">
            <v>51.839322186039794</v>
          </cell>
        </row>
        <row r="121">
          <cell r="B121" t="str">
            <v>Average:</v>
          </cell>
          <cell r="C121">
            <v>48.203765468778016</v>
          </cell>
          <cell r="H121" t="str">
            <v>From Model</v>
          </cell>
          <cell r="I121">
            <v>3585.0249999999996</v>
          </cell>
          <cell r="J121">
            <v>-90</v>
          </cell>
          <cell r="K121">
            <v>-146.71440000000001</v>
          </cell>
          <cell r="M121">
            <v>2355.9304231199999</v>
          </cell>
          <cell r="N121">
            <v>5.8634405752115475</v>
          </cell>
        </row>
        <row r="122">
          <cell r="A122" t="str">
            <v>A-12 Liability</v>
          </cell>
          <cell r="H122" t="str">
            <v>tied to calculation</v>
          </cell>
        </row>
        <row r="123">
          <cell r="A123" t="str">
            <v>Est GD w/ A-12</v>
          </cell>
          <cell r="B123">
            <v>44.568208751516245</v>
          </cell>
          <cell r="C123">
            <v>51.839322186039794</v>
          </cell>
          <cell r="J123" t="str">
            <v>No. of Shares</v>
          </cell>
          <cell r="K123">
            <v>386.5</v>
          </cell>
        </row>
        <row r="124">
          <cell r="B124" t="str">
            <v>Average:</v>
          </cell>
          <cell r="C124">
            <v>48.203765468778016</v>
          </cell>
        </row>
        <row r="125">
          <cell r="H125" t="str">
            <v>- Assumes $690MM aftertax charge spread 2008/09</v>
          </cell>
        </row>
        <row r="128">
          <cell r="A128" t="str">
            <v>Not Used</v>
          </cell>
        </row>
        <row r="130">
          <cell r="A130" t="str">
            <v>Est. Value 2008 Operations on EV/EBITDA</v>
          </cell>
        </row>
        <row r="132">
          <cell r="F132" t="str">
            <v>EV/EBITDA Multiple</v>
          </cell>
        </row>
        <row r="133">
          <cell r="B133" t="str">
            <v xml:space="preserve">Low </v>
          </cell>
          <cell r="C133" t="str">
            <v xml:space="preserve">High </v>
          </cell>
          <cell r="D133" t="str">
            <v>Low/Sh</v>
          </cell>
          <cell r="E133" t="str">
            <v>High/Sh</v>
          </cell>
          <cell r="F133" t="str">
            <v>Low</v>
          </cell>
          <cell r="G133" t="str">
            <v>High</v>
          </cell>
          <cell r="H133" t="str">
            <v>EBIT</v>
          </cell>
          <cell r="I133" t="str">
            <v>D+A</v>
          </cell>
          <cell r="J133" t="str">
            <v>Unallocated</v>
          </cell>
          <cell r="K133" t="str">
            <v>EBITDA</v>
          </cell>
        </row>
        <row r="134">
          <cell r="A134" t="str">
            <v>Marine</v>
          </cell>
          <cell r="B134">
            <v>3417.8047210300429</v>
          </cell>
          <cell r="C134">
            <v>3987.4388412017165</v>
          </cell>
          <cell r="D134">
            <v>8.3739963028581581</v>
          </cell>
          <cell r="E134">
            <v>9.7696623533345175</v>
          </cell>
          <cell r="F134">
            <v>6</v>
          </cell>
          <cell r="G134">
            <v>7</v>
          </cell>
          <cell r="H134">
            <v>521</v>
          </cell>
          <cell r="I134">
            <v>59.115611587982833</v>
          </cell>
          <cell r="J134">
            <v>-10.481491416309014</v>
          </cell>
          <cell r="K134">
            <v>569.63412017167377</v>
          </cell>
        </row>
        <row r="135">
          <cell r="A135" t="str">
            <v>Combat Sys</v>
          </cell>
          <cell r="B135">
            <v>7288.255364806867</v>
          </cell>
          <cell r="C135">
            <v>8502.9645922746786</v>
          </cell>
          <cell r="D135">
            <v>17.857024745634192</v>
          </cell>
          <cell r="E135">
            <v>20.833195536573225</v>
          </cell>
          <cell r="F135">
            <v>6</v>
          </cell>
          <cell r="G135">
            <v>7</v>
          </cell>
          <cell r="H135">
            <v>1111</v>
          </cell>
          <cell r="I135">
            <v>126.06035407725322</v>
          </cell>
          <cell r="J135">
            <v>-22.351126609442062</v>
          </cell>
          <cell r="K135">
            <v>1214.7092274678112</v>
          </cell>
        </row>
        <row r="136">
          <cell r="A136" t="str">
            <v>IS&amp;T</v>
          </cell>
          <cell r="B136">
            <v>7052.0922746781125</v>
          </cell>
          <cell r="C136">
            <v>8227.4409871244643</v>
          </cell>
          <cell r="D136">
            <v>17.278399281329214</v>
          </cell>
          <cell r="E136">
            <v>20.158132494884086</v>
          </cell>
          <cell r="F136">
            <v>6</v>
          </cell>
          <cell r="G136">
            <v>7</v>
          </cell>
          <cell r="H136">
            <v>1075</v>
          </cell>
          <cell r="I136">
            <v>121.97559012875536</v>
          </cell>
          <cell r="J136">
            <v>-21.626877682403432</v>
          </cell>
          <cell r="K136">
            <v>1175.348712446352</v>
          </cell>
        </row>
        <row r="137">
          <cell r="A137" t="str">
            <v>Gulfstream</v>
          </cell>
          <cell r="B137">
            <v>5581.5396995708143</v>
          </cell>
          <cell r="C137">
            <v>2790.7698497854071</v>
          </cell>
          <cell r="D137">
            <v>13.67538423739312</v>
          </cell>
          <cell r="E137">
            <v>6.8376921186965598</v>
          </cell>
          <cell r="F137">
            <v>5</v>
          </cell>
          <cell r="G137">
            <v>2.5</v>
          </cell>
          <cell r="H137">
            <v>1021</v>
          </cell>
          <cell r="I137">
            <v>115.84844420600858</v>
          </cell>
          <cell r="J137">
            <v>-20.540504291845494</v>
          </cell>
          <cell r="K137">
            <v>1116.3079399141629</v>
          </cell>
        </row>
        <row r="138">
          <cell r="A138" t="str">
            <v xml:space="preserve">  subtotal</v>
          </cell>
          <cell r="B138">
            <v>23339.692060085836</v>
          </cell>
          <cell r="C138">
            <v>23508.614270386264</v>
          </cell>
          <cell r="D138">
            <v>57.184804567214684</v>
          </cell>
          <cell r="E138">
            <v>57.598682503488384</v>
          </cell>
          <cell r="H138">
            <v>3728</v>
          </cell>
          <cell r="I138">
            <v>423</v>
          </cell>
          <cell r="J138">
            <v>-75</v>
          </cell>
          <cell r="K138">
            <v>4075.9999999999995</v>
          </cell>
        </row>
        <row r="140">
          <cell r="A140" t="str">
            <v>Less Net Debt (Cash)</v>
          </cell>
          <cell r="B140">
            <v>-451</v>
          </cell>
          <cell r="C140">
            <v>-451</v>
          </cell>
          <cell r="D140">
            <v>-1.1049994487253305</v>
          </cell>
          <cell r="E140">
            <v>-1.1049994487253305</v>
          </cell>
          <cell r="G140" t="str">
            <v>From Model</v>
          </cell>
          <cell r="H140">
            <v>3113</v>
          </cell>
          <cell r="I140">
            <v>423</v>
          </cell>
          <cell r="J140">
            <v>-75</v>
          </cell>
        </row>
        <row r="141">
          <cell r="G141" t="str">
            <v>tied to calculation</v>
          </cell>
        </row>
        <row r="142">
          <cell r="A142" t="str">
            <v>Implied Equity Value</v>
          </cell>
          <cell r="B142">
            <v>23790.692060085836</v>
          </cell>
          <cell r="C142">
            <v>23959.614270386264</v>
          </cell>
          <cell r="H142" t="str">
            <v>No. of Shares</v>
          </cell>
          <cell r="I142">
            <v>408.14499999999998</v>
          </cell>
        </row>
        <row r="144">
          <cell r="A144" t="str">
            <v>Est. GD Value per Share</v>
          </cell>
          <cell r="B144">
            <v>58.289804015940014</v>
          </cell>
          <cell r="C144">
            <v>58.703681952213714</v>
          </cell>
          <cell r="D144">
            <v>56.079805118489354</v>
          </cell>
          <cell r="E144">
            <v>56.493683054763054</v>
          </cell>
        </row>
        <row r="145">
          <cell r="B145" t="str">
            <v>Average:</v>
          </cell>
          <cell r="C145">
            <v>58.49674298407686</v>
          </cell>
        </row>
        <row r="148">
          <cell r="A148" t="str">
            <v>Est. Value 2008 Operations on P/E</v>
          </cell>
        </row>
        <row r="150">
          <cell r="B150" t="str">
            <v>Est. Value/Share</v>
          </cell>
          <cell r="E150" t="str">
            <v>P/E Multiple</v>
          </cell>
        </row>
        <row r="151">
          <cell r="B151" t="str">
            <v>Low</v>
          </cell>
          <cell r="C151" t="str">
            <v>High</v>
          </cell>
          <cell r="D151" t="str">
            <v>2008 EPS</v>
          </cell>
          <cell r="E151" t="str">
            <v>Low</v>
          </cell>
          <cell r="F151" t="str">
            <v>High</v>
          </cell>
          <cell r="G151" t="str">
            <v>EBIT</v>
          </cell>
          <cell r="H151" t="str">
            <v>Unallocated</v>
          </cell>
          <cell r="I151" t="str">
            <v>Interest &amp; Other</v>
          </cell>
          <cell r="J151" t="str">
            <v>Tax Rate</v>
          </cell>
          <cell r="K151" t="str">
            <v>Econ NI</v>
          </cell>
          <cell r="L151" t="str">
            <v>Per share</v>
          </cell>
          <cell r="M151" t="str">
            <v>EBIT Dist.</v>
          </cell>
        </row>
        <row r="152">
          <cell r="A152" t="str">
            <v>Marine</v>
          </cell>
          <cell r="B152">
            <v>8.3650936244203802</v>
          </cell>
          <cell r="C152">
            <v>10.456367030525476</v>
          </cell>
          <cell r="D152">
            <v>0.836509362442038</v>
          </cell>
          <cell r="E152">
            <v>10</v>
          </cell>
          <cell r="F152">
            <v>12.5</v>
          </cell>
          <cell r="G152">
            <v>521</v>
          </cell>
          <cell r="H152">
            <v>-10.481491416309014</v>
          </cell>
          <cell r="I152">
            <v>-6.847907725321889</v>
          </cell>
          <cell r="J152">
            <v>0.32214206437291898</v>
          </cell>
          <cell r="K152">
            <v>341.41711373390558</v>
          </cell>
          <cell r="L152">
            <v>0.836509362442038</v>
          </cell>
          <cell r="M152">
            <v>0.13975321888412018</v>
          </cell>
        </row>
        <row r="153">
          <cell r="A153" t="str">
            <v>Combat Sys</v>
          </cell>
          <cell r="B153">
            <v>17.838040339215052</v>
          </cell>
          <cell r="C153">
            <v>22.297550424018816</v>
          </cell>
          <cell r="D153">
            <v>1.7838040339215053</v>
          </cell>
          <cell r="E153">
            <v>10</v>
          </cell>
          <cell r="F153">
            <v>12.5</v>
          </cell>
          <cell r="G153">
            <v>1111</v>
          </cell>
          <cell r="H153">
            <v>-22.351126609442062</v>
          </cell>
          <cell r="I153">
            <v>-14.602736051502147</v>
          </cell>
          <cell r="J153">
            <v>0.32214206437291898</v>
          </cell>
          <cell r="K153">
            <v>728.05069742489275</v>
          </cell>
          <cell r="L153">
            <v>1.7838040339215053</v>
          </cell>
          <cell r="M153">
            <v>0.29801502145922748</v>
          </cell>
        </row>
        <row r="154">
          <cell r="A154" t="str">
            <v>IS&amp;T</v>
          </cell>
          <cell r="B154">
            <v>17.260030031193686</v>
          </cell>
          <cell r="C154">
            <v>21.57503753899211</v>
          </cell>
          <cell r="D154">
            <v>1.7260030031193687</v>
          </cell>
          <cell r="E154">
            <v>10</v>
          </cell>
          <cell r="F154">
            <v>12.5</v>
          </cell>
          <cell r="G154">
            <v>1075</v>
          </cell>
          <cell r="H154">
            <v>-21.626877682403432</v>
          </cell>
          <cell r="I154">
            <v>-14.129560085836909</v>
          </cell>
          <cell r="J154">
            <v>0.32214206437291898</v>
          </cell>
          <cell r="K154">
            <v>704.45949570815469</v>
          </cell>
          <cell r="L154">
            <v>1.7260030031193687</v>
          </cell>
          <cell r="M154">
            <v>0.28835836909871243</v>
          </cell>
        </row>
        <row r="155">
          <cell r="A155" t="str">
            <v>Aerospace</v>
          </cell>
          <cell r="B155">
            <v>18.03231602607779</v>
          </cell>
          <cell r="C155">
            <v>6.5572058276646512</v>
          </cell>
          <cell r="D155">
            <v>1.6393014569161628</v>
          </cell>
          <cell r="E155">
            <v>11</v>
          </cell>
          <cell r="F155">
            <v>4</v>
          </cell>
          <cell r="G155">
            <v>1021</v>
          </cell>
          <cell r="H155">
            <v>-20.540504291845494</v>
          </cell>
          <cell r="I155">
            <v>-13.419796137339056</v>
          </cell>
          <cell r="J155">
            <v>0.32214206437291898</v>
          </cell>
          <cell r="K155">
            <v>669.07269313304721</v>
          </cell>
          <cell r="L155">
            <v>1.6393014569161628</v>
          </cell>
          <cell r="M155">
            <v>0.27387339055793991</v>
          </cell>
        </row>
        <row r="156">
          <cell r="A156" t="str">
            <v xml:space="preserve">  subtotal</v>
          </cell>
          <cell r="B156">
            <v>61.495480020906911</v>
          </cell>
          <cell r="C156">
            <v>60.886160821201052</v>
          </cell>
          <cell r="D156">
            <v>5.9856178563990756</v>
          </cell>
          <cell r="G156">
            <v>3728</v>
          </cell>
          <cell r="H156">
            <v>-75</v>
          </cell>
          <cell r="I156">
            <v>-49</v>
          </cell>
          <cell r="K156">
            <v>2443</v>
          </cell>
          <cell r="L156">
            <v>5.9856178563990738</v>
          </cell>
          <cell r="M156">
            <v>1</v>
          </cell>
        </row>
        <row r="157">
          <cell r="A157" t="str">
            <v>Est. GD Value per Share</v>
          </cell>
          <cell r="B157">
            <v>61.495480020906911</v>
          </cell>
          <cell r="C157">
            <v>60.886160821201052</v>
          </cell>
        </row>
        <row r="158">
          <cell r="B158" t="str">
            <v>Average:</v>
          </cell>
          <cell r="C158">
            <v>61.190820421053985</v>
          </cell>
          <cell r="F158" t="str">
            <v>From Model</v>
          </cell>
          <cell r="G158">
            <v>3728</v>
          </cell>
          <cell r="H158">
            <v>-75</v>
          </cell>
          <cell r="I158">
            <v>-49</v>
          </cell>
          <cell r="K158">
            <v>2443</v>
          </cell>
          <cell r="L158">
            <v>6.0801393728222992</v>
          </cell>
        </row>
        <row r="159">
          <cell r="A159" t="str">
            <v>A-12 Liability</v>
          </cell>
          <cell r="B159">
            <v>-2.5358634798907254</v>
          </cell>
          <cell r="C159">
            <v>-2.5358634798907254</v>
          </cell>
          <cell r="D159">
            <v>-0.84528782663024171</v>
          </cell>
          <cell r="G159" t="str">
            <v>tied to calculation</v>
          </cell>
        </row>
        <row r="160">
          <cell r="A160" t="str">
            <v>Est GD w/ A-12</v>
          </cell>
          <cell r="B160">
            <v>58.959616541016189</v>
          </cell>
          <cell r="C160">
            <v>58.350297341310323</v>
          </cell>
          <cell r="D160">
            <v>5.1403300297688341</v>
          </cell>
          <cell r="G160" t="str">
            <v>No. of Shares</v>
          </cell>
          <cell r="H160">
            <v>408.14499999999998</v>
          </cell>
        </row>
        <row r="161">
          <cell r="B161" t="str">
            <v>Average:</v>
          </cell>
          <cell r="C161">
            <v>58.654956941163256</v>
          </cell>
        </row>
        <row r="168">
          <cell r="A168" t="str">
            <v>Est. Value 2006 Operations on EV/EBITDA</v>
          </cell>
        </row>
        <row r="170">
          <cell r="H170" t="str">
            <v>EV/EBITDA Multiple</v>
          </cell>
        </row>
        <row r="171">
          <cell r="B171" t="str">
            <v xml:space="preserve">Low </v>
          </cell>
          <cell r="C171" t="str">
            <v xml:space="preserve">High </v>
          </cell>
          <cell r="D171" t="str">
            <v>Low/Sh</v>
          </cell>
          <cell r="E171" t="str">
            <v>High/Sh</v>
          </cell>
          <cell r="F171" t="str">
            <v>Comments</v>
          </cell>
          <cell r="G171" t="str">
            <v>Comps</v>
          </cell>
          <cell r="H171" t="str">
            <v>Low</v>
          </cell>
          <cell r="I171" t="str">
            <v>High</v>
          </cell>
          <cell r="J171" t="str">
            <v>EBIT</v>
          </cell>
          <cell r="K171" t="str">
            <v>D+A</v>
          </cell>
          <cell r="L171" t="str">
            <v>EBITDA</v>
          </cell>
        </row>
        <row r="172">
          <cell r="A172" t="str">
            <v>Marine</v>
          </cell>
          <cell r="B172">
            <v>3223.9285714285711</v>
          </cell>
          <cell r="C172">
            <v>3868.7142857142853</v>
          </cell>
          <cell r="D172">
            <v>7.9250948166877357</v>
          </cell>
          <cell r="E172">
            <v>9.510113780025284</v>
          </cell>
          <cell r="F172" t="str">
            <v>- Est. 7.5-9X EBITDA</v>
          </cell>
          <cell r="G172" t="str">
            <v>LLL, LMT, NOC, RTN</v>
          </cell>
          <cell r="H172">
            <v>7.5</v>
          </cell>
          <cell r="I172">
            <v>9</v>
          </cell>
          <cell r="J172">
            <v>375</v>
          </cell>
          <cell r="K172">
            <v>54.857142857142854</v>
          </cell>
          <cell r="L172">
            <v>429.85714285714283</v>
          </cell>
        </row>
        <row r="173">
          <cell r="A173" t="str">
            <v>Combat Sys</v>
          </cell>
          <cell r="B173">
            <v>5820.2657142857142</v>
          </cell>
          <cell r="C173">
            <v>6984.3188571428573</v>
          </cell>
          <cell r="D173">
            <v>14.307437842393593</v>
          </cell>
          <cell r="E173">
            <v>17.168925410872312</v>
          </cell>
          <cell r="F173" t="str">
            <v>- Est. 7.5-9X EBITDA</v>
          </cell>
          <cell r="G173" t="str">
            <v>LLL, LMT, NOC, RTN</v>
          </cell>
          <cell r="H173">
            <v>7.5</v>
          </cell>
          <cell r="I173">
            <v>9</v>
          </cell>
          <cell r="J173">
            <v>677</v>
          </cell>
          <cell r="K173">
            <v>99.035428571428582</v>
          </cell>
          <cell r="L173">
            <v>776.03542857142861</v>
          </cell>
        </row>
        <row r="174">
          <cell r="A174" t="str">
            <v>IS&amp;T</v>
          </cell>
          <cell r="B174">
            <v>12865.910857142857</v>
          </cell>
          <cell r="C174">
            <v>15662.848</v>
          </cell>
          <cell r="D174">
            <v>31.627116168001123</v>
          </cell>
          <cell r="E174">
            <v>38.502576204523109</v>
          </cell>
          <cell r="F174" t="str">
            <v>- Est. 11.5-14X EBITDA</v>
          </cell>
          <cell r="G174" t="str">
            <v>CACI, CSC, Anteon, et al</v>
          </cell>
          <cell r="H174">
            <v>11.5</v>
          </cell>
          <cell r="I174">
            <v>14</v>
          </cell>
          <cell r="J174">
            <v>976</v>
          </cell>
          <cell r="K174">
            <v>142.77485714285714</v>
          </cell>
          <cell r="L174">
            <v>1118.7748571428572</v>
          </cell>
        </row>
        <row r="175">
          <cell r="A175" t="str">
            <v>Gulfstream</v>
          </cell>
          <cell r="B175">
            <v>5167.4560000000001</v>
          </cell>
          <cell r="C175">
            <v>6643.8719999999994</v>
          </cell>
          <cell r="D175">
            <v>12.702694198623401</v>
          </cell>
          <cell r="E175">
            <v>16.332035398230087</v>
          </cell>
          <cell r="F175" t="str">
            <v>- Est. 7-9X EBITDA</v>
          </cell>
          <cell r="G175" t="str">
            <v>BA, COL, ERJ, UTX</v>
          </cell>
          <cell r="H175">
            <v>7</v>
          </cell>
          <cell r="I175">
            <v>9</v>
          </cell>
          <cell r="J175">
            <v>644</v>
          </cell>
          <cell r="K175">
            <v>94.207999999999998</v>
          </cell>
          <cell r="L175">
            <v>738.20799999999997</v>
          </cell>
        </row>
        <row r="176">
          <cell r="A176" t="str">
            <v>Other</v>
          </cell>
          <cell r="B176">
            <v>-242.43942857142858</v>
          </cell>
          <cell r="C176">
            <v>-350.19028571428572</v>
          </cell>
          <cell r="D176">
            <v>-0.59596713021491787</v>
          </cell>
          <cell r="E176">
            <v>-0.86084141031043682</v>
          </cell>
          <cell r="F176" t="str">
            <v>- Est. 4.5-6.5X EBITDA</v>
          </cell>
          <cell r="H176">
            <v>4.5</v>
          </cell>
          <cell r="I176">
            <v>6.5</v>
          </cell>
          <cell r="J176">
            <v>-47</v>
          </cell>
          <cell r="K176">
            <v>-6.8754285714285714</v>
          </cell>
          <cell r="L176">
            <v>-53.875428571428571</v>
          </cell>
        </row>
        <row r="177">
          <cell r="A177" t="str">
            <v xml:space="preserve">  subtotal</v>
          </cell>
          <cell r="B177">
            <v>26835.121714285713</v>
          </cell>
          <cell r="C177">
            <v>32809.562857142853</v>
          </cell>
          <cell r="D177">
            <v>65.966375895490941</v>
          </cell>
          <cell r="E177">
            <v>80.652809383340355</v>
          </cell>
          <cell r="J177">
            <v>2625</v>
          </cell>
          <cell r="K177">
            <v>383.99999999999994</v>
          </cell>
          <cell r="L177">
            <v>3009.0000000000005</v>
          </cell>
        </row>
        <row r="179">
          <cell r="A179" t="str">
            <v>Less 2006E Net Debt</v>
          </cell>
          <cell r="B179">
            <v>1177</v>
          </cell>
          <cell r="C179">
            <v>1177</v>
          </cell>
          <cell r="D179">
            <v>2.8933136676499509</v>
          </cell>
          <cell r="E179">
            <v>2.8933136676499509</v>
          </cell>
          <cell r="F179" t="str">
            <v>- Net cash in 2006E</v>
          </cell>
          <cell r="I179" t="str">
            <v>From Model</v>
          </cell>
          <cell r="J179">
            <v>2625</v>
          </cell>
          <cell r="K179">
            <v>384</v>
          </cell>
        </row>
        <row r="180">
          <cell r="J180" t="str">
            <v>tied to calculation</v>
          </cell>
        </row>
        <row r="181">
          <cell r="A181" t="str">
            <v>Implied Equity Value</v>
          </cell>
          <cell r="B181">
            <v>25658.121714285713</v>
          </cell>
          <cell r="C181">
            <v>31632.562857142853</v>
          </cell>
          <cell r="J181" t="str">
            <v>Share Price</v>
          </cell>
          <cell r="K181">
            <v>69</v>
          </cell>
        </row>
        <row r="182">
          <cell r="J182" t="str">
            <v>No. of Shares</v>
          </cell>
          <cell r="K182">
            <v>406.8</v>
          </cell>
        </row>
        <row r="183">
          <cell r="A183" t="str">
            <v>Est. GD Value per Share</v>
          </cell>
          <cell r="B183">
            <v>63.073062227840985</v>
          </cell>
          <cell r="C183">
            <v>77.759495715690392</v>
          </cell>
          <cell r="D183">
            <v>68.85968956314089</v>
          </cell>
          <cell r="E183">
            <v>83.546123050990303</v>
          </cell>
        </row>
        <row r="184">
          <cell r="B184" t="str">
            <v>Average:</v>
          </cell>
          <cell r="C184">
            <v>76.202906307065604</v>
          </cell>
        </row>
        <row r="187">
          <cell r="A187" t="str">
            <v>Est. Value 2006 Operations on P/E</v>
          </cell>
        </row>
        <row r="189">
          <cell r="B189" t="str">
            <v>Est. Value/Share</v>
          </cell>
          <cell r="H189" t="str">
            <v>P/E Multiple</v>
          </cell>
        </row>
        <row r="190">
          <cell r="B190" t="str">
            <v>Low</v>
          </cell>
          <cell r="C190" t="str">
            <v>High</v>
          </cell>
          <cell r="D190" t="str">
            <v>2006 EPS</v>
          </cell>
          <cell r="F190" t="str">
            <v>Comments</v>
          </cell>
          <cell r="G190" t="str">
            <v>Comps</v>
          </cell>
          <cell r="H190" t="str">
            <v>Low</v>
          </cell>
          <cell r="I190" t="str">
            <v>High</v>
          </cell>
          <cell r="J190" t="str">
            <v>EBIT</v>
          </cell>
          <cell r="K190" t="str">
            <v>Interest</v>
          </cell>
          <cell r="L190" t="str">
            <v>Tax Rate</v>
          </cell>
          <cell r="M190" t="str">
            <v>Econ NI</v>
          </cell>
          <cell r="N190" t="str">
            <v>Per share</v>
          </cell>
        </row>
        <row r="191">
          <cell r="A191" t="str">
            <v>Marine</v>
          </cell>
          <cell r="B191">
            <v>6.005056890012642</v>
          </cell>
          <cell r="C191">
            <v>7.2060682680151711</v>
          </cell>
          <cell r="D191">
            <v>0.60050568900126422</v>
          </cell>
          <cell r="F191" t="str">
            <v>- Est. 10-12X Econ P/E</v>
          </cell>
          <cell r="G191" t="str">
            <v>Discount to Def Peers</v>
          </cell>
          <cell r="H191">
            <v>10</v>
          </cell>
          <cell r="I191">
            <v>12</v>
          </cell>
          <cell r="J191">
            <v>375</v>
          </cell>
          <cell r="K191">
            <v>-14</v>
          </cell>
          <cell r="L191">
            <v>0.32330827067669171</v>
          </cell>
          <cell r="M191">
            <v>244.28571428571431</v>
          </cell>
          <cell r="N191">
            <v>0.60050568900126422</v>
          </cell>
        </row>
        <row r="192">
          <cell r="A192" t="str">
            <v>Combat Sys</v>
          </cell>
          <cell r="B192">
            <v>15.177581120943955</v>
          </cell>
          <cell r="C192">
            <v>19.514032869785083</v>
          </cell>
          <cell r="D192">
            <v>1.0841129372102825</v>
          </cell>
          <cell r="F192" t="str">
            <v>- Est. 14-18X Econ P/E</v>
          </cell>
          <cell r="G192" t="str">
            <v>LLL, LMT, NOC, RTN</v>
          </cell>
          <cell r="H192">
            <v>14</v>
          </cell>
          <cell r="I192">
            <v>18</v>
          </cell>
          <cell r="J192">
            <v>677</v>
          </cell>
          <cell r="K192">
            <v>-25.274666666666668</v>
          </cell>
          <cell r="L192">
            <v>0.32330827067669171</v>
          </cell>
          <cell r="M192">
            <v>441.01714285714291</v>
          </cell>
          <cell r="N192">
            <v>1.0841129372102825</v>
          </cell>
        </row>
        <row r="193">
          <cell r="A193" t="str">
            <v>IS&amp;T</v>
          </cell>
          <cell r="B193">
            <v>26.56957437842394</v>
          </cell>
          <cell r="C193">
            <v>37.509987357774975</v>
          </cell>
          <cell r="D193">
            <v>1.5629161399072906</v>
          </cell>
          <cell r="F193" t="str">
            <v>- Est. 17-24X P/E</v>
          </cell>
          <cell r="G193" t="str">
            <v>CACI, CSC, Anteon, et al</v>
          </cell>
          <cell r="H193">
            <v>17</v>
          </cell>
          <cell r="I193">
            <v>24</v>
          </cell>
          <cell r="J193">
            <v>976</v>
          </cell>
          <cell r="K193">
            <v>-36.437333333333335</v>
          </cell>
          <cell r="L193">
            <v>0.32330827067669171</v>
          </cell>
          <cell r="M193">
            <v>635.79428571428582</v>
          </cell>
          <cell r="N193">
            <v>1.5629161399072906</v>
          </cell>
        </row>
        <row r="194">
          <cell r="A194" t="str">
            <v>Aerospace</v>
          </cell>
          <cell r="B194">
            <v>17.53156342182891</v>
          </cell>
          <cell r="C194">
            <v>24.75044247787611</v>
          </cell>
          <cell r="D194">
            <v>1.0312684365781712</v>
          </cell>
          <cell r="F194" t="str">
            <v>- Est. 16-24X P/E</v>
          </cell>
          <cell r="G194" t="str">
            <v>BA, COL, HON, UTX</v>
          </cell>
          <cell r="H194">
            <v>17</v>
          </cell>
          <cell r="I194">
            <v>24</v>
          </cell>
          <cell r="J194">
            <v>644</v>
          </cell>
          <cell r="K194">
            <v>-24.042666666666666</v>
          </cell>
          <cell r="L194">
            <v>0.32330827067669171</v>
          </cell>
          <cell r="M194">
            <v>419.52000000000004</v>
          </cell>
          <cell r="N194">
            <v>1.0312684365781712</v>
          </cell>
        </row>
        <row r="195">
          <cell r="A195" t="str">
            <v>Other</v>
          </cell>
          <cell r="B195">
            <v>-0.30105351875263386</v>
          </cell>
          <cell r="C195">
            <v>-0.4515802781289508</v>
          </cell>
          <cell r="D195">
            <v>-7.5263379688158466E-2</v>
          </cell>
          <cell r="F195" t="str">
            <v>- Est. 4-6X P/E</v>
          </cell>
          <cell r="H195">
            <v>4</v>
          </cell>
          <cell r="I195">
            <v>6</v>
          </cell>
          <cell r="J195">
            <v>-47</v>
          </cell>
          <cell r="K195">
            <v>1.7546666666666668</v>
          </cell>
          <cell r="L195">
            <v>0.32330827067669171</v>
          </cell>
          <cell r="M195">
            <v>-30.617142857142863</v>
          </cell>
          <cell r="N195">
            <v>-7.5263379688158466E-2</v>
          </cell>
        </row>
        <row r="196">
          <cell r="A196" t="str">
            <v xml:space="preserve">  subtotal</v>
          </cell>
          <cell r="B196">
            <v>64.982722292456813</v>
          </cell>
          <cell r="C196">
            <v>88.528950695322393</v>
          </cell>
          <cell r="D196">
            <v>4.2035398230088497</v>
          </cell>
          <cell r="J196">
            <v>2625</v>
          </cell>
          <cell r="K196">
            <v>-98</v>
          </cell>
          <cell r="M196">
            <v>1710</v>
          </cell>
          <cell r="N196">
            <v>4.2035398230088497</v>
          </cell>
        </row>
        <row r="197">
          <cell r="A197" t="str">
            <v>Est. GD Value per Share</v>
          </cell>
          <cell r="B197">
            <v>64.982722292456813</v>
          </cell>
          <cell r="C197">
            <v>88.528950695322393</v>
          </cell>
        </row>
        <row r="198">
          <cell r="B198" t="str">
            <v>Average:</v>
          </cell>
          <cell r="C198">
            <v>76.755836493889603</v>
          </cell>
          <cell r="I198" t="str">
            <v>From Model</v>
          </cell>
          <cell r="J198">
            <v>2625</v>
          </cell>
          <cell r="K198">
            <v>-98</v>
          </cell>
          <cell r="M198">
            <v>1710.0000000000002</v>
          </cell>
          <cell r="N198">
            <v>4.2035398230088497</v>
          </cell>
        </row>
        <row r="199">
          <cell r="A199" t="str">
            <v>A-12 Liability</v>
          </cell>
          <cell r="B199">
            <v>-2.5565150377425603</v>
          </cell>
          <cell r="C199">
            <v>-2.5565150377425603</v>
          </cell>
          <cell r="D199">
            <v>-0.85217167924752002</v>
          </cell>
          <cell r="F199" t="str">
            <v>- Assumes $690MM aftertax charge spread 2006/07</v>
          </cell>
          <cell r="J199" t="str">
            <v>tied to calculation</v>
          </cell>
        </row>
        <row r="200">
          <cell r="A200" t="str">
            <v>Est GD w/ A-12</v>
          </cell>
          <cell r="B200">
            <v>62.426207254714257</v>
          </cell>
          <cell r="C200">
            <v>85.972435657579837</v>
          </cell>
          <cell r="D200">
            <v>3.3513681437613299</v>
          </cell>
          <cell r="J200" t="str">
            <v>Share Price</v>
          </cell>
          <cell r="K200">
            <v>69</v>
          </cell>
        </row>
        <row r="201">
          <cell r="B201" t="str">
            <v>Average:</v>
          </cell>
          <cell r="C201">
            <v>74.199321456147047</v>
          </cell>
          <cell r="J201" t="str">
            <v>No. of Shares</v>
          </cell>
          <cell r="K201">
            <v>406.8</v>
          </cell>
        </row>
        <row r="207">
          <cell r="D207" t="str">
            <v>Price</v>
          </cell>
          <cell r="E207">
            <v>97</v>
          </cell>
        </row>
        <row r="208">
          <cell r="D208" t="str">
            <v>No. of shares</v>
          </cell>
          <cell r="E208">
            <v>201</v>
          </cell>
        </row>
        <row r="210">
          <cell r="A210" t="str">
            <v>Possible GD Valuation Range</v>
          </cell>
        </row>
        <row r="212">
          <cell r="A212" t="str">
            <v>Est. Value 2003 Operations</v>
          </cell>
        </row>
        <row r="213">
          <cell r="D213" t="str">
            <v>Per Share</v>
          </cell>
          <cell r="E213" t="str">
            <v>Per Share</v>
          </cell>
          <cell r="F213" t="str">
            <v>Comments</v>
          </cell>
          <cell r="K213" t="str">
            <v>EV/EBITDA Multiple</v>
          </cell>
        </row>
        <row r="214">
          <cell r="B214" t="str">
            <v>Low</v>
          </cell>
          <cell r="C214" t="str">
            <v>High</v>
          </cell>
          <cell r="D214" t="str">
            <v>Low</v>
          </cell>
          <cell r="E214" t="str">
            <v>High</v>
          </cell>
          <cell r="H214" t="str">
            <v>EBIT</v>
          </cell>
          <cell r="I214" t="str">
            <v>Dep</v>
          </cell>
          <cell r="J214" t="str">
            <v>EBITDA</v>
          </cell>
          <cell r="K214" t="str">
            <v>Low</v>
          </cell>
          <cell r="L214" t="str">
            <v>High</v>
          </cell>
        </row>
        <row r="215">
          <cell r="A215" t="str">
            <v>Defense</v>
          </cell>
          <cell r="B215">
            <v>12096</v>
          </cell>
          <cell r="C215">
            <v>14784</v>
          </cell>
          <cell r="D215">
            <v>60.179104477611943</v>
          </cell>
          <cell r="E215">
            <v>73.552238805970148</v>
          </cell>
          <cell r="F215" t="str">
            <v>- Est. 9-11X EBITDA</v>
          </cell>
          <cell r="H215">
            <v>1224</v>
          </cell>
          <cell r="I215">
            <v>120</v>
          </cell>
          <cell r="J215">
            <v>1344</v>
          </cell>
          <cell r="K215">
            <v>9</v>
          </cell>
          <cell r="L215">
            <v>11</v>
          </cell>
        </row>
        <row r="216">
          <cell r="A216" t="str">
            <v>Gulfstream</v>
          </cell>
          <cell r="B216">
            <v>1840</v>
          </cell>
          <cell r="C216">
            <v>2576</v>
          </cell>
          <cell r="D216">
            <v>9.1542288557213922</v>
          </cell>
          <cell r="E216">
            <v>12.815920398009951</v>
          </cell>
          <cell r="F216" t="str">
            <v>- Est. 5 -7X EBITDA</v>
          </cell>
          <cell r="H216">
            <v>218</v>
          </cell>
          <cell r="I216">
            <v>150</v>
          </cell>
          <cell r="J216">
            <v>368</v>
          </cell>
          <cell r="K216">
            <v>5</v>
          </cell>
          <cell r="L216">
            <v>7</v>
          </cell>
        </row>
        <row r="217">
          <cell r="A217" t="str">
            <v xml:space="preserve">  subtotal</v>
          </cell>
          <cell r="B217">
            <v>13936</v>
          </cell>
          <cell r="C217">
            <v>17360</v>
          </cell>
          <cell r="D217">
            <v>69.333333333333343</v>
          </cell>
          <cell r="E217">
            <v>86.368159203980099</v>
          </cell>
          <cell r="H217">
            <v>1442</v>
          </cell>
          <cell r="I217">
            <v>270</v>
          </cell>
          <cell r="J217">
            <v>1712</v>
          </cell>
        </row>
        <row r="219">
          <cell r="A219" t="str">
            <v>Less 1Q03 Net Debt</v>
          </cell>
          <cell r="B219">
            <v>-2352</v>
          </cell>
          <cell r="C219">
            <v>-2352</v>
          </cell>
          <cell r="D219">
            <v>-11.701492537313433</v>
          </cell>
          <cell r="E219">
            <v>-11.701492537313433</v>
          </cell>
        </row>
        <row r="221">
          <cell r="A221" t="str">
            <v>Implied Equity Value</v>
          </cell>
          <cell r="B221">
            <v>11584</v>
          </cell>
          <cell r="C221">
            <v>15008</v>
          </cell>
        </row>
        <row r="223">
          <cell r="A223" t="str">
            <v>Est. GD Value per Share</v>
          </cell>
          <cell r="B223">
            <v>57.631840796019901</v>
          </cell>
          <cell r="C223">
            <v>74.666666666666671</v>
          </cell>
          <cell r="D223">
            <v>57.631840796019908</v>
          </cell>
          <cell r="E223">
            <v>74.666666666666671</v>
          </cell>
        </row>
        <row r="224">
          <cell r="C224" t="str">
            <v>Average</v>
          </cell>
          <cell r="D224">
            <v>66.149253731343293</v>
          </cell>
        </row>
        <row r="226">
          <cell r="A226" t="str">
            <v>GD Bottom Up Analysis</v>
          </cell>
        </row>
        <row r="227">
          <cell r="A227" t="str">
            <v>Defense only/ share</v>
          </cell>
          <cell r="D227">
            <v>60.179104477611943</v>
          </cell>
          <cell r="E227">
            <v>73.552238805970148</v>
          </cell>
        </row>
        <row r="228">
          <cell r="A228" t="str">
            <v>Net Debt/ share</v>
          </cell>
          <cell r="D228">
            <v>-11.701492537313433</v>
          </cell>
          <cell r="E228">
            <v>-11.701492537313433</v>
          </cell>
        </row>
        <row r="229">
          <cell r="A229" t="str">
            <v xml:space="preserve">  subtotal</v>
          </cell>
          <cell r="D229">
            <v>48.477611940298509</v>
          </cell>
          <cell r="E229">
            <v>61.850746268656714</v>
          </cell>
        </row>
        <row r="231">
          <cell r="A231" t="str">
            <v>GD stock price</v>
          </cell>
          <cell r="D231">
            <v>97</v>
          </cell>
          <cell r="E231">
            <v>97</v>
          </cell>
        </row>
        <row r="233">
          <cell r="A233" t="str">
            <v>Implied Gulfstream Value/ share</v>
          </cell>
          <cell r="D233">
            <v>48.522388059701491</v>
          </cell>
          <cell r="E233">
            <v>35.149253731343286</v>
          </cell>
        </row>
        <row r="235">
          <cell r="A235" t="str">
            <v>Est. Value 2004 Operations on EV/EBITDA</v>
          </cell>
        </row>
        <row r="236">
          <cell r="D236" t="str">
            <v>Per Share</v>
          </cell>
          <cell r="E236" t="str">
            <v>Per Share</v>
          </cell>
          <cell r="F236" t="str">
            <v>Comments</v>
          </cell>
          <cell r="G236" t="str">
            <v>Comps</v>
          </cell>
          <cell r="K236" t="str">
            <v>EV/EBITDA Multiple</v>
          </cell>
        </row>
        <row r="237">
          <cell r="B237" t="str">
            <v>Low</v>
          </cell>
          <cell r="C237" t="str">
            <v>High</v>
          </cell>
          <cell r="D237" t="str">
            <v>Low</v>
          </cell>
          <cell r="E237" t="str">
            <v>High</v>
          </cell>
          <cell r="H237" t="str">
            <v>EBIT</v>
          </cell>
          <cell r="I237" t="str">
            <v>Dep</v>
          </cell>
          <cell r="J237" t="str">
            <v>EBITDA</v>
          </cell>
          <cell r="K237" t="str">
            <v>Low</v>
          </cell>
          <cell r="L237" t="str">
            <v>High</v>
          </cell>
        </row>
        <row r="238">
          <cell r="A238" t="str">
            <v>Marine</v>
          </cell>
          <cell r="B238">
            <v>2490</v>
          </cell>
          <cell r="C238">
            <v>2988</v>
          </cell>
          <cell r="D238">
            <v>12.388059701492537</v>
          </cell>
          <cell r="E238">
            <v>14.865671641791044</v>
          </cell>
          <cell r="F238" t="str">
            <v>- Est. 7.5-9X EBITDA</v>
          </cell>
          <cell r="G238" t="str">
            <v>LLL, LMT, NOC, RTN</v>
          </cell>
          <cell r="H238">
            <v>292</v>
          </cell>
          <cell r="I238">
            <v>40</v>
          </cell>
          <cell r="J238">
            <v>332</v>
          </cell>
          <cell r="K238">
            <v>7.5</v>
          </cell>
          <cell r="L238">
            <v>9</v>
          </cell>
        </row>
        <row r="239">
          <cell r="A239" t="str">
            <v>Combat Sys</v>
          </cell>
          <cell r="B239">
            <v>4215</v>
          </cell>
          <cell r="C239">
            <v>5058</v>
          </cell>
          <cell r="D239">
            <v>20.970149253731343</v>
          </cell>
          <cell r="E239">
            <v>25.164179104477611</v>
          </cell>
          <cell r="F239" t="str">
            <v>- Est. 7.5-9X EBITDA</v>
          </cell>
          <cell r="G239" t="str">
            <v>LLL, LMT, NOC, RTN</v>
          </cell>
          <cell r="H239">
            <v>522</v>
          </cell>
          <cell r="I239">
            <v>40</v>
          </cell>
          <cell r="J239">
            <v>562</v>
          </cell>
          <cell r="K239">
            <v>7.5</v>
          </cell>
          <cell r="L239">
            <v>9</v>
          </cell>
        </row>
        <row r="240">
          <cell r="A240" t="str">
            <v>IS&amp;T</v>
          </cell>
          <cell r="B240">
            <v>8717</v>
          </cell>
          <cell r="C240">
            <v>10612</v>
          </cell>
          <cell r="D240">
            <v>43.368159203980099</v>
          </cell>
          <cell r="E240">
            <v>52.796019900497512</v>
          </cell>
          <cell r="F240" t="str">
            <v>- Est. 11.5-14X EBITDA</v>
          </cell>
          <cell r="G240" t="str">
            <v>CACI, CSC, Anteon, et al</v>
          </cell>
          <cell r="H240">
            <v>718</v>
          </cell>
          <cell r="I240">
            <v>40</v>
          </cell>
          <cell r="J240">
            <v>758</v>
          </cell>
          <cell r="K240">
            <v>11.5</v>
          </cell>
          <cell r="L240">
            <v>14</v>
          </cell>
        </row>
        <row r="241">
          <cell r="A241" t="str">
            <v>Gulfstream</v>
          </cell>
          <cell r="B241">
            <v>3591</v>
          </cell>
          <cell r="C241">
            <v>4617</v>
          </cell>
          <cell r="D241">
            <v>17.865671641791046</v>
          </cell>
          <cell r="E241">
            <v>22.970149253731343</v>
          </cell>
          <cell r="F241" t="str">
            <v>- Est. 7-9X EBITDA</v>
          </cell>
          <cell r="G241" t="str">
            <v>BA, COL, ERJ, UTX</v>
          </cell>
          <cell r="H241">
            <v>393</v>
          </cell>
          <cell r="I241">
            <v>120</v>
          </cell>
          <cell r="J241">
            <v>513</v>
          </cell>
          <cell r="K241">
            <v>7</v>
          </cell>
          <cell r="L241">
            <v>9</v>
          </cell>
        </row>
        <row r="242">
          <cell r="A242" t="str">
            <v>Other</v>
          </cell>
          <cell r="B242">
            <v>324</v>
          </cell>
          <cell r="C242">
            <v>468</v>
          </cell>
          <cell r="D242">
            <v>1.6119402985074627</v>
          </cell>
          <cell r="E242">
            <v>2.3283582089552239</v>
          </cell>
          <cell r="F242" t="str">
            <v>- Est. 4.5-6.5X EBITDA</v>
          </cell>
          <cell r="H242">
            <v>6</v>
          </cell>
          <cell r="I242">
            <v>66</v>
          </cell>
          <cell r="J242">
            <v>72</v>
          </cell>
          <cell r="K242">
            <v>4.5</v>
          </cell>
          <cell r="L242">
            <v>6.5</v>
          </cell>
        </row>
        <row r="243">
          <cell r="A243" t="str">
            <v xml:space="preserve">  subtotal</v>
          </cell>
          <cell r="B243">
            <v>19337</v>
          </cell>
          <cell r="C243">
            <v>23743</v>
          </cell>
          <cell r="D243">
            <v>96.203980099502488</v>
          </cell>
          <cell r="E243">
            <v>118.12437810945272</v>
          </cell>
          <cell r="H243">
            <v>1931</v>
          </cell>
          <cell r="I243">
            <v>306</v>
          </cell>
          <cell r="J243">
            <v>2237</v>
          </cell>
        </row>
        <row r="245">
          <cell r="A245" t="str">
            <v>Less 1Q03 Net Debt</v>
          </cell>
          <cell r="B245">
            <v>-2352</v>
          </cell>
          <cell r="C245">
            <v>-2352</v>
          </cell>
          <cell r="D245">
            <v>-11.701492537313433</v>
          </cell>
          <cell r="E245">
            <v>-11.701492537313433</v>
          </cell>
        </row>
        <row r="247">
          <cell r="A247" t="str">
            <v>Implied Equity Value</v>
          </cell>
          <cell r="B247">
            <v>16985</v>
          </cell>
          <cell r="C247">
            <v>21391</v>
          </cell>
        </row>
        <row r="249">
          <cell r="A249" t="str">
            <v>Est. GD Value per Share</v>
          </cell>
          <cell r="B249">
            <v>84.50248756218906</v>
          </cell>
          <cell r="C249">
            <v>106.42288557213931</v>
          </cell>
          <cell r="D249">
            <v>84.50248756218906</v>
          </cell>
          <cell r="E249">
            <v>106.42288557213929</v>
          </cell>
        </row>
        <row r="250">
          <cell r="C250" t="str">
            <v>Average</v>
          </cell>
          <cell r="D250">
            <v>95.462686567164184</v>
          </cell>
        </row>
        <row r="252">
          <cell r="A252" t="str">
            <v>GD Bottom Up Analysis</v>
          </cell>
        </row>
        <row r="253">
          <cell r="A253" t="str">
            <v>Defense,Other only/ share</v>
          </cell>
          <cell r="D253">
            <v>78.338308457711449</v>
          </cell>
          <cell r="E253">
            <v>95.154228855721385</v>
          </cell>
        </row>
        <row r="254">
          <cell r="A254" t="str">
            <v>Net Debt/ share</v>
          </cell>
          <cell r="D254">
            <v>-11.701492537313433</v>
          </cell>
          <cell r="E254">
            <v>-11.701492537313433</v>
          </cell>
        </row>
        <row r="255">
          <cell r="A255" t="str">
            <v xml:space="preserve">  subtotal</v>
          </cell>
          <cell r="D255">
            <v>66.636815920398021</v>
          </cell>
          <cell r="E255">
            <v>83.452736318407958</v>
          </cell>
        </row>
        <row r="257">
          <cell r="A257" t="str">
            <v>GD stock price</v>
          </cell>
          <cell r="D257">
            <v>97</v>
          </cell>
          <cell r="E257">
            <v>97</v>
          </cell>
        </row>
        <row r="259">
          <cell r="A259" t="str">
            <v>Implied Gulfstream Value/ share</v>
          </cell>
          <cell r="D259">
            <v>30.363184079601979</v>
          </cell>
          <cell r="E259">
            <v>13.547263681592042</v>
          </cell>
        </row>
        <row r="264">
          <cell r="A264" t="str">
            <v>Est. Value 2004 Operations on P/E</v>
          </cell>
        </row>
        <row r="265">
          <cell r="B265" t="str">
            <v>Est. Value/Share</v>
          </cell>
          <cell r="D265" t="str">
            <v>2004 Earnings</v>
          </cell>
          <cell r="G265" t="str">
            <v>P/E Multiple</v>
          </cell>
        </row>
        <row r="266">
          <cell r="B266" t="str">
            <v>Low</v>
          </cell>
          <cell r="C266" t="str">
            <v>High</v>
          </cell>
          <cell r="D266" t="str">
            <v>Per Share</v>
          </cell>
          <cell r="E266" t="str">
            <v>Comments</v>
          </cell>
          <cell r="F266" t="str">
            <v>Comps</v>
          </cell>
          <cell r="G266" t="str">
            <v>Low</v>
          </cell>
          <cell r="H266" t="str">
            <v>High</v>
          </cell>
          <cell r="I266" t="str">
            <v>EBIT</v>
          </cell>
          <cell r="J266" t="str">
            <v xml:space="preserve">Interest Allocation </v>
          </cell>
          <cell r="K266" t="str">
            <v>Tax Rate</v>
          </cell>
          <cell r="L266" t="str">
            <v>Econ Net Income</v>
          </cell>
          <cell r="M266" t="str">
            <v>Per share</v>
          </cell>
        </row>
        <row r="267">
          <cell r="A267" t="str">
            <v>Marine</v>
          </cell>
          <cell r="B267">
            <v>5.3798981570131303</v>
          </cell>
          <cell r="C267">
            <v>6.724872696266412</v>
          </cell>
          <cell r="D267">
            <v>0.44832484641776083</v>
          </cell>
          <cell r="E267" t="str">
            <v>- Est. 12-15X P/E</v>
          </cell>
          <cell r="F267" t="str">
            <v>Discount to Def Peers</v>
          </cell>
          <cell r="G267">
            <v>12</v>
          </cell>
          <cell r="H267">
            <v>15</v>
          </cell>
          <cell r="I267">
            <v>292</v>
          </cell>
          <cell r="J267">
            <v>-22.380113930605905</v>
          </cell>
          <cell r="K267">
            <v>0.33</v>
          </cell>
          <cell r="L267">
            <v>180.64532366649405</v>
          </cell>
          <cell r="M267">
            <v>0.44832484641776083</v>
          </cell>
        </row>
        <row r="268">
          <cell r="A268" t="str">
            <v>Combat Sys</v>
          </cell>
          <cell r="B268">
            <v>11.220404032948615</v>
          </cell>
          <cell r="C268">
            <v>13.624776325723317</v>
          </cell>
          <cell r="D268">
            <v>0.80145743092490107</v>
          </cell>
          <cell r="E268" t="str">
            <v>- Est. 14-17X P/E</v>
          </cell>
          <cell r="F268" t="str">
            <v>LLL, LMT, NOC, RTN</v>
          </cell>
          <cell r="G268">
            <v>14</v>
          </cell>
          <cell r="H268">
            <v>17</v>
          </cell>
          <cell r="I268">
            <v>522</v>
          </cell>
          <cell r="J268">
            <v>-40.00828586224754</v>
          </cell>
          <cell r="K268">
            <v>0.33</v>
          </cell>
          <cell r="L268">
            <v>322.93444847229409</v>
          </cell>
          <cell r="M268">
            <v>0.80145743092490107</v>
          </cell>
        </row>
        <row r="269">
          <cell r="A269" t="str">
            <v>IS&amp;T</v>
          </cell>
          <cell r="B269">
            <v>19.84298053117514</v>
          </cell>
          <cell r="C269">
            <v>27.559695182187692</v>
          </cell>
          <cell r="D269">
            <v>1.1023878072875077</v>
          </cell>
          <cell r="E269" t="str">
            <v>- Est. 18-25X P/E</v>
          </cell>
          <cell r="F269" t="str">
            <v>CACI, CSC, Anteon, et al</v>
          </cell>
          <cell r="G269">
            <v>18</v>
          </cell>
          <cell r="H269">
            <v>25</v>
          </cell>
          <cell r="I269">
            <v>718</v>
          </cell>
          <cell r="J269">
            <v>-55.030554117037802</v>
          </cell>
          <cell r="K269">
            <v>0.33</v>
          </cell>
          <cell r="L269">
            <v>444.18952874158464</v>
          </cell>
          <cell r="M269">
            <v>1.1023878072875077</v>
          </cell>
        </row>
        <row r="270">
          <cell r="A270" t="str">
            <v>Gulfstream</v>
          </cell>
          <cell r="B270">
            <v>10.25773390040089</v>
          </cell>
          <cell r="C270">
            <v>13.274714459342329</v>
          </cell>
          <cell r="D270">
            <v>0.60339611178828767</v>
          </cell>
          <cell r="E270" t="str">
            <v>- Est. 17-22X P/E</v>
          </cell>
          <cell r="F270" t="str">
            <v>BA, COL, HON, UTX</v>
          </cell>
          <cell r="G270">
            <v>17</v>
          </cell>
          <cell r="H270">
            <v>22</v>
          </cell>
          <cell r="I270">
            <v>393</v>
          </cell>
          <cell r="J270">
            <v>-30.121180735370277</v>
          </cell>
          <cell r="K270">
            <v>0.33</v>
          </cell>
          <cell r="L270">
            <v>243.1288089073019</v>
          </cell>
          <cell r="M270">
            <v>0.60339611178828767</v>
          </cell>
        </row>
        <row r="271">
          <cell r="A271" t="str">
            <v>Other</v>
          </cell>
          <cell r="B271">
            <v>5.527292627068283E-2</v>
          </cell>
          <cell r="C271">
            <v>7.3697235027577107E-2</v>
          </cell>
          <cell r="D271">
            <v>9.2121543784471384E-3</v>
          </cell>
          <cell r="E271" t="str">
            <v>- Est. 6-8X P/E</v>
          </cell>
          <cell r="G271">
            <v>6</v>
          </cell>
          <cell r="H271">
            <v>8</v>
          </cell>
          <cell r="I271">
            <v>6</v>
          </cell>
          <cell r="J271">
            <v>-0.45986535473847745</v>
          </cell>
          <cell r="K271">
            <v>0.33</v>
          </cell>
          <cell r="L271">
            <v>3.7118902123252195</v>
          </cell>
          <cell r="M271">
            <v>9.2121543784471384E-3</v>
          </cell>
        </row>
        <row r="272">
          <cell r="A272" t="str">
            <v xml:space="preserve">  subtotal</v>
          </cell>
          <cell r="B272">
            <v>46.756289547808457</v>
          </cell>
          <cell r="C272">
            <v>61.25775589854733</v>
          </cell>
          <cell r="D272">
            <v>2.9647783507969043</v>
          </cell>
          <cell r="I272">
            <v>1931</v>
          </cell>
          <cell r="J272">
            <v>-148</v>
          </cell>
          <cell r="L272">
            <v>1194.6099999999999</v>
          </cell>
          <cell r="M272">
            <v>2.9647783507969043</v>
          </cell>
        </row>
        <row r="273">
          <cell r="H273" t="str">
            <v>From Model</v>
          </cell>
          <cell r="I273">
            <v>1931</v>
          </cell>
          <cell r="J273">
            <v>-148</v>
          </cell>
          <cell r="L273">
            <v>1194</v>
          </cell>
          <cell r="M273">
            <v>2.9632644552209539</v>
          </cell>
        </row>
        <row r="274">
          <cell r="A274" t="str">
            <v>Est. GD Value per Share</v>
          </cell>
          <cell r="B274">
            <v>46.756289547808457</v>
          </cell>
          <cell r="C274">
            <v>61.25775589854733</v>
          </cell>
        </row>
        <row r="275">
          <cell r="B275" t="str">
            <v>Midpoint</v>
          </cell>
          <cell r="C275">
            <v>54.007022723177897</v>
          </cell>
          <cell r="I275" t="str">
            <v>tied to calculation</v>
          </cell>
        </row>
        <row r="276">
          <cell r="I276" t="str">
            <v>Price</v>
          </cell>
          <cell r="J276">
            <v>97</v>
          </cell>
        </row>
        <row r="277">
          <cell r="I277" t="str">
            <v>No. of shares</v>
          </cell>
          <cell r="J277">
            <v>402.93400000000003</v>
          </cell>
        </row>
      </sheetData>
      <sheetData sheetId="5">
        <row r="1">
          <cell r="G1" t="str">
            <v>last updated 4/07</v>
          </cell>
          <cell r="J1" t="str">
            <v>Gulfstream Team</v>
          </cell>
          <cell r="M1" t="str">
            <v>Prez</v>
          </cell>
          <cell r="N1" t="str">
            <v>Joe Lombardo</v>
          </cell>
          <cell r="AH1" t="str">
            <v>Sales</v>
          </cell>
          <cell r="AI1" t="str">
            <v>Op Pr</v>
          </cell>
          <cell r="AJ1" t="str">
            <v>% sales</v>
          </cell>
        </row>
        <row r="2">
          <cell r="A2" t="str">
            <v>Gulfstream</v>
          </cell>
          <cell r="M2" t="str">
            <v>Aviation Svs</v>
          </cell>
          <cell r="N2" t="str">
            <v>Larry Flynn</v>
          </cell>
          <cell r="AH2">
            <v>4828</v>
          </cell>
          <cell r="AI2">
            <v>810</v>
          </cell>
          <cell r="AJ2">
            <v>0.16777133388566695</v>
          </cell>
          <cell r="AK2" t="str">
            <v>reported</v>
          </cell>
        </row>
        <row r="3">
          <cell r="A3" t="str">
            <v>P&amp;L Model</v>
          </cell>
          <cell r="M3" t="str">
            <v>COO</v>
          </cell>
          <cell r="N3" t="str">
            <v>Dennis Stuligross</v>
          </cell>
          <cell r="AG3" t="str">
            <v>used</v>
          </cell>
          <cell r="AH3">
            <v>78</v>
          </cell>
          <cell r="AI3">
            <v>6</v>
          </cell>
        </row>
        <row r="4">
          <cell r="A4" t="str">
            <v>($USD in Millions, Except EPS)</v>
          </cell>
          <cell r="M4" t="str">
            <v>Progs/Enging</v>
          </cell>
          <cell r="N4" t="str">
            <v>Preston Henne</v>
          </cell>
          <cell r="AG4" t="str">
            <v>net sales</v>
          </cell>
          <cell r="AH4">
            <v>4750</v>
          </cell>
          <cell r="AI4">
            <v>804</v>
          </cell>
          <cell r="AJ4">
            <v>0.16926315789473684</v>
          </cell>
          <cell r="AK4" t="str">
            <v>manufacturing basis</v>
          </cell>
        </row>
        <row r="5">
          <cell r="AK5">
            <v>3341</v>
          </cell>
        </row>
        <row r="6">
          <cell r="B6">
            <v>2002</v>
          </cell>
          <cell r="F6">
            <v>2003</v>
          </cell>
          <cell r="J6">
            <v>2004</v>
          </cell>
          <cell r="N6">
            <v>2005</v>
          </cell>
          <cell r="R6" t="str">
            <v>2006A</v>
          </cell>
          <cell r="V6" t="str">
            <v>2007E</v>
          </cell>
          <cell r="Z6" t="str">
            <v>Gulfstream Standalone</v>
          </cell>
          <cell r="AE6" t="str">
            <v>Division of GD</v>
          </cell>
          <cell r="AG6" t="str">
            <v>downcycle</v>
          </cell>
          <cell r="AH6" t="str">
            <v>trough</v>
          </cell>
          <cell r="AI6" t="str">
            <v>upcycle</v>
          </cell>
          <cell r="BS6">
            <v>1998</v>
          </cell>
          <cell r="BW6">
            <v>1999</v>
          </cell>
          <cell r="CA6">
            <v>2000</v>
          </cell>
          <cell r="CE6">
            <v>2001</v>
          </cell>
        </row>
        <row r="7">
          <cell r="B7" t="str">
            <v xml:space="preserve">Q1 </v>
          </cell>
          <cell r="C7" t="str">
            <v xml:space="preserve">Q2 </v>
          </cell>
          <cell r="D7" t="str">
            <v xml:space="preserve">Q3 </v>
          </cell>
          <cell r="E7" t="str">
            <v xml:space="preserve">Q4 </v>
          </cell>
          <cell r="F7" t="str">
            <v xml:space="preserve">Q1 </v>
          </cell>
          <cell r="G7" t="str">
            <v xml:space="preserve">Q2 </v>
          </cell>
          <cell r="H7" t="str">
            <v xml:space="preserve">Q3 </v>
          </cell>
          <cell r="I7" t="str">
            <v xml:space="preserve">Q4 </v>
          </cell>
          <cell r="J7" t="str">
            <v xml:space="preserve">Q1 </v>
          </cell>
          <cell r="K7" t="str">
            <v xml:space="preserve">Q2 </v>
          </cell>
          <cell r="L7" t="str">
            <v xml:space="preserve">Q3 </v>
          </cell>
          <cell r="M7" t="str">
            <v xml:space="preserve">Q4 </v>
          </cell>
          <cell r="N7" t="str">
            <v xml:space="preserve">Q1 </v>
          </cell>
          <cell r="O7" t="str">
            <v xml:space="preserve">Q2 </v>
          </cell>
          <cell r="P7" t="str">
            <v xml:space="preserve">Q3 </v>
          </cell>
          <cell r="Q7" t="str">
            <v xml:space="preserve">Q4 </v>
          </cell>
          <cell r="R7" t="str">
            <v xml:space="preserve">Q1 </v>
          </cell>
          <cell r="S7" t="str">
            <v xml:space="preserve">Q2 </v>
          </cell>
          <cell r="T7" t="str">
            <v xml:space="preserve">Q3 </v>
          </cell>
          <cell r="U7" t="str">
            <v xml:space="preserve">Q4 </v>
          </cell>
          <cell r="V7" t="str">
            <v xml:space="preserve">Q1A </v>
          </cell>
          <cell r="W7" t="str">
            <v xml:space="preserve">Q2A </v>
          </cell>
          <cell r="X7" t="str">
            <v>Q3A</v>
          </cell>
          <cell r="Y7" t="str">
            <v xml:space="preserve">Q4E </v>
          </cell>
          <cell r="Z7">
            <v>1995</v>
          </cell>
          <cell r="AA7">
            <v>1996</v>
          </cell>
          <cell r="AB7">
            <v>1997</v>
          </cell>
          <cell r="AC7">
            <v>1998</v>
          </cell>
          <cell r="AD7">
            <v>1999</v>
          </cell>
          <cell r="AE7">
            <v>2000</v>
          </cell>
          <cell r="AF7">
            <v>2001</v>
          </cell>
          <cell r="AG7">
            <v>2002</v>
          </cell>
          <cell r="AH7">
            <v>2003</v>
          </cell>
          <cell r="AI7">
            <v>2004</v>
          </cell>
          <cell r="AJ7">
            <v>2005</v>
          </cell>
          <cell r="AK7">
            <v>2006</v>
          </cell>
          <cell r="AL7" t="str">
            <v>2007A</v>
          </cell>
          <cell r="AM7" t="str">
            <v>2008E</v>
          </cell>
          <cell r="AN7" t="str">
            <v>2009E</v>
          </cell>
          <cell r="AO7" t="str">
            <v>2010E</v>
          </cell>
          <cell r="AP7" t="str">
            <v>Comments</v>
          </cell>
          <cell r="BR7" t="str">
            <v>Q1</v>
          </cell>
          <cell r="BS7" t="str">
            <v>Q2</v>
          </cell>
          <cell r="BT7" t="str">
            <v>Q3</v>
          </cell>
          <cell r="BU7" t="str">
            <v>Q4</v>
          </cell>
          <cell r="BV7" t="str">
            <v>Q1</v>
          </cell>
          <cell r="BW7" t="str">
            <v>Q2</v>
          </cell>
          <cell r="BX7" t="str">
            <v>Q3</v>
          </cell>
          <cell r="BY7" t="str">
            <v>Q4</v>
          </cell>
          <cell r="BZ7" t="str">
            <v>Q1</v>
          </cell>
          <cell r="CA7" t="str">
            <v>Q2</v>
          </cell>
          <cell r="CB7" t="str">
            <v>Q3</v>
          </cell>
          <cell r="CC7" t="str">
            <v>Q4</v>
          </cell>
          <cell r="CD7" t="str">
            <v>Q1</v>
          </cell>
          <cell r="CE7" t="str">
            <v>Q2</v>
          </cell>
          <cell r="CF7" t="str">
            <v>Q3</v>
          </cell>
          <cell r="CG7" t="str">
            <v>Q4</v>
          </cell>
        </row>
        <row r="8">
          <cell r="A8" t="str">
            <v>Sales</v>
          </cell>
        </row>
        <row r="9">
          <cell r="A9" t="str">
            <v>New Aircraft - Gulfstream</v>
          </cell>
          <cell r="B9">
            <v>371</v>
          </cell>
          <cell r="C9">
            <v>574</v>
          </cell>
          <cell r="D9">
            <v>537</v>
          </cell>
          <cell r="E9">
            <v>571.75000000000091</v>
          </cell>
          <cell r="F9">
            <v>392</v>
          </cell>
          <cell r="G9">
            <v>349</v>
          </cell>
          <cell r="H9">
            <v>482</v>
          </cell>
          <cell r="I9">
            <v>390.09375000000273</v>
          </cell>
          <cell r="J9">
            <v>411</v>
          </cell>
          <cell r="K9">
            <v>400</v>
          </cell>
          <cell r="L9">
            <v>510</v>
          </cell>
          <cell r="M9">
            <v>527.64843749999977</v>
          </cell>
          <cell r="N9">
            <v>470</v>
          </cell>
          <cell r="O9">
            <v>541</v>
          </cell>
          <cell r="P9">
            <v>587</v>
          </cell>
          <cell r="Q9">
            <v>673.06962500000054</v>
          </cell>
          <cell r="R9">
            <v>623</v>
          </cell>
          <cell r="S9">
            <v>637</v>
          </cell>
          <cell r="T9">
            <v>736</v>
          </cell>
          <cell r="U9">
            <v>646.70677109375038</v>
          </cell>
          <cell r="Z9">
            <v>672.0139999999999</v>
          </cell>
          <cell r="AA9">
            <v>740.5</v>
          </cell>
          <cell r="AB9">
            <v>1492</v>
          </cell>
          <cell r="AC9">
            <v>1909</v>
          </cell>
          <cell r="AD9">
            <v>2251</v>
          </cell>
          <cell r="AE9">
            <v>2353</v>
          </cell>
          <cell r="AF9">
            <v>2495.0000000000036</v>
          </cell>
          <cell r="AG9">
            <v>2053.7500000000009</v>
          </cell>
          <cell r="AH9">
            <v>1613.0937500000027</v>
          </cell>
          <cell r="AI9">
            <v>1848.6484374999998</v>
          </cell>
          <cell r="AJ9">
            <v>2271.0696250000005</v>
          </cell>
          <cell r="AK9">
            <v>2642.7067710937504</v>
          </cell>
          <cell r="AL9">
            <v>3167.5049744124999</v>
          </cell>
          <cell r="AM9">
            <v>3434.4781963762503</v>
          </cell>
          <cell r="AN9">
            <v>3610.5249072750626</v>
          </cell>
          <cell r="AO9">
            <v>3762.9941377512159</v>
          </cell>
          <cell r="AP9" t="str">
            <v>- Gulfstream only</v>
          </cell>
          <cell r="BR9">
            <v>386.8</v>
          </cell>
          <cell r="BV9">
            <v>489.4</v>
          </cell>
          <cell r="BW9">
            <v>556</v>
          </cell>
          <cell r="BX9">
            <v>560</v>
          </cell>
          <cell r="BY9">
            <v>645.59999999999991</v>
          </cell>
          <cell r="BZ9">
            <v>565</v>
          </cell>
          <cell r="CA9">
            <v>600</v>
          </cell>
          <cell r="CB9">
            <v>567</v>
          </cell>
          <cell r="CC9">
            <v>621</v>
          </cell>
          <cell r="CD9">
            <v>592</v>
          </cell>
          <cell r="CE9">
            <v>625</v>
          </cell>
          <cell r="CF9">
            <v>688</v>
          </cell>
          <cell r="CG9">
            <v>789.00000000000364</v>
          </cell>
        </row>
        <row r="10">
          <cell r="A10" t="str">
            <v>Used Aircraft - "</v>
          </cell>
          <cell r="B10">
            <v>75</v>
          </cell>
          <cell r="C10">
            <v>70</v>
          </cell>
          <cell r="D10">
            <v>60</v>
          </cell>
          <cell r="E10">
            <v>230</v>
          </cell>
          <cell r="F10">
            <v>45</v>
          </cell>
          <cell r="G10">
            <v>149</v>
          </cell>
          <cell r="H10">
            <v>135</v>
          </cell>
          <cell r="I10">
            <v>130</v>
          </cell>
          <cell r="J10">
            <v>25</v>
          </cell>
          <cell r="K10">
            <v>80</v>
          </cell>
          <cell r="L10">
            <v>100</v>
          </cell>
          <cell r="M10">
            <v>73</v>
          </cell>
          <cell r="N10">
            <v>48</v>
          </cell>
          <cell r="O10">
            <v>28</v>
          </cell>
          <cell r="P10">
            <v>56</v>
          </cell>
          <cell r="Q10">
            <v>87</v>
          </cell>
          <cell r="R10">
            <v>33</v>
          </cell>
          <cell r="S10">
            <v>117</v>
          </cell>
          <cell r="T10">
            <v>54</v>
          </cell>
          <cell r="U10">
            <v>13</v>
          </cell>
          <cell r="V10">
            <v>21</v>
          </cell>
          <cell r="W10">
            <v>22</v>
          </cell>
          <cell r="X10">
            <v>35</v>
          </cell>
          <cell r="Z10">
            <v>45</v>
          </cell>
          <cell r="AA10">
            <v>153.30000000000001</v>
          </cell>
          <cell r="AB10">
            <v>210.4</v>
          </cell>
          <cell r="AC10">
            <v>237.2</v>
          </cell>
          <cell r="AD10">
            <v>318</v>
          </cell>
          <cell r="AE10">
            <v>255</v>
          </cell>
          <cell r="AF10">
            <v>177</v>
          </cell>
          <cell r="AG10">
            <v>435</v>
          </cell>
          <cell r="AH10">
            <v>459</v>
          </cell>
          <cell r="AI10">
            <v>278</v>
          </cell>
          <cell r="AJ10">
            <v>219</v>
          </cell>
          <cell r="AK10">
            <v>217</v>
          </cell>
          <cell r="AL10">
            <v>250</v>
          </cell>
          <cell r="AM10">
            <v>250</v>
          </cell>
          <cell r="AN10">
            <v>250</v>
          </cell>
          <cell r="AO10">
            <v>250</v>
          </cell>
          <cell r="AP10" t="str">
            <v>- decreased emphasis (HW 4-04)</v>
          </cell>
          <cell r="BR10">
            <v>66.7</v>
          </cell>
          <cell r="BV10">
            <v>52.6</v>
          </cell>
          <cell r="BW10">
            <v>70.799999999999955</v>
          </cell>
          <cell r="BX10">
            <v>65</v>
          </cell>
          <cell r="BY10">
            <v>129.60000000000005</v>
          </cell>
          <cell r="BZ10">
            <v>60</v>
          </cell>
          <cell r="CA10">
            <v>114</v>
          </cell>
          <cell r="CB10">
            <v>60</v>
          </cell>
          <cell r="CC10">
            <v>21</v>
          </cell>
          <cell r="CD10">
            <v>20</v>
          </cell>
          <cell r="CE10">
            <v>20</v>
          </cell>
          <cell r="CF10">
            <v>70</v>
          </cell>
          <cell r="CG10">
            <v>67</v>
          </cell>
        </row>
        <row r="11">
          <cell r="A11" t="str">
            <v>Spares/support - "</v>
          </cell>
          <cell r="B11">
            <v>100</v>
          </cell>
          <cell r="C11">
            <v>120</v>
          </cell>
          <cell r="D11">
            <v>95</v>
          </cell>
          <cell r="E11">
            <v>48</v>
          </cell>
          <cell r="F11">
            <v>95</v>
          </cell>
          <cell r="G11">
            <v>98</v>
          </cell>
          <cell r="H11">
            <v>105</v>
          </cell>
          <cell r="I11">
            <v>110</v>
          </cell>
          <cell r="J11">
            <v>105</v>
          </cell>
          <cell r="K11">
            <v>100</v>
          </cell>
          <cell r="L11">
            <v>105</v>
          </cell>
          <cell r="M11">
            <v>135</v>
          </cell>
          <cell r="N11">
            <v>115</v>
          </cell>
          <cell r="O11">
            <v>125</v>
          </cell>
          <cell r="P11">
            <v>123</v>
          </cell>
          <cell r="Q11">
            <v>121</v>
          </cell>
          <cell r="R11">
            <v>125</v>
          </cell>
          <cell r="S11">
            <v>145</v>
          </cell>
          <cell r="T11">
            <v>139</v>
          </cell>
          <cell r="U11">
            <v>149</v>
          </cell>
          <cell r="V11">
            <v>150</v>
          </cell>
          <cell r="W11">
            <v>172</v>
          </cell>
          <cell r="X11">
            <v>175</v>
          </cell>
          <cell r="Z11">
            <v>324.5</v>
          </cell>
          <cell r="AA11">
            <v>169.9</v>
          </cell>
          <cell r="AB11">
            <v>201.1</v>
          </cell>
          <cell r="AC11">
            <v>281.8</v>
          </cell>
          <cell r="AD11">
            <v>340</v>
          </cell>
          <cell r="AE11">
            <v>421</v>
          </cell>
          <cell r="AF11">
            <v>394</v>
          </cell>
          <cell r="AG11">
            <v>363</v>
          </cell>
          <cell r="AH11">
            <v>408</v>
          </cell>
          <cell r="AI11">
            <v>445</v>
          </cell>
          <cell r="AJ11">
            <v>484</v>
          </cell>
          <cell r="AK11">
            <v>558</v>
          </cell>
          <cell r="AL11">
            <v>550</v>
          </cell>
          <cell r="AM11">
            <v>600</v>
          </cell>
          <cell r="AN11">
            <v>600</v>
          </cell>
          <cell r="AO11">
            <v>600</v>
          </cell>
          <cell r="AP11" t="str">
            <v>- Rises w/ fleet</v>
          </cell>
          <cell r="BR11">
            <v>49.9</v>
          </cell>
          <cell r="BV11">
            <v>83.1</v>
          </cell>
          <cell r="BW11">
            <v>81</v>
          </cell>
          <cell r="BX11">
            <v>85</v>
          </cell>
          <cell r="BY11">
            <v>90.9</v>
          </cell>
          <cell r="BZ11">
            <v>105</v>
          </cell>
          <cell r="CA11">
            <v>107</v>
          </cell>
          <cell r="CB11">
            <v>106</v>
          </cell>
          <cell r="CC11">
            <v>103</v>
          </cell>
          <cell r="CD11">
            <v>100</v>
          </cell>
          <cell r="CE11">
            <v>120</v>
          </cell>
          <cell r="CF11">
            <v>80</v>
          </cell>
          <cell r="CG11">
            <v>94</v>
          </cell>
        </row>
        <row r="12">
          <cell r="A12" t="str">
            <v>Galaxy</v>
          </cell>
          <cell r="B12">
            <v>217</v>
          </cell>
          <cell r="C12">
            <v>116</v>
          </cell>
          <cell r="D12">
            <v>47</v>
          </cell>
          <cell r="E12">
            <v>57.25</v>
          </cell>
          <cell r="F12">
            <v>62</v>
          </cell>
          <cell r="G12">
            <v>119</v>
          </cell>
          <cell r="H12">
            <v>86</v>
          </cell>
          <cell r="I12">
            <v>198.90625</v>
          </cell>
          <cell r="J12">
            <v>65</v>
          </cell>
          <cell r="K12">
            <v>125</v>
          </cell>
          <cell r="L12">
            <v>105</v>
          </cell>
          <cell r="M12">
            <v>145.3515625</v>
          </cell>
          <cell r="N12">
            <v>120</v>
          </cell>
          <cell r="O12">
            <v>134</v>
          </cell>
          <cell r="P12">
            <v>140</v>
          </cell>
          <cell r="Q12">
            <v>64.930375000000026</v>
          </cell>
          <cell r="R12">
            <v>148</v>
          </cell>
          <cell r="S12">
            <v>168</v>
          </cell>
          <cell r="T12">
            <v>158</v>
          </cell>
          <cell r="U12">
            <v>224.29322890625008</v>
          </cell>
          <cell r="AF12">
            <v>199</v>
          </cell>
          <cell r="AG12">
            <v>437.25</v>
          </cell>
          <cell r="AH12">
            <v>465.90625</v>
          </cell>
          <cell r="AI12">
            <v>440.3515625</v>
          </cell>
          <cell r="AJ12">
            <v>458.93037500000003</v>
          </cell>
          <cell r="AK12">
            <v>698.29322890625008</v>
          </cell>
          <cell r="AL12">
            <v>1009.9286076562499</v>
          </cell>
          <cell r="AM12">
            <v>1125.8297401523439</v>
          </cell>
          <cell r="AN12">
            <v>1257.318123159961</v>
          </cell>
          <cell r="AO12">
            <v>1092.5593521179592</v>
          </cell>
          <cell r="AP12" t="str">
            <v>- Galaxy jets</v>
          </cell>
        </row>
        <row r="13">
          <cell r="A13" t="str">
            <v>Total</v>
          </cell>
          <cell r="B13">
            <v>763</v>
          </cell>
          <cell r="C13">
            <v>880</v>
          </cell>
          <cell r="D13">
            <v>739</v>
          </cell>
          <cell r="E13">
            <v>907.00000000000091</v>
          </cell>
          <cell r="F13">
            <v>594</v>
          </cell>
          <cell r="G13">
            <v>715</v>
          </cell>
          <cell r="H13">
            <v>808</v>
          </cell>
          <cell r="I13">
            <v>829.00000000000273</v>
          </cell>
          <cell r="J13">
            <v>606</v>
          </cell>
          <cell r="K13">
            <v>705</v>
          </cell>
          <cell r="L13">
            <v>820</v>
          </cell>
          <cell r="M13">
            <v>880.99999999999977</v>
          </cell>
          <cell r="N13">
            <v>753</v>
          </cell>
          <cell r="O13">
            <v>828</v>
          </cell>
          <cell r="P13">
            <v>906</v>
          </cell>
          <cell r="Q13">
            <v>946.00000000000057</v>
          </cell>
          <cell r="R13">
            <v>929</v>
          </cell>
          <cell r="S13">
            <v>1067</v>
          </cell>
          <cell r="T13">
            <v>1087</v>
          </cell>
          <cell r="U13">
            <v>1033.0000000000005</v>
          </cell>
          <cell r="V13">
            <v>171</v>
          </cell>
          <cell r="W13">
            <v>194</v>
          </cell>
          <cell r="X13">
            <v>210</v>
          </cell>
          <cell r="Y13">
            <v>0</v>
          </cell>
          <cell r="Z13">
            <v>1041.5139999999999</v>
          </cell>
          <cell r="AA13">
            <v>1063.7</v>
          </cell>
          <cell r="AB13">
            <v>1903.5</v>
          </cell>
          <cell r="AC13">
            <v>2428</v>
          </cell>
          <cell r="AD13">
            <v>2909</v>
          </cell>
          <cell r="AE13">
            <v>3029</v>
          </cell>
          <cell r="AF13">
            <v>3265.0000000000036</v>
          </cell>
          <cell r="AG13">
            <v>3289.0000000000009</v>
          </cell>
          <cell r="AH13">
            <v>2946.0000000000027</v>
          </cell>
          <cell r="AI13">
            <v>3012</v>
          </cell>
          <cell r="AJ13">
            <v>3433.0000000000005</v>
          </cell>
          <cell r="AK13">
            <v>4116</v>
          </cell>
          <cell r="AL13">
            <v>4977.4335820687502</v>
          </cell>
          <cell r="AM13">
            <v>5410.3079365285948</v>
          </cell>
          <cell r="AN13">
            <v>5717.843030435024</v>
          </cell>
          <cell r="AO13">
            <v>5705.5534898691749</v>
          </cell>
          <cell r="BR13">
            <v>503.4</v>
          </cell>
          <cell r="BS13">
            <v>557</v>
          </cell>
          <cell r="BT13">
            <v>626.20000000000005</v>
          </cell>
          <cell r="BU13">
            <v>741.39999999999986</v>
          </cell>
          <cell r="BV13">
            <v>625.1</v>
          </cell>
          <cell r="BW13">
            <v>707.8</v>
          </cell>
          <cell r="BX13">
            <v>710</v>
          </cell>
          <cell r="BY13">
            <v>866.09999999999991</v>
          </cell>
          <cell r="BZ13">
            <v>730</v>
          </cell>
          <cell r="CA13">
            <v>821</v>
          </cell>
          <cell r="CB13">
            <v>733</v>
          </cell>
          <cell r="CC13">
            <v>745</v>
          </cell>
          <cell r="CD13">
            <v>712</v>
          </cell>
          <cell r="CE13">
            <v>765</v>
          </cell>
          <cell r="CF13">
            <v>838</v>
          </cell>
          <cell r="CG13">
            <v>950.00000000000364</v>
          </cell>
        </row>
        <row r="14">
          <cell r="A14" t="str">
            <v>% Change</v>
          </cell>
          <cell r="B14">
            <v>7.1629213483145993E-2</v>
          </cell>
          <cell r="C14">
            <v>0.15032679738562083</v>
          </cell>
          <cell r="D14">
            <v>-0.11813842482100234</v>
          </cell>
          <cell r="E14">
            <v>-4.5263157894739559E-2</v>
          </cell>
          <cell r="F14">
            <v>-0.22149410222804722</v>
          </cell>
          <cell r="G14">
            <v>-0.1875</v>
          </cell>
          <cell r="H14">
            <v>9.3369418132611681E-2</v>
          </cell>
          <cell r="I14">
            <v>-8.5997794928333038E-2</v>
          </cell>
          <cell r="J14">
            <v>2.020202020202011E-2</v>
          </cell>
          <cell r="K14">
            <v>-1.3986013986013957E-2</v>
          </cell>
          <cell r="L14">
            <v>1.4851485148514865E-2</v>
          </cell>
          <cell r="M14">
            <v>6.2726176115798449E-2</v>
          </cell>
          <cell r="N14">
            <v>0.24257425742574257</v>
          </cell>
          <cell r="O14">
            <v>0.1744680851063829</v>
          </cell>
          <cell r="P14">
            <v>0.1048780487804879</v>
          </cell>
          <cell r="Q14">
            <v>7.3779795686720551E-2</v>
          </cell>
          <cell r="R14">
            <v>0.23373173970783534</v>
          </cell>
          <cell r="S14">
            <v>0.28864734299516903</v>
          </cell>
          <cell r="T14">
            <v>0.19977924944812364</v>
          </cell>
          <cell r="U14">
            <v>9.1966173361522019E-2</v>
          </cell>
          <cell r="V14">
            <v>-0.81593110871905272</v>
          </cell>
          <cell r="W14">
            <v>-0.81818181818181812</v>
          </cell>
          <cell r="X14">
            <v>-0.80680772769089237</v>
          </cell>
          <cell r="Y14">
            <v>-1</v>
          </cell>
          <cell r="AA14">
            <v>2.1301681974510434E-2</v>
          </cell>
          <cell r="AB14">
            <v>0.78950832001504168</v>
          </cell>
          <cell r="AC14">
            <v>0.27554504859469398</v>
          </cell>
          <cell r="AD14">
            <v>0.19810543657331148</v>
          </cell>
          <cell r="AE14">
            <v>0.24752883031301476</v>
          </cell>
          <cell r="AF14">
            <v>7.7913502806207902E-2</v>
          </cell>
          <cell r="AG14">
            <v>7.3506891271049035E-3</v>
          </cell>
          <cell r="AH14">
            <v>-0.10428701733049506</v>
          </cell>
          <cell r="AI14">
            <v>2.2403258655803615E-2</v>
          </cell>
          <cell r="AJ14">
            <v>0.1397742363877823</v>
          </cell>
          <cell r="AK14">
            <v>0.19895135450043688</v>
          </cell>
          <cell r="AL14">
            <v>0.20928901410805389</v>
          </cell>
          <cell r="AM14">
            <v>8.6967379337672845E-2</v>
          </cell>
          <cell r="AN14">
            <v>5.684243808565026E-2</v>
          </cell>
          <cell r="AO14">
            <v>-2.1493315749373521E-3</v>
          </cell>
          <cell r="BU14">
            <v>0.27554504859469398</v>
          </cell>
          <cell r="BV14">
            <v>0.24175605880015905</v>
          </cell>
          <cell r="BW14">
            <v>0.27073608617594247</v>
          </cell>
          <cell r="BX14">
            <v>0.13382305972532738</v>
          </cell>
          <cell r="BY14">
            <v>0.16819530617750211</v>
          </cell>
          <cell r="BZ14">
            <v>0.1678131498960167</v>
          </cell>
          <cell r="CA14">
            <v>0.15993218423283428</v>
          </cell>
          <cell r="CB14">
            <v>3.2394366197183055E-2</v>
          </cell>
          <cell r="CC14">
            <v>-0.1398221914328599</v>
          </cell>
          <cell r="CD14">
            <v>-2.4657534246575352E-2</v>
          </cell>
          <cell r="CE14">
            <v>-6.8209500609013429E-2</v>
          </cell>
          <cell r="CF14">
            <v>0.14324693042291958</v>
          </cell>
          <cell r="CG14">
            <v>0.27516778523490415</v>
          </cell>
        </row>
        <row r="15">
          <cell r="A15" t="str">
            <v>cushion</v>
          </cell>
          <cell r="B15">
            <v>0</v>
          </cell>
          <cell r="C15">
            <v>0</v>
          </cell>
          <cell r="D15">
            <v>0</v>
          </cell>
          <cell r="E15">
            <v>-9.0949470177292824E-13</v>
          </cell>
          <cell r="F15">
            <v>0</v>
          </cell>
          <cell r="G15">
            <v>0</v>
          </cell>
          <cell r="H15">
            <v>0</v>
          </cell>
          <cell r="I15">
            <v>-2.7284841053187847E-12</v>
          </cell>
          <cell r="J15">
            <v>0</v>
          </cell>
          <cell r="K15">
            <v>66</v>
          </cell>
          <cell r="L15">
            <v>-22</v>
          </cell>
          <cell r="M15">
            <v>-43.999999999999773</v>
          </cell>
          <cell r="N15">
            <v>0</v>
          </cell>
          <cell r="O15">
            <v>0</v>
          </cell>
          <cell r="P15">
            <v>0</v>
          </cell>
          <cell r="Q15">
            <v>0</v>
          </cell>
          <cell r="R15">
            <v>0</v>
          </cell>
          <cell r="S15">
            <v>0</v>
          </cell>
          <cell r="T15">
            <v>0</v>
          </cell>
          <cell r="U15">
            <v>0</v>
          </cell>
          <cell r="V15">
            <v>923</v>
          </cell>
          <cell r="W15">
            <v>1014</v>
          </cell>
          <cell r="X15">
            <v>1105</v>
          </cell>
          <cell r="Y15">
            <v>1211</v>
          </cell>
          <cell r="AB15">
            <v>0.5</v>
          </cell>
          <cell r="AC15">
            <v>0</v>
          </cell>
          <cell r="AD15">
            <v>0</v>
          </cell>
          <cell r="AE15">
            <v>0</v>
          </cell>
          <cell r="AF15">
            <v>-3.637978807091713E-12</v>
          </cell>
          <cell r="AG15">
            <v>0</v>
          </cell>
          <cell r="AH15">
            <v>0</v>
          </cell>
          <cell r="AI15">
            <v>0</v>
          </cell>
          <cell r="AJ15">
            <v>0</v>
          </cell>
          <cell r="AK15">
            <v>0</v>
          </cell>
          <cell r="AL15">
            <v>-149.43358206875018</v>
          </cell>
          <cell r="AM15">
            <v>101.69206347140516</v>
          </cell>
          <cell r="AN15">
            <v>-467.84303043502405</v>
          </cell>
          <cell r="AO15">
            <v>-405.55348986917488</v>
          </cell>
        </row>
        <row r="16">
          <cell r="A16" t="str">
            <v>per Main</v>
          </cell>
          <cell r="B16">
            <v>763</v>
          </cell>
          <cell r="C16">
            <v>880</v>
          </cell>
          <cell r="D16">
            <v>739</v>
          </cell>
          <cell r="E16">
            <v>907</v>
          </cell>
          <cell r="F16">
            <v>594</v>
          </cell>
          <cell r="G16">
            <v>715</v>
          </cell>
          <cell r="H16">
            <v>808</v>
          </cell>
          <cell r="I16">
            <v>829</v>
          </cell>
          <cell r="J16">
            <v>606</v>
          </cell>
          <cell r="K16">
            <v>771</v>
          </cell>
          <cell r="L16">
            <v>798</v>
          </cell>
          <cell r="M16">
            <v>837</v>
          </cell>
          <cell r="N16">
            <v>753</v>
          </cell>
          <cell r="O16">
            <v>828</v>
          </cell>
          <cell r="P16">
            <v>906</v>
          </cell>
          <cell r="Q16">
            <v>946</v>
          </cell>
          <cell r="R16">
            <v>929</v>
          </cell>
          <cell r="S16">
            <v>1067</v>
          </cell>
          <cell r="T16">
            <v>1087</v>
          </cell>
          <cell r="U16">
            <v>1033</v>
          </cell>
          <cell r="V16">
            <v>1094</v>
          </cell>
          <cell r="W16">
            <v>1208</v>
          </cell>
          <cell r="X16">
            <v>1315</v>
          </cell>
          <cell r="Y16">
            <v>1211</v>
          </cell>
          <cell r="AB16">
            <v>1904</v>
          </cell>
          <cell r="AC16">
            <v>2428</v>
          </cell>
          <cell r="AD16">
            <v>2909</v>
          </cell>
          <cell r="AE16">
            <v>3029</v>
          </cell>
          <cell r="AF16">
            <v>3265</v>
          </cell>
          <cell r="AG16">
            <v>3289</v>
          </cell>
          <cell r="AH16">
            <v>2946</v>
          </cell>
          <cell r="AI16">
            <v>3012</v>
          </cell>
          <cell r="AJ16">
            <v>3433</v>
          </cell>
          <cell r="AK16">
            <v>4116</v>
          </cell>
          <cell r="AL16">
            <v>4828</v>
          </cell>
          <cell r="AM16">
            <v>5512</v>
          </cell>
          <cell r="AN16">
            <v>5250</v>
          </cell>
          <cell r="AO16">
            <v>5300</v>
          </cell>
          <cell r="CD16">
            <v>712</v>
          </cell>
          <cell r="CE16">
            <v>765</v>
          </cell>
          <cell r="CF16">
            <v>838</v>
          </cell>
          <cell r="CG16">
            <v>950</v>
          </cell>
        </row>
        <row r="17">
          <cell r="A17" t="str">
            <v>Expenses</v>
          </cell>
        </row>
        <row r="18">
          <cell r="A18" t="str">
            <v>COGS</v>
          </cell>
          <cell r="B18">
            <v>569.5</v>
          </cell>
          <cell r="C18">
            <v>666.5</v>
          </cell>
          <cell r="D18">
            <v>574.5</v>
          </cell>
          <cell r="E18">
            <v>743.5</v>
          </cell>
          <cell r="F18">
            <v>499.5</v>
          </cell>
          <cell r="G18">
            <v>606.5</v>
          </cell>
          <cell r="H18">
            <v>693.5</v>
          </cell>
          <cell r="I18">
            <v>711.5</v>
          </cell>
          <cell r="J18">
            <v>507</v>
          </cell>
          <cell r="K18">
            <v>603</v>
          </cell>
          <cell r="L18">
            <v>686</v>
          </cell>
          <cell r="M18">
            <v>707</v>
          </cell>
          <cell r="N18">
            <v>580</v>
          </cell>
          <cell r="O18">
            <v>640</v>
          </cell>
          <cell r="P18">
            <v>705</v>
          </cell>
          <cell r="Q18">
            <v>733</v>
          </cell>
          <cell r="R18">
            <v>710</v>
          </cell>
          <cell r="S18">
            <v>820</v>
          </cell>
          <cell r="T18">
            <v>840</v>
          </cell>
          <cell r="U18">
            <v>792</v>
          </cell>
          <cell r="Z18">
            <v>835.54700000000003</v>
          </cell>
          <cell r="AA18">
            <v>839.3</v>
          </cell>
          <cell r="AB18">
            <v>1557.5</v>
          </cell>
          <cell r="AC18">
            <v>1907.7</v>
          </cell>
          <cell r="AD18">
            <v>2263</v>
          </cell>
          <cell r="AE18">
            <v>2272</v>
          </cell>
          <cell r="AF18">
            <v>2455</v>
          </cell>
          <cell r="AG18">
            <v>2554</v>
          </cell>
          <cell r="AH18">
            <v>2511</v>
          </cell>
          <cell r="AI18">
            <v>2503</v>
          </cell>
          <cell r="AJ18">
            <v>2658</v>
          </cell>
          <cell r="AK18">
            <v>3162</v>
          </cell>
          <cell r="AL18">
            <v>3725</v>
          </cell>
          <cell r="AM18">
            <v>3975</v>
          </cell>
          <cell r="AN18">
            <v>4170</v>
          </cell>
          <cell r="AO18">
            <v>4300</v>
          </cell>
          <cell r="BR18">
            <v>404.4</v>
          </cell>
          <cell r="BS18">
            <v>431.2</v>
          </cell>
          <cell r="BT18">
            <v>487.4</v>
          </cell>
          <cell r="BU18">
            <v>584.70000000000005</v>
          </cell>
          <cell r="BV18">
            <v>490.40600000000001</v>
          </cell>
          <cell r="BW18">
            <v>554</v>
          </cell>
          <cell r="BX18">
            <v>543</v>
          </cell>
          <cell r="BY18">
            <v>675.59400000000005</v>
          </cell>
          <cell r="BZ18">
            <v>500</v>
          </cell>
          <cell r="CA18">
            <v>550</v>
          </cell>
          <cell r="CB18">
            <v>540</v>
          </cell>
          <cell r="CC18">
            <v>682</v>
          </cell>
          <cell r="CD18">
            <v>500</v>
          </cell>
          <cell r="CE18">
            <v>550</v>
          </cell>
          <cell r="CF18">
            <v>540</v>
          </cell>
          <cell r="CG18">
            <v>865</v>
          </cell>
        </row>
        <row r="19">
          <cell r="A19" t="str">
            <v>SGA</v>
          </cell>
          <cell r="B19">
            <v>32</v>
          </cell>
          <cell r="C19">
            <v>40</v>
          </cell>
          <cell r="D19">
            <v>41</v>
          </cell>
          <cell r="E19">
            <v>52</v>
          </cell>
          <cell r="F19">
            <v>33</v>
          </cell>
          <cell r="G19">
            <v>40</v>
          </cell>
          <cell r="H19">
            <v>41</v>
          </cell>
          <cell r="I19">
            <v>41</v>
          </cell>
          <cell r="J19">
            <v>33</v>
          </cell>
          <cell r="K19">
            <v>40</v>
          </cell>
          <cell r="L19">
            <v>40</v>
          </cell>
          <cell r="M19">
            <v>47</v>
          </cell>
          <cell r="N19">
            <v>50</v>
          </cell>
          <cell r="O19">
            <v>55</v>
          </cell>
          <cell r="P19">
            <v>70</v>
          </cell>
          <cell r="Q19">
            <v>80</v>
          </cell>
          <cell r="R19">
            <v>55</v>
          </cell>
          <cell r="S19">
            <v>65</v>
          </cell>
          <cell r="T19">
            <v>80</v>
          </cell>
          <cell r="U19">
            <v>85</v>
          </cell>
          <cell r="Z19">
            <v>93.239000000000004</v>
          </cell>
          <cell r="AA19">
            <v>99.5</v>
          </cell>
          <cell r="AB19">
            <v>97.5</v>
          </cell>
          <cell r="AC19">
            <v>121.3</v>
          </cell>
          <cell r="AD19">
            <v>134</v>
          </cell>
          <cell r="AE19">
            <v>135</v>
          </cell>
          <cell r="AF19">
            <v>151</v>
          </cell>
          <cell r="AG19">
            <v>165</v>
          </cell>
          <cell r="AH19">
            <v>155</v>
          </cell>
          <cell r="AI19">
            <v>160</v>
          </cell>
          <cell r="AJ19">
            <v>255</v>
          </cell>
          <cell r="AK19">
            <v>285</v>
          </cell>
          <cell r="AL19">
            <v>335</v>
          </cell>
          <cell r="AM19">
            <v>360</v>
          </cell>
          <cell r="AN19">
            <v>370</v>
          </cell>
          <cell r="AO19">
            <v>380</v>
          </cell>
          <cell r="BR19">
            <v>25.9</v>
          </cell>
          <cell r="BS19">
            <v>29.6</v>
          </cell>
          <cell r="BT19">
            <v>29.9</v>
          </cell>
          <cell r="BU19">
            <v>35.899999999999991</v>
          </cell>
          <cell r="BV19">
            <v>30.914999999999999</v>
          </cell>
          <cell r="BW19">
            <v>32.4</v>
          </cell>
          <cell r="BX19">
            <v>34</v>
          </cell>
          <cell r="BY19">
            <v>36.685000000000002</v>
          </cell>
          <cell r="BZ19">
            <v>20</v>
          </cell>
          <cell r="CA19">
            <v>33</v>
          </cell>
          <cell r="CB19">
            <v>38</v>
          </cell>
          <cell r="CC19">
            <v>44</v>
          </cell>
          <cell r="CD19">
            <v>20</v>
          </cell>
          <cell r="CE19">
            <v>33</v>
          </cell>
          <cell r="CF19">
            <v>38</v>
          </cell>
          <cell r="CG19">
            <v>60</v>
          </cell>
        </row>
        <row r="20">
          <cell r="A20" t="str">
            <v>Restructuring (Charges)/Benefit</v>
          </cell>
          <cell r="J20">
            <v>-15</v>
          </cell>
          <cell r="K20">
            <v>-15</v>
          </cell>
          <cell r="L20">
            <v>-15</v>
          </cell>
          <cell r="M20">
            <v>-20</v>
          </cell>
          <cell r="N20">
            <v>-10</v>
          </cell>
          <cell r="O20">
            <v>-10</v>
          </cell>
          <cell r="P20">
            <v>-10</v>
          </cell>
          <cell r="Q20">
            <v>-15</v>
          </cell>
          <cell r="R20">
            <v>-10</v>
          </cell>
          <cell r="S20">
            <v>-12</v>
          </cell>
          <cell r="T20">
            <v>-12</v>
          </cell>
          <cell r="U20">
            <v>-16</v>
          </cell>
          <cell r="AI20">
            <v>-65</v>
          </cell>
          <cell r="AJ20">
            <v>-45</v>
          </cell>
          <cell r="AK20">
            <v>-50</v>
          </cell>
          <cell r="AL20">
            <v>-55</v>
          </cell>
          <cell r="AM20">
            <v>-65</v>
          </cell>
          <cell r="AN20">
            <v>-65</v>
          </cell>
          <cell r="AO20">
            <v>-65</v>
          </cell>
          <cell r="AP20" t="str">
            <v>- (55)-(65) range</v>
          </cell>
        </row>
        <row r="21">
          <cell r="A21" t="str">
            <v>R&amp;D</v>
          </cell>
          <cell r="B21">
            <v>14</v>
          </cell>
          <cell r="C21">
            <v>20</v>
          </cell>
          <cell r="D21">
            <v>20</v>
          </cell>
          <cell r="E21">
            <v>25</v>
          </cell>
          <cell r="F21">
            <v>18</v>
          </cell>
          <cell r="G21">
            <v>20</v>
          </cell>
          <cell r="H21">
            <v>20</v>
          </cell>
          <cell r="I21">
            <v>14</v>
          </cell>
          <cell r="J21">
            <v>15</v>
          </cell>
          <cell r="K21">
            <v>15</v>
          </cell>
          <cell r="L21">
            <v>15</v>
          </cell>
          <cell r="M21">
            <v>17</v>
          </cell>
          <cell r="N21">
            <v>15</v>
          </cell>
          <cell r="O21">
            <v>15</v>
          </cell>
          <cell r="P21">
            <v>15</v>
          </cell>
          <cell r="Q21">
            <v>25</v>
          </cell>
          <cell r="R21">
            <v>15</v>
          </cell>
          <cell r="S21">
            <v>22</v>
          </cell>
          <cell r="T21">
            <v>27</v>
          </cell>
          <cell r="U21">
            <v>11</v>
          </cell>
          <cell r="V21">
            <v>18</v>
          </cell>
          <cell r="Z21">
            <v>63.097999999999999</v>
          </cell>
          <cell r="AA21">
            <v>58.1</v>
          </cell>
          <cell r="AB21">
            <v>10.8</v>
          </cell>
          <cell r="AC21">
            <v>10</v>
          </cell>
          <cell r="AD21">
            <v>16</v>
          </cell>
          <cell r="AE21">
            <v>16</v>
          </cell>
          <cell r="AF21">
            <v>20</v>
          </cell>
          <cell r="AG21">
            <v>79</v>
          </cell>
          <cell r="AH21">
            <v>72</v>
          </cell>
          <cell r="AI21">
            <v>62</v>
          </cell>
          <cell r="AJ21">
            <v>70</v>
          </cell>
          <cell r="AK21">
            <v>75</v>
          </cell>
          <cell r="AL21">
            <v>100</v>
          </cell>
          <cell r="AM21">
            <v>105</v>
          </cell>
          <cell r="AN21">
            <v>110</v>
          </cell>
          <cell r="AO21">
            <v>115</v>
          </cell>
          <cell r="AP21" t="str">
            <v>- R&amp;D higher 2H06/1H07: 2% sls guid</v>
          </cell>
          <cell r="BR21">
            <v>1.9</v>
          </cell>
          <cell r="BS21">
            <v>2.2999999999999998</v>
          </cell>
          <cell r="BT21">
            <v>2.7</v>
          </cell>
          <cell r="BU21">
            <v>3.1000000000000005</v>
          </cell>
          <cell r="BV21">
            <v>3.2679999999999998</v>
          </cell>
          <cell r="BW21">
            <v>2.5</v>
          </cell>
          <cell r="BX21">
            <v>4</v>
          </cell>
          <cell r="BY21">
            <v>6.2319999999999993</v>
          </cell>
          <cell r="BZ21">
            <v>3</v>
          </cell>
          <cell r="CA21">
            <v>3</v>
          </cell>
          <cell r="CB21">
            <v>3</v>
          </cell>
          <cell r="CC21">
            <v>7</v>
          </cell>
          <cell r="CD21">
            <v>3</v>
          </cell>
          <cell r="CE21">
            <v>3</v>
          </cell>
          <cell r="CF21">
            <v>3</v>
          </cell>
          <cell r="CG21">
            <v>11</v>
          </cell>
        </row>
        <row r="22">
          <cell r="A22" t="str">
            <v>Stk Opn Exp</v>
          </cell>
          <cell r="B22">
            <v>0.5</v>
          </cell>
          <cell r="C22">
            <v>0.5</v>
          </cell>
          <cell r="D22">
            <v>0.5</v>
          </cell>
          <cell r="E22">
            <v>0.5</v>
          </cell>
          <cell r="F22">
            <v>0.5</v>
          </cell>
          <cell r="G22">
            <v>0.5</v>
          </cell>
          <cell r="H22">
            <v>0.5</v>
          </cell>
          <cell r="I22">
            <v>0.5</v>
          </cell>
          <cell r="J22">
            <v>0.5</v>
          </cell>
          <cell r="K22">
            <v>0.5</v>
          </cell>
          <cell r="L22">
            <v>0.5</v>
          </cell>
          <cell r="M22">
            <v>0.5</v>
          </cell>
          <cell r="N22">
            <v>0</v>
          </cell>
          <cell r="O22">
            <v>0</v>
          </cell>
          <cell r="P22">
            <v>0</v>
          </cell>
          <cell r="Q22">
            <v>0</v>
          </cell>
          <cell r="R22">
            <v>0</v>
          </cell>
          <cell r="S22">
            <v>0</v>
          </cell>
          <cell r="T22">
            <v>0</v>
          </cell>
          <cell r="U22">
            <v>0</v>
          </cell>
          <cell r="Z22">
            <v>0</v>
          </cell>
          <cell r="AA22">
            <v>7.1859999999999999</v>
          </cell>
          <cell r="AB22">
            <v>1.64</v>
          </cell>
          <cell r="AC22">
            <v>6.9080000000000004</v>
          </cell>
          <cell r="AD22">
            <v>2</v>
          </cell>
          <cell r="AE22">
            <v>2</v>
          </cell>
          <cell r="AF22">
            <v>2</v>
          </cell>
          <cell r="AG22">
            <v>2</v>
          </cell>
          <cell r="AH22">
            <v>2</v>
          </cell>
          <cell r="AI22">
            <v>2</v>
          </cell>
          <cell r="AJ22">
            <v>0</v>
          </cell>
          <cell r="AK22">
            <v>0</v>
          </cell>
          <cell r="AL22">
            <v>0</v>
          </cell>
          <cell r="AM22">
            <v>0</v>
          </cell>
          <cell r="AN22">
            <v>0</v>
          </cell>
          <cell r="AO22">
            <v>0</v>
          </cell>
          <cell r="AP22" t="str">
            <v>- in corp line</v>
          </cell>
          <cell r="BR22">
            <v>0.32900000000000001</v>
          </cell>
          <cell r="BS22">
            <v>0</v>
          </cell>
          <cell r="BU22">
            <v>6.5790000000000006</v>
          </cell>
          <cell r="BV22">
            <v>5.1999999999999998E-2</v>
          </cell>
          <cell r="BW22">
            <v>0</v>
          </cell>
          <cell r="BX22">
            <v>0</v>
          </cell>
          <cell r="BY22">
            <v>1.948</v>
          </cell>
          <cell r="BZ22">
            <v>0.5</v>
          </cell>
          <cell r="CA22">
            <v>0.5</v>
          </cell>
          <cell r="CB22">
            <v>0.5</v>
          </cell>
          <cell r="CC22">
            <v>0.5</v>
          </cell>
          <cell r="CD22">
            <v>0.5</v>
          </cell>
          <cell r="CE22">
            <v>0.5</v>
          </cell>
          <cell r="CF22">
            <v>0.5</v>
          </cell>
          <cell r="CG22">
            <v>0.5</v>
          </cell>
        </row>
        <row r="23">
          <cell r="A23" t="str">
            <v>Amort</v>
          </cell>
          <cell r="B23">
            <v>3</v>
          </cell>
          <cell r="C23">
            <v>3</v>
          </cell>
          <cell r="D23">
            <v>3</v>
          </cell>
          <cell r="E23">
            <v>3</v>
          </cell>
          <cell r="F23">
            <v>3</v>
          </cell>
          <cell r="G23">
            <v>3</v>
          </cell>
          <cell r="H23">
            <v>3</v>
          </cell>
          <cell r="I23">
            <v>3</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7.54</v>
          </cell>
          <cell r="AA23">
            <v>9.4</v>
          </cell>
          <cell r="AB23">
            <v>7.3</v>
          </cell>
          <cell r="AC23">
            <v>9.3000000000000007</v>
          </cell>
          <cell r="AD23">
            <v>12</v>
          </cell>
          <cell r="AE23">
            <v>12</v>
          </cell>
          <cell r="AF23">
            <v>12</v>
          </cell>
          <cell r="AG23">
            <v>12</v>
          </cell>
          <cell r="AH23">
            <v>12</v>
          </cell>
          <cell r="AI23">
            <v>0</v>
          </cell>
          <cell r="AJ23">
            <v>0</v>
          </cell>
          <cell r="AK23">
            <v>0</v>
          </cell>
          <cell r="AL23">
            <v>0</v>
          </cell>
          <cell r="AM23">
            <v>0</v>
          </cell>
          <cell r="AN23">
            <v>0</v>
          </cell>
          <cell r="AO23">
            <v>0</v>
          </cell>
          <cell r="AP23" t="str">
            <v>- in corp line</v>
          </cell>
          <cell r="BR23">
            <v>1.8759999999999999</v>
          </cell>
          <cell r="BS23">
            <v>1.9</v>
          </cell>
          <cell r="BT23">
            <v>2.4</v>
          </cell>
          <cell r="BU23">
            <v>3.1240000000000006</v>
          </cell>
          <cell r="BV23">
            <v>3.1469999999999998</v>
          </cell>
          <cell r="BW23">
            <v>3.3</v>
          </cell>
          <cell r="BX23">
            <v>3</v>
          </cell>
          <cell r="BY23">
            <v>2.5530000000000008</v>
          </cell>
          <cell r="BZ23">
            <v>3</v>
          </cell>
          <cell r="CA23">
            <v>3</v>
          </cell>
          <cell r="CB23">
            <v>3</v>
          </cell>
          <cell r="CC23">
            <v>3</v>
          </cell>
          <cell r="CD23">
            <v>3</v>
          </cell>
          <cell r="CE23">
            <v>3</v>
          </cell>
          <cell r="CF23">
            <v>3</v>
          </cell>
          <cell r="CG23">
            <v>3</v>
          </cell>
        </row>
        <row r="24">
          <cell r="A24" t="str">
            <v>Total Exp</v>
          </cell>
          <cell r="B24">
            <v>619</v>
          </cell>
          <cell r="C24">
            <v>730</v>
          </cell>
          <cell r="D24">
            <v>639</v>
          </cell>
          <cell r="E24">
            <v>824</v>
          </cell>
          <cell r="F24">
            <v>554</v>
          </cell>
          <cell r="G24">
            <v>670</v>
          </cell>
          <cell r="H24">
            <v>758</v>
          </cell>
          <cell r="I24">
            <v>770</v>
          </cell>
          <cell r="J24">
            <v>540.5</v>
          </cell>
          <cell r="K24">
            <v>643.5</v>
          </cell>
          <cell r="L24">
            <v>726.5</v>
          </cell>
          <cell r="M24">
            <v>751.5</v>
          </cell>
          <cell r="N24">
            <v>635</v>
          </cell>
          <cell r="O24">
            <v>700</v>
          </cell>
          <cell r="P24">
            <v>780</v>
          </cell>
          <cell r="Q24">
            <v>823</v>
          </cell>
          <cell r="R24">
            <v>770</v>
          </cell>
          <cell r="S24">
            <v>895</v>
          </cell>
          <cell r="T24">
            <v>935</v>
          </cell>
          <cell r="U24">
            <v>872</v>
          </cell>
          <cell r="V24">
            <v>18</v>
          </cell>
          <cell r="W24">
            <v>0</v>
          </cell>
          <cell r="X24">
            <v>0</v>
          </cell>
          <cell r="Y24">
            <v>0</v>
          </cell>
          <cell r="Z24">
            <v>999.42399999999998</v>
          </cell>
          <cell r="AA24">
            <v>1013.486</v>
          </cell>
          <cell r="AB24">
            <v>1674.74</v>
          </cell>
          <cell r="AC24">
            <v>2055.2080000000001</v>
          </cell>
          <cell r="AD24">
            <v>2427</v>
          </cell>
          <cell r="AE24">
            <v>2437</v>
          </cell>
          <cell r="AF24">
            <v>2640</v>
          </cell>
          <cell r="AG24">
            <v>2812</v>
          </cell>
          <cell r="AH24">
            <v>2752</v>
          </cell>
          <cell r="AI24">
            <v>2662</v>
          </cell>
          <cell r="AJ24">
            <v>2938</v>
          </cell>
          <cell r="AK24">
            <v>3472</v>
          </cell>
          <cell r="AL24">
            <v>4105</v>
          </cell>
          <cell r="AM24">
            <v>4375</v>
          </cell>
          <cell r="AN24">
            <v>4585</v>
          </cell>
          <cell r="AO24">
            <v>4730</v>
          </cell>
          <cell r="BR24">
            <v>434.40499999999992</v>
          </cell>
          <cell r="BS24">
            <v>465</v>
          </cell>
          <cell r="BT24">
            <v>522.4</v>
          </cell>
          <cell r="BU24">
            <v>633.40300000000002</v>
          </cell>
          <cell r="BV24">
            <v>527.78800000000012</v>
          </cell>
          <cell r="BW24">
            <v>592.19999999999993</v>
          </cell>
          <cell r="BX24">
            <v>584</v>
          </cell>
          <cell r="BY24">
            <v>723.01199999999994</v>
          </cell>
          <cell r="BZ24">
            <v>526.5</v>
          </cell>
          <cell r="CA24">
            <v>589.5</v>
          </cell>
          <cell r="CB24">
            <v>584.5</v>
          </cell>
          <cell r="CC24">
            <v>736.5</v>
          </cell>
          <cell r="CD24">
            <v>526.5</v>
          </cell>
          <cell r="CE24">
            <v>589.5</v>
          </cell>
          <cell r="CF24">
            <v>584.5</v>
          </cell>
          <cell r="CG24">
            <v>939.5</v>
          </cell>
        </row>
        <row r="26">
          <cell r="A26" t="str">
            <v>Exp as % Sales</v>
          </cell>
          <cell r="BZ26">
            <v>203.5</v>
          </cell>
          <cell r="CA26">
            <v>231.5</v>
          </cell>
          <cell r="CB26">
            <v>148.5</v>
          </cell>
          <cell r="CC26">
            <v>8.5</v>
          </cell>
          <cell r="CD26">
            <v>185.5</v>
          </cell>
          <cell r="CE26">
            <v>175.5</v>
          </cell>
          <cell r="CF26">
            <v>253.5</v>
          </cell>
          <cell r="CG26">
            <v>10.500000000003638</v>
          </cell>
        </row>
        <row r="27">
          <cell r="A27" t="str">
            <v>COGS</v>
          </cell>
          <cell r="B27">
            <v>0.7463958060288336</v>
          </cell>
          <cell r="C27">
            <v>0.75738636363636369</v>
          </cell>
          <cell r="D27">
            <v>0.77740189445196206</v>
          </cell>
          <cell r="E27">
            <v>0.81973539140021967</v>
          </cell>
          <cell r="F27">
            <v>0.84090909090909094</v>
          </cell>
          <cell r="G27">
            <v>0.84825174825174821</v>
          </cell>
          <cell r="H27">
            <v>0.85829207920792083</v>
          </cell>
          <cell r="I27">
            <v>0.85826296743063646</v>
          </cell>
          <cell r="J27">
            <v>0.8366336633663366</v>
          </cell>
          <cell r="K27">
            <v>0.85531914893617023</v>
          </cell>
          <cell r="L27">
            <v>0.8365853658536585</v>
          </cell>
          <cell r="M27">
            <v>0.80249716231555068</v>
          </cell>
          <cell r="N27">
            <v>0.77025232403718458</v>
          </cell>
          <cell r="O27">
            <v>0.77294685990338163</v>
          </cell>
          <cell r="P27">
            <v>0.77814569536423839</v>
          </cell>
          <cell r="Q27">
            <v>0.77484143763213487</v>
          </cell>
          <cell r="R27">
            <v>0.76426264800861143</v>
          </cell>
          <cell r="S27">
            <v>0.76850984067478911</v>
          </cell>
          <cell r="T27">
            <v>0.77276908923643051</v>
          </cell>
          <cell r="U27">
            <v>0.76669893514036758</v>
          </cell>
          <cell r="Z27">
            <v>0.80224269668962689</v>
          </cell>
          <cell r="AA27">
            <v>0.78903826266804544</v>
          </cell>
          <cell r="AB27">
            <v>0.81822957709482536</v>
          </cell>
          <cell r="AC27">
            <v>0.78570840197693581</v>
          </cell>
          <cell r="AD27">
            <v>0.77793056033001029</v>
          </cell>
          <cell r="AE27">
            <v>0.75008253549026083</v>
          </cell>
          <cell r="AF27">
            <v>0.75191424196018297</v>
          </cell>
          <cell r="AG27">
            <v>0.77652782000608067</v>
          </cell>
          <cell r="AH27">
            <v>0.85234215885946973</v>
          </cell>
          <cell r="AI27">
            <v>0.83100929614873842</v>
          </cell>
          <cell r="AJ27">
            <v>0.77424992717739571</v>
          </cell>
          <cell r="AK27">
            <v>0.76822157434402327</v>
          </cell>
          <cell r="AL27">
            <v>0.7483776405212812</v>
          </cell>
          <cell r="AM27">
            <v>0.73470864258245372</v>
          </cell>
          <cell r="AN27">
            <v>0.72929599112879784</v>
          </cell>
          <cell r="AO27">
            <v>0.75365168473753041</v>
          </cell>
          <cell r="BR27">
            <v>0.80333730631704414</v>
          </cell>
          <cell r="BS27">
            <v>0.77414721723518853</v>
          </cell>
          <cell r="BT27">
            <v>0.77834557649313307</v>
          </cell>
          <cell r="BU27">
            <v>0.78864310763420575</v>
          </cell>
          <cell r="BV27">
            <v>0.78452407614781638</v>
          </cell>
          <cell r="BW27">
            <v>0.78270697937270417</v>
          </cell>
          <cell r="BX27">
            <v>0.76478873239436618</v>
          </cell>
          <cell r="BY27">
            <v>0.78004156563907179</v>
          </cell>
          <cell r="BZ27">
            <v>0.68493150684931503</v>
          </cell>
          <cell r="CA27">
            <v>0.66991473812423874</v>
          </cell>
          <cell r="CB27">
            <v>0.73669849931787179</v>
          </cell>
          <cell r="CC27">
            <v>0.91543624161073822</v>
          </cell>
          <cell r="CD27">
            <v>0.702247191011236</v>
          </cell>
          <cell r="CE27">
            <v>0.71895424836601307</v>
          </cell>
          <cell r="CF27">
            <v>0.64439140811455842</v>
          </cell>
          <cell r="CG27">
            <v>0.91052631578947019</v>
          </cell>
        </row>
        <row r="28">
          <cell r="A28" t="str">
            <v>SGA</v>
          </cell>
          <cell r="B28">
            <v>4.1939711664482307E-2</v>
          </cell>
          <cell r="C28">
            <v>4.5454545454545456E-2</v>
          </cell>
          <cell r="D28">
            <v>5.5480378890392423E-2</v>
          </cell>
          <cell r="E28">
            <v>5.7331863285556721E-2</v>
          </cell>
          <cell r="F28">
            <v>5.5555555555555552E-2</v>
          </cell>
          <cell r="G28">
            <v>5.5944055944055944E-2</v>
          </cell>
          <cell r="H28">
            <v>5.0742574257425746E-2</v>
          </cell>
          <cell r="I28">
            <v>4.9457177322074629E-2</v>
          </cell>
          <cell r="J28">
            <v>5.4455445544554455E-2</v>
          </cell>
          <cell r="K28">
            <v>5.6737588652482268E-2</v>
          </cell>
          <cell r="L28">
            <v>4.878048780487805E-2</v>
          </cell>
          <cell r="M28">
            <v>5.3348467650397288E-2</v>
          </cell>
          <cell r="N28">
            <v>6.6401062416998669E-2</v>
          </cell>
          <cell r="O28">
            <v>6.6425120772946863E-2</v>
          </cell>
          <cell r="P28">
            <v>7.7262693156732898E-2</v>
          </cell>
          <cell r="Q28">
            <v>8.4566596194503116E-2</v>
          </cell>
          <cell r="R28">
            <v>5.9203444564047365E-2</v>
          </cell>
          <cell r="S28">
            <v>6.0918462980318652E-2</v>
          </cell>
          <cell r="T28">
            <v>7.3597056117755286E-2</v>
          </cell>
          <cell r="U28">
            <v>8.2284607938044499E-2</v>
          </cell>
          <cell r="Z28">
            <v>8.9522560426456108E-2</v>
          </cell>
          <cell r="AA28">
            <v>9.3541412052270373E-2</v>
          </cell>
          <cell r="AB28">
            <v>5.1221434200157602E-2</v>
          </cell>
          <cell r="AC28">
            <v>4.9958813838550248E-2</v>
          </cell>
          <cell r="AD28">
            <v>4.6063939498109316E-2</v>
          </cell>
          <cell r="AE28">
            <v>4.4569164740838559E-2</v>
          </cell>
          <cell r="AF28">
            <v>4.6248085758039764E-2</v>
          </cell>
          <cell r="AG28">
            <v>5.0167224080267546E-2</v>
          </cell>
          <cell r="AH28">
            <v>5.2613713509843806E-2</v>
          </cell>
          <cell r="AI28">
            <v>5.3120849933598939E-2</v>
          </cell>
          <cell r="AJ28">
            <v>7.4279056219050385E-2</v>
          </cell>
          <cell r="AK28">
            <v>6.9241982507288635E-2</v>
          </cell>
          <cell r="AL28">
            <v>6.7303760959632003E-2</v>
          </cell>
          <cell r="AM28">
            <v>6.6539650648976933E-2</v>
          </cell>
          <cell r="AN28">
            <v>6.470971623924586E-2</v>
          </cell>
          <cell r="AO28">
            <v>6.6601776790758502E-2</v>
          </cell>
          <cell r="BR28">
            <v>5.1450139054429876E-2</v>
          </cell>
          <cell r="BS28">
            <v>5.3141831238779177E-2</v>
          </cell>
          <cell r="BT28">
            <v>4.7748323219418708E-2</v>
          </cell>
          <cell r="BU28">
            <v>4.8421904504990558E-2</v>
          </cell>
          <cell r="BV28">
            <v>4.9456087026075825E-2</v>
          </cell>
          <cell r="BW28">
            <v>4.5775642836959597E-2</v>
          </cell>
          <cell r="BX28">
            <v>4.788732394366197E-2</v>
          </cell>
          <cell r="BY28">
            <v>4.235654081514837E-2</v>
          </cell>
          <cell r="BZ28">
            <v>2.7397260273972601E-2</v>
          </cell>
          <cell r="CA28">
            <v>4.0194884287454324E-2</v>
          </cell>
          <cell r="CB28">
            <v>5.1841746248294678E-2</v>
          </cell>
          <cell r="CC28">
            <v>5.9060402684563758E-2</v>
          </cell>
          <cell r="CD28">
            <v>2.8089887640449437E-2</v>
          </cell>
          <cell r="CE28">
            <v>4.3137254901960784E-2</v>
          </cell>
          <cell r="CF28">
            <v>4.5346062052505964E-2</v>
          </cell>
          <cell r="CG28">
            <v>6.3157894736841858E-2</v>
          </cell>
        </row>
        <row r="29">
          <cell r="A29" t="str">
            <v>R&amp;D</v>
          </cell>
          <cell r="B29">
            <v>1.834862385321101E-2</v>
          </cell>
          <cell r="C29">
            <v>2.2727272727272728E-2</v>
          </cell>
          <cell r="D29">
            <v>2.7063599458728011E-2</v>
          </cell>
          <cell r="E29">
            <v>2.7563395810363808E-2</v>
          </cell>
          <cell r="F29">
            <v>3.0303030303030304E-2</v>
          </cell>
          <cell r="G29">
            <v>2.7972027972027972E-2</v>
          </cell>
          <cell r="H29">
            <v>2.4752475247524754E-2</v>
          </cell>
          <cell r="I29">
            <v>1.6887816646562068E-2</v>
          </cell>
          <cell r="J29">
            <v>2.4752475247524754E-2</v>
          </cell>
          <cell r="K29">
            <v>2.1276595744680851E-2</v>
          </cell>
          <cell r="L29">
            <v>1.8292682926829267E-2</v>
          </cell>
          <cell r="M29">
            <v>1.9296254256526681E-2</v>
          </cell>
          <cell r="N29">
            <v>1.9920318725099601E-2</v>
          </cell>
          <cell r="O29">
            <v>1.8115942028985508E-2</v>
          </cell>
          <cell r="P29">
            <v>1.6556291390728478E-2</v>
          </cell>
          <cell r="Q29">
            <v>2.6427061310782225E-2</v>
          </cell>
          <cell r="R29">
            <v>1.6146393972012917E-2</v>
          </cell>
          <cell r="S29">
            <v>2.0618556701030927E-2</v>
          </cell>
          <cell r="T29">
            <v>2.4839006439742409E-2</v>
          </cell>
          <cell r="U29">
            <v>1.0648596321393993E-2</v>
          </cell>
          <cell r="Z29">
            <v>6.0582959038476686E-2</v>
          </cell>
          <cell r="AA29">
            <v>5.4620663720973961E-2</v>
          </cell>
          <cell r="AB29">
            <v>5.6737588652482273E-3</v>
          </cell>
          <cell r="AC29">
            <v>4.1186161449752881E-3</v>
          </cell>
          <cell r="AD29">
            <v>5.5001718803712619E-3</v>
          </cell>
          <cell r="AE29">
            <v>5.2822713766919778E-3</v>
          </cell>
          <cell r="AF29">
            <v>6.1255742725880484E-3</v>
          </cell>
          <cell r="AG29">
            <v>2.4019458802067493E-2</v>
          </cell>
          <cell r="AH29">
            <v>2.4439918533604867E-2</v>
          </cell>
          <cell r="AI29">
            <v>2.0584329349269587E-2</v>
          </cell>
          <cell r="AJ29">
            <v>2.0390329158170694E-2</v>
          </cell>
          <cell r="AK29">
            <v>1.8221574344023325E-2</v>
          </cell>
          <cell r="AL29">
            <v>2.0090674913322986E-2</v>
          </cell>
          <cell r="AM29">
            <v>1.9407398105951608E-2</v>
          </cell>
          <cell r="AN29">
            <v>1.9238023746802821E-2</v>
          </cell>
          <cell r="AO29">
            <v>2.0155800870887444E-2</v>
          </cell>
          <cell r="AP29" t="str">
            <v>- R&amp;D~2% sls guid</v>
          </cell>
          <cell r="BR29">
            <v>3.7743345252284465E-3</v>
          </cell>
          <cell r="BS29">
            <v>4.1292639138240574E-3</v>
          </cell>
          <cell r="BT29">
            <v>4.3117214947301181E-3</v>
          </cell>
          <cell r="BU29">
            <v>4.1812786619908294E-3</v>
          </cell>
          <cell r="BV29">
            <v>5.2279635258358657E-3</v>
          </cell>
          <cell r="BW29">
            <v>3.5320712065555243E-3</v>
          </cell>
          <cell r="BX29">
            <v>5.6338028169014088E-3</v>
          </cell>
          <cell r="BY29">
            <v>7.1954739637455261E-3</v>
          </cell>
          <cell r="BZ29">
            <v>4.10958904109589E-3</v>
          </cell>
          <cell r="CA29">
            <v>3.6540803897685747E-3</v>
          </cell>
          <cell r="CB29">
            <v>4.0927694406548429E-3</v>
          </cell>
          <cell r="CC29">
            <v>9.3959731543624154E-3</v>
          </cell>
          <cell r="CD29">
            <v>4.2134831460674156E-3</v>
          </cell>
          <cell r="CE29">
            <v>3.9215686274509803E-3</v>
          </cell>
          <cell r="CF29">
            <v>3.5799522673031028E-3</v>
          </cell>
          <cell r="CG29">
            <v>1.1578947368421008E-2</v>
          </cell>
        </row>
        <row r="30">
          <cell r="A30" t="str">
            <v>Stk Opn Exp</v>
          </cell>
          <cell r="B30">
            <v>6.5530799475753605E-4</v>
          </cell>
          <cell r="C30">
            <v>5.6818181818181815E-4</v>
          </cell>
          <cell r="D30">
            <v>6.7658998646820032E-4</v>
          </cell>
          <cell r="E30">
            <v>5.512679162072762E-4</v>
          </cell>
          <cell r="F30">
            <v>8.4175084175084171E-4</v>
          </cell>
          <cell r="G30">
            <v>6.993006993006993E-4</v>
          </cell>
          <cell r="H30">
            <v>6.1881188118811882E-4</v>
          </cell>
          <cell r="I30">
            <v>6.0313630880578812E-4</v>
          </cell>
          <cell r="J30">
            <v>8.2508250825082509E-4</v>
          </cell>
          <cell r="K30">
            <v>7.0921985815602842E-4</v>
          </cell>
          <cell r="L30">
            <v>6.0975609756097561E-4</v>
          </cell>
          <cell r="M30">
            <v>5.6753688989784345E-4</v>
          </cell>
          <cell r="N30">
            <v>0</v>
          </cell>
          <cell r="O30">
            <v>0</v>
          </cell>
          <cell r="P30">
            <v>0</v>
          </cell>
          <cell r="Q30">
            <v>0</v>
          </cell>
          <cell r="R30">
            <v>0</v>
          </cell>
          <cell r="S30">
            <v>0</v>
          </cell>
          <cell r="T30">
            <v>0</v>
          </cell>
          <cell r="U30">
            <v>0</v>
          </cell>
          <cell r="Z30">
            <v>0</v>
          </cell>
          <cell r="AA30">
            <v>6.7556641910313051E-3</v>
          </cell>
          <cell r="AB30">
            <v>8.6157079064880476E-4</v>
          </cell>
          <cell r="AC30">
            <v>2.8451400329489295E-3</v>
          </cell>
          <cell r="AD30">
            <v>6.8752148504640774E-4</v>
          </cell>
          <cell r="AE30">
            <v>6.6028392208649722E-4</v>
          </cell>
          <cell r="AF30">
            <v>6.1255742725880484E-4</v>
          </cell>
          <cell r="AG30">
            <v>6.0808756460930353E-4</v>
          </cell>
          <cell r="AH30">
            <v>6.7888662593346843E-4</v>
          </cell>
          <cell r="AI30">
            <v>6.6401062416998667E-4</v>
          </cell>
          <cell r="AJ30">
            <v>0</v>
          </cell>
          <cell r="AK30">
            <v>0</v>
          </cell>
          <cell r="AL30">
            <v>0</v>
          </cell>
          <cell r="AM30">
            <v>0</v>
          </cell>
          <cell r="AN30">
            <v>0</v>
          </cell>
          <cell r="AO30">
            <v>0</v>
          </cell>
          <cell r="BR30">
            <v>6.535558204211363E-4</v>
          </cell>
          <cell r="BS30">
            <v>0</v>
          </cell>
          <cell r="BT30">
            <v>0</v>
          </cell>
          <cell r="BU30">
            <v>8.8737523603992473E-3</v>
          </cell>
          <cell r="BV30">
            <v>8.3186690129579256E-5</v>
          </cell>
          <cell r="BW30">
            <v>0</v>
          </cell>
          <cell r="BX30">
            <v>0</v>
          </cell>
          <cell r="BY30">
            <v>2.2491629142131395E-3</v>
          </cell>
          <cell r="BZ30">
            <v>6.8493150684931507E-4</v>
          </cell>
          <cell r="CA30">
            <v>6.0901339829476245E-4</v>
          </cell>
          <cell r="CB30">
            <v>6.8212824010914052E-4</v>
          </cell>
          <cell r="CC30">
            <v>6.711409395973154E-4</v>
          </cell>
          <cell r="CD30">
            <v>7.0224719101123594E-4</v>
          </cell>
          <cell r="CE30">
            <v>6.5359477124183002E-4</v>
          </cell>
          <cell r="CF30">
            <v>5.966587112171838E-4</v>
          </cell>
          <cell r="CG30">
            <v>5.2631578947368225E-4</v>
          </cell>
        </row>
        <row r="31">
          <cell r="A31" t="str">
            <v>Amort</v>
          </cell>
          <cell r="B31">
            <v>3.9318479685452159E-3</v>
          </cell>
          <cell r="C31">
            <v>3.4090909090909089E-3</v>
          </cell>
          <cell r="D31">
            <v>4.0595399188092015E-3</v>
          </cell>
          <cell r="E31">
            <v>3.307607497243657E-3</v>
          </cell>
          <cell r="F31">
            <v>5.0505050505050509E-3</v>
          </cell>
          <cell r="G31">
            <v>4.1958041958041958E-3</v>
          </cell>
          <cell r="H31">
            <v>3.7128712871287127E-3</v>
          </cell>
          <cell r="I31">
            <v>3.6188178528347289E-3</v>
          </cell>
          <cell r="J31">
            <v>0</v>
          </cell>
          <cell r="K31">
            <v>0</v>
          </cell>
          <cell r="L31">
            <v>0</v>
          </cell>
          <cell r="M31">
            <v>0</v>
          </cell>
          <cell r="N31">
            <v>0</v>
          </cell>
          <cell r="O31">
            <v>0</v>
          </cell>
          <cell r="P31">
            <v>0</v>
          </cell>
          <cell r="Q31">
            <v>0</v>
          </cell>
          <cell r="R31">
            <v>0</v>
          </cell>
          <cell r="S31">
            <v>0</v>
          </cell>
          <cell r="T31">
            <v>0</v>
          </cell>
          <cell r="U31">
            <v>0</v>
          </cell>
          <cell r="Z31">
            <v>7.2394610154064183E-3</v>
          </cell>
          <cell r="AA31">
            <v>8.8370781235310707E-3</v>
          </cell>
          <cell r="AB31">
            <v>3.8350407144733386E-3</v>
          </cell>
          <cell r="AC31">
            <v>3.8303130148270182E-3</v>
          </cell>
          <cell r="AD31">
            <v>4.125128910278446E-3</v>
          </cell>
          <cell r="AE31">
            <v>3.9617035325189833E-3</v>
          </cell>
          <cell r="AF31">
            <v>3.6753445635528291E-3</v>
          </cell>
          <cell r="AG31">
            <v>3.6485253876558216E-3</v>
          </cell>
          <cell r="AH31">
            <v>4.0733197556008108E-3</v>
          </cell>
          <cell r="AI31">
            <v>0</v>
          </cell>
          <cell r="AJ31">
            <v>0</v>
          </cell>
          <cell r="AK31">
            <v>0</v>
          </cell>
          <cell r="AL31">
            <v>0</v>
          </cell>
          <cell r="AM31">
            <v>0</v>
          </cell>
          <cell r="AN31">
            <v>0</v>
          </cell>
          <cell r="AO31">
            <v>0</v>
          </cell>
          <cell r="BR31">
            <v>3.726658720699245E-3</v>
          </cell>
          <cell r="BS31">
            <v>3.4111310592459605E-3</v>
          </cell>
          <cell r="BT31">
            <v>3.8326413286489933E-3</v>
          </cell>
          <cell r="BU31">
            <v>4.2136498516320486E-3</v>
          </cell>
          <cell r="BV31">
            <v>5.0343944968804987E-3</v>
          </cell>
          <cell r="BW31">
            <v>4.6623339926532923E-3</v>
          </cell>
          <cell r="BX31">
            <v>4.2253521126760559E-3</v>
          </cell>
          <cell r="BY31">
            <v>2.947696570834778E-3</v>
          </cell>
          <cell r="BZ31">
            <v>4.10958904109589E-3</v>
          </cell>
          <cell r="CA31">
            <v>3.6540803897685747E-3</v>
          </cell>
          <cell r="CB31">
            <v>4.0927694406548429E-3</v>
          </cell>
          <cell r="CC31">
            <v>4.0268456375838931E-3</v>
          </cell>
          <cell r="CD31">
            <v>4.2134831460674156E-3</v>
          </cell>
          <cell r="CE31">
            <v>3.9215686274509803E-3</v>
          </cell>
          <cell r="CF31">
            <v>3.5799522673031028E-3</v>
          </cell>
          <cell r="CG31">
            <v>3.157894736842093E-3</v>
          </cell>
        </row>
        <row r="32">
          <cell r="A32" t="str">
            <v>Total Exp/Sales</v>
          </cell>
          <cell r="B32">
            <v>0.81127129750982963</v>
          </cell>
          <cell r="C32">
            <v>0.82954545454545459</v>
          </cell>
          <cell r="D32">
            <v>0.86468200270635998</v>
          </cell>
          <cell r="E32">
            <v>0.9084895259095912</v>
          </cell>
          <cell r="F32">
            <v>0.93265993265993263</v>
          </cell>
          <cell r="G32">
            <v>0.93706293706293708</v>
          </cell>
          <cell r="H32">
            <v>0.93811881188118806</v>
          </cell>
          <cell r="I32">
            <v>0.92882991556091365</v>
          </cell>
          <cell r="J32">
            <v>0.89191419141914197</v>
          </cell>
          <cell r="K32">
            <v>0.91276595744680855</v>
          </cell>
          <cell r="L32">
            <v>0.88597560975609757</v>
          </cell>
          <cell r="M32">
            <v>0.85300794551645875</v>
          </cell>
          <cell r="N32">
            <v>0.84329349269588316</v>
          </cell>
          <cell r="O32">
            <v>0.84541062801932365</v>
          </cell>
          <cell r="P32">
            <v>0.86092715231788075</v>
          </cell>
          <cell r="Q32">
            <v>0.8699788583509509</v>
          </cell>
          <cell r="R32">
            <v>0.82884822389666313</v>
          </cell>
          <cell r="S32">
            <v>0.83880037488284909</v>
          </cell>
          <cell r="T32">
            <v>0.86016559337626497</v>
          </cell>
          <cell r="U32">
            <v>0.84414327202323292</v>
          </cell>
          <cell r="Z32">
            <v>0.95958767716996607</v>
          </cell>
          <cell r="AA32">
            <v>0.95279308075585212</v>
          </cell>
          <cell r="AB32">
            <v>0.87982138166535329</v>
          </cell>
          <cell r="AC32">
            <v>0.84646128500823725</v>
          </cell>
          <cell r="AD32">
            <v>0.83430732210381575</v>
          </cell>
          <cell r="AE32">
            <v>0.80455595906239685</v>
          </cell>
          <cell r="AF32">
            <v>0.80857580398162232</v>
          </cell>
          <cell r="AG32">
            <v>0.85497111584068086</v>
          </cell>
          <cell r="AH32">
            <v>0.93414799728445264</v>
          </cell>
          <cell r="AI32">
            <v>0.88379814077025232</v>
          </cell>
          <cell r="AJ32">
            <v>0.85581124381007856</v>
          </cell>
          <cell r="AK32">
            <v>0.84353741496598644</v>
          </cell>
          <cell r="AL32">
            <v>0.82472220519190853</v>
          </cell>
          <cell r="AM32">
            <v>0.80864158774798367</v>
          </cell>
          <cell r="AN32">
            <v>0.80187580799173575</v>
          </cell>
          <cell r="AO32">
            <v>0.82901685321128349</v>
          </cell>
          <cell r="BR32">
            <v>0.86294199443782271</v>
          </cell>
          <cell r="BS32">
            <v>0.83482944344703769</v>
          </cell>
          <cell r="BT32">
            <v>0.83423826253593092</v>
          </cell>
          <cell r="BU32">
            <v>0.85433369301321838</v>
          </cell>
          <cell r="BV32">
            <v>0.84432570788673833</v>
          </cell>
          <cell r="BW32">
            <v>0.83667702740887251</v>
          </cell>
          <cell r="BX32">
            <v>0.82253521126760565</v>
          </cell>
          <cell r="BY32">
            <v>0.83479043990301349</v>
          </cell>
          <cell r="BZ32">
            <v>0.72123287671232872</v>
          </cell>
          <cell r="CA32">
            <v>0.71802679658952495</v>
          </cell>
          <cell r="CB32">
            <v>0.79740791268758526</v>
          </cell>
          <cell r="CC32">
            <v>0.98859060402684562</v>
          </cell>
          <cell r="CD32">
            <v>0.7394662921348315</v>
          </cell>
          <cell r="CE32">
            <v>0.77058823529411768</v>
          </cell>
          <cell r="CF32">
            <v>0.69749403341288785</v>
          </cell>
          <cell r="CG32">
            <v>0.9889473684210488</v>
          </cell>
        </row>
        <row r="33">
          <cell r="A33" t="str">
            <v>Operating Profit</v>
          </cell>
        </row>
        <row r="34">
          <cell r="A34" t="str">
            <v>New Aircraft</v>
          </cell>
          <cell r="B34">
            <v>130</v>
          </cell>
          <cell r="C34">
            <v>162</v>
          </cell>
          <cell r="D34">
            <v>122</v>
          </cell>
          <cell r="E34">
            <v>89</v>
          </cell>
          <cell r="F34">
            <v>56</v>
          </cell>
          <cell r="G34">
            <v>58</v>
          </cell>
          <cell r="H34">
            <v>58</v>
          </cell>
          <cell r="I34">
            <v>70</v>
          </cell>
          <cell r="J34">
            <v>57.5</v>
          </cell>
          <cell r="K34">
            <v>71</v>
          </cell>
          <cell r="L34">
            <v>79</v>
          </cell>
          <cell r="M34">
            <v>114.5</v>
          </cell>
          <cell r="N34">
            <v>77</v>
          </cell>
          <cell r="O34">
            <v>100</v>
          </cell>
          <cell r="P34">
            <v>110</v>
          </cell>
          <cell r="Q34">
            <v>90</v>
          </cell>
          <cell r="R34">
            <v>121</v>
          </cell>
          <cell r="S34">
            <v>127</v>
          </cell>
          <cell r="T34">
            <v>133</v>
          </cell>
          <cell r="U34">
            <v>135</v>
          </cell>
          <cell r="V34">
            <v>145</v>
          </cell>
          <cell r="AA34">
            <v>193.9</v>
          </cell>
          <cell r="AB34">
            <v>297.5</v>
          </cell>
          <cell r="AC34">
            <v>464.3</v>
          </cell>
          <cell r="AD34">
            <v>536</v>
          </cell>
          <cell r="AE34">
            <v>565</v>
          </cell>
          <cell r="AF34">
            <v>570</v>
          </cell>
          <cell r="AG34">
            <v>503</v>
          </cell>
          <cell r="AH34">
            <v>242</v>
          </cell>
          <cell r="AI34">
            <v>322</v>
          </cell>
          <cell r="AJ34">
            <v>377</v>
          </cell>
          <cell r="AK34">
            <v>516</v>
          </cell>
          <cell r="AL34">
            <v>430</v>
          </cell>
          <cell r="AM34">
            <v>430</v>
          </cell>
          <cell r="AN34">
            <v>430</v>
          </cell>
          <cell r="AO34">
            <v>430</v>
          </cell>
          <cell r="BR34">
            <v>87.4</v>
          </cell>
          <cell r="BV34">
            <v>120.8</v>
          </cell>
          <cell r="BW34">
            <v>135.4</v>
          </cell>
          <cell r="BX34">
            <v>138</v>
          </cell>
          <cell r="BY34">
            <v>141.80000000000001</v>
          </cell>
          <cell r="BZ34">
            <v>123</v>
          </cell>
          <cell r="CA34">
            <v>142</v>
          </cell>
          <cell r="CB34">
            <v>140</v>
          </cell>
          <cell r="CC34">
            <v>160</v>
          </cell>
          <cell r="CD34">
            <v>123</v>
          </cell>
          <cell r="CE34">
            <v>142</v>
          </cell>
          <cell r="CF34">
            <v>155</v>
          </cell>
          <cell r="CG34">
            <v>150</v>
          </cell>
        </row>
        <row r="35">
          <cell r="A35" t="str">
            <v>Used Aircraft</v>
          </cell>
          <cell r="B35">
            <v>6</v>
          </cell>
          <cell r="C35">
            <v>-25</v>
          </cell>
          <cell r="D35">
            <v>-25</v>
          </cell>
          <cell r="E35">
            <v>-37</v>
          </cell>
          <cell r="F35">
            <v>-24</v>
          </cell>
          <cell r="G35">
            <v>-24</v>
          </cell>
          <cell r="H35">
            <v>-11</v>
          </cell>
          <cell r="I35">
            <v>-5</v>
          </cell>
          <cell r="J35">
            <v>0</v>
          </cell>
          <cell r="K35">
            <v>0</v>
          </cell>
          <cell r="L35">
            <v>0</v>
          </cell>
          <cell r="M35">
            <v>6</v>
          </cell>
          <cell r="N35">
            <v>2</v>
          </cell>
          <cell r="O35">
            <v>0</v>
          </cell>
          <cell r="P35">
            <v>8</v>
          </cell>
          <cell r="Q35">
            <v>3</v>
          </cell>
          <cell r="R35">
            <v>0</v>
          </cell>
          <cell r="S35">
            <v>13</v>
          </cell>
          <cell r="T35">
            <v>4</v>
          </cell>
          <cell r="U35">
            <v>3</v>
          </cell>
          <cell r="V35">
            <v>2</v>
          </cell>
          <cell r="W35">
            <v>0</v>
          </cell>
          <cell r="X35">
            <v>4</v>
          </cell>
          <cell r="AA35">
            <v>-1.7</v>
          </cell>
          <cell r="AB35">
            <v>8.1999999999999993</v>
          </cell>
          <cell r="AC35">
            <v>11.4</v>
          </cell>
          <cell r="AD35">
            <v>-8</v>
          </cell>
          <cell r="AE35">
            <v>0</v>
          </cell>
          <cell r="AF35">
            <v>0</v>
          </cell>
          <cell r="AG35">
            <v>-81</v>
          </cell>
          <cell r="AH35">
            <v>-64</v>
          </cell>
          <cell r="AI35">
            <v>6</v>
          </cell>
          <cell r="AJ35">
            <v>13</v>
          </cell>
          <cell r="AK35">
            <v>20</v>
          </cell>
          <cell r="AL35">
            <v>0</v>
          </cell>
          <cell r="AM35">
            <v>0</v>
          </cell>
          <cell r="AN35">
            <v>0</v>
          </cell>
          <cell r="AO35">
            <v>0</v>
          </cell>
          <cell r="BR35">
            <v>2.7</v>
          </cell>
          <cell r="BV35">
            <v>-1.6</v>
          </cell>
          <cell r="BW35">
            <v>0</v>
          </cell>
          <cell r="BX35">
            <v>4.5</v>
          </cell>
          <cell r="BY35">
            <v>-10.9</v>
          </cell>
          <cell r="BZ35">
            <v>0</v>
          </cell>
          <cell r="CA35">
            <v>1</v>
          </cell>
          <cell r="CB35">
            <v>0</v>
          </cell>
          <cell r="CC35">
            <v>1</v>
          </cell>
          <cell r="CD35">
            <v>0</v>
          </cell>
          <cell r="CE35">
            <v>1</v>
          </cell>
          <cell r="CF35">
            <v>5</v>
          </cell>
          <cell r="CG35">
            <v>-6</v>
          </cell>
        </row>
        <row r="36">
          <cell r="A36" t="str">
            <v>Spares/support</v>
          </cell>
          <cell r="B36">
            <v>20</v>
          </cell>
          <cell r="C36">
            <v>25</v>
          </cell>
          <cell r="D36">
            <v>15</v>
          </cell>
          <cell r="E36">
            <v>10</v>
          </cell>
          <cell r="F36">
            <v>16</v>
          </cell>
          <cell r="G36">
            <v>19</v>
          </cell>
          <cell r="H36">
            <v>17</v>
          </cell>
          <cell r="I36">
            <v>28</v>
          </cell>
          <cell r="J36">
            <v>15</v>
          </cell>
          <cell r="K36">
            <v>20</v>
          </cell>
          <cell r="L36">
            <v>22</v>
          </cell>
          <cell r="M36">
            <v>23</v>
          </cell>
          <cell r="N36">
            <v>22</v>
          </cell>
          <cell r="O36">
            <v>25</v>
          </cell>
          <cell r="P36">
            <v>28</v>
          </cell>
          <cell r="Q36">
            <v>30</v>
          </cell>
          <cell r="R36">
            <v>24</v>
          </cell>
          <cell r="S36">
            <v>26</v>
          </cell>
          <cell r="T36">
            <v>28</v>
          </cell>
          <cell r="U36">
            <v>30</v>
          </cell>
          <cell r="V36">
            <v>26</v>
          </cell>
          <cell r="W36">
            <v>29</v>
          </cell>
          <cell r="X36">
            <v>32</v>
          </cell>
          <cell r="AA36">
            <v>36.5</v>
          </cell>
          <cell r="AB36">
            <v>45</v>
          </cell>
          <cell r="AC36">
            <v>53.7</v>
          </cell>
          <cell r="AD36">
            <v>68</v>
          </cell>
          <cell r="AE36">
            <v>80</v>
          </cell>
          <cell r="AF36">
            <v>96</v>
          </cell>
          <cell r="AG36">
            <v>70</v>
          </cell>
          <cell r="AH36">
            <v>80</v>
          </cell>
          <cell r="AI36">
            <v>80</v>
          </cell>
          <cell r="AJ36">
            <v>105</v>
          </cell>
          <cell r="AK36">
            <v>108</v>
          </cell>
          <cell r="AL36">
            <v>80</v>
          </cell>
          <cell r="AM36">
            <v>80</v>
          </cell>
          <cell r="AN36">
            <v>80</v>
          </cell>
          <cell r="AO36">
            <v>80</v>
          </cell>
          <cell r="BR36">
            <v>9.9</v>
          </cell>
          <cell r="BV36">
            <v>15.8</v>
          </cell>
          <cell r="BW36">
            <v>19.2</v>
          </cell>
          <cell r="BX36">
            <v>19</v>
          </cell>
          <cell r="BY36">
            <v>14</v>
          </cell>
          <cell r="BZ36">
            <v>20</v>
          </cell>
          <cell r="CA36">
            <v>23</v>
          </cell>
          <cell r="CB36">
            <v>20</v>
          </cell>
          <cell r="CC36">
            <v>17</v>
          </cell>
          <cell r="CD36">
            <v>20</v>
          </cell>
          <cell r="CE36">
            <v>23</v>
          </cell>
          <cell r="CF36">
            <v>10</v>
          </cell>
          <cell r="CG36">
            <v>43</v>
          </cell>
        </row>
        <row r="37">
          <cell r="A37" t="str">
            <v>Unallocated Exp</v>
          </cell>
          <cell r="B37">
            <v>-12</v>
          </cell>
          <cell r="C37">
            <v>-12</v>
          </cell>
          <cell r="D37">
            <v>-12</v>
          </cell>
          <cell r="E37">
            <v>-9</v>
          </cell>
          <cell r="F37">
            <v>-8</v>
          </cell>
          <cell r="G37">
            <v>-8</v>
          </cell>
          <cell r="H37">
            <v>-14</v>
          </cell>
          <cell r="I37">
            <v>-10</v>
          </cell>
          <cell r="J37">
            <v>-7</v>
          </cell>
          <cell r="K37">
            <v>-4</v>
          </cell>
          <cell r="L37">
            <v>-4</v>
          </cell>
          <cell r="M37">
            <v>0</v>
          </cell>
          <cell r="N37">
            <v>0</v>
          </cell>
          <cell r="O37">
            <v>0</v>
          </cell>
          <cell r="P37">
            <v>0</v>
          </cell>
          <cell r="Q37">
            <v>0</v>
          </cell>
          <cell r="R37">
            <v>0</v>
          </cell>
          <cell r="S37">
            <v>0</v>
          </cell>
          <cell r="T37">
            <v>0</v>
          </cell>
          <cell r="U37">
            <v>0</v>
          </cell>
          <cell r="V37">
            <v>0</v>
          </cell>
          <cell r="AA37">
            <v>-178.4</v>
          </cell>
          <cell r="AB37">
            <v>-122</v>
          </cell>
          <cell r="AC37">
            <v>-301</v>
          </cell>
          <cell r="AD37">
            <v>-175</v>
          </cell>
          <cell r="AE37">
            <v>-53</v>
          </cell>
          <cell r="AF37">
            <v>-41</v>
          </cell>
          <cell r="AG37">
            <v>-45</v>
          </cell>
          <cell r="AH37">
            <v>-40</v>
          </cell>
          <cell r="AI37">
            <v>-15</v>
          </cell>
          <cell r="AJ37">
            <v>0</v>
          </cell>
          <cell r="AK37">
            <v>0</v>
          </cell>
          <cell r="AL37">
            <v>0</v>
          </cell>
          <cell r="AM37">
            <v>0</v>
          </cell>
          <cell r="AN37">
            <v>0</v>
          </cell>
          <cell r="AO37">
            <v>0</v>
          </cell>
          <cell r="AP37" t="str">
            <v>- add'l costs not attrib ~corp exp</v>
          </cell>
          <cell r="BR37">
            <v>-30.8</v>
          </cell>
          <cell r="BV37">
            <v>-37.688000000000102</v>
          </cell>
          <cell r="BW37">
            <v>-38.999999999999986</v>
          </cell>
          <cell r="BX37">
            <v>-35.5</v>
          </cell>
          <cell r="BY37">
            <v>-1.8120000000000402</v>
          </cell>
          <cell r="BZ37">
            <v>-25</v>
          </cell>
          <cell r="CA37">
            <v>-25</v>
          </cell>
          <cell r="CB37">
            <v>-25</v>
          </cell>
          <cell r="CC37">
            <v>-169.5</v>
          </cell>
          <cell r="CD37">
            <v>-25</v>
          </cell>
          <cell r="CE37">
            <v>-25</v>
          </cell>
          <cell r="CF37">
            <v>-15</v>
          </cell>
          <cell r="CG37">
            <v>24</v>
          </cell>
        </row>
        <row r="38">
          <cell r="A38" t="str">
            <v>Total</v>
          </cell>
          <cell r="B38">
            <v>144</v>
          </cell>
          <cell r="C38">
            <v>150</v>
          </cell>
          <cell r="D38">
            <v>100</v>
          </cell>
          <cell r="E38">
            <v>53</v>
          </cell>
          <cell r="F38">
            <v>40</v>
          </cell>
          <cell r="G38">
            <v>45</v>
          </cell>
          <cell r="H38">
            <v>50</v>
          </cell>
          <cell r="I38">
            <v>83</v>
          </cell>
          <cell r="J38">
            <v>65.5</v>
          </cell>
          <cell r="K38">
            <v>87</v>
          </cell>
          <cell r="L38">
            <v>97</v>
          </cell>
          <cell r="M38">
            <v>143.5</v>
          </cell>
          <cell r="N38">
            <v>101</v>
          </cell>
          <cell r="O38">
            <v>125</v>
          </cell>
          <cell r="P38">
            <v>146</v>
          </cell>
          <cell r="Q38">
            <v>123</v>
          </cell>
          <cell r="R38">
            <v>145</v>
          </cell>
          <cell r="S38">
            <v>166</v>
          </cell>
          <cell r="T38">
            <v>165</v>
          </cell>
          <cell r="U38">
            <v>168</v>
          </cell>
          <cell r="V38">
            <v>173</v>
          </cell>
          <cell r="W38">
            <v>29</v>
          </cell>
          <cell r="X38">
            <v>36</v>
          </cell>
          <cell r="Y38">
            <v>0</v>
          </cell>
          <cell r="Z38">
            <v>42</v>
          </cell>
          <cell r="AA38">
            <v>50.300000000000011</v>
          </cell>
          <cell r="AB38">
            <v>228.7</v>
          </cell>
          <cell r="AC38">
            <v>228.39999999999998</v>
          </cell>
          <cell r="AD38">
            <v>421</v>
          </cell>
          <cell r="AE38">
            <v>592</v>
          </cell>
          <cell r="AF38">
            <v>625</v>
          </cell>
          <cell r="AG38">
            <v>447</v>
          </cell>
          <cell r="AH38">
            <v>218</v>
          </cell>
          <cell r="AI38">
            <v>393</v>
          </cell>
          <cell r="AJ38">
            <v>495</v>
          </cell>
          <cell r="AK38">
            <v>644</v>
          </cell>
          <cell r="AL38">
            <v>510</v>
          </cell>
          <cell r="AM38">
            <v>510</v>
          </cell>
          <cell r="AN38">
            <v>510</v>
          </cell>
          <cell r="AO38">
            <v>510</v>
          </cell>
          <cell r="BR38">
            <v>69.200000000000017</v>
          </cell>
          <cell r="BS38">
            <v>91.6</v>
          </cell>
          <cell r="BT38">
            <v>103.1</v>
          </cell>
          <cell r="BU38">
            <v>-35.5</v>
          </cell>
          <cell r="BV38">
            <v>97.311999999999898</v>
          </cell>
          <cell r="BW38">
            <v>115.60000000000002</v>
          </cell>
          <cell r="BX38">
            <v>126</v>
          </cell>
          <cell r="BY38">
            <v>143.08799999999997</v>
          </cell>
          <cell r="BZ38">
            <v>203.5</v>
          </cell>
          <cell r="CA38">
            <v>231.5</v>
          </cell>
          <cell r="CB38">
            <v>148.5</v>
          </cell>
          <cell r="CC38">
            <v>8.5</v>
          </cell>
          <cell r="CD38">
            <v>185.5</v>
          </cell>
          <cell r="CE38">
            <v>175.5</v>
          </cell>
          <cell r="CF38">
            <v>155</v>
          </cell>
          <cell r="CG38">
            <v>109</v>
          </cell>
        </row>
        <row r="39">
          <cell r="A39" t="str">
            <v>per Main</v>
          </cell>
          <cell r="B39">
            <v>144</v>
          </cell>
          <cell r="C39">
            <v>150</v>
          </cell>
          <cell r="D39">
            <v>100</v>
          </cell>
          <cell r="E39">
            <v>53</v>
          </cell>
          <cell r="F39">
            <v>40</v>
          </cell>
          <cell r="G39">
            <v>45</v>
          </cell>
          <cell r="H39">
            <v>50</v>
          </cell>
          <cell r="I39">
            <v>83</v>
          </cell>
          <cell r="J39">
            <v>66</v>
          </cell>
          <cell r="K39">
            <v>94</v>
          </cell>
          <cell r="L39">
            <v>117</v>
          </cell>
          <cell r="M39">
            <v>116</v>
          </cell>
          <cell r="N39">
            <v>101</v>
          </cell>
          <cell r="O39">
            <v>125</v>
          </cell>
          <cell r="P39">
            <v>146</v>
          </cell>
          <cell r="Q39">
            <v>123</v>
          </cell>
          <cell r="R39">
            <v>145</v>
          </cell>
          <cell r="S39">
            <v>166</v>
          </cell>
          <cell r="T39">
            <v>165</v>
          </cell>
          <cell r="U39">
            <v>168</v>
          </cell>
          <cell r="V39">
            <v>173</v>
          </cell>
          <cell r="W39">
            <v>199</v>
          </cell>
          <cell r="X39">
            <v>226</v>
          </cell>
          <cell r="Y39">
            <v>212</v>
          </cell>
          <cell r="Z39">
            <v>49.655000000000001</v>
          </cell>
          <cell r="AA39">
            <v>58.289000000000001</v>
          </cell>
          <cell r="AB39">
            <v>229</v>
          </cell>
          <cell r="AC39">
            <v>228.39999999999998</v>
          </cell>
          <cell r="AD39">
            <v>482</v>
          </cell>
          <cell r="AE39">
            <v>592</v>
          </cell>
          <cell r="AF39">
            <v>625</v>
          </cell>
          <cell r="AG39">
            <v>447</v>
          </cell>
          <cell r="AH39">
            <v>218</v>
          </cell>
          <cell r="AI39">
            <v>393</v>
          </cell>
          <cell r="AJ39">
            <v>495</v>
          </cell>
          <cell r="AK39">
            <v>644</v>
          </cell>
          <cell r="AL39">
            <v>810</v>
          </cell>
          <cell r="AM39">
            <v>1021</v>
          </cell>
          <cell r="AN39">
            <v>708.75</v>
          </cell>
          <cell r="AO39">
            <v>742.00000000000011</v>
          </cell>
          <cell r="BV39">
            <v>97.311999999999898</v>
          </cell>
          <cell r="BW39">
            <v>115.60000000000002</v>
          </cell>
          <cell r="BX39">
            <v>128</v>
          </cell>
          <cell r="BY39">
            <v>141.08800000000008</v>
          </cell>
          <cell r="BZ39">
            <v>131</v>
          </cell>
          <cell r="CA39">
            <v>151</v>
          </cell>
          <cell r="CB39">
            <v>149</v>
          </cell>
          <cell r="CC39">
            <v>161</v>
          </cell>
          <cell r="CD39">
            <v>144</v>
          </cell>
          <cell r="CE39">
            <v>157</v>
          </cell>
          <cell r="CF39">
            <v>161</v>
          </cell>
          <cell r="CG39">
            <v>163</v>
          </cell>
        </row>
        <row r="40">
          <cell r="A40" t="str">
            <v>(Sales - expenses)</v>
          </cell>
          <cell r="B40">
            <v>144</v>
          </cell>
          <cell r="C40">
            <v>150</v>
          </cell>
          <cell r="D40">
            <v>100</v>
          </cell>
          <cell r="E40">
            <v>83.000000000000909</v>
          </cell>
          <cell r="F40">
            <v>40</v>
          </cell>
          <cell r="G40">
            <v>45</v>
          </cell>
          <cell r="H40">
            <v>50</v>
          </cell>
          <cell r="I40">
            <v>59.000000000002728</v>
          </cell>
          <cell r="J40">
            <v>65.5</v>
          </cell>
          <cell r="K40">
            <v>61.5</v>
          </cell>
          <cell r="L40">
            <v>93.5</v>
          </cell>
          <cell r="M40">
            <v>129.49999999999977</v>
          </cell>
          <cell r="N40">
            <v>118</v>
          </cell>
          <cell r="O40">
            <v>128</v>
          </cell>
          <cell r="P40">
            <v>126</v>
          </cell>
          <cell r="Q40">
            <v>123.00000000000057</v>
          </cell>
          <cell r="R40">
            <v>159</v>
          </cell>
          <cell r="S40">
            <v>172</v>
          </cell>
          <cell r="T40">
            <v>152</v>
          </cell>
          <cell r="U40">
            <v>161.00000000000045</v>
          </cell>
          <cell r="V40">
            <v>153</v>
          </cell>
          <cell r="W40">
            <v>194</v>
          </cell>
          <cell r="X40">
            <v>210</v>
          </cell>
          <cell r="Y40">
            <v>0</v>
          </cell>
          <cell r="Z40">
            <v>42.089999999999918</v>
          </cell>
          <cell r="AA40">
            <v>50.214000000000055</v>
          </cell>
          <cell r="AB40">
            <v>228.76</v>
          </cell>
          <cell r="AC40">
            <v>372.79199999999992</v>
          </cell>
          <cell r="AD40">
            <v>482</v>
          </cell>
          <cell r="AE40">
            <v>592</v>
          </cell>
          <cell r="AF40">
            <v>625.00000000000364</v>
          </cell>
          <cell r="AG40">
            <v>477.00000000000091</v>
          </cell>
          <cell r="AH40">
            <v>194.00000000000273</v>
          </cell>
          <cell r="AI40">
            <v>350</v>
          </cell>
          <cell r="AJ40">
            <v>495.00000000000045</v>
          </cell>
          <cell r="AK40">
            <v>644</v>
          </cell>
          <cell r="AL40">
            <v>872.43358206875018</v>
          </cell>
          <cell r="AM40">
            <v>1035.3079365285948</v>
          </cell>
          <cell r="AN40">
            <v>1132.843030435024</v>
          </cell>
          <cell r="AO40">
            <v>975.55348986917488</v>
          </cell>
        </row>
        <row r="41">
          <cell r="A41" t="str">
            <v>Operating Margin</v>
          </cell>
        </row>
        <row r="42">
          <cell r="A42" t="str">
            <v>New Aircraft</v>
          </cell>
          <cell r="B42">
            <v>0.35040431266846361</v>
          </cell>
          <cell r="C42">
            <v>0.28222996515679444</v>
          </cell>
          <cell r="D42">
            <v>0.2271880819366853</v>
          </cell>
          <cell r="E42">
            <v>0.15566243987756861</v>
          </cell>
          <cell r="F42">
            <v>0.14285714285714285</v>
          </cell>
          <cell r="G42">
            <v>0.166189111747851</v>
          </cell>
          <cell r="H42">
            <v>0.12033195020746888</v>
          </cell>
          <cell r="I42">
            <v>0.17944404389970234</v>
          </cell>
          <cell r="J42">
            <v>0.13990267639902676</v>
          </cell>
          <cell r="K42">
            <v>0.17749999999999999</v>
          </cell>
          <cell r="L42">
            <v>0.15490196078431373</v>
          </cell>
          <cell r="M42">
            <v>0.21700054783162331</v>
          </cell>
          <cell r="N42">
            <v>0.16382978723404254</v>
          </cell>
          <cell r="O42">
            <v>0.18484288354898337</v>
          </cell>
          <cell r="P42">
            <v>0.18739352640545145</v>
          </cell>
          <cell r="Q42">
            <v>0.13371573557490421</v>
          </cell>
          <cell r="R42">
            <v>0.1942215088282504</v>
          </cell>
          <cell r="S42">
            <v>0.19937205651491366</v>
          </cell>
          <cell r="T42">
            <v>0.18070652173913043</v>
          </cell>
          <cell r="U42">
            <v>0.20874994052046134</v>
          </cell>
          <cell r="V42" t="str">
            <v>=V34/V9</v>
          </cell>
          <cell r="W42" t="str">
            <v>=W34/W9</v>
          </cell>
          <cell r="X42" t="str">
            <v>=X34/X9</v>
          </cell>
          <cell r="Y42" t="str">
            <v>=Y34/Y9</v>
          </cell>
          <cell r="AA42">
            <v>0.26185010128291697</v>
          </cell>
          <cell r="AB42">
            <v>0.19939678284182305</v>
          </cell>
          <cell r="AC42">
            <v>0.24321634363541123</v>
          </cell>
          <cell r="AD42">
            <v>0.23811639271434917</v>
          </cell>
          <cell r="AE42">
            <v>0.24011899702507436</v>
          </cell>
          <cell r="AF42">
            <v>0.21158129175946519</v>
          </cell>
          <cell r="AG42">
            <v>0.2019269369731031</v>
          </cell>
          <cell r="AH42">
            <v>0.11640211640211624</v>
          </cell>
          <cell r="AI42">
            <v>0.14067278287461774</v>
          </cell>
          <cell r="AJ42">
            <v>0.13809523809523808</v>
          </cell>
          <cell r="AK42">
            <v>0.15444477701287038</v>
          </cell>
          <cell r="AL42">
            <v>0.10293401236724277</v>
          </cell>
          <cell r="AM42">
            <v>9.4291878089119874E-2</v>
          </cell>
          <cell r="AN42">
            <v>8.8334812217963452E-2</v>
          </cell>
          <cell r="AO42">
            <v>8.8558390077911733E-2</v>
          </cell>
          <cell r="BR42">
            <v>0.22595656670113753</v>
          </cell>
          <cell r="BV42">
            <v>0.24683285655905191</v>
          </cell>
          <cell r="BW42">
            <v>0.24352517985611513</v>
          </cell>
          <cell r="BX42">
            <v>0.24642857142857144</v>
          </cell>
          <cell r="BY42">
            <v>0.219640644361834</v>
          </cell>
          <cell r="BZ42">
            <v>0.2176991150442478</v>
          </cell>
          <cell r="CA42">
            <v>0.23666666666666666</v>
          </cell>
          <cell r="CB42">
            <v>0.24691358024691357</v>
          </cell>
          <cell r="CC42">
            <v>0.25764895330112719</v>
          </cell>
          <cell r="CD42">
            <v>0.20777027027027026</v>
          </cell>
          <cell r="CE42">
            <v>0.22720000000000001</v>
          </cell>
          <cell r="CF42">
            <v>0.22529069767441862</v>
          </cell>
          <cell r="CG42">
            <v>0.19011406844106377</v>
          </cell>
        </row>
        <row r="43">
          <cell r="A43" t="str">
            <v>Used Aircraft</v>
          </cell>
          <cell r="B43">
            <v>0.08</v>
          </cell>
          <cell r="C43">
            <v>-0.35714285714285715</v>
          </cell>
          <cell r="D43">
            <v>-0.41666666666666669</v>
          </cell>
          <cell r="E43">
            <v>-0.16086956521739129</v>
          </cell>
          <cell r="F43">
            <v>-0.53333333333333333</v>
          </cell>
          <cell r="G43">
            <v>-0.16107382550335569</v>
          </cell>
          <cell r="H43">
            <v>-8.1481481481481488E-2</v>
          </cell>
          <cell r="I43">
            <v>-3.8461538461538464E-2</v>
          </cell>
          <cell r="J43">
            <v>0</v>
          </cell>
          <cell r="K43">
            <v>0</v>
          </cell>
          <cell r="L43">
            <v>0</v>
          </cell>
          <cell r="M43">
            <v>8.2191780821917804E-2</v>
          </cell>
          <cell r="N43">
            <v>4.1666666666666664E-2</v>
          </cell>
          <cell r="O43">
            <v>0</v>
          </cell>
          <cell r="P43">
            <v>0.14285714285714285</v>
          </cell>
          <cell r="Q43">
            <v>3.4482758620689655E-2</v>
          </cell>
          <cell r="R43">
            <v>0</v>
          </cell>
          <cell r="S43">
            <v>0.1111111111111111</v>
          </cell>
          <cell r="T43">
            <v>7.407407407407407E-2</v>
          </cell>
          <cell r="U43">
            <v>0.23076923076923078</v>
          </cell>
          <cell r="V43">
            <v>9.5238095238095233E-2</v>
          </cell>
          <cell r="W43">
            <v>0</v>
          </cell>
          <cell r="X43">
            <v>0.11428571428571428</v>
          </cell>
          <cell r="Y43" t="str">
            <v>=Y35/Y10</v>
          </cell>
          <cell r="AA43">
            <v>-1.1089367253750815E-2</v>
          </cell>
          <cell r="AB43">
            <v>3.8973384030418244E-2</v>
          </cell>
          <cell r="AC43">
            <v>4.8060708263069143E-2</v>
          </cell>
          <cell r="AD43">
            <v>-2.5157232704402517E-2</v>
          </cell>
          <cell r="AE43">
            <v>0</v>
          </cell>
          <cell r="AF43">
            <v>0</v>
          </cell>
          <cell r="AG43">
            <v>-0.18620689655172415</v>
          </cell>
          <cell r="AH43">
            <v>-0.13943355119825709</v>
          </cell>
          <cell r="AI43">
            <v>2.1582733812949641E-2</v>
          </cell>
          <cell r="AJ43">
            <v>5.9360730593607303E-2</v>
          </cell>
          <cell r="AK43">
            <v>9.2165898617511524E-2</v>
          </cell>
          <cell r="AL43">
            <v>0</v>
          </cell>
          <cell r="AM43">
            <v>0</v>
          </cell>
          <cell r="AN43">
            <v>0</v>
          </cell>
          <cell r="AO43">
            <v>0</v>
          </cell>
          <cell r="BR43">
            <v>4.0479760119940034E-2</v>
          </cell>
          <cell r="BV43">
            <v>-3.0418250950570342E-2</v>
          </cell>
          <cell r="BW43">
            <v>0</v>
          </cell>
          <cell r="BX43">
            <v>6.9230769230769235E-2</v>
          </cell>
          <cell r="BY43">
            <v>-8.4104938271604909E-2</v>
          </cell>
          <cell r="BZ43">
            <v>0</v>
          </cell>
          <cell r="CA43">
            <v>8.771929824561403E-3</v>
          </cell>
          <cell r="CB43">
            <v>0</v>
          </cell>
          <cell r="CC43">
            <v>4.7619047619047616E-2</v>
          </cell>
          <cell r="CD43">
            <v>0</v>
          </cell>
          <cell r="CE43">
            <v>0.05</v>
          </cell>
          <cell r="CF43">
            <v>7.1428571428571425E-2</v>
          </cell>
          <cell r="CG43">
            <v>-8.9552238805970144E-2</v>
          </cell>
        </row>
        <row r="44">
          <cell r="A44" t="str">
            <v>Spares/support</v>
          </cell>
          <cell r="B44">
            <v>0.2</v>
          </cell>
          <cell r="C44">
            <v>0.20833333333333334</v>
          </cell>
          <cell r="D44">
            <v>0.15789473684210525</v>
          </cell>
          <cell r="E44">
            <v>0.20833333333333334</v>
          </cell>
          <cell r="F44">
            <v>0.16842105263157894</v>
          </cell>
          <cell r="G44">
            <v>0.19387755102040816</v>
          </cell>
          <cell r="H44">
            <v>0.16190476190476191</v>
          </cell>
          <cell r="I44">
            <v>0.25454545454545452</v>
          </cell>
          <cell r="J44">
            <v>0.14285714285714285</v>
          </cell>
          <cell r="K44">
            <v>0.2</v>
          </cell>
          <cell r="L44">
            <v>0.20952380952380953</v>
          </cell>
          <cell r="M44">
            <v>0.17037037037037037</v>
          </cell>
          <cell r="N44">
            <v>0.19130434782608696</v>
          </cell>
          <cell r="O44">
            <v>0.2</v>
          </cell>
          <cell r="P44">
            <v>0.22764227642276422</v>
          </cell>
          <cell r="Q44">
            <v>0.24793388429752067</v>
          </cell>
          <cell r="R44">
            <v>0.192</v>
          </cell>
          <cell r="S44">
            <v>0.1793103448275862</v>
          </cell>
          <cell r="T44">
            <v>0.20143884892086331</v>
          </cell>
          <cell r="U44">
            <v>0.20134228187919462</v>
          </cell>
          <cell r="V44">
            <v>0.17333333333333334</v>
          </cell>
          <cell r="W44">
            <v>0.16860465116279069</v>
          </cell>
          <cell r="X44">
            <v>0.18285714285714286</v>
          </cell>
          <cell r="Y44" t="str">
            <v>=Y36/Y11</v>
          </cell>
          <cell r="AA44">
            <v>0.214832254267216</v>
          </cell>
          <cell r="AB44">
            <v>0.22376926902038788</v>
          </cell>
          <cell r="AC44">
            <v>0.19056068133427964</v>
          </cell>
          <cell r="AD44">
            <v>0.2</v>
          </cell>
          <cell r="AE44">
            <v>0.19002375296912113</v>
          </cell>
          <cell r="AF44">
            <v>0.24365482233502539</v>
          </cell>
          <cell r="AG44">
            <v>0.1928374655647383</v>
          </cell>
          <cell r="AH44">
            <v>0.19607843137254902</v>
          </cell>
          <cell r="AI44">
            <v>0.1797752808988764</v>
          </cell>
          <cell r="AJ44">
            <v>0.21694214876033058</v>
          </cell>
          <cell r="AK44">
            <v>0.19354838709677419</v>
          </cell>
          <cell r="AL44">
            <v>0.14545454545454545</v>
          </cell>
          <cell r="AM44">
            <v>0.13333333333333333</v>
          </cell>
          <cell r="AN44">
            <v>0.13333333333333333</v>
          </cell>
          <cell r="AO44">
            <v>0.13333333333333333</v>
          </cell>
          <cell r="AP44" t="str">
            <v>20-30% range</v>
          </cell>
          <cell r="BR44">
            <v>0.19839679358717435</v>
          </cell>
          <cell r="BV44">
            <v>0.19013237063778582</v>
          </cell>
          <cell r="BW44">
            <v>0.23703703703703702</v>
          </cell>
          <cell r="BX44">
            <v>0.22352941176470589</v>
          </cell>
          <cell r="BY44">
            <v>0.154015401540154</v>
          </cell>
          <cell r="BZ44">
            <v>0.19047619047619047</v>
          </cell>
          <cell r="CA44">
            <v>0.21495327102803738</v>
          </cell>
          <cell r="CB44">
            <v>0.18867924528301888</v>
          </cell>
          <cell r="CC44">
            <v>0.1650485436893204</v>
          </cell>
          <cell r="CD44">
            <v>0.2</v>
          </cell>
          <cell r="CE44">
            <v>0.19166666666666668</v>
          </cell>
          <cell r="CF44">
            <v>0.125</v>
          </cell>
          <cell r="CG44">
            <v>0.45744680851063829</v>
          </cell>
        </row>
        <row r="45">
          <cell r="A45" t="str">
            <v>Total</v>
          </cell>
          <cell r="B45">
            <v>0.18872870249017037</v>
          </cell>
          <cell r="C45">
            <v>0.17045454545454544</v>
          </cell>
          <cell r="D45">
            <v>0.13531799729364005</v>
          </cell>
          <cell r="E45">
            <v>5.8434399117971277E-2</v>
          </cell>
          <cell r="F45">
            <v>6.7340067340067339E-2</v>
          </cell>
          <cell r="G45">
            <v>6.2937062937062943E-2</v>
          </cell>
          <cell r="H45">
            <v>6.1881188118811881E-2</v>
          </cell>
          <cell r="I45">
            <v>0.10012062726176083</v>
          </cell>
          <cell r="J45">
            <v>0.10808580858085809</v>
          </cell>
          <cell r="K45">
            <v>0.12340425531914893</v>
          </cell>
          <cell r="L45">
            <v>0.11829268292682926</v>
          </cell>
          <cell r="M45">
            <v>0.16288308740068108</v>
          </cell>
          <cell r="N45">
            <v>0.13413014608233731</v>
          </cell>
          <cell r="O45">
            <v>0.15096618357487923</v>
          </cell>
          <cell r="P45">
            <v>0.16114790286975716</v>
          </cell>
          <cell r="Q45">
            <v>0.13002114164904854</v>
          </cell>
          <cell r="R45">
            <v>0.15608180839612487</v>
          </cell>
          <cell r="S45">
            <v>0.15557638238050608</v>
          </cell>
          <cell r="T45">
            <v>0.15179392824287027</v>
          </cell>
          <cell r="U45">
            <v>0.16263310745401735</v>
          </cell>
          <cell r="V45">
            <v>1.0116959064327486</v>
          </cell>
          <cell r="W45">
            <v>0.14948453608247422</v>
          </cell>
          <cell r="X45">
            <v>0.17142857142857143</v>
          </cell>
          <cell r="Y45" t="str">
            <v>=Y38/Y13</v>
          </cell>
          <cell r="Z45">
            <v>4.0325910165393844E-2</v>
          </cell>
          <cell r="AA45">
            <v>4.7287769107831161E-2</v>
          </cell>
          <cell r="AB45">
            <v>0.12014709745206198</v>
          </cell>
          <cell r="AC45">
            <v>9.406919275123557E-2</v>
          </cell>
          <cell r="AD45">
            <v>0.14472327260226883</v>
          </cell>
          <cell r="AE45">
            <v>0.19544404093760318</v>
          </cell>
          <cell r="AF45">
            <v>0.19142419601837651</v>
          </cell>
          <cell r="AG45">
            <v>0.13590757069017934</v>
          </cell>
          <cell r="AH45">
            <v>7.3998642226748068E-2</v>
          </cell>
          <cell r="AI45">
            <v>0.13047808764940239</v>
          </cell>
          <cell r="AJ45">
            <v>0.14418875618992133</v>
          </cell>
          <cell r="AK45">
            <v>0.15646258503401361</v>
          </cell>
          <cell r="AL45">
            <v>0.10246244205794722</v>
          </cell>
          <cell r="AM45">
            <v>9.4264505086050665E-2</v>
          </cell>
          <cell r="AN45">
            <v>8.9194473735176721E-2</v>
          </cell>
          <cell r="AO45">
            <v>8.9386595166544305E-2</v>
          </cell>
          <cell r="BR45">
            <v>0.13746523639253083</v>
          </cell>
          <cell r="BS45">
            <v>0.1644524236983842</v>
          </cell>
          <cell r="BT45">
            <v>0.16464388374321301</v>
          </cell>
          <cell r="BU45">
            <v>-4.7882384677636912E-2</v>
          </cell>
          <cell r="BV45">
            <v>0.1556742921132617</v>
          </cell>
          <cell r="BW45">
            <v>0.16332297259112749</v>
          </cell>
          <cell r="BX45">
            <v>0.17746478873239438</v>
          </cell>
          <cell r="BY45">
            <v>0.16520956009698648</v>
          </cell>
          <cell r="BZ45">
            <v>0.27876712328767123</v>
          </cell>
          <cell r="CA45">
            <v>0.28197320341047505</v>
          </cell>
          <cell r="CB45">
            <v>0.20259208731241474</v>
          </cell>
          <cell r="CC45">
            <v>1.1409395973154362E-2</v>
          </cell>
          <cell r="CD45">
            <v>0.26053370786516855</v>
          </cell>
          <cell r="CE45">
            <v>0.22941176470588234</v>
          </cell>
          <cell r="CF45">
            <v>0.18496420047732698</v>
          </cell>
          <cell r="CG45">
            <v>0.11473684210526272</v>
          </cell>
        </row>
        <row r="46">
          <cell r="A46" t="str">
            <v>GM ex. Used</v>
          </cell>
          <cell r="B46">
            <v>0.2005813953488372</v>
          </cell>
          <cell r="C46">
            <v>0.21604938271604937</v>
          </cell>
          <cell r="D46">
            <v>0.18409425625920472</v>
          </cell>
          <cell r="E46">
            <v>0.13293943870014754</v>
          </cell>
          <cell r="F46">
            <v>0.11657559198542805</v>
          </cell>
          <cell r="G46">
            <v>0.12190812720848057</v>
          </cell>
          <cell r="H46">
            <v>9.0638930163447248E-2</v>
          </cell>
          <cell r="I46">
            <v>0.12589413447782496</v>
          </cell>
          <cell r="J46">
            <v>0.11273666092943202</v>
          </cell>
          <cell r="K46">
            <v>0.13919999999999999</v>
          </cell>
          <cell r="L46">
            <v>0.13472222222222222</v>
          </cell>
          <cell r="M46">
            <v>0.17017326732673271</v>
          </cell>
          <cell r="N46">
            <v>0.14042553191489363</v>
          </cell>
          <cell r="O46">
            <v>0.15625</v>
          </cell>
          <cell r="P46">
            <v>0.16235294117647059</v>
          </cell>
          <cell r="Q46">
            <v>0.13969732246798594</v>
          </cell>
          <cell r="R46">
            <v>0.16183035714285715</v>
          </cell>
          <cell r="S46">
            <v>0.16105263157894736</v>
          </cell>
          <cell r="T46">
            <v>0.1558567279767667</v>
          </cell>
          <cell r="U46">
            <v>0.16176470588235287</v>
          </cell>
          <cell r="V46">
            <v>1.1399999999999999</v>
          </cell>
          <cell r="W46">
            <v>0.16860465116279069</v>
          </cell>
          <cell r="X46">
            <v>0.18285714285714286</v>
          </cell>
          <cell r="Y46" t="str">
            <v>=(+Y34+Y36+Y37)/(+Y9+Y11+Y12)</v>
          </cell>
          <cell r="AA46">
            <v>5.7117750439367315E-2</v>
          </cell>
          <cell r="AB46">
            <v>0.13023448112928948</v>
          </cell>
          <cell r="AC46">
            <v>9.9050575132371727E-2</v>
          </cell>
          <cell r="AD46">
            <v>0.16557313778463914</v>
          </cell>
          <cell r="AE46">
            <v>0.21341023792357605</v>
          </cell>
          <cell r="AF46">
            <v>0.20239637305699459</v>
          </cell>
          <cell r="AG46">
            <v>0.18500350385423961</v>
          </cell>
          <cell r="AH46">
            <v>0.11338962605548841</v>
          </cell>
          <cell r="AI46">
            <v>0.1415508412582297</v>
          </cell>
          <cell r="AJ46">
            <v>0.14996888612321094</v>
          </cell>
          <cell r="AK46">
            <v>0.16004103616311874</v>
          </cell>
          <cell r="AL46">
            <v>0.10788094452229645</v>
          </cell>
          <cell r="AM46">
            <v>9.8831311284706708E-2</v>
          </cell>
          <cell r="AN46">
            <v>9.3272611733959038E-2</v>
          </cell>
          <cell r="AO46">
            <v>9.3482723787248562E-2</v>
          </cell>
          <cell r="BR46">
            <v>0.1522784520265629</v>
          </cell>
          <cell r="BV46">
            <v>0.17277205240174653</v>
          </cell>
          <cell r="BW46">
            <v>0.18147566718995292</v>
          </cell>
          <cell r="BX46">
            <v>0.1883720930232558</v>
          </cell>
          <cell r="BY46">
            <v>0.20908078750848608</v>
          </cell>
          <cell r="BZ46">
            <v>0.17611940298507461</v>
          </cell>
          <cell r="CA46">
            <v>0.19801980198019803</v>
          </cell>
          <cell r="CB46">
            <v>0.20059435364041606</v>
          </cell>
          <cell r="CC46">
            <v>1.0359116022099447E-2</v>
          </cell>
          <cell r="CD46">
            <v>0.17052023121387283</v>
          </cell>
          <cell r="CE46">
            <v>0.18791946308724833</v>
          </cell>
          <cell r="CF46">
            <v>0.1953125</v>
          </cell>
          <cell r="CG46">
            <v>0.24575311438278494</v>
          </cell>
        </row>
        <row r="47">
          <cell r="A47" t="str">
            <v>GM ex. Used, R&amp;D, SG&amp;A</v>
          </cell>
          <cell r="B47">
            <v>0.26744186046511625</v>
          </cell>
          <cell r="C47">
            <v>0.29012345679012347</v>
          </cell>
          <cell r="D47">
            <v>0.27393225331369664</v>
          </cell>
          <cell r="E47">
            <v>0.24667651403249596</v>
          </cell>
          <cell r="F47">
            <v>0.20947176684881602</v>
          </cell>
          <cell r="G47">
            <v>0.22791519434628976</v>
          </cell>
          <cell r="H47">
            <v>0.1812778603268945</v>
          </cell>
          <cell r="I47">
            <v>0.20457796852646559</v>
          </cell>
          <cell r="J47">
            <v>0.19535283993115318</v>
          </cell>
          <cell r="K47">
            <v>0.22720000000000001</v>
          </cell>
          <cell r="L47">
            <v>0.21111111111111111</v>
          </cell>
          <cell r="M47">
            <v>0.24938118811881196</v>
          </cell>
          <cell r="N47">
            <v>0.23262411347517731</v>
          </cell>
          <cell r="O47">
            <v>0.24374999999999999</v>
          </cell>
          <cell r="P47">
            <v>0.26235294117647057</v>
          </cell>
          <cell r="Q47">
            <v>0.26193247962747362</v>
          </cell>
          <cell r="R47">
            <v>0.23995535714285715</v>
          </cell>
          <cell r="S47">
            <v>0.25263157894736843</v>
          </cell>
          <cell r="T47">
            <v>0.25943852855759925</v>
          </cell>
          <cell r="U47">
            <v>0.25588235294117634</v>
          </cell>
          <cell r="V47">
            <v>1.26</v>
          </cell>
          <cell r="W47">
            <v>0.16860465116279069</v>
          </cell>
          <cell r="X47">
            <v>0.18285714285714286</v>
          </cell>
          <cell r="Y47" t="str">
            <v>=(Y34+Y36+Y37+Y19+Y21)/(Y9+Y11+Y12)</v>
          </cell>
          <cell r="AA47">
            <v>0.23022847100175747</v>
          </cell>
          <cell r="AB47">
            <v>0.19419998818734865</v>
          </cell>
          <cell r="AC47">
            <v>0.15898301990140587</v>
          </cell>
          <cell r="AD47">
            <v>0.22346584330374372</v>
          </cell>
          <cell r="AE47">
            <v>0.26784426820475848</v>
          </cell>
          <cell r="AF47">
            <v>0.2577720207253883</v>
          </cell>
          <cell r="AG47">
            <v>0.27049754730203213</v>
          </cell>
          <cell r="AH47">
            <v>0.20466425412143122</v>
          </cell>
          <cell r="AI47">
            <v>0.22275054864667154</v>
          </cell>
          <cell r="AJ47">
            <v>0.25108898568761662</v>
          </cell>
          <cell r="AK47">
            <v>0.25237240318030263</v>
          </cell>
          <cell r="AL47">
            <v>0.19989704426190225</v>
          </cell>
          <cell r="AM47">
            <v>0.18894221275017459</v>
          </cell>
          <cell r="AN47">
            <v>0.18105859924827344</v>
          </cell>
          <cell r="AO47">
            <v>0.18421595569840157</v>
          </cell>
        </row>
        <row r="48">
          <cell r="A48" t="str">
            <v>Interest, net</v>
          </cell>
          <cell r="Z48">
            <v>-13</v>
          </cell>
          <cell r="AA48">
            <v>-3</v>
          </cell>
          <cell r="AB48">
            <v>-20</v>
          </cell>
          <cell r="AC48">
            <v>-21</v>
          </cell>
          <cell r="AD48">
            <v>-28</v>
          </cell>
          <cell r="AE48">
            <v>-17</v>
          </cell>
          <cell r="BR48">
            <v>-4.4770000000000003</v>
          </cell>
          <cell r="BS48">
            <v>-3.9</v>
          </cell>
          <cell r="BT48">
            <v>-4.9000000000000004</v>
          </cell>
          <cell r="BU48">
            <v>-7.722999999999999</v>
          </cell>
          <cell r="BV48">
            <v>-5.1590000000000007</v>
          </cell>
          <cell r="BW48">
            <v>-5.6</v>
          </cell>
          <cell r="BX48">
            <v>-8</v>
          </cell>
          <cell r="BY48">
            <v>-9.2409999999999997</v>
          </cell>
          <cell r="BZ48">
            <v>-3</v>
          </cell>
          <cell r="CA48">
            <v>-4</v>
          </cell>
          <cell r="CB48">
            <v>-4</v>
          </cell>
          <cell r="CC48">
            <v>-6</v>
          </cell>
          <cell r="CD48">
            <v>-3</v>
          </cell>
          <cell r="CE48">
            <v>-4</v>
          </cell>
          <cell r="CF48">
            <v>-4</v>
          </cell>
          <cell r="CG48">
            <v>11</v>
          </cell>
        </row>
        <row r="49">
          <cell r="A49" t="str">
            <v>Pretax Inc.</v>
          </cell>
          <cell r="Z49">
            <v>29</v>
          </cell>
          <cell r="AA49">
            <v>47.300000000000011</v>
          </cell>
          <cell r="AB49">
            <v>208.7</v>
          </cell>
          <cell r="AC49">
            <v>207.39999999999998</v>
          </cell>
          <cell r="AD49">
            <v>393</v>
          </cell>
          <cell r="AE49">
            <v>575</v>
          </cell>
          <cell r="BR49">
            <v>64.723000000000013</v>
          </cell>
          <cell r="BS49">
            <v>87.699999999999989</v>
          </cell>
          <cell r="BT49">
            <v>98.199999999999989</v>
          </cell>
          <cell r="BU49">
            <v>-43.223000000000013</v>
          </cell>
          <cell r="BV49">
            <v>92.152999999999892</v>
          </cell>
          <cell r="BW49">
            <v>110.00000000000003</v>
          </cell>
          <cell r="BX49">
            <v>118</v>
          </cell>
          <cell r="BY49">
            <v>72.847000000000094</v>
          </cell>
          <cell r="BZ49">
            <v>200.5</v>
          </cell>
          <cell r="CA49">
            <v>227.5</v>
          </cell>
          <cell r="CB49">
            <v>144.5</v>
          </cell>
          <cell r="CC49">
            <v>2.5</v>
          </cell>
          <cell r="CD49">
            <v>182.5</v>
          </cell>
          <cell r="CE49">
            <v>171.5</v>
          </cell>
          <cell r="CF49">
            <v>151</v>
          </cell>
          <cell r="CG49">
            <v>-505</v>
          </cell>
        </row>
        <row r="50">
          <cell r="A50" t="str">
            <v>Tax Rate</v>
          </cell>
          <cell r="Z50">
            <v>0</v>
          </cell>
          <cell r="AA50">
            <v>0</v>
          </cell>
          <cell r="AB50">
            <v>-0.16400000000000001</v>
          </cell>
          <cell r="AC50">
            <v>0.36</v>
          </cell>
          <cell r="AD50">
            <v>0.36499999999999999</v>
          </cell>
          <cell r="AE50">
            <v>0.36499999999999999</v>
          </cell>
          <cell r="BR50">
            <v>0.3752607264805401</v>
          </cell>
          <cell r="BS50">
            <v>0.36599999999999999</v>
          </cell>
          <cell r="BT50">
            <v>0.34499999999999997</v>
          </cell>
          <cell r="BU50">
            <v>0.36094671818244917</v>
          </cell>
          <cell r="BV50">
            <v>0.36489316679869388</v>
          </cell>
          <cell r="BW50">
            <v>0.36499999999999999</v>
          </cell>
          <cell r="BX50">
            <v>0.36499999999999999</v>
          </cell>
          <cell r="BY50">
            <v>0.36513514626546029</v>
          </cell>
          <cell r="BZ50">
            <v>0.36499999999999999</v>
          </cell>
          <cell r="CA50">
            <v>0.36499999999999999</v>
          </cell>
          <cell r="CB50">
            <v>0.36499999999999999</v>
          </cell>
          <cell r="CC50">
            <v>0.36499999999999999</v>
          </cell>
          <cell r="CD50">
            <v>0.36499999999999999</v>
          </cell>
          <cell r="CE50">
            <v>0.36499999999999999</v>
          </cell>
          <cell r="CF50">
            <v>0.36499999999999999</v>
          </cell>
          <cell r="CG50">
            <v>0.36499999999999999</v>
          </cell>
        </row>
        <row r="51">
          <cell r="A51" t="str">
            <v>Net Income</v>
          </cell>
          <cell r="Z51">
            <v>29</v>
          </cell>
          <cell r="AA51">
            <v>47.300000000000011</v>
          </cell>
          <cell r="AB51">
            <v>242.92679999999996</v>
          </cell>
          <cell r="AC51">
            <v>132.73599999999999</v>
          </cell>
          <cell r="AD51">
            <v>249.55500000000001</v>
          </cell>
          <cell r="AE51">
            <v>365.125</v>
          </cell>
          <cell r="BR51">
            <v>40.435000000000009</v>
          </cell>
          <cell r="BS51">
            <v>55.60179999999999</v>
          </cell>
          <cell r="BT51">
            <v>64.320999999999998</v>
          </cell>
          <cell r="BU51">
            <v>-27.621800000000007</v>
          </cell>
          <cell r="BV51">
            <v>58.526999999999894</v>
          </cell>
          <cell r="BW51">
            <v>69.850000000000023</v>
          </cell>
          <cell r="BX51">
            <v>74.930000000000007</v>
          </cell>
          <cell r="BY51">
            <v>46.248000000000076</v>
          </cell>
          <cell r="BZ51">
            <v>127.3175</v>
          </cell>
          <cell r="CA51">
            <v>144.46250000000001</v>
          </cell>
          <cell r="CB51">
            <v>91.757500000000007</v>
          </cell>
          <cell r="CC51">
            <v>1.5875000000000341</v>
          </cell>
          <cell r="CD51">
            <v>115.8875</v>
          </cell>
          <cell r="CE51">
            <v>108.9025</v>
          </cell>
          <cell r="CF51">
            <v>95.885000000000005</v>
          </cell>
          <cell r="CG51">
            <v>-320.67500000000001</v>
          </cell>
        </row>
        <row r="52">
          <cell r="A52" t="str">
            <v>EPS Reported</v>
          </cell>
          <cell r="Z52">
            <v>0.36942675159235666</v>
          </cell>
          <cell r="AA52">
            <v>0.60254777070063714</v>
          </cell>
          <cell r="AB52">
            <v>3.1184441591784333</v>
          </cell>
          <cell r="AC52">
            <v>1.7698133333333332</v>
          </cell>
          <cell r="AD52">
            <v>3.363274932614555</v>
          </cell>
          <cell r="AE52">
            <v>4.9341216216216219</v>
          </cell>
          <cell r="BR52">
            <v>0.53627320954907165</v>
          </cell>
          <cell r="BS52">
            <v>0.73256653491436086</v>
          </cell>
          <cell r="BT52">
            <v>0.85990641711229943</v>
          </cell>
          <cell r="BU52">
            <v>-0.35893282824239869</v>
          </cell>
          <cell r="BV52">
            <v>0.79197564276048571</v>
          </cell>
          <cell r="BW52">
            <v>0.95163487738419639</v>
          </cell>
          <cell r="BX52">
            <v>1.0125675675675676</v>
          </cell>
          <cell r="BY52">
            <v>0.60709684490230531</v>
          </cell>
          <cell r="BZ52">
            <v>1.7205067567567567</v>
          </cell>
          <cell r="CA52">
            <v>1.9521959459459459</v>
          </cell>
          <cell r="CB52">
            <v>1.2399662162162164</v>
          </cell>
          <cell r="CC52">
            <v>2.1452702702703164E-2</v>
          </cell>
          <cell r="CD52">
            <v>1.5660472972972974</v>
          </cell>
          <cell r="CE52">
            <v>1.4716554054054054</v>
          </cell>
          <cell r="CF52">
            <v>1.2957432432432434</v>
          </cell>
          <cell r="CG52">
            <v>-4.3334459459459458</v>
          </cell>
        </row>
        <row r="53">
          <cell r="A53" t="str">
            <v>Extraordinary</v>
          </cell>
          <cell r="AB53">
            <v>-1.44</v>
          </cell>
        </row>
        <row r="54">
          <cell r="A54" t="str">
            <v>Opns EPS</v>
          </cell>
          <cell r="Z54">
            <v>0.36942675159235666</v>
          </cell>
          <cell r="AA54">
            <v>0.60254777070063714</v>
          </cell>
          <cell r="AB54">
            <v>1.6784441591784334</v>
          </cell>
          <cell r="AC54">
            <v>1.7698133333333332</v>
          </cell>
          <cell r="AD54">
            <v>3.363274932614555</v>
          </cell>
          <cell r="AE54">
            <v>4.9341216216216219</v>
          </cell>
          <cell r="BR54">
            <v>0.53627320954907165</v>
          </cell>
          <cell r="BS54">
            <v>0.73256653491436086</v>
          </cell>
          <cell r="BT54">
            <v>0.85990641711229943</v>
          </cell>
          <cell r="BU54">
            <v>-0.35893282824239869</v>
          </cell>
          <cell r="BV54">
            <v>0.79197564276048571</v>
          </cell>
          <cell r="BW54">
            <v>0.95163487738419639</v>
          </cell>
          <cell r="BX54">
            <v>1.0125675675675676</v>
          </cell>
          <cell r="BY54">
            <v>0.60709684490230531</v>
          </cell>
          <cell r="BZ54">
            <v>1.7205067567567567</v>
          </cell>
          <cell r="CA54">
            <v>1.9521959459459459</v>
          </cell>
          <cell r="CB54">
            <v>1.2399662162162164</v>
          </cell>
          <cell r="CC54">
            <v>2.1452702702703164E-2</v>
          </cell>
          <cell r="CD54">
            <v>1.5660472972972974</v>
          </cell>
          <cell r="CE54">
            <v>1.4716554054054054</v>
          </cell>
          <cell r="CF54">
            <v>1.2957432432432434</v>
          </cell>
          <cell r="CG54">
            <v>-4.3334459459459458</v>
          </cell>
        </row>
        <row r="55">
          <cell r="A55" t="str">
            <v>Avg. Shs</v>
          </cell>
          <cell r="Z55">
            <v>78.5</v>
          </cell>
          <cell r="AA55">
            <v>78.5</v>
          </cell>
          <cell r="AB55">
            <v>77.900000000000006</v>
          </cell>
          <cell r="AC55">
            <v>75</v>
          </cell>
          <cell r="AD55">
            <v>74.2</v>
          </cell>
          <cell r="AE55">
            <v>74</v>
          </cell>
          <cell r="BR55">
            <v>75.400000000000006</v>
          </cell>
          <cell r="BS55">
            <v>75.900000000000006</v>
          </cell>
          <cell r="BT55">
            <v>74.8</v>
          </cell>
          <cell r="BU55">
            <v>75</v>
          </cell>
          <cell r="BV55">
            <v>73.900000000000006</v>
          </cell>
          <cell r="BW55">
            <v>73.400000000000006</v>
          </cell>
          <cell r="BX55">
            <v>74</v>
          </cell>
          <cell r="BY55">
            <v>74</v>
          </cell>
          <cell r="BZ55">
            <v>74</v>
          </cell>
          <cell r="CA55">
            <v>74</v>
          </cell>
          <cell r="CB55">
            <v>74</v>
          </cell>
          <cell r="CC55">
            <v>74</v>
          </cell>
          <cell r="CD55">
            <v>74</v>
          </cell>
          <cell r="CE55">
            <v>74</v>
          </cell>
          <cell r="CF55">
            <v>74</v>
          </cell>
          <cell r="CG55">
            <v>74</v>
          </cell>
        </row>
        <row r="56">
          <cell r="A56" t="str">
            <v>% Ch. EPS Opns</v>
          </cell>
          <cell r="AA56">
            <v>0.6310344827586214</v>
          </cell>
          <cell r="AB56">
            <v>1.7855785728436993</v>
          </cell>
          <cell r="AC56">
            <v>5.4436826900230884E-2</v>
          </cell>
          <cell r="AD56">
            <v>0.90035574332578672</v>
          </cell>
          <cell r="AE56">
            <v>1.787933353586229</v>
          </cell>
          <cell r="BR56">
            <v>0.05</v>
          </cell>
          <cell r="BS56">
            <v>0.46</v>
          </cell>
          <cell r="BT56">
            <v>0.19</v>
          </cell>
          <cell r="BV56">
            <v>0.47681373721134213</v>
          </cell>
          <cell r="BW56">
            <v>0.29904224671612289</v>
          </cell>
          <cell r="BX56">
            <v>0.17753228423149614</v>
          </cell>
          <cell r="BY56">
            <v>-2.6913940356893562</v>
          </cell>
          <cell r="BZ56">
            <v>1.1724238270255531</v>
          </cell>
          <cell r="CA56">
            <v>1.0514127764127759</v>
          </cell>
          <cell r="CB56">
            <v>0.22457627118644075</v>
          </cell>
          <cell r="CC56">
            <v>-0.96466345874988801</v>
          </cell>
          <cell r="CD56">
            <v>-8.9775561097256706E-2</v>
          </cell>
          <cell r="CE56">
            <v>-0.24615384615384617</v>
          </cell>
          <cell r="CF56">
            <v>4.4982698961937739E-2</v>
          </cell>
          <cell r="CG56">
            <v>-202.99999999999565</v>
          </cell>
        </row>
        <row r="58">
          <cell r="A58" t="str">
            <v>Balance Sheet</v>
          </cell>
        </row>
        <row r="59">
          <cell r="A59" t="str">
            <v>Cash</v>
          </cell>
          <cell r="AB59">
            <v>306.5</v>
          </cell>
          <cell r="AC59">
            <v>38.1</v>
          </cell>
          <cell r="BR59">
            <v>183.2</v>
          </cell>
          <cell r="BS59">
            <v>255.5</v>
          </cell>
          <cell r="BT59">
            <v>0.1</v>
          </cell>
          <cell r="BU59">
            <v>38.149000000000001</v>
          </cell>
          <cell r="BV59">
            <v>75.159000000000006</v>
          </cell>
          <cell r="BW59">
            <v>118.6</v>
          </cell>
        </row>
        <row r="60">
          <cell r="A60" t="str">
            <v>LT Debt</v>
          </cell>
          <cell r="AB60">
            <v>380</v>
          </cell>
          <cell r="AC60">
            <v>361</v>
          </cell>
          <cell r="BR60">
            <v>361.3</v>
          </cell>
          <cell r="BS60">
            <v>342.5</v>
          </cell>
          <cell r="BT60">
            <v>373.8</v>
          </cell>
          <cell r="BU60">
            <v>361</v>
          </cell>
          <cell r="BV60">
            <v>342.25</v>
          </cell>
          <cell r="BW60">
            <v>323.5</v>
          </cell>
        </row>
        <row r="61">
          <cell r="A61" t="str">
            <v>Net Debt</v>
          </cell>
          <cell r="AB61">
            <v>73.5</v>
          </cell>
          <cell r="AC61">
            <v>322.89999999999998</v>
          </cell>
          <cell r="BR61">
            <v>178</v>
          </cell>
          <cell r="BS61">
            <v>87</v>
          </cell>
          <cell r="BT61">
            <v>373.7</v>
          </cell>
          <cell r="BU61">
            <v>322.851</v>
          </cell>
          <cell r="BV61">
            <v>267.09100000000001</v>
          </cell>
          <cell r="BW61">
            <v>204.9</v>
          </cell>
        </row>
        <row r="62">
          <cell r="A62" t="str">
            <v>Equity</v>
          </cell>
          <cell r="AB62">
            <v>92.8</v>
          </cell>
          <cell r="AC62">
            <v>195.7</v>
          </cell>
          <cell r="BR62">
            <v>69</v>
          </cell>
          <cell r="BS62">
            <v>109.8</v>
          </cell>
          <cell r="BT62">
            <v>125.3</v>
          </cell>
          <cell r="BU62">
            <v>195.68</v>
          </cell>
          <cell r="BV62">
            <v>215.20599999999999</v>
          </cell>
          <cell r="BW62">
            <v>280.10000000000002</v>
          </cell>
        </row>
        <row r="63">
          <cell r="A63" t="str">
            <v>Net debt/cap</v>
          </cell>
          <cell r="AB63">
            <v>0.44</v>
          </cell>
          <cell r="AC63">
            <v>0.62</v>
          </cell>
          <cell r="BR63">
            <v>0.72064777327935226</v>
          </cell>
          <cell r="BS63">
            <v>0.44207317073170727</v>
          </cell>
          <cell r="BT63">
            <v>0.7488977955911823</v>
          </cell>
          <cell r="BU63">
            <v>0.62262622678296964</v>
          </cell>
          <cell r="BV63">
            <v>0.55378946997389578</v>
          </cell>
          <cell r="BW63">
            <v>0.42247422680412372</v>
          </cell>
        </row>
        <row r="65">
          <cell r="A65" t="str">
            <v>Orders</v>
          </cell>
        </row>
        <row r="66">
          <cell r="A66" t="str">
            <v>G100</v>
          </cell>
          <cell r="AG66">
            <v>10</v>
          </cell>
        </row>
        <row r="67">
          <cell r="A67" t="str">
            <v>G150</v>
          </cell>
          <cell r="D67">
            <v>50</v>
          </cell>
          <cell r="AG67">
            <v>50</v>
          </cell>
        </row>
        <row r="68">
          <cell r="A68" t="str">
            <v>G200</v>
          </cell>
          <cell r="AG68">
            <v>11</v>
          </cell>
          <cell r="CG68">
            <v>4</v>
          </cell>
        </row>
        <row r="69">
          <cell r="A69" t="str">
            <v>-subtotal Midsize</v>
          </cell>
          <cell r="D69">
            <v>52</v>
          </cell>
          <cell r="E69">
            <v>5</v>
          </cell>
          <cell r="H69">
            <v>5</v>
          </cell>
          <cell r="I69">
            <v>8</v>
          </cell>
          <cell r="M69">
            <v>10</v>
          </cell>
          <cell r="Q69">
            <v>12</v>
          </cell>
          <cell r="Z69">
            <v>0</v>
          </cell>
          <cell r="AA69">
            <v>0</v>
          </cell>
          <cell r="AB69">
            <v>0</v>
          </cell>
          <cell r="AC69">
            <v>0</v>
          </cell>
          <cell r="AD69">
            <v>0</v>
          </cell>
          <cell r="AE69">
            <v>0</v>
          </cell>
          <cell r="AF69">
            <v>53</v>
          </cell>
          <cell r="AG69">
            <v>71</v>
          </cell>
          <cell r="AH69">
            <v>18</v>
          </cell>
          <cell r="AI69">
            <v>24</v>
          </cell>
          <cell r="AJ69">
            <v>32</v>
          </cell>
          <cell r="AK69">
            <v>45</v>
          </cell>
        </row>
        <row r="70">
          <cell r="A70" t="str">
            <v>G300/350</v>
          </cell>
        </row>
        <row r="71">
          <cell r="A71" t="str">
            <v>G400 (GIV/IVSP)</v>
          </cell>
          <cell r="Z71">
            <v>30</v>
          </cell>
          <cell r="AA71">
            <v>44</v>
          </cell>
          <cell r="AB71">
            <v>39</v>
          </cell>
          <cell r="AC71">
            <v>50</v>
          </cell>
          <cell r="AD71">
            <v>26</v>
          </cell>
          <cell r="AE71">
            <v>35</v>
          </cell>
          <cell r="AF71">
            <v>26</v>
          </cell>
          <cell r="AG71">
            <v>32</v>
          </cell>
          <cell r="BV71">
            <v>7</v>
          </cell>
          <cell r="BW71">
            <v>5</v>
          </cell>
          <cell r="CD71">
            <v>9</v>
          </cell>
          <cell r="CG71">
            <v>5</v>
          </cell>
        </row>
        <row r="72">
          <cell r="A72" t="str">
            <v>G450</v>
          </cell>
        </row>
        <row r="73">
          <cell r="A73" t="str">
            <v>GV</v>
          </cell>
          <cell r="Z73">
            <v>12</v>
          </cell>
          <cell r="AA73">
            <v>21</v>
          </cell>
          <cell r="AB73">
            <v>7</v>
          </cell>
          <cell r="AC73">
            <v>40</v>
          </cell>
          <cell r="AD73">
            <v>18</v>
          </cell>
          <cell r="AE73">
            <v>20</v>
          </cell>
          <cell r="AF73">
            <v>24</v>
          </cell>
          <cell r="BV73">
            <v>4</v>
          </cell>
          <cell r="BW73">
            <v>5</v>
          </cell>
          <cell r="CD73">
            <v>9</v>
          </cell>
          <cell r="CG73">
            <v>9</v>
          </cell>
        </row>
        <row r="74">
          <cell r="A74" t="str">
            <v xml:space="preserve">G500 </v>
          </cell>
        </row>
        <row r="75">
          <cell r="A75" t="str">
            <v>G550 (GVSP)</v>
          </cell>
          <cell r="AE75">
            <v>27</v>
          </cell>
          <cell r="AF75">
            <v>20</v>
          </cell>
          <cell r="AG75">
            <v>30</v>
          </cell>
          <cell r="CD75">
            <v>5</v>
          </cell>
          <cell r="CG75">
            <v>3</v>
          </cell>
        </row>
        <row r="76">
          <cell r="A76" t="str">
            <v>-subotal Large Cabin</v>
          </cell>
          <cell r="B76">
            <v>19</v>
          </cell>
          <cell r="C76">
            <v>15</v>
          </cell>
          <cell r="D76">
            <v>6</v>
          </cell>
          <cell r="E76">
            <v>18</v>
          </cell>
          <cell r="H76">
            <v>12</v>
          </cell>
          <cell r="I76">
            <v>26</v>
          </cell>
          <cell r="M76">
            <v>33</v>
          </cell>
          <cell r="Q76">
            <v>32</v>
          </cell>
          <cell r="Z76">
            <v>42</v>
          </cell>
          <cell r="AA76">
            <v>65</v>
          </cell>
          <cell r="AB76">
            <v>46</v>
          </cell>
          <cell r="AC76">
            <v>90</v>
          </cell>
          <cell r="AD76">
            <v>44</v>
          </cell>
          <cell r="AE76">
            <v>82</v>
          </cell>
          <cell r="AF76">
            <v>70</v>
          </cell>
          <cell r="AG76">
            <v>62</v>
          </cell>
          <cell r="AH76">
            <v>41</v>
          </cell>
          <cell r="AI76">
            <v>71</v>
          </cell>
          <cell r="AJ76">
            <v>92</v>
          </cell>
          <cell r="AK76">
            <v>114</v>
          </cell>
        </row>
        <row r="77">
          <cell r="A77" t="str">
            <v>Total</v>
          </cell>
          <cell r="D77">
            <v>58</v>
          </cell>
          <cell r="E77">
            <v>23</v>
          </cell>
          <cell r="H77">
            <v>17</v>
          </cell>
          <cell r="I77">
            <v>34</v>
          </cell>
          <cell r="M77">
            <v>43</v>
          </cell>
          <cell r="Q77">
            <v>44</v>
          </cell>
          <cell r="Z77">
            <v>42</v>
          </cell>
          <cell r="AA77">
            <v>65</v>
          </cell>
          <cell r="AB77">
            <v>46</v>
          </cell>
          <cell r="AC77">
            <v>90</v>
          </cell>
          <cell r="AD77">
            <v>44</v>
          </cell>
          <cell r="AE77">
            <v>82</v>
          </cell>
          <cell r="AF77">
            <v>123</v>
          </cell>
          <cell r="AG77">
            <v>133</v>
          </cell>
          <cell r="AH77">
            <v>59</v>
          </cell>
          <cell r="AI77">
            <v>95</v>
          </cell>
          <cell r="AJ77">
            <v>124</v>
          </cell>
          <cell r="AK77">
            <v>159</v>
          </cell>
          <cell r="BR77">
            <v>0</v>
          </cell>
          <cell r="BS77">
            <v>0</v>
          </cell>
          <cell r="BT77">
            <v>0</v>
          </cell>
          <cell r="BU77">
            <v>0</v>
          </cell>
          <cell r="BV77">
            <v>11</v>
          </cell>
          <cell r="BW77">
            <v>10</v>
          </cell>
          <cell r="BX77">
            <v>0</v>
          </cell>
          <cell r="BY77">
            <v>0</v>
          </cell>
          <cell r="BZ77">
            <v>0</v>
          </cell>
          <cell r="CA77">
            <v>0</v>
          </cell>
          <cell r="CB77">
            <v>0</v>
          </cell>
          <cell r="CC77">
            <v>0</v>
          </cell>
          <cell r="CD77">
            <v>23</v>
          </cell>
          <cell r="CE77">
            <v>0</v>
          </cell>
          <cell r="CF77">
            <v>0</v>
          </cell>
          <cell r="CG77">
            <v>17</v>
          </cell>
        </row>
        <row r="78">
          <cell r="A78" t="str">
            <v>Cancellations</v>
          </cell>
          <cell r="AG78">
            <v>-6</v>
          </cell>
          <cell r="AH78">
            <v>-19</v>
          </cell>
          <cell r="AI78">
            <v>-2</v>
          </cell>
        </row>
        <row r="79">
          <cell r="A79" t="str">
            <v>Gross Orders</v>
          </cell>
          <cell r="AG79">
            <v>127</v>
          </cell>
          <cell r="AH79">
            <v>78</v>
          </cell>
          <cell r="AI79">
            <v>97</v>
          </cell>
        </row>
        <row r="80">
          <cell r="AG80" t="str">
            <v>reversed</v>
          </cell>
        </row>
        <row r="81">
          <cell r="A81" t="str">
            <v>Deliveries(Green)</v>
          </cell>
        </row>
        <row r="82">
          <cell r="A82" t="str">
            <v>G100</v>
          </cell>
          <cell r="B82">
            <v>4</v>
          </cell>
          <cell r="C82">
            <v>2</v>
          </cell>
          <cell r="D82">
            <v>2</v>
          </cell>
          <cell r="E82">
            <v>1</v>
          </cell>
          <cell r="F82">
            <v>3</v>
          </cell>
          <cell r="G82">
            <v>1</v>
          </cell>
          <cell r="H82">
            <v>0</v>
          </cell>
          <cell r="I82">
            <v>1</v>
          </cell>
          <cell r="J82">
            <v>0</v>
          </cell>
          <cell r="K82">
            <v>1</v>
          </cell>
          <cell r="L82">
            <v>2</v>
          </cell>
          <cell r="M82">
            <v>1</v>
          </cell>
          <cell r="N82">
            <v>0</v>
          </cell>
          <cell r="O82">
            <v>1</v>
          </cell>
          <cell r="P82">
            <v>1</v>
          </cell>
          <cell r="Q82">
            <v>2</v>
          </cell>
          <cell r="R82">
            <v>1</v>
          </cell>
          <cell r="S82">
            <v>0</v>
          </cell>
          <cell r="T82">
            <v>0</v>
          </cell>
          <cell r="U82">
            <v>0</v>
          </cell>
          <cell r="AF82">
            <v>5</v>
          </cell>
          <cell r="AG82">
            <v>9</v>
          </cell>
          <cell r="AH82">
            <v>5</v>
          </cell>
          <cell r="AI82">
            <v>4</v>
          </cell>
          <cell r="AJ82">
            <v>4</v>
          </cell>
          <cell r="AK82">
            <v>1</v>
          </cell>
          <cell r="AL82">
            <v>0</v>
          </cell>
          <cell r="AM82">
            <v>0</v>
          </cell>
          <cell r="AN82">
            <v>0</v>
          </cell>
          <cell r="AO82">
            <v>0</v>
          </cell>
          <cell r="AS82" t="str">
            <v>-last del 2006</v>
          </cell>
        </row>
        <row r="83">
          <cell r="A83" t="str">
            <v>G150</v>
          </cell>
          <cell r="N83">
            <v>0</v>
          </cell>
          <cell r="O83">
            <v>0</v>
          </cell>
          <cell r="P83">
            <v>0</v>
          </cell>
          <cell r="Q83">
            <v>0</v>
          </cell>
          <cell r="R83">
            <v>0</v>
          </cell>
          <cell r="S83">
            <v>5</v>
          </cell>
          <cell r="T83">
            <v>4</v>
          </cell>
          <cell r="U83">
            <v>5</v>
          </cell>
          <cell r="AK83">
            <v>14</v>
          </cell>
          <cell r="AL83">
            <v>37</v>
          </cell>
          <cell r="AM83">
            <v>44</v>
          </cell>
          <cell r="AN83">
            <v>44</v>
          </cell>
          <cell r="AO83">
            <v>30</v>
          </cell>
          <cell r="AS83" t="str">
            <v>-1st del 2006</v>
          </cell>
        </row>
        <row r="84">
          <cell r="A84" t="str">
            <v>G200</v>
          </cell>
          <cell r="B84">
            <v>8</v>
          </cell>
          <cell r="C84">
            <v>4</v>
          </cell>
          <cell r="D84">
            <v>1</v>
          </cell>
          <cell r="E84">
            <v>2</v>
          </cell>
          <cell r="F84">
            <v>1</v>
          </cell>
          <cell r="G84">
            <v>6</v>
          </cell>
          <cell r="H84">
            <v>5</v>
          </cell>
          <cell r="I84">
            <v>7</v>
          </cell>
          <cell r="J84">
            <v>4</v>
          </cell>
          <cell r="K84">
            <v>5</v>
          </cell>
          <cell r="L84">
            <v>4</v>
          </cell>
          <cell r="M84">
            <v>5</v>
          </cell>
          <cell r="N84">
            <v>6</v>
          </cell>
          <cell r="O84">
            <v>5</v>
          </cell>
          <cell r="P84">
            <v>6</v>
          </cell>
          <cell r="Q84">
            <v>5</v>
          </cell>
          <cell r="R84">
            <v>6</v>
          </cell>
          <cell r="S84">
            <v>8</v>
          </cell>
          <cell r="T84">
            <v>7</v>
          </cell>
          <cell r="U84">
            <v>6</v>
          </cell>
          <cell r="AF84">
            <v>8</v>
          </cell>
          <cell r="AG84">
            <v>15</v>
          </cell>
          <cell r="AH84">
            <v>19</v>
          </cell>
          <cell r="AI84">
            <v>18</v>
          </cell>
          <cell r="AJ84">
            <v>22</v>
          </cell>
          <cell r="AK84">
            <v>27</v>
          </cell>
          <cell r="AL84">
            <v>24</v>
          </cell>
          <cell r="AM84">
            <v>24</v>
          </cell>
          <cell r="AN84">
            <v>30</v>
          </cell>
          <cell r="AO84">
            <v>30</v>
          </cell>
          <cell r="CG84">
            <v>7</v>
          </cell>
        </row>
        <row r="85">
          <cell r="A85" t="str">
            <v>subtotal Midsize</v>
          </cell>
          <cell r="B85">
            <v>12</v>
          </cell>
          <cell r="C85">
            <v>6</v>
          </cell>
          <cell r="D85">
            <v>3</v>
          </cell>
          <cell r="E85">
            <v>3</v>
          </cell>
          <cell r="F85">
            <v>4</v>
          </cell>
          <cell r="G85">
            <v>7</v>
          </cell>
          <cell r="H85">
            <v>5</v>
          </cell>
          <cell r="I85">
            <v>8</v>
          </cell>
          <cell r="J85">
            <v>4</v>
          </cell>
          <cell r="K85">
            <v>6</v>
          </cell>
          <cell r="L85">
            <v>6</v>
          </cell>
          <cell r="M85">
            <v>6</v>
          </cell>
          <cell r="N85">
            <v>6</v>
          </cell>
          <cell r="O85">
            <v>6</v>
          </cell>
          <cell r="P85">
            <v>7</v>
          </cell>
          <cell r="Q85">
            <v>7</v>
          </cell>
          <cell r="R85">
            <v>7</v>
          </cell>
          <cell r="S85">
            <v>13</v>
          </cell>
          <cell r="T85">
            <v>11</v>
          </cell>
          <cell r="U85">
            <v>11</v>
          </cell>
          <cell r="V85">
            <v>11</v>
          </cell>
          <cell r="AF85">
            <v>13</v>
          </cell>
          <cell r="AG85">
            <v>24</v>
          </cell>
          <cell r="AH85">
            <v>24</v>
          </cell>
          <cell r="AI85">
            <v>22</v>
          </cell>
          <cell r="AJ85">
            <v>26</v>
          </cell>
          <cell r="AK85">
            <v>42</v>
          </cell>
          <cell r="AL85">
            <v>61</v>
          </cell>
          <cell r="AM85">
            <v>68</v>
          </cell>
          <cell r="AN85">
            <v>74</v>
          </cell>
          <cell r="AO85">
            <v>60</v>
          </cell>
        </row>
        <row r="87">
          <cell r="A87" t="str">
            <v>G300/350</v>
          </cell>
          <cell r="F87">
            <v>2</v>
          </cell>
          <cell r="G87">
            <v>4</v>
          </cell>
          <cell r="H87">
            <v>1</v>
          </cell>
          <cell r="I87">
            <v>1</v>
          </cell>
          <cell r="J87">
            <v>1</v>
          </cell>
          <cell r="K87">
            <v>2</v>
          </cell>
          <cell r="L87">
            <v>2</v>
          </cell>
          <cell r="M87">
            <v>0</v>
          </cell>
          <cell r="N87">
            <v>4</v>
          </cell>
          <cell r="O87">
            <v>1</v>
          </cell>
          <cell r="P87">
            <v>2</v>
          </cell>
          <cell r="Q87">
            <v>0</v>
          </cell>
          <cell r="R87">
            <v>2</v>
          </cell>
          <cell r="S87">
            <v>0</v>
          </cell>
          <cell r="T87">
            <v>0</v>
          </cell>
          <cell r="U87">
            <v>0</v>
          </cell>
          <cell r="AH87">
            <v>8</v>
          </cell>
          <cell r="AI87">
            <v>5</v>
          </cell>
          <cell r="AJ87">
            <v>7</v>
          </cell>
          <cell r="AK87">
            <v>2</v>
          </cell>
          <cell r="AL87">
            <v>8</v>
          </cell>
          <cell r="AM87">
            <v>9</v>
          </cell>
          <cell r="AN87">
            <v>9</v>
          </cell>
          <cell r="AO87">
            <v>9</v>
          </cell>
        </row>
        <row r="88">
          <cell r="A88" t="str">
            <v>G400 (GIV/IVSP)</v>
          </cell>
          <cell r="B88">
            <v>8</v>
          </cell>
          <cell r="C88">
            <v>9</v>
          </cell>
          <cell r="D88">
            <v>6</v>
          </cell>
          <cell r="E88">
            <v>6</v>
          </cell>
          <cell r="F88">
            <v>2</v>
          </cell>
          <cell r="G88">
            <v>3</v>
          </cell>
          <cell r="H88">
            <v>4</v>
          </cell>
          <cell r="I88">
            <v>4</v>
          </cell>
          <cell r="J88">
            <v>4</v>
          </cell>
          <cell r="K88">
            <v>4</v>
          </cell>
          <cell r="L88">
            <v>3</v>
          </cell>
          <cell r="M88">
            <v>0</v>
          </cell>
          <cell r="N88">
            <v>0</v>
          </cell>
          <cell r="O88">
            <v>0</v>
          </cell>
          <cell r="P88">
            <v>0</v>
          </cell>
          <cell r="Q88">
            <v>0</v>
          </cell>
          <cell r="Z88">
            <v>26</v>
          </cell>
          <cell r="AA88">
            <v>24</v>
          </cell>
          <cell r="AB88">
            <v>22</v>
          </cell>
          <cell r="AC88">
            <v>32</v>
          </cell>
          <cell r="AD88">
            <v>39</v>
          </cell>
          <cell r="AE88">
            <v>38</v>
          </cell>
          <cell r="AF88">
            <v>36</v>
          </cell>
          <cell r="AG88">
            <v>29</v>
          </cell>
          <cell r="AH88">
            <v>13</v>
          </cell>
          <cell r="AI88">
            <v>11</v>
          </cell>
          <cell r="BR88">
            <v>6</v>
          </cell>
          <cell r="BS88">
            <v>8</v>
          </cell>
          <cell r="BT88">
            <v>9</v>
          </cell>
          <cell r="BU88">
            <v>9</v>
          </cell>
          <cell r="BV88">
            <v>11</v>
          </cell>
          <cell r="BW88">
            <v>9</v>
          </cell>
          <cell r="BX88">
            <v>10</v>
          </cell>
          <cell r="BY88">
            <v>9</v>
          </cell>
          <cell r="BZ88">
            <v>9</v>
          </cell>
          <cell r="CA88">
            <v>10</v>
          </cell>
          <cell r="CB88">
            <v>9</v>
          </cell>
          <cell r="CC88">
            <v>9</v>
          </cell>
          <cell r="CD88">
            <v>10</v>
          </cell>
          <cell r="CF88">
            <v>8</v>
          </cell>
          <cell r="CG88">
            <v>9</v>
          </cell>
        </row>
        <row r="89">
          <cell r="A89" t="str">
            <v>G450</v>
          </cell>
          <cell r="J89">
            <v>0</v>
          </cell>
          <cell r="K89">
            <v>0</v>
          </cell>
          <cell r="L89">
            <v>1</v>
          </cell>
          <cell r="M89">
            <v>7</v>
          </cell>
          <cell r="N89">
            <v>2</v>
          </cell>
          <cell r="O89">
            <v>5</v>
          </cell>
          <cell r="P89">
            <v>5</v>
          </cell>
          <cell r="Q89">
            <v>8</v>
          </cell>
          <cell r="R89">
            <v>6</v>
          </cell>
          <cell r="S89">
            <v>7</v>
          </cell>
          <cell r="T89">
            <v>8</v>
          </cell>
          <cell r="U89">
            <v>9</v>
          </cell>
          <cell r="AI89">
            <v>8</v>
          </cell>
          <cell r="AJ89">
            <v>20</v>
          </cell>
          <cell r="AK89">
            <v>30</v>
          </cell>
          <cell r="AL89">
            <v>32</v>
          </cell>
          <cell r="AM89">
            <v>36</v>
          </cell>
          <cell r="AN89">
            <v>35</v>
          </cell>
          <cell r="AO89">
            <v>35</v>
          </cell>
        </row>
        <row r="90">
          <cell r="A90" t="str">
            <v>GV</v>
          </cell>
          <cell r="B90">
            <v>7</v>
          </cell>
          <cell r="C90">
            <v>9</v>
          </cell>
          <cell r="D90">
            <v>8</v>
          </cell>
          <cell r="E90">
            <v>7</v>
          </cell>
          <cell r="F90">
            <v>0</v>
          </cell>
          <cell r="G90">
            <v>0</v>
          </cell>
          <cell r="H90">
            <v>1</v>
          </cell>
          <cell r="I90">
            <v>0</v>
          </cell>
          <cell r="Z90">
            <v>0</v>
          </cell>
          <cell r="AA90">
            <v>3</v>
          </cell>
          <cell r="AB90">
            <v>29</v>
          </cell>
          <cell r="AC90">
            <v>29</v>
          </cell>
          <cell r="AD90">
            <v>31</v>
          </cell>
          <cell r="AE90">
            <v>33</v>
          </cell>
          <cell r="AF90">
            <v>35</v>
          </cell>
          <cell r="AG90">
            <v>31</v>
          </cell>
          <cell r="AH90">
            <v>1</v>
          </cell>
          <cell r="BR90">
            <v>7</v>
          </cell>
          <cell r="BS90">
            <v>7</v>
          </cell>
          <cell r="BT90">
            <v>7</v>
          </cell>
          <cell r="BU90">
            <v>8</v>
          </cell>
          <cell r="BV90">
            <v>6</v>
          </cell>
          <cell r="BW90">
            <v>8</v>
          </cell>
          <cell r="BX90">
            <v>8</v>
          </cell>
          <cell r="BY90">
            <v>9</v>
          </cell>
          <cell r="BZ90">
            <v>9</v>
          </cell>
          <cell r="CA90">
            <v>8</v>
          </cell>
          <cell r="CB90">
            <v>8</v>
          </cell>
          <cell r="CC90">
            <v>9</v>
          </cell>
          <cell r="CD90">
            <v>8</v>
          </cell>
          <cell r="CF90">
            <v>10</v>
          </cell>
          <cell r="CG90">
            <v>9</v>
          </cell>
        </row>
        <row r="91">
          <cell r="A91" t="str">
            <v>G500</v>
          </cell>
          <cell r="N91">
            <v>1</v>
          </cell>
          <cell r="O91">
            <v>0</v>
          </cell>
          <cell r="P91">
            <v>0</v>
          </cell>
          <cell r="Q91">
            <v>0</v>
          </cell>
          <cell r="R91">
            <v>2</v>
          </cell>
          <cell r="S91">
            <v>0</v>
          </cell>
          <cell r="T91">
            <v>0</v>
          </cell>
          <cell r="U91">
            <v>1</v>
          </cell>
          <cell r="AJ91">
            <v>1</v>
          </cell>
          <cell r="AK91">
            <v>3</v>
          </cell>
          <cell r="AL91">
            <v>6</v>
          </cell>
          <cell r="AM91">
            <v>7</v>
          </cell>
          <cell r="AN91">
            <v>6</v>
          </cell>
          <cell r="AO91">
            <v>6</v>
          </cell>
        </row>
        <row r="92">
          <cell r="A92" t="str">
            <v>G550 (GVSP)</v>
          </cell>
          <cell r="B92">
            <v>0</v>
          </cell>
          <cell r="C92">
            <v>0</v>
          </cell>
          <cell r="D92">
            <v>0</v>
          </cell>
          <cell r="E92">
            <v>1</v>
          </cell>
          <cell r="F92">
            <v>7</v>
          </cell>
          <cell r="G92">
            <v>5</v>
          </cell>
          <cell r="H92">
            <v>8</v>
          </cell>
          <cell r="I92">
            <v>8</v>
          </cell>
          <cell r="J92">
            <v>8</v>
          </cell>
          <cell r="K92">
            <v>8</v>
          </cell>
          <cell r="L92">
            <v>8</v>
          </cell>
          <cell r="M92">
            <v>8</v>
          </cell>
          <cell r="N92">
            <v>7</v>
          </cell>
          <cell r="O92">
            <v>9</v>
          </cell>
          <cell r="P92">
            <v>10</v>
          </cell>
          <cell r="Q92">
            <v>9</v>
          </cell>
          <cell r="R92">
            <v>8</v>
          </cell>
          <cell r="S92">
            <v>9</v>
          </cell>
          <cell r="T92">
            <v>10</v>
          </cell>
          <cell r="U92">
            <v>9</v>
          </cell>
          <cell r="AG92">
            <v>1</v>
          </cell>
          <cell r="AH92">
            <v>28</v>
          </cell>
          <cell r="AI92">
            <v>32</v>
          </cell>
          <cell r="AJ92">
            <v>35</v>
          </cell>
          <cell r="AK92">
            <v>36</v>
          </cell>
          <cell r="AL92">
            <v>37</v>
          </cell>
          <cell r="AM92">
            <v>38</v>
          </cell>
          <cell r="AN92">
            <v>40</v>
          </cell>
          <cell r="AO92">
            <v>42</v>
          </cell>
          <cell r="AS92" t="str">
            <v>- GVSP dels 03</v>
          </cell>
        </row>
        <row r="93">
          <cell r="A93" t="str">
            <v>-subotal Large Cabin</v>
          </cell>
          <cell r="B93">
            <v>15</v>
          </cell>
          <cell r="C93">
            <v>18</v>
          </cell>
          <cell r="D93">
            <v>14</v>
          </cell>
          <cell r="E93">
            <v>14</v>
          </cell>
          <cell r="F93">
            <v>11</v>
          </cell>
          <cell r="G93">
            <v>12</v>
          </cell>
          <cell r="H93">
            <v>14</v>
          </cell>
          <cell r="I93">
            <v>13</v>
          </cell>
          <cell r="J93">
            <v>13</v>
          </cell>
          <cell r="K93">
            <v>14</v>
          </cell>
          <cell r="L93">
            <v>14</v>
          </cell>
          <cell r="M93">
            <v>15</v>
          </cell>
          <cell r="N93">
            <v>14</v>
          </cell>
          <cell r="O93">
            <v>15</v>
          </cell>
          <cell r="P93">
            <v>17</v>
          </cell>
          <cell r="Q93">
            <v>17</v>
          </cell>
          <cell r="R93">
            <v>18</v>
          </cell>
          <cell r="S93">
            <v>16</v>
          </cell>
          <cell r="T93">
            <v>18</v>
          </cell>
          <cell r="U93">
            <v>19</v>
          </cell>
          <cell r="V93">
            <v>19</v>
          </cell>
          <cell r="Z93">
            <v>26</v>
          </cell>
          <cell r="AA93">
            <v>27</v>
          </cell>
          <cell r="AB93">
            <v>51</v>
          </cell>
          <cell r="AC93">
            <v>61</v>
          </cell>
          <cell r="AD93">
            <v>70</v>
          </cell>
          <cell r="AE93">
            <v>71</v>
          </cell>
          <cell r="AF93">
            <v>71</v>
          </cell>
          <cell r="AG93">
            <v>61</v>
          </cell>
          <cell r="AH93">
            <v>50</v>
          </cell>
          <cell r="AI93">
            <v>56</v>
          </cell>
          <cell r="AJ93">
            <v>63</v>
          </cell>
          <cell r="AK93">
            <v>71</v>
          </cell>
          <cell r="AL93">
            <v>83</v>
          </cell>
          <cell r="AM93">
            <v>90</v>
          </cell>
          <cell r="AN93">
            <v>90</v>
          </cell>
          <cell r="AO93">
            <v>92</v>
          </cell>
        </row>
        <row r="94">
          <cell r="A94" t="str">
            <v>Total</v>
          </cell>
          <cell r="B94">
            <v>27</v>
          </cell>
          <cell r="C94">
            <v>24</v>
          </cell>
          <cell r="D94">
            <v>17</v>
          </cell>
          <cell r="E94">
            <v>17</v>
          </cell>
          <cell r="F94">
            <v>15</v>
          </cell>
          <cell r="G94">
            <v>19</v>
          </cell>
          <cell r="H94">
            <v>19</v>
          </cell>
          <cell r="I94">
            <v>21</v>
          </cell>
          <cell r="J94">
            <v>17</v>
          </cell>
          <cell r="K94">
            <v>20</v>
          </cell>
          <cell r="L94">
            <v>20</v>
          </cell>
          <cell r="M94">
            <v>21</v>
          </cell>
          <cell r="N94">
            <v>20</v>
          </cell>
          <cell r="O94">
            <v>21</v>
          </cell>
          <cell r="P94">
            <v>24</v>
          </cell>
          <cell r="Q94">
            <v>24</v>
          </cell>
          <cell r="R94">
            <v>25</v>
          </cell>
          <cell r="S94">
            <v>29</v>
          </cell>
          <cell r="T94">
            <v>29</v>
          </cell>
          <cell r="U94">
            <v>30</v>
          </cell>
          <cell r="V94">
            <v>30</v>
          </cell>
          <cell r="Z94">
            <v>26</v>
          </cell>
          <cell r="AA94">
            <v>27</v>
          </cell>
          <cell r="AB94">
            <v>51</v>
          </cell>
          <cell r="AC94">
            <v>61</v>
          </cell>
          <cell r="AD94">
            <v>70</v>
          </cell>
          <cell r="AE94">
            <v>71</v>
          </cell>
          <cell r="AF94">
            <v>84</v>
          </cell>
          <cell r="AG94">
            <v>85</v>
          </cell>
          <cell r="AH94">
            <v>74</v>
          </cell>
          <cell r="AI94">
            <v>78</v>
          </cell>
          <cell r="AJ94">
            <v>89</v>
          </cell>
          <cell r="AK94">
            <v>113</v>
          </cell>
          <cell r="AL94">
            <v>144</v>
          </cell>
          <cell r="AM94">
            <v>158</v>
          </cell>
          <cell r="AN94">
            <v>164</v>
          </cell>
          <cell r="AO94">
            <v>152</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row>
        <row r="96">
          <cell r="A96" t="str">
            <v>BOOK:BILL</v>
          </cell>
          <cell r="Z96">
            <v>1.6153846153846154</v>
          </cell>
          <cell r="AA96">
            <v>2.4074074074074074</v>
          </cell>
          <cell r="AB96">
            <v>0.90196078431372551</v>
          </cell>
          <cell r="AC96">
            <v>1.4754098360655739</v>
          </cell>
          <cell r="AD96">
            <v>0.62857142857142856</v>
          </cell>
          <cell r="AE96">
            <v>1.1549295774647887</v>
          </cell>
          <cell r="AF96">
            <v>1.4642857142857142</v>
          </cell>
          <cell r="AG96">
            <v>1.5647058823529412</v>
          </cell>
          <cell r="AH96">
            <v>0.79729729729729726</v>
          </cell>
          <cell r="AI96">
            <v>1.2179487179487178</v>
          </cell>
          <cell r="AJ96">
            <v>1.3932584269662922</v>
          </cell>
          <cell r="AK96">
            <v>1.4070796460176991</v>
          </cell>
        </row>
        <row r="97">
          <cell r="A97" t="str">
            <v>Preowned Sales</v>
          </cell>
          <cell r="B97">
            <v>2</v>
          </cell>
          <cell r="C97">
            <v>4</v>
          </cell>
          <cell r="D97">
            <v>9</v>
          </cell>
          <cell r="E97">
            <v>21</v>
          </cell>
          <cell r="F97">
            <v>4</v>
          </cell>
          <cell r="G97">
            <v>11</v>
          </cell>
          <cell r="H97">
            <v>9</v>
          </cell>
          <cell r="I97">
            <v>7</v>
          </cell>
          <cell r="J97">
            <v>3</v>
          </cell>
          <cell r="K97">
            <v>0</v>
          </cell>
          <cell r="L97">
            <v>5</v>
          </cell>
          <cell r="M97">
            <v>3</v>
          </cell>
          <cell r="N97">
            <v>3</v>
          </cell>
          <cell r="O97">
            <v>2</v>
          </cell>
          <cell r="P97">
            <v>3</v>
          </cell>
          <cell r="Q97">
            <v>4</v>
          </cell>
          <cell r="R97">
            <v>3</v>
          </cell>
          <cell r="S97">
            <v>5</v>
          </cell>
          <cell r="T97">
            <v>2</v>
          </cell>
          <cell r="U97">
            <v>1</v>
          </cell>
          <cell r="V97">
            <v>2</v>
          </cell>
          <cell r="Z97">
            <v>21</v>
          </cell>
          <cell r="AA97">
            <v>16</v>
          </cell>
          <cell r="AB97">
            <v>14</v>
          </cell>
          <cell r="AC97">
            <v>12</v>
          </cell>
          <cell r="AD97">
            <v>17</v>
          </cell>
          <cell r="AE97">
            <v>16</v>
          </cell>
          <cell r="AF97">
            <v>13</v>
          </cell>
          <cell r="AG97">
            <v>36</v>
          </cell>
          <cell r="AH97">
            <v>31</v>
          </cell>
          <cell r="AI97">
            <v>15</v>
          </cell>
          <cell r="AJ97">
            <v>12</v>
          </cell>
          <cell r="AK97">
            <v>11</v>
          </cell>
        </row>
        <row r="98">
          <cell r="A98" t="str">
            <v>Implied ASP on Preowned</v>
          </cell>
          <cell r="B98">
            <v>37.5</v>
          </cell>
          <cell r="C98">
            <v>17.5</v>
          </cell>
          <cell r="D98">
            <v>6.666666666666667</v>
          </cell>
          <cell r="E98">
            <v>10.952380952380953</v>
          </cell>
          <cell r="F98">
            <v>11.25</v>
          </cell>
          <cell r="G98">
            <v>13.545454545454545</v>
          </cell>
          <cell r="H98">
            <v>15</v>
          </cell>
          <cell r="I98">
            <v>18.571428571428573</v>
          </cell>
          <cell r="J98">
            <v>8.3333333333333339</v>
          </cell>
          <cell r="K98" t="str">
            <v>NM</v>
          </cell>
          <cell r="L98">
            <v>20</v>
          </cell>
          <cell r="M98">
            <v>24.333333333333332</v>
          </cell>
          <cell r="N98">
            <v>16</v>
          </cell>
          <cell r="O98">
            <v>14</v>
          </cell>
          <cell r="P98">
            <v>18.666666666666668</v>
          </cell>
          <cell r="Q98">
            <v>21.75</v>
          </cell>
          <cell r="R98">
            <v>11</v>
          </cell>
          <cell r="S98">
            <v>23.4</v>
          </cell>
          <cell r="T98">
            <v>27</v>
          </cell>
          <cell r="U98">
            <v>13</v>
          </cell>
          <cell r="V98">
            <v>10.5</v>
          </cell>
          <cell r="Z98">
            <v>2.1428571428571428</v>
          </cell>
          <cell r="AA98">
            <v>9.5812500000000007</v>
          </cell>
          <cell r="AB98">
            <v>15.028571428571428</v>
          </cell>
          <cell r="AC98">
            <v>19.766666666666666</v>
          </cell>
          <cell r="AD98">
            <v>18.705882352941178</v>
          </cell>
          <cell r="AE98">
            <v>15.9375</v>
          </cell>
          <cell r="AF98">
            <v>13.615384615384615</v>
          </cell>
          <cell r="AG98">
            <v>12.083333333333334</v>
          </cell>
          <cell r="AH98">
            <v>14.806451612903226</v>
          </cell>
          <cell r="AI98">
            <v>18.533333333333335</v>
          </cell>
          <cell r="AJ98">
            <v>18.25</v>
          </cell>
          <cell r="AK98">
            <v>19.727272727272727</v>
          </cell>
        </row>
        <row r="100">
          <cell r="A100" t="str">
            <v>Backlog (Units)</v>
          </cell>
        </row>
        <row r="101">
          <cell r="A101" t="str">
            <v>G100</v>
          </cell>
          <cell r="AE101">
            <v>0</v>
          </cell>
          <cell r="AF101">
            <v>2</v>
          </cell>
          <cell r="AG101">
            <v>1</v>
          </cell>
        </row>
        <row r="102">
          <cell r="A102" t="str">
            <v>G150</v>
          </cell>
          <cell r="AG102">
            <v>50</v>
          </cell>
        </row>
        <row r="103">
          <cell r="A103" t="str">
            <v>G200</v>
          </cell>
          <cell r="AE103">
            <v>0</v>
          </cell>
          <cell r="AF103">
            <v>55</v>
          </cell>
          <cell r="AG103">
            <v>50</v>
          </cell>
          <cell r="CD103">
            <v>5</v>
          </cell>
        </row>
        <row r="104">
          <cell r="A104" t="str">
            <v>subtotal Midsize</v>
          </cell>
          <cell r="AH104">
            <v>84</v>
          </cell>
        </row>
        <row r="105">
          <cell r="A105" t="str">
            <v>G300</v>
          </cell>
          <cell r="AG105">
            <v>3</v>
          </cell>
        </row>
        <row r="106">
          <cell r="A106" t="str">
            <v>G400 (IV/IVSP)</v>
          </cell>
          <cell r="Z106">
            <v>7</v>
          </cell>
          <cell r="AA106">
            <v>27</v>
          </cell>
          <cell r="AB106">
            <v>55</v>
          </cell>
          <cell r="AC106">
            <v>61</v>
          </cell>
          <cell r="AD106">
            <v>39</v>
          </cell>
          <cell r="AE106">
            <v>34</v>
          </cell>
          <cell r="AF106">
            <v>13</v>
          </cell>
          <cell r="AG106">
            <v>13</v>
          </cell>
          <cell r="BU106">
            <v>61</v>
          </cell>
          <cell r="BV106">
            <v>57</v>
          </cell>
          <cell r="BW106">
            <v>53</v>
          </cell>
          <cell r="CD106">
            <v>33</v>
          </cell>
        </row>
        <row r="107">
          <cell r="A107" t="str">
            <v>G450</v>
          </cell>
          <cell r="AG107">
            <v>0</v>
          </cell>
        </row>
        <row r="108">
          <cell r="A108" t="str">
            <v>GV</v>
          </cell>
          <cell r="Z108">
            <v>50</v>
          </cell>
          <cell r="AA108">
            <v>67</v>
          </cell>
          <cell r="AB108">
            <v>45</v>
          </cell>
          <cell r="AC108">
            <v>56</v>
          </cell>
          <cell r="AD108">
            <v>43</v>
          </cell>
          <cell r="AE108">
            <v>25</v>
          </cell>
          <cell r="AF108">
            <v>10</v>
          </cell>
          <cell r="AG108">
            <v>0</v>
          </cell>
          <cell r="BU108">
            <v>56</v>
          </cell>
          <cell r="BV108">
            <v>54</v>
          </cell>
          <cell r="BW108">
            <v>51</v>
          </cell>
          <cell r="CD108">
            <v>26</v>
          </cell>
        </row>
        <row r="109">
          <cell r="A109" t="str">
            <v>G500</v>
          </cell>
          <cell r="AG109">
            <v>0</v>
          </cell>
        </row>
        <row r="110">
          <cell r="A110" t="str">
            <v>G550 (VSP)</v>
          </cell>
          <cell r="AE110">
            <v>48</v>
          </cell>
          <cell r="AF110">
            <v>51</v>
          </cell>
          <cell r="AG110">
            <v>56</v>
          </cell>
        </row>
        <row r="111">
          <cell r="A111" t="str">
            <v>-subotal Large Cabin</v>
          </cell>
          <cell r="AH111">
            <v>93</v>
          </cell>
        </row>
        <row r="112">
          <cell r="A112" t="str">
            <v>Total</v>
          </cell>
          <cell r="Z112">
            <v>57</v>
          </cell>
          <cell r="AA112">
            <v>94</v>
          </cell>
          <cell r="AB112">
            <v>100</v>
          </cell>
          <cell r="AC112">
            <v>117</v>
          </cell>
          <cell r="AD112">
            <v>91</v>
          </cell>
          <cell r="AE112">
            <v>107</v>
          </cell>
          <cell r="AF112">
            <v>131</v>
          </cell>
          <cell r="AG112">
            <v>173</v>
          </cell>
          <cell r="AH112">
            <v>177</v>
          </cell>
          <cell r="AI112">
            <v>173</v>
          </cell>
          <cell r="BR112">
            <v>100</v>
          </cell>
          <cell r="BS112">
            <v>106</v>
          </cell>
          <cell r="BU112">
            <v>117</v>
          </cell>
          <cell r="BV112">
            <v>111</v>
          </cell>
          <cell r="BW112">
            <v>104</v>
          </cell>
          <cell r="CD112">
            <v>64</v>
          </cell>
          <cell r="CE112">
            <v>90</v>
          </cell>
        </row>
        <row r="114">
          <cell r="A114" t="str">
            <v>Backlog ($B), Firm - Total</v>
          </cell>
          <cell r="C114">
            <v>4.3</v>
          </cell>
          <cell r="D114">
            <v>4.5999999999999996</v>
          </cell>
          <cell r="E114">
            <v>4.4980000000000002</v>
          </cell>
          <cell r="F114">
            <v>4.28</v>
          </cell>
          <cell r="G114">
            <v>4.13</v>
          </cell>
          <cell r="H114">
            <v>3.831</v>
          </cell>
          <cell r="I114">
            <v>4.1269999999999998</v>
          </cell>
          <cell r="J114">
            <v>4.0940000000000003</v>
          </cell>
          <cell r="K114">
            <v>3.97</v>
          </cell>
          <cell r="L114">
            <v>4.0659999999999998</v>
          </cell>
          <cell r="M114">
            <v>4.6520000000000001</v>
          </cell>
          <cell r="N114">
            <v>4.7249999999999996</v>
          </cell>
          <cell r="O114">
            <v>4.9770000000000003</v>
          </cell>
          <cell r="P114">
            <v>5.1559999999999997</v>
          </cell>
          <cell r="Q114">
            <v>5.8529999999999998</v>
          </cell>
          <cell r="R114">
            <v>5.798</v>
          </cell>
          <cell r="S114">
            <v>6.2939999999999996</v>
          </cell>
          <cell r="T114">
            <v>6.5</v>
          </cell>
          <cell r="U114">
            <v>6.9409999999999998</v>
          </cell>
          <cell r="V114">
            <v>7.7160000000000002</v>
          </cell>
          <cell r="Z114">
            <v>1.9</v>
          </cell>
          <cell r="AA114">
            <v>3.1040000000000001</v>
          </cell>
          <cell r="AB114">
            <v>2.782</v>
          </cell>
          <cell r="AC114">
            <v>3.302</v>
          </cell>
          <cell r="AD114">
            <v>2.5739999999999998</v>
          </cell>
          <cell r="AE114">
            <v>3.3359999999999999</v>
          </cell>
          <cell r="AF114">
            <v>4.1980000000000004</v>
          </cell>
          <cell r="AG114">
            <v>4.5</v>
          </cell>
          <cell r="AH114">
            <v>4.1269999999999998</v>
          </cell>
          <cell r="AI114">
            <v>4.6520000000000001</v>
          </cell>
          <cell r="AJ114">
            <v>5.8529999999999998</v>
          </cell>
          <cell r="AK114">
            <v>6.9409999999999998</v>
          </cell>
          <cell r="BR114">
            <v>2.8</v>
          </cell>
          <cell r="BS114">
            <v>3.3</v>
          </cell>
          <cell r="BU114">
            <v>3.302</v>
          </cell>
          <cell r="BV114">
            <v>3.2</v>
          </cell>
          <cell r="BW114">
            <v>3</v>
          </cell>
          <cell r="BX114">
            <v>3.5</v>
          </cell>
        </row>
        <row r="116">
          <cell r="A116" t="str">
            <v>Backlog By Green Plane Type</v>
          </cell>
        </row>
        <row r="117">
          <cell r="A117" t="str">
            <v>G100</v>
          </cell>
          <cell r="AG117">
            <v>12</v>
          </cell>
        </row>
        <row r="118">
          <cell r="A118" t="str">
            <v>G150</v>
          </cell>
          <cell r="AG118">
            <v>700</v>
          </cell>
        </row>
        <row r="119">
          <cell r="A119" t="str">
            <v>G200</v>
          </cell>
          <cell r="AF119">
            <v>1045</v>
          </cell>
          <cell r="AG119">
            <v>950</v>
          </cell>
        </row>
        <row r="120">
          <cell r="A120" t="str">
            <v>G300</v>
          </cell>
          <cell r="AG120">
            <v>75</v>
          </cell>
        </row>
        <row r="121">
          <cell r="A121" t="str">
            <v>G400 (IV/IVSP)</v>
          </cell>
          <cell r="AD121">
            <v>1111.5</v>
          </cell>
          <cell r="AE121">
            <v>901</v>
          </cell>
          <cell r="AF121">
            <v>390</v>
          </cell>
          <cell r="AG121">
            <v>390</v>
          </cell>
          <cell r="CD121">
            <v>924</v>
          </cell>
        </row>
        <row r="122">
          <cell r="A122" t="str">
            <v>G450</v>
          </cell>
          <cell r="AG122">
            <v>0</v>
          </cell>
        </row>
        <row r="123">
          <cell r="A123" t="str">
            <v>GV</v>
          </cell>
          <cell r="AD123">
            <v>1483.5</v>
          </cell>
          <cell r="AE123">
            <v>762.5</v>
          </cell>
          <cell r="AF123">
            <v>350</v>
          </cell>
          <cell r="AG123">
            <v>0</v>
          </cell>
          <cell r="CD123">
            <v>832</v>
          </cell>
        </row>
        <row r="124">
          <cell r="A124" t="str">
            <v>G500</v>
          </cell>
          <cell r="AG124">
            <v>0</v>
          </cell>
        </row>
        <row r="125">
          <cell r="A125" t="str">
            <v>G5550 (GVSP)</v>
          </cell>
          <cell r="AE125">
            <v>1656</v>
          </cell>
          <cell r="AF125">
            <v>2040</v>
          </cell>
          <cell r="AG125">
            <v>2240</v>
          </cell>
          <cell r="CD125">
            <v>192.5</v>
          </cell>
        </row>
        <row r="126">
          <cell r="A126" t="str">
            <v>Total</v>
          </cell>
          <cell r="AD126">
            <v>2595</v>
          </cell>
          <cell r="AE126">
            <v>3319.5</v>
          </cell>
          <cell r="AF126">
            <v>3825</v>
          </cell>
          <cell r="AG126">
            <v>2630</v>
          </cell>
          <cell r="CD126">
            <v>1948.5</v>
          </cell>
          <cell r="CE126">
            <v>3319.5</v>
          </cell>
          <cell r="CF126">
            <v>-1371</v>
          </cell>
        </row>
        <row r="127">
          <cell r="A127" t="str">
            <v>Implied Svc/Completions B-L</v>
          </cell>
          <cell r="AD127">
            <v>-21</v>
          </cell>
          <cell r="AE127">
            <v>16.5</v>
          </cell>
          <cell r="AF127">
            <v>373</v>
          </cell>
          <cell r="AG127">
            <v>1870</v>
          </cell>
        </row>
        <row r="129">
          <cell r="A129" t="str">
            <v>Option Commitments</v>
          </cell>
          <cell r="AG129">
            <v>551</v>
          </cell>
          <cell r="AH129">
            <v>229</v>
          </cell>
          <cell r="AI129" t="str">
            <v>- last thru 2005</v>
          </cell>
        </row>
        <row r="130">
          <cell r="A130" t="str">
            <v>Warranty Breakdown</v>
          </cell>
        </row>
        <row r="131">
          <cell r="A131" t="str">
            <v xml:space="preserve">   Expense</v>
          </cell>
          <cell r="AG131">
            <v>86</v>
          </cell>
        </row>
        <row r="132">
          <cell r="A132" t="str">
            <v xml:space="preserve">   Payments</v>
          </cell>
          <cell r="AG132">
            <v>-60</v>
          </cell>
        </row>
        <row r="133">
          <cell r="A133" t="str">
            <v xml:space="preserve">   Adjusts</v>
          </cell>
          <cell r="AG133">
            <v>51</v>
          </cell>
        </row>
        <row r="134">
          <cell r="A134" t="str">
            <v>Warranty Liabilities</v>
          </cell>
          <cell r="AF134">
            <v>137</v>
          </cell>
          <cell r="AG134">
            <v>214</v>
          </cell>
        </row>
        <row r="137">
          <cell r="A137" t="str">
            <v>Gulfstream Est. New Aircraft Revenue Model ($MM)</v>
          </cell>
        </row>
        <row r="138">
          <cell r="B138">
            <v>2002</v>
          </cell>
          <cell r="F138">
            <v>2003</v>
          </cell>
          <cell r="J138">
            <v>2004</v>
          </cell>
          <cell r="N138">
            <v>2005</v>
          </cell>
          <cell r="R138" t="str">
            <v>2006A</v>
          </cell>
          <cell r="V138" t="str">
            <v>2007E</v>
          </cell>
        </row>
        <row r="139">
          <cell r="A139" t="str">
            <v>Revenues</v>
          </cell>
          <cell r="B139" t="str">
            <v xml:space="preserve">Q1 </v>
          </cell>
          <cell r="C139" t="str">
            <v xml:space="preserve">Q2 </v>
          </cell>
          <cell r="D139" t="str">
            <v xml:space="preserve">Q3 </v>
          </cell>
          <cell r="E139" t="str">
            <v xml:space="preserve">Q4 </v>
          </cell>
          <cell r="F139" t="str">
            <v xml:space="preserve">Q1 </v>
          </cell>
          <cell r="G139" t="str">
            <v xml:space="preserve">Q2 </v>
          </cell>
          <cell r="H139" t="str">
            <v xml:space="preserve">Q3 </v>
          </cell>
          <cell r="I139" t="str">
            <v xml:space="preserve">Q4 </v>
          </cell>
          <cell r="J139" t="str">
            <v xml:space="preserve">Q1 </v>
          </cell>
          <cell r="K139" t="str">
            <v xml:space="preserve">Q2 </v>
          </cell>
          <cell r="L139" t="str">
            <v xml:space="preserve">Q3 </v>
          </cell>
          <cell r="M139" t="str">
            <v xml:space="preserve">Q4 </v>
          </cell>
          <cell r="N139" t="str">
            <v xml:space="preserve">Q1 </v>
          </cell>
          <cell r="O139" t="str">
            <v xml:space="preserve">Q2 </v>
          </cell>
          <cell r="P139" t="str">
            <v xml:space="preserve">Q3 </v>
          </cell>
          <cell r="Q139" t="str">
            <v xml:space="preserve">Q4 </v>
          </cell>
          <cell r="R139" t="str">
            <v xml:space="preserve">Q1 </v>
          </cell>
          <cell r="S139" t="str">
            <v xml:space="preserve">Q2 </v>
          </cell>
          <cell r="T139" t="str">
            <v xml:space="preserve">Q3 </v>
          </cell>
          <cell r="U139" t="str">
            <v xml:space="preserve">Q4 </v>
          </cell>
          <cell r="V139" t="str">
            <v xml:space="preserve">Q1A </v>
          </cell>
          <cell r="W139" t="str">
            <v xml:space="preserve">Q2A </v>
          </cell>
          <cell r="X139" t="str">
            <v>Q3A</v>
          </cell>
          <cell r="Y139" t="str">
            <v xml:space="preserve">Q4E </v>
          </cell>
          <cell r="Z139">
            <v>1995</v>
          </cell>
          <cell r="AA139">
            <v>1996</v>
          </cell>
          <cell r="AB139">
            <v>1997</v>
          </cell>
          <cell r="AC139">
            <v>1998</v>
          </cell>
          <cell r="AD139">
            <v>1999</v>
          </cell>
          <cell r="AE139">
            <v>2000</v>
          </cell>
          <cell r="AF139">
            <v>2001</v>
          </cell>
          <cell r="AG139">
            <v>2002</v>
          </cell>
          <cell r="AH139">
            <v>2003</v>
          </cell>
          <cell r="AI139">
            <v>2004</v>
          </cell>
          <cell r="AJ139">
            <v>2005</v>
          </cell>
          <cell r="AK139">
            <v>2006</v>
          </cell>
          <cell r="AL139" t="str">
            <v>2007A</v>
          </cell>
          <cell r="AM139" t="str">
            <v>2008E</v>
          </cell>
          <cell r="AN139" t="str">
            <v>2009E</v>
          </cell>
          <cell r="AO139" t="str">
            <v>2010E</v>
          </cell>
          <cell r="AP139" t="str">
            <v>Comments</v>
          </cell>
        </row>
        <row r="140">
          <cell r="A140" t="str">
            <v>G100</v>
          </cell>
          <cell r="B140">
            <v>48</v>
          </cell>
          <cell r="C140">
            <v>24</v>
          </cell>
          <cell r="D140">
            <v>24</v>
          </cell>
          <cell r="E140">
            <v>12</v>
          </cell>
          <cell r="F140">
            <v>36</v>
          </cell>
          <cell r="G140">
            <v>12</v>
          </cell>
          <cell r="H140">
            <v>0</v>
          </cell>
          <cell r="I140">
            <v>12</v>
          </cell>
          <cell r="J140">
            <v>0</v>
          </cell>
          <cell r="K140">
            <v>12</v>
          </cell>
          <cell r="L140">
            <v>24</v>
          </cell>
          <cell r="M140">
            <v>12</v>
          </cell>
          <cell r="N140">
            <v>0</v>
          </cell>
          <cell r="O140">
            <v>12</v>
          </cell>
          <cell r="P140">
            <v>12</v>
          </cell>
          <cell r="Q140">
            <v>24</v>
          </cell>
          <cell r="R140">
            <v>12</v>
          </cell>
          <cell r="S140">
            <v>0</v>
          </cell>
          <cell r="T140">
            <v>0</v>
          </cell>
          <cell r="U140">
            <v>0</v>
          </cell>
          <cell r="Z140">
            <v>0</v>
          </cell>
          <cell r="AA140">
            <v>0</v>
          </cell>
          <cell r="AB140">
            <v>0</v>
          </cell>
          <cell r="AC140">
            <v>0</v>
          </cell>
          <cell r="AD140">
            <v>0</v>
          </cell>
          <cell r="AE140">
            <v>0</v>
          </cell>
          <cell r="AF140">
            <v>55</v>
          </cell>
          <cell r="AG140">
            <v>99</v>
          </cell>
          <cell r="AH140">
            <v>55</v>
          </cell>
          <cell r="AI140">
            <v>44</v>
          </cell>
          <cell r="AJ140">
            <v>44</v>
          </cell>
          <cell r="AK140">
            <v>11</v>
          </cell>
          <cell r="AL140">
            <v>0</v>
          </cell>
          <cell r="AM140">
            <v>0</v>
          </cell>
          <cell r="AN140">
            <v>0</v>
          </cell>
          <cell r="AO140">
            <v>0</v>
          </cell>
        </row>
        <row r="141">
          <cell r="A141" t="str">
            <v>G150</v>
          </cell>
          <cell r="B141">
            <v>0</v>
          </cell>
          <cell r="C141">
            <v>0</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Z141">
            <v>0</v>
          </cell>
          <cell r="AA141">
            <v>0</v>
          </cell>
          <cell r="AB141">
            <v>0</v>
          </cell>
          <cell r="AC141">
            <v>0</v>
          </cell>
          <cell r="AD141">
            <v>0</v>
          </cell>
          <cell r="AE141">
            <v>0</v>
          </cell>
          <cell r="AF141">
            <v>0</v>
          </cell>
          <cell r="AG141">
            <v>0</v>
          </cell>
          <cell r="AH141">
            <v>0</v>
          </cell>
          <cell r="AI141">
            <v>0</v>
          </cell>
          <cell r="AJ141">
            <v>0</v>
          </cell>
          <cell r="AK141">
            <v>168</v>
          </cell>
          <cell r="AL141">
            <v>457.32</v>
          </cell>
          <cell r="AM141">
            <v>560.15520000000004</v>
          </cell>
          <cell r="AN141">
            <v>576.95985599999995</v>
          </cell>
          <cell r="AO141">
            <v>405.18317160000004</v>
          </cell>
        </row>
        <row r="142">
          <cell r="A142" t="str">
            <v>G200</v>
          </cell>
          <cell r="B142">
            <v>144</v>
          </cell>
          <cell r="C142">
            <v>72</v>
          </cell>
          <cell r="D142">
            <v>18</v>
          </cell>
          <cell r="E142">
            <v>36</v>
          </cell>
          <cell r="F142">
            <v>18</v>
          </cell>
          <cell r="G142">
            <v>108</v>
          </cell>
          <cell r="H142">
            <v>90</v>
          </cell>
          <cell r="I142">
            <v>126</v>
          </cell>
          <cell r="J142">
            <v>72</v>
          </cell>
          <cell r="K142">
            <v>90</v>
          </cell>
          <cell r="L142">
            <v>72</v>
          </cell>
          <cell r="M142">
            <v>90</v>
          </cell>
          <cell r="N142">
            <v>108</v>
          </cell>
          <cell r="O142">
            <v>90</v>
          </cell>
          <cell r="P142">
            <v>108</v>
          </cell>
          <cell r="Q142">
            <v>90</v>
          </cell>
          <cell r="R142">
            <v>108</v>
          </cell>
          <cell r="S142">
            <v>144</v>
          </cell>
          <cell r="T142">
            <v>126</v>
          </cell>
          <cell r="U142">
            <v>108</v>
          </cell>
          <cell r="Z142">
            <v>0</v>
          </cell>
          <cell r="AA142">
            <v>0</v>
          </cell>
          <cell r="AB142">
            <v>0</v>
          </cell>
          <cell r="AC142">
            <v>0</v>
          </cell>
          <cell r="AD142">
            <v>0</v>
          </cell>
          <cell r="AE142">
            <v>0</v>
          </cell>
          <cell r="AF142">
            <v>144</v>
          </cell>
          <cell r="AG142">
            <v>270</v>
          </cell>
          <cell r="AH142">
            <v>342</v>
          </cell>
          <cell r="AI142">
            <v>324</v>
          </cell>
          <cell r="AJ142">
            <v>342</v>
          </cell>
          <cell r="AK142">
            <v>414</v>
          </cell>
          <cell r="AL142">
            <v>432</v>
          </cell>
          <cell r="AM142">
            <v>432</v>
          </cell>
          <cell r="AN142">
            <v>540</v>
          </cell>
          <cell r="AO142">
            <v>540</v>
          </cell>
        </row>
        <row r="143">
          <cell r="A143" t="str">
            <v>-subtotal Midsize Green</v>
          </cell>
          <cell r="B143">
            <v>192</v>
          </cell>
          <cell r="C143">
            <v>96</v>
          </cell>
          <cell r="D143">
            <v>42</v>
          </cell>
          <cell r="E143">
            <v>48</v>
          </cell>
          <cell r="F143">
            <v>54</v>
          </cell>
          <cell r="G143">
            <v>120</v>
          </cell>
          <cell r="H143">
            <v>90</v>
          </cell>
          <cell r="I143">
            <v>138</v>
          </cell>
          <cell r="J143">
            <v>72</v>
          </cell>
          <cell r="K143">
            <v>102</v>
          </cell>
          <cell r="L143">
            <v>96</v>
          </cell>
          <cell r="M143">
            <v>102</v>
          </cell>
          <cell r="N143">
            <v>108</v>
          </cell>
          <cell r="O143">
            <v>102</v>
          </cell>
          <cell r="P143">
            <v>120</v>
          </cell>
          <cell r="Q143">
            <v>114</v>
          </cell>
          <cell r="R143">
            <v>120</v>
          </cell>
          <cell r="S143">
            <v>144</v>
          </cell>
          <cell r="T143">
            <v>126</v>
          </cell>
          <cell r="U143">
            <v>108</v>
          </cell>
          <cell r="Z143">
            <v>0</v>
          </cell>
          <cell r="AA143">
            <v>0</v>
          </cell>
          <cell r="AB143">
            <v>0</v>
          </cell>
          <cell r="AC143">
            <v>0</v>
          </cell>
          <cell r="AD143">
            <v>0</v>
          </cell>
          <cell r="AE143">
            <v>0</v>
          </cell>
          <cell r="AF143">
            <v>199</v>
          </cell>
          <cell r="AG143">
            <v>369</v>
          </cell>
          <cell r="AH143">
            <v>397</v>
          </cell>
          <cell r="AI143">
            <v>368</v>
          </cell>
          <cell r="AJ143">
            <v>386</v>
          </cell>
          <cell r="AK143">
            <v>593</v>
          </cell>
          <cell r="AL143">
            <v>889.31999999999994</v>
          </cell>
          <cell r="AM143">
            <v>992.15520000000004</v>
          </cell>
          <cell r="AN143">
            <v>1116.9598559999999</v>
          </cell>
          <cell r="AO143">
            <v>945.18317160000004</v>
          </cell>
        </row>
        <row r="145">
          <cell r="A145" t="str">
            <v>G300/G350</v>
          </cell>
          <cell r="B145">
            <v>0</v>
          </cell>
          <cell r="C145">
            <v>0</v>
          </cell>
          <cell r="D145">
            <v>0</v>
          </cell>
          <cell r="E145">
            <v>0</v>
          </cell>
          <cell r="F145">
            <v>42</v>
          </cell>
          <cell r="G145">
            <v>84</v>
          </cell>
          <cell r="H145">
            <v>22</v>
          </cell>
          <cell r="I145">
            <v>22</v>
          </cell>
          <cell r="J145">
            <v>22</v>
          </cell>
          <cell r="K145">
            <v>44</v>
          </cell>
          <cell r="L145">
            <v>44</v>
          </cell>
          <cell r="M145">
            <v>0</v>
          </cell>
          <cell r="N145">
            <v>92</v>
          </cell>
          <cell r="O145">
            <v>23</v>
          </cell>
          <cell r="P145">
            <v>46</v>
          </cell>
          <cell r="Q145">
            <v>0</v>
          </cell>
          <cell r="R145">
            <v>46</v>
          </cell>
          <cell r="S145">
            <v>0</v>
          </cell>
          <cell r="T145">
            <v>0</v>
          </cell>
          <cell r="U145">
            <v>0</v>
          </cell>
          <cell r="Z145">
            <v>0</v>
          </cell>
          <cell r="AA145">
            <v>0</v>
          </cell>
          <cell r="AB145">
            <v>0</v>
          </cell>
          <cell r="AC145">
            <v>0</v>
          </cell>
          <cell r="AD145">
            <v>0</v>
          </cell>
          <cell r="AE145">
            <v>0</v>
          </cell>
          <cell r="AF145">
            <v>0</v>
          </cell>
          <cell r="AG145">
            <v>0</v>
          </cell>
          <cell r="AH145">
            <v>168</v>
          </cell>
          <cell r="AI145">
            <v>110</v>
          </cell>
          <cell r="AJ145">
            <v>154</v>
          </cell>
          <cell r="AK145">
            <v>45.32</v>
          </cell>
          <cell r="AL145">
            <v>186.7184</v>
          </cell>
          <cell r="AM145">
            <v>216.35994600000001</v>
          </cell>
          <cell r="AN145">
            <v>222.85074437999998</v>
          </cell>
          <cell r="AO145">
            <v>229.53626671139997</v>
          </cell>
        </row>
        <row r="146">
          <cell r="A146" t="str">
            <v>G400 (IV/IVSP)</v>
          </cell>
          <cell r="B146">
            <v>193.36</v>
          </cell>
          <cell r="C146">
            <v>217.53000000000003</v>
          </cell>
          <cell r="D146">
            <v>145.02000000000001</v>
          </cell>
          <cell r="E146">
            <v>145.02000000000001</v>
          </cell>
          <cell r="F146">
            <v>42</v>
          </cell>
          <cell r="G146">
            <v>63</v>
          </cell>
          <cell r="H146">
            <v>92</v>
          </cell>
          <cell r="I146">
            <v>96</v>
          </cell>
          <cell r="J146">
            <v>92</v>
          </cell>
          <cell r="K146">
            <v>92</v>
          </cell>
          <cell r="L146">
            <v>69</v>
          </cell>
          <cell r="M146">
            <v>0</v>
          </cell>
          <cell r="N146">
            <v>0</v>
          </cell>
          <cell r="O146">
            <v>0</v>
          </cell>
          <cell r="P146">
            <v>0</v>
          </cell>
          <cell r="Q146">
            <v>0</v>
          </cell>
          <cell r="R146">
            <v>0</v>
          </cell>
          <cell r="S146">
            <v>0</v>
          </cell>
          <cell r="T146">
            <v>0</v>
          </cell>
          <cell r="U146">
            <v>0</v>
          </cell>
          <cell r="Z146">
            <v>613.6</v>
          </cell>
          <cell r="AA146">
            <v>576</v>
          </cell>
          <cell r="AB146">
            <v>531.29999999999995</v>
          </cell>
          <cell r="AC146">
            <v>782.4</v>
          </cell>
          <cell r="AD146">
            <v>955.5</v>
          </cell>
          <cell r="AE146">
            <v>922.99999999999989</v>
          </cell>
          <cell r="AF146">
            <v>864</v>
          </cell>
          <cell r="AG146">
            <v>696</v>
          </cell>
          <cell r="AH146">
            <v>255.2132500000028</v>
          </cell>
          <cell r="AI146">
            <v>134.83873749999984</v>
          </cell>
          <cell r="AJ146">
            <v>0</v>
          </cell>
          <cell r="AK146">
            <v>0</v>
          </cell>
          <cell r="AL146">
            <v>0</v>
          </cell>
          <cell r="AM146">
            <v>0</v>
          </cell>
          <cell r="AN146">
            <v>0</v>
          </cell>
          <cell r="AO146">
            <v>0</v>
          </cell>
        </row>
        <row r="147">
          <cell r="A147" t="str">
            <v>G450</v>
          </cell>
          <cell r="B147">
            <v>0</v>
          </cell>
          <cell r="C147">
            <v>0</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Z147">
            <v>0</v>
          </cell>
          <cell r="AA147">
            <v>0</v>
          </cell>
          <cell r="AB147">
            <v>0</v>
          </cell>
          <cell r="AC147">
            <v>0</v>
          </cell>
          <cell r="AD147">
            <v>0</v>
          </cell>
          <cell r="AE147">
            <v>0</v>
          </cell>
          <cell r="AF147">
            <v>0</v>
          </cell>
          <cell r="AG147">
            <v>0</v>
          </cell>
          <cell r="AH147">
            <v>0</v>
          </cell>
          <cell r="AI147">
            <v>160</v>
          </cell>
          <cell r="AJ147">
            <v>458.0309500000007</v>
          </cell>
          <cell r="AK147">
            <v>750</v>
          </cell>
          <cell r="AL147">
            <v>960</v>
          </cell>
          <cell r="AM147">
            <v>1080</v>
          </cell>
          <cell r="AN147">
            <v>1120</v>
          </cell>
          <cell r="AO147">
            <v>1120</v>
          </cell>
        </row>
        <row r="148">
          <cell r="A148" t="str">
            <v>GV</v>
          </cell>
          <cell r="B148">
            <v>210</v>
          </cell>
          <cell r="C148">
            <v>270</v>
          </cell>
          <cell r="D148">
            <v>240</v>
          </cell>
          <cell r="E148">
            <v>210</v>
          </cell>
          <cell r="F148">
            <v>0</v>
          </cell>
          <cell r="G148">
            <v>0</v>
          </cell>
          <cell r="H148">
            <v>32</v>
          </cell>
          <cell r="I148">
            <v>0</v>
          </cell>
          <cell r="J148">
            <v>0</v>
          </cell>
          <cell r="K148">
            <v>0</v>
          </cell>
          <cell r="L148">
            <v>0</v>
          </cell>
          <cell r="M148">
            <v>0</v>
          </cell>
          <cell r="N148">
            <v>0</v>
          </cell>
          <cell r="O148">
            <v>0</v>
          </cell>
          <cell r="P148">
            <v>0</v>
          </cell>
          <cell r="Q148">
            <v>0</v>
          </cell>
          <cell r="R148">
            <v>0</v>
          </cell>
          <cell r="S148">
            <v>0</v>
          </cell>
          <cell r="T148">
            <v>0</v>
          </cell>
          <cell r="U148">
            <v>0</v>
          </cell>
          <cell r="Z148">
            <v>0</v>
          </cell>
          <cell r="AA148">
            <v>90</v>
          </cell>
          <cell r="AB148">
            <v>870</v>
          </cell>
          <cell r="AC148">
            <v>957</v>
          </cell>
          <cell r="AD148">
            <v>1023</v>
          </cell>
          <cell r="AE148">
            <v>1122</v>
          </cell>
          <cell r="AF148">
            <v>1275.4320000000032</v>
          </cell>
          <cell r="AG148">
            <v>979.63000000000113</v>
          </cell>
          <cell r="AH148">
            <v>32</v>
          </cell>
          <cell r="AI148">
            <v>0</v>
          </cell>
          <cell r="AJ148">
            <v>0</v>
          </cell>
          <cell r="AK148">
            <v>0</v>
          </cell>
          <cell r="AL148">
            <v>0</v>
          </cell>
          <cell r="AM148">
            <v>0</v>
          </cell>
          <cell r="AN148">
            <v>0</v>
          </cell>
          <cell r="AO148">
            <v>0</v>
          </cell>
        </row>
        <row r="149">
          <cell r="A149" t="str">
            <v>G500</v>
          </cell>
          <cell r="B149">
            <v>0</v>
          </cell>
          <cell r="C149">
            <v>0</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Z149">
            <v>0</v>
          </cell>
          <cell r="AA149">
            <v>0</v>
          </cell>
          <cell r="AB149">
            <v>0</v>
          </cell>
          <cell r="AC149">
            <v>0</v>
          </cell>
          <cell r="AD149">
            <v>0</v>
          </cell>
          <cell r="AE149">
            <v>0</v>
          </cell>
          <cell r="AF149">
            <v>0</v>
          </cell>
          <cell r="AG149">
            <v>0</v>
          </cell>
          <cell r="AH149">
            <v>0</v>
          </cell>
          <cell r="AI149">
            <v>0</v>
          </cell>
          <cell r="AJ149">
            <v>28</v>
          </cell>
          <cell r="AK149">
            <v>84</v>
          </cell>
          <cell r="AL149">
            <v>173.04</v>
          </cell>
          <cell r="AM149">
            <v>203</v>
          </cell>
          <cell r="AN149">
            <v>192</v>
          </cell>
          <cell r="AO149">
            <v>192</v>
          </cell>
        </row>
        <row r="150">
          <cell r="A150" t="str">
            <v>G550 (GVSP)</v>
          </cell>
          <cell r="B150">
            <v>0</v>
          </cell>
          <cell r="C150">
            <v>0</v>
          </cell>
          <cell r="D150">
            <v>0</v>
          </cell>
          <cell r="E150">
            <v>32</v>
          </cell>
          <cell r="F150">
            <v>224</v>
          </cell>
          <cell r="G150">
            <v>160</v>
          </cell>
          <cell r="H150">
            <v>272</v>
          </cell>
          <cell r="I150">
            <v>280</v>
          </cell>
          <cell r="J150">
            <v>272</v>
          </cell>
          <cell r="K150">
            <v>272</v>
          </cell>
          <cell r="L150">
            <v>272</v>
          </cell>
          <cell r="M150">
            <v>272</v>
          </cell>
          <cell r="N150">
            <v>238</v>
          </cell>
          <cell r="O150">
            <v>306</v>
          </cell>
          <cell r="P150">
            <v>340</v>
          </cell>
          <cell r="Q150">
            <v>306</v>
          </cell>
          <cell r="R150">
            <v>272</v>
          </cell>
          <cell r="S150">
            <v>306</v>
          </cell>
          <cell r="T150">
            <v>340</v>
          </cell>
          <cell r="U150">
            <v>306</v>
          </cell>
          <cell r="Z150">
            <v>0</v>
          </cell>
          <cell r="AA150">
            <v>0</v>
          </cell>
          <cell r="AB150">
            <v>0</v>
          </cell>
          <cell r="AC150">
            <v>0</v>
          </cell>
          <cell r="AD150">
            <v>0</v>
          </cell>
          <cell r="AE150">
            <v>0</v>
          </cell>
          <cell r="AF150">
            <v>0</v>
          </cell>
          <cell r="AG150">
            <v>32</v>
          </cell>
          <cell r="AH150">
            <v>896</v>
          </cell>
          <cell r="AI150">
            <v>1152</v>
          </cell>
          <cell r="AJ150">
            <v>1277.5</v>
          </cell>
          <cell r="AK150">
            <v>1324.1149674062503</v>
          </cell>
          <cell r="AL150">
            <v>1406</v>
          </cell>
          <cell r="AM150">
            <v>1444</v>
          </cell>
          <cell r="AN150">
            <v>1560</v>
          </cell>
          <cell r="AO150">
            <v>1680</v>
          </cell>
        </row>
        <row r="151">
          <cell r="A151" t="str">
            <v>-subtotal Large Green</v>
          </cell>
          <cell r="B151">
            <v>403.36</v>
          </cell>
          <cell r="C151">
            <v>487.53000000000003</v>
          </cell>
          <cell r="D151">
            <v>385.02</v>
          </cell>
          <cell r="E151">
            <v>387.02</v>
          </cell>
          <cell r="F151">
            <v>308</v>
          </cell>
          <cell r="G151">
            <v>307</v>
          </cell>
          <cell r="H151">
            <v>418</v>
          </cell>
          <cell r="I151">
            <v>398</v>
          </cell>
          <cell r="J151">
            <v>386</v>
          </cell>
          <cell r="K151">
            <v>408</v>
          </cell>
          <cell r="L151">
            <v>385</v>
          </cell>
          <cell r="M151">
            <v>272</v>
          </cell>
          <cell r="N151">
            <v>330</v>
          </cell>
          <cell r="O151">
            <v>329</v>
          </cell>
          <cell r="P151">
            <v>386</v>
          </cell>
          <cell r="Q151">
            <v>306</v>
          </cell>
          <cell r="R151">
            <v>318</v>
          </cell>
          <cell r="S151">
            <v>306</v>
          </cell>
          <cell r="T151">
            <v>340</v>
          </cell>
          <cell r="U151">
            <v>306</v>
          </cell>
          <cell r="Z151">
            <v>613.6</v>
          </cell>
          <cell r="AA151">
            <v>666</v>
          </cell>
          <cell r="AB151">
            <v>1401.3</v>
          </cell>
          <cell r="AC151">
            <v>1739.4</v>
          </cell>
          <cell r="AD151">
            <v>1978.5</v>
          </cell>
          <cell r="AE151">
            <v>2045</v>
          </cell>
          <cell r="AF151">
            <v>2139.4320000000034</v>
          </cell>
          <cell r="AG151">
            <v>1707.630000000001</v>
          </cell>
          <cell r="AH151">
            <v>1351.2132500000027</v>
          </cell>
          <cell r="AI151">
            <v>1556.8387374999998</v>
          </cell>
          <cell r="AJ151">
            <v>1917.5309500000008</v>
          </cell>
          <cell r="AK151">
            <v>2203.4349674062505</v>
          </cell>
          <cell r="AL151">
            <v>2725.7583999999997</v>
          </cell>
          <cell r="AM151">
            <v>2943.359946</v>
          </cell>
          <cell r="AN151">
            <v>3094.8507443799999</v>
          </cell>
          <cell r="AO151">
            <v>3221.5362667114</v>
          </cell>
        </row>
        <row r="153">
          <cell r="A153" t="str">
            <v>GAC  Completions</v>
          </cell>
          <cell r="B153">
            <v>76.349999999999994</v>
          </cell>
          <cell r="C153">
            <v>106.89</v>
          </cell>
          <cell r="D153">
            <v>86.53</v>
          </cell>
          <cell r="E153">
            <v>76.349999999999994</v>
          </cell>
          <cell r="F153">
            <v>84</v>
          </cell>
          <cell r="G153">
            <v>66</v>
          </cell>
          <cell r="H153">
            <v>84</v>
          </cell>
          <cell r="I153">
            <v>84</v>
          </cell>
          <cell r="J153">
            <v>49</v>
          </cell>
          <cell r="K153">
            <v>105</v>
          </cell>
          <cell r="L153">
            <v>98</v>
          </cell>
          <cell r="M153">
            <v>112</v>
          </cell>
          <cell r="N153">
            <v>84</v>
          </cell>
          <cell r="O153">
            <v>98</v>
          </cell>
          <cell r="P153">
            <v>119</v>
          </cell>
          <cell r="Q153">
            <v>119</v>
          </cell>
          <cell r="R153">
            <v>112</v>
          </cell>
          <cell r="S153">
            <v>140</v>
          </cell>
          <cell r="T153">
            <v>126</v>
          </cell>
          <cell r="U153">
            <v>119</v>
          </cell>
          <cell r="Z153">
            <v>58</v>
          </cell>
          <cell r="AA153">
            <v>75.059999999999988</v>
          </cell>
          <cell r="AB153">
            <v>91</v>
          </cell>
          <cell r="AC153">
            <v>184</v>
          </cell>
          <cell r="AD153">
            <v>275.39999999999998</v>
          </cell>
          <cell r="AE153">
            <v>308</v>
          </cell>
          <cell r="AF153">
            <v>355.56799999999998</v>
          </cell>
          <cell r="AG153">
            <v>346.12</v>
          </cell>
          <cell r="AH153">
            <v>261.88049999999998</v>
          </cell>
          <cell r="AI153">
            <v>291.80970000000002</v>
          </cell>
          <cell r="AJ153">
            <v>353.53867499999996</v>
          </cell>
          <cell r="AK153">
            <v>439.27180368750004</v>
          </cell>
          <cell r="AL153">
            <v>441.74657441250002</v>
          </cell>
          <cell r="AM153">
            <v>491.11825037625005</v>
          </cell>
          <cell r="AN153">
            <v>515.67416289506252</v>
          </cell>
          <cell r="AO153">
            <v>541.4578710398157</v>
          </cell>
        </row>
        <row r="154">
          <cell r="A154" t="str">
            <v>Galaxy  Completions</v>
          </cell>
          <cell r="B154">
            <v>25</v>
          </cell>
          <cell r="C154">
            <v>20</v>
          </cell>
          <cell r="D154">
            <v>5</v>
          </cell>
          <cell r="E154">
            <v>15</v>
          </cell>
          <cell r="F154">
            <v>7.5</v>
          </cell>
          <cell r="G154">
            <v>5</v>
          </cell>
          <cell r="H154">
            <v>32</v>
          </cell>
          <cell r="I154">
            <v>48</v>
          </cell>
          <cell r="J154">
            <v>20</v>
          </cell>
          <cell r="K154">
            <v>12</v>
          </cell>
          <cell r="L154">
            <v>28</v>
          </cell>
          <cell r="M154">
            <v>40</v>
          </cell>
          <cell r="N154">
            <v>12</v>
          </cell>
          <cell r="O154">
            <v>32</v>
          </cell>
          <cell r="P154">
            <v>20</v>
          </cell>
          <cell r="Q154">
            <v>32</v>
          </cell>
          <cell r="R154">
            <v>28</v>
          </cell>
          <cell r="S154">
            <v>24</v>
          </cell>
          <cell r="T154">
            <v>32</v>
          </cell>
          <cell r="U154">
            <v>48</v>
          </cell>
          <cell r="Z154">
            <v>0</v>
          </cell>
          <cell r="AA154">
            <v>0</v>
          </cell>
          <cell r="AB154">
            <v>0</v>
          </cell>
          <cell r="AC154">
            <v>0</v>
          </cell>
          <cell r="AD154">
            <v>0</v>
          </cell>
          <cell r="AE154">
            <v>0</v>
          </cell>
          <cell r="AF154">
            <v>0</v>
          </cell>
          <cell r="AG154">
            <v>68.25</v>
          </cell>
          <cell r="AH154">
            <v>68.90625</v>
          </cell>
          <cell r="AI154">
            <v>72.351562500000014</v>
          </cell>
          <cell r="AJ154">
            <v>72.930375000000012</v>
          </cell>
          <cell r="AK154">
            <v>105.29322890625002</v>
          </cell>
          <cell r="AL154">
            <v>120.60860765625003</v>
          </cell>
          <cell r="AM154">
            <v>133.67454015234378</v>
          </cell>
          <cell r="AN154">
            <v>140.358267159961</v>
          </cell>
          <cell r="AO154">
            <v>147.37618051795906</v>
          </cell>
        </row>
        <row r="155">
          <cell r="A155" t="str">
            <v>New Aircraft</v>
          </cell>
          <cell r="B155">
            <v>696.71</v>
          </cell>
          <cell r="C155">
            <v>710.42000000000007</v>
          </cell>
          <cell r="D155">
            <v>518.54999999999995</v>
          </cell>
          <cell r="E155">
            <v>526.37</v>
          </cell>
          <cell r="F155">
            <v>453.5</v>
          </cell>
          <cell r="G155">
            <v>498</v>
          </cell>
          <cell r="H155">
            <v>624</v>
          </cell>
          <cell r="I155">
            <v>668</v>
          </cell>
          <cell r="J155">
            <v>527</v>
          </cell>
          <cell r="K155">
            <v>627</v>
          </cell>
          <cell r="L155">
            <v>607</v>
          </cell>
          <cell r="M155">
            <v>526</v>
          </cell>
          <cell r="N155">
            <v>534</v>
          </cell>
          <cell r="O155">
            <v>561</v>
          </cell>
          <cell r="P155">
            <v>645</v>
          </cell>
          <cell r="Q155">
            <v>571</v>
          </cell>
          <cell r="R155">
            <v>578</v>
          </cell>
          <cell r="S155">
            <v>614</v>
          </cell>
          <cell r="T155">
            <v>624</v>
          </cell>
          <cell r="U155">
            <v>581</v>
          </cell>
          <cell r="V155">
            <v>160</v>
          </cell>
          <cell r="W155">
            <v>175</v>
          </cell>
          <cell r="X155">
            <v>180</v>
          </cell>
          <cell r="Z155">
            <v>671.6</v>
          </cell>
          <cell r="AA155">
            <v>741.06</v>
          </cell>
          <cell r="AB155">
            <v>1492.3</v>
          </cell>
          <cell r="AC155">
            <v>1923.4</v>
          </cell>
          <cell r="AD155">
            <v>2253.9</v>
          </cell>
          <cell r="AE155">
            <v>2353</v>
          </cell>
          <cell r="AF155">
            <v>2694.0000000000036</v>
          </cell>
          <cell r="AG155">
            <v>2491.0000000000009</v>
          </cell>
          <cell r="AH155">
            <v>2079.0000000000027</v>
          </cell>
          <cell r="AI155">
            <v>2289</v>
          </cell>
          <cell r="AJ155">
            <v>2730.0000000000009</v>
          </cell>
          <cell r="AK155">
            <v>3341.0000000000005</v>
          </cell>
          <cell r="AL155">
            <v>4177.4335820687502</v>
          </cell>
          <cell r="AM155">
            <v>4560.3079365285939</v>
          </cell>
          <cell r="AN155">
            <v>4867.8430304350231</v>
          </cell>
          <cell r="AO155">
            <v>4855.5534898691749</v>
          </cell>
          <cell r="AP155" t="str">
            <v>- ~80/20 green/completion</v>
          </cell>
        </row>
        <row r="156">
          <cell r="A156" t="str">
            <v>% Ch Y/Y</v>
          </cell>
          <cell r="F156">
            <v>-0.34908354982704426</v>
          </cell>
          <cell r="G156">
            <v>-0.29900622167168722</v>
          </cell>
          <cell r="H156">
            <v>0.2033555105582876</v>
          </cell>
          <cell r="I156">
            <v>0.26906928586355594</v>
          </cell>
          <cell r="J156">
            <v>0.16207276736493936</v>
          </cell>
          <cell r="K156">
            <v>0.25903614457831314</v>
          </cell>
          <cell r="L156">
            <v>-2.7243589743589758E-2</v>
          </cell>
          <cell r="M156">
            <v>-0.21257485029940115</v>
          </cell>
          <cell r="N156">
            <v>1.3282732447817747E-2</v>
          </cell>
          <cell r="O156">
            <v>-0.10526315789473684</v>
          </cell>
          <cell r="P156">
            <v>6.2602965403624422E-2</v>
          </cell>
          <cell r="Q156">
            <v>8.5551330798478986E-2</v>
          </cell>
          <cell r="R156">
            <v>8.2397003745318331E-2</v>
          </cell>
          <cell r="S156">
            <v>9.4474153297682717E-2</v>
          </cell>
          <cell r="T156">
            <v>-3.2558139534883734E-2</v>
          </cell>
          <cell r="U156">
            <v>1.7513134851138368E-2</v>
          </cell>
          <cell r="AA156">
            <v>0.10342465753424657</v>
          </cell>
          <cell r="AB156">
            <v>1.0137370793188136</v>
          </cell>
          <cell r="AC156">
            <v>0.28888293238624962</v>
          </cell>
          <cell r="AD156">
            <v>0.17183113236976189</v>
          </cell>
          <cell r="AE156">
            <v>4.3968232840853494E-2</v>
          </cell>
          <cell r="AF156">
            <v>0.1449213769655775</v>
          </cell>
          <cell r="AG156">
            <v>-7.5352635486266695E-2</v>
          </cell>
          <cell r="AH156">
            <v>-0.16539542352468806</v>
          </cell>
          <cell r="AI156">
            <v>0.10101010101009966</v>
          </cell>
          <cell r="AJ156">
            <v>0.192660550458716</v>
          </cell>
          <cell r="AK156">
            <v>0.22380952380952346</v>
          </cell>
          <cell r="AL156">
            <v>0.25035425982303194</v>
          </cell>
          <cell r="AM156">
            <v>9.1653008225743404E-2</v>
          </cell>
          <cell r="AN156">
            <v>6.7437352518025628E-2</v>
          </cell>
          <cell r="AO156">
            <v>-2.524637809602881E-3</v>
          </cell>
        </row>
        <row r="157">
          <cell r="A157" t="str">
            <v>per above</v>
          </cell>
          <cell r="B157">
            <v>588</v>
          </cell>
          <cell r="C157">
            <v>690</v>
          </cell>
          <cell r="D157">
            <v>584</v>
          </cell>
          <cell r="E157">
            <v>629.00000000000091</v>
          </cell>
          <cell r="F157">
            <v>454</v>
          </cell>
          <cell r="G157">
            <v>468</v>
          </cell>
          <cell r="H157">
            <v>568</v>
          </cell>
          <cell r="I157">
            <v>589.00000000000273</v>
          </cell>
          <cell r="J157">
            <v>476</v>
          </cell>
          <cell r="K157">
            <v>525</v>
          </cell>
          <cell r="L157">
            <v>615</v>
          </cell>
          <cell r="M157">
            <v>672.99999999999977</v>
          </cell>
          <cell r="N157">
            <v>590</v>
          </cell>
          <cell r="O157">
            <v>675</v>
          </cell>
          <cell r="P157">
            <v>727</v>
          </cell>
          <cell r="Q157">
            <v>738.00000000000057</v>
          </cell>
          <cell r="R157">
            <v>771</v>
          </cell>
          <cell r="S157">
            <v>805</v>
          </cell>
          <cell r="T157">
            <v>894</v>
          </cell>
          <cell r="U157">
            <v>871.00000000000045</v>
          </cell>
          <cell r="Z157">
            <v>672.0139999999999</v>
          </cell>
          <cell r="AA157">
            <v>740.5</v>
          </cell>
          <cell r="AB157">
            <v>1492</v>
          </cell>
          <cell r="AC157">
            <v>1908.9999999999998</v>
          </cell>
          <cell r="AD157">
            <v>2251</v>
          </cell>
          <cell r="AE157">
            <v>2353</v>
          </cell>
          <cell r="AF157">
            <v>2694.0000000000036</v>
          </cell>
          <cell r="AG157">
            <v>2491.0000000000009</v>
          </cell>
          <cell r="AH157">
            <v>2079.0000000000027</v>
          </cell>
          <cell r="AI157">
            <v>2289</v>
          </cell>
          <cell r="AJ157">
            <v>2730.0000000000005</v>
          </cell>
          <cell r="AK157">
            <v>3341</v>
          </cell>
          <cell r="AL157">
            <v>4177.4335820687502</v>
          </cell>
          <cell r="AM157">
            <v>4560.3079365285948</v>
          </cell>
          <cell r="AN157">
            <v>4867.843030435024</v>
          </cell>
          <cell r="AO157">
            <v>4855.5534898691749</v>
          </cell>
        </row>
        <row r="158">
          <cell r="A158" t="str">
            <v>Net Profit</v>
          </cell>
        </row>
        <row r="159">
          <cell r="A159" t="str">
            <v>G100</v>
          </cell>
          <cell r="B159">
            <v>4</v>
          </cell>
          <cell r="C159">
            <v>3</v>
          </cell>
          <cell r="D159">
            <v>2</v>
          </cell>
          <cell r="E159">
            <v>1</v>
          </cell>
          <cell r="F159">
            <v>3</v>
          </cell>
          <cell r="G159">
            <v>2.5</v>
          </cell>
          <cell r="H159">
            <v>1.2</v>
          </cell>
          <cell r="I159">
            <v>3.3</v>
          </cell>
          <cell r="J159">
            <v>2</v>
          </cell>
          <cell r="K159">
            <v>1</v>
          </cell>
          <cell r="L159">
            <v>2</v>
          </cell>
          <cell r="M159">
            <v>3</v>
          </cell>
          <cell r="N159">
            <v>2</v>
          </cell>
          <cell r="O159">
            <v>1</v>
          </cell>
          <cell r="P159">
            <v>2</v>
          </cell>
          <cell r="Q159">
            <v>6</v>
          </cell>
          <cell r="R159">
            <v>2</v>
          </cell>
          <cell r="S159">
            <v>1</v>
          </cell>
          <cell r="T159">
            <v>2</v>
          </cell>
          <cell r="U159">
            <v>8</v>
          </cell>
          <cell r="Z159">
            <v>0</v>
          </cell>
          <cell r="AA159">
            <v>0</v>
          </cell>
          <cell r="AB159">
            <v>0</v>
          </cell>
          <cell r="AC159">
            <v>0</v>
          </cell>
          <cell r="AD159">
            <v>0</v>
          </cell>
          <cell r="AE159">
            <v>0</v>
          </cell>
          <cell r="AF159">
            <v>0</v>
          </cell>
          <cell r="AG159">
            <v>10</v>
          </cell>
          <cell r="AH159">
            <v>10</v>
          </cell>
          <cell r="AI159">
            <v>8</v>
          </cell>
          <cell r="AJ159">
            <v>11</v>
          </cell>
          <cell r="AK159">
            <v>13</v>
          </cell>
          <cell r="AL159">
            <v>4</v>
          </cell>
          <cell r="AM159">
            <v>11</v>
          </cell>
          <cell r="AN159">
            <v>11</v>
          </cell>
          <cell r="AO159">
            <v>11</v>
          </cell>
        </row>
        <row r="160">
          <cell r="A160" t="str">
            <v>G150</v>
          </cell>
          <cell r="B160">
            <v>0</v>
          </cell>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15</v>
          </cell>
          <cell r="Z160">
            <v>0</v>
          </cell>
          <cell r="AA160">
            <v>0</v>
          </cell>
          <cell r="AB160">
            <v>0</v>
          </cell>
          <cell r="AC160">
            <v>0</v>
          </cell>
          <cell r="AD160">
            <v>0</v>
          </cell>
          <cell r="AE160">
            <v>0</v>
          </cell>
          <cell r="AF160">
            <v>0</v>
          </cell>
          <cell r="AG160">
            <v>0</v>
          </cell>
          <cell r="AH160">
            <v>0</v>
          </cell>
          <cell r="AI160">
            <v>0</v>
          </cell>
          <cell r="AJ160">
            <v>0</v>
          </cell>
          <cell r="AK160">
            <v>15</v>
          </cell>
          <cell r="AL160">
            <v>30</v>
          </cell>
          <cell r="AM160">
            <v>35</v>
          </cell>
          <cell r="AN160">
            <v>35</v>
          </cell>
          <cell r="AO160">
            <v>35</v>
          </cell>
        </row>
        <row r="161">
          <cell r="A161" t="str">
            <v>G200</v>
          </cell>
          <cell r="B161">
            <v>16</v>
          </cell>
          <cell r="C161">
            <v>8</v>
          </cell>
          <cell r="D161">
            <v>2</v>
          </cell>
          <cell r="E161">
            <v>4</v>
          </cell>
          <cell r="F161">
            <v>2</v>
          </cell>
          <cell r="G161">
            <v>9</v>
          </cell>
          <cell r="H161">
            <v>5</v>
          </cell>
          <cell r="I161">
            <v>5</v>
          </cell>
          <cell r="J161">
            <v>6</v>
          </cell>
          <cell r="K161">
            <v>6</v>
          </cell>
          <cell r="L161">
            <v>6</v>
          </cell>
          <cell r="M161">
            <v>6</v>
          </cell>
          <cell r="N161">
            <v>6</v>
          </cell>
          <cell r="O161">
            <v>6</v>
          </cell>
          <cell r="P161">
            <v>6</v>
          </cell>
          <cell r="Q161">
            <v>12</v>
          </cell>
          <cell r="R161">
            <v>6</v>
          </cell>
          <cell r="S161">
            <v>6</v>
          </cell>
          <cell r="T161">
            <v>6</v>
          </cell>
          <cell r="U161">
            <v>15</v>
          </cell>
          <cell r="Z161">
            <v>0</v>
          </cell>
          <cell r="AA161">
            <v>0</v>
          </cell>
          <cell r="AB161">
            <v>0</v>
          </cell>
          <cell r="AC161">
            <v>0</v>
          </cell>
          <cell r="AD161">
            <v>0</v>
          </cell>
          <cell r="AE161">
            <v>0</v>
          </cell>
          <cell r="AF161">
            <v>0</v>
          </cell>
          <cell r="AG161">
            <v>30</v>
          </cell>
          <cell r="AH161">
            <v>21</v>
          </cell>
          <cell r="AI161">
            <v>24</v>
          </cell>
          <cell r="AJ161">
            <v>30</v>
          </cell>
          <cell r="AK161">
            <v>33</v>
          </cell>
          <cell r="AL161">
            <v>35</v>
          </cell>
          <cell r="AM161">
            <v>42</v>
          </cell>
          <cell r="AN161">
            <v>42</v>
          </cell>
          <cell r="AO161">
            <v>42</v>
          </cell>
        </row>
        <row r="162">
          <cell r="A162" t="str">
            <v>-subtotal Midsize Green</v>
          </cell>
          <cell r="B162">
            <v>20</v>
          </cell>
          <cell r="C162">
            <v>11</v>
          </cell>
          <cell r="D162">
            <v>4</v>
          </cell>
          <cell r="E162">
            <v>5</v>
          </cell>
          <cell r="F162">
            <v>5</v>
          </cell>
          <cell r="G162">
            <v>11.5</v>
          </cell>
          <cell r="H162">
            <v>6.2</v>
          </cell>
          <cell r="I162">
            <v>8.3000000000000007</v>
          </cell>
          <cell r="J162">
            <v>8</v>
          </cell>
          <cell r="K162">
            <v>7</v>
          </cell>
          <cell r="L162">
            <v>8</v>
          </cell>
          <cell r="M162">
            <v>9</v>
          </cell>
          <cell r="N162">
            <v>8</v>
          </cell>
          <cell r="O162">
            <v>7</v>
          </cell>
          <cell r="P162">
            <v>8</v>
          </cell>
          <cell r="Q162">
            <v>18</v>
          </cell>
          <cell r="R162">
            <v>8</v>
          </cell>
          <cell r="S162">
            <v>7</v>
          </cell>
          <cell r="T162">
            <v>8</v>
          </cell>
          <cell r="U162">
            <v>38</v>
          </cell>
          <cell r="Z162">
            <v>0</v>
          </cell>
          <cell r="AA162">
            <v>0</v>
          </cell>
          <cell r="AB162">
            <v>0</v>
          </cell>
          <cell r="AC162">
            <v>0</v>
          </cell>
          <cell r="AD162">
            <v>0</v>
          </cell>
          <cell r="AE162">
            <v>0</v>
          </cell>
          <cell r="AF162">
            <v>0</v>
          </cell>
          <cell r="AG162">
            <v>40</v>
          </cell>
          <cell r="AH162">
            <v>31</v>
          </cell>
          <cell r="AI162">
            <v>32</v>
          </cell>
          <cell r="AJ162">
            <v>41</v>
          </cell>
          <cell r="AK162">
            <v>61</v>
          </cell>
          <cell r="AL162">
            <v>69</v>
          </cell>
          <cell r="AM162">
            <v>88</v>
          </cell>
          <cell r="AN162">
            <v>88</v>
          </cell>
          <cell r="AO162">
            <v>88</v>
          </cell>
        </row>
        <row r="164">
          <cell r="A164" t="str">
            <v>G300/350</v>
          </cell>
          <cell r="B164">
            <v>0</v>
          </cell>
          <cell r="C164">
            <v>0</v>
          </cell>
          <cell r="D164">
            <v>0</v>
          </cell>
          <cell r="E164">
            <v>0</v>
          </cell>
          <cell r="F164">
            <v>0</v>
          </cell>
          <cell r="G164">
            <v>0</v>
          </cell>
          <cell r="H164">
            <v>0</v>
          </cell>
          <cell r="I164">
            <v>0</v>
          </cell>
          <cell r="J164">
            <v>0</v>
          </cell>
          <cell r="K164">
            <v>0</v>
          </cell>
          <cell r="L164">
            <v>0</v>
          </cell>
          <cell r="M164">
            <v>10</v>
          </cell>
          <cell r="N164">
            <v>0</v>
          </cell>
          <cell r="O164">
            <v>0</v>
          </cell>
          <cell r="P164">
            <v>0</v>
          </cell>
          <cell r="Q164">
            <v>15</v>
          </cell>
          <cell r="R164">
            <v>0</v>
          </cell>
          <cell r="S164">
            <v>0</v>
          </cell>
          <cell r="T164">
            <v>0</v>
          </cell>
          <cell r="U164">
            <v>20</v>
          </cell>
          <cell r="Z164">
            <v>0</v>
          </cell>
          <cell r="AA164">
            <v>0</v>
          </cell>
          <cell r="AB164">
            <v>0</v>
          </cell>
          <cell r="AC164">
            <v>0</v>
          </cell>
          <cell r="AD164">
            <v>0</v>
          </cell>
          <cell r="AE164">
            <v>0</v>
          </cell>
          <cell r="AF164">
            <v>0</v>
          </cell>
          <cell r="AG164">
            <v>0</v>
          </cell>
          <cell r="AH164">
            <v>0</v>
          </cell>
          <cell r="AI164">
            <v>10</v>
          </cell>
          <cell r="AJ164">
            <v>15</v>
          </cell>
          <cell r="AK164">
            <v>20</v>
          </cell>
          <cell r="AL164">
            <v>22</v>
          </cell>
          <cell r="AM164">
            <v>25</v>
          </cell>
          <cell r="AN164">
            <v>25</v>
          </cell>
          <cell r="AO164">
            <v>25</v>
          </cell>
        </row>
        <row r="165">
          <cell r="A165" t="str">
            <v>G400 (IV/IVSP)</v>
          </cell>
          <cell r="B165">
            <v>42</v>
          </cell>
          <cell r="C165">
            <v>60</v>
          </cell>
          <cell r="D165">
            <v>38</v>
          </cell>
          <cell r="E165">
            <v>30</v>
          </cell>
          <cell r="F165">
            <v>12</v>
          </cell>
          <cell r="G165">
            <v>20</v>
          </cell>
          <cell r="H165">
            <v>17</v>
          </cell>
          <cell r="I165">
            <v>16</v>
          </cell>
          <cell r="J165">
            <v>16</v>
          </cell>
          <cell r="K165">
            <v>20</v>
          </cell>
          <cell r="L165">
            <v>22</v>
          </cell>
          <cell r="M165">
            <v>42</v>
          </cell>
          <cell r="N165">
            <v>16</v>
          </cell>
          <cell r="O165">
            <v>20</v>
          </cell>
          <cell r="P165">
            <v>22</v>
          </cell>
          <cell r="Q165">
            <v>62</v>
          </cell>
          <cell r="R165">
            <v>16</v>
          </cell>
          <cell r="S165">
            <v>20</v>
          </cell>
          <cell r="T165">
            <v>22</v>
          </cell>
          <cell r="U165">
            <v>67</v>
          </cell>
          <cell r="Z165">
            <v>40</v>
          </cell>
          <cell r="AA165">
            <v>62</v>
          </cell>
          <cell r="AB165">
            <v>102</v>
          </cell>
          <cell r="AC165">
            <v>190</v>
          </cell>
          <cell r="AD165">
            <v>214</v>
          </cell>
          <cell r="AE165">
            <v>220</v>
          </cell>
          <cell r="AF165">
            <v>205</v>
          </cell>
          <cell r="AG165">
            <v>170</v>
          </cell>
          <cell r="AH165">
            <v>65</v>
          </cell>
          <cell r="AI165">
            <v>100</v>
          </cell>
          <cell r="AJ165">
            <v>120</v>
          </cell>
          <cell r="AK165">
            <v>125</v>
          </cell>
          <cell r="AL165">
            <v>150</v>
          </cell>
          <cell r="AM165">
            <v>150</v>
          </cell>
          <cell r="AN165">
            <v>150</v>
          </cell>
          <cell r="AO165">
            <v>150</v>
          </cell>
        </row>
        <row r="166">
          <cell r="A166" t="str">
            <v>G450</v>
          </cell>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7</v>
          </cell>
          <cell r="R166">
            <v>0</v>
          </cell>
          <cell r="S166">
            <v>0</v>
          </cell>
          <cell r="T166">
            <v>0</v>
          </cell>
          <cell r="U166">
            <v>14</v>
          </cell>
          <cell r="Z166">
            <v>0</v>
          </cell>
          <cell r="AA166">
            <v>0</v>
          </cell>
          <cell r="AB166">
            <v>0</v>
          </cell>
          <cell r="AC166">
            <v>0</v>
          </cell>
          <cell r="AD166">
            <v>0</v>
          </cell>
          <cell r="AE166">
            <v>0</v>
          </cell>
          <cell r="AF166">
            <v>0</v>
          </cell>
          <cell r="AG166">
            <v>0</v>
          </cell>
          <cell r="AH166">
            <v>0</v>
          </cell>
          <cell r="AI166">
            <v>0</v>
          </cell>
          <cell r="AJ166">
            <v>7</v>
          </cell>
          <cell r="AK166">
            <v>14</v>
          </cell>
          <cell r="AL166">
            <v>21</v>
          </cell>
          <cell r="AM166">
            <v>33</v>
          </cell>
          <cell r="AN166">
            <v>33</v>
          </cell>
          <cell r="AO166">
            <v>33</v>
          </cell>
        </row>
        <row r="167">
          <cell r="A167" t="str">
            <v>GV</v>
          </cell>
          <cell r="B167">
            <v>46</v>
          </cell>
          <cell r="C167">
            <v>68</v>
          </cell>
          <cell r="D167">
            <v>58</v>
          </cell>
          <cell r="E167">
            <v>31</v>
          </cell>
          <cell r="F167">
            <v>0</v>
          </cell>
          <cell r="G167">
            <v>10</v>
          </cell>
          <cell r="H167">
            <v>3</v>
          </cell>
          <cell r="I167">
            <v>2</v>
          </cell>
          <cell r="J167">
            <v>0</v>
          </cell>
          <cell r="K167">
            <v>0</v>
          </cell>
          <cell r="L167">
            <v>0</v>
          </cell>
          <cell r="M167">
            <v>0</v>
          </cell>
          <cell r="N167">
            <v>0</v>
          </cell>
          <cell r="O167">
            <v>0</v>
          </cell>
          <cell r="P167">
            <v>0</v>
          </cell>
          <cell r="Q167">
            <v>0</v>
          </cell>
          <cell r="R167">
            <v>0</v>
          </cell>
          <cell r="S167">
            <v>0</v>
          </cell>
          <cell r="T167">
            <v>0</v>
          </cell>
          <cell r="U167">
            <v>0</v>
          </cell>
          <cell r="Z167">
            <v>0</v>
          </cell>
          <cell r="AA167">
            <v>2</v>
          </cell>
          <cell r="AB167">
            <v>90</v>
          </cell>
          <cell r="AC167">
            <v>130</v>
          </cell>
          <cell r="AD167">
            <v>172</v>
          </cell>
          <cell r="AE167">
            <v>250</v>
          </cell>
          <cell r="AF167">
            <v>262</v>
          </cell>
          <cell r="AG167">
            <v>203</v>
          </cell>
          <cell r="AH167">
            <v>15</v>
          </cell>
          <cell r="AI167">
            <v>0</v>
          </cell>
          <cell r="AJ167">
            <v>0</v>
          </cell>
          <cell r="AK167">
            <v>0</v>
          </cell>
          <cell r="AL167">
            <v>0</v>
          </cell>
          <cell r="AM167">
            <v>0</v>
          </cell>
          <cell r="AN167">
            <v>0</v>
          </cell>
          <cell r="AO167">
            <v>0</v>
          </cell>
        </row>
        <row r="168">
          <cell r="A168" t="str">
            <v>G500</v>
          </cell>
          <cell r="B168">
            <v>0</v>
          </cell>
          <cell r="C168">
            <v>0</v>
          </cell>
          <cell r="D168">
            <v>0</v>
          </cell>
          <cell r="E168">
            <v>0</v>
          </cell>
          <cell r="F168">
            <v>0</v>
          </cell>
          <cell r="G168">
            <v>0</v>
          </cell>
          <cell r="H168">
            <v>0</v>
          </cell>
          <cell r="I168">
            <v>0</v>
          </cell>
          <cell r="J168">
            <v>0</v>
          </cell>
          <cell r="K168">
            <v>0</v>
          </cell>
          <cell r="L168">
            <v>0</v>
          </cell>
          <cell r="M168">
            <v>5</v>
          </cell>
          <cell r="N168">
            <v>0</v>
          </cell>
          <cell r="O168">
            <v>0</v>
          </cell>
          <cell r="P168">
            <v>0</v>
          </cell>
          <cell r="Q168">
            <v>15</v>
          </cell>
          <cell r="R168">
            <v>0</v>
          </cell>
          <cell r="S168">
            <v>0</v>
          </cell>
          <cell r="T168">
            <v>0</v>
          </cell>
          <cell r="U168">
            <v>16</v>
          </cell>
          <cell r="Z168">
            <v>0</v>
          </cell>
          <cell r="AA168">
            <v>0</v>
          </cell>
          <cell r="AB168">
            <v>0</v>
          </cell>
          <cell r="AC168">
            <v>0</v>
          </cell>
          <cell r="AD168">
            <v>0</v>
          </cell>
          <cell r="AE168">
            <v>0</v>
          </cell>
          <cell r="AF168">
            <v>0</v>
          </cell>
          <cell r="AG168">
            <v>0</v>
          </cell>
          <cell r="AH168">
            <v>0</v>
          </cell>
          <cell r="AI168">
            <v>5</v>
          </cell>
          <cell r="AJ168">
            <v>15</v>
          </cell>
          <cell r="AK168">
            <v>16</v>
          </cell>
          <cell r="AL168">
            <v>25</v>
          </cell>
          <cell r="AM168">
            <v>30</v>
          </cell>
          <cell r="AN168">
            <v>30</v>
          </cell>
          <cell r="AO168">
            <v>30</v>
          </cell>
        </row>
        <row r="169">
          <cell r="A169" t="str">
            <v>G550 (GVSP)</v>
          </cell>
          <cell r="B169">
            <v>0</v>
          </cell>
          <cell r="C169">
            <v>0</v>
          </cell>
          <cell r="D169">
            <v>0</v>
          </cell>
          <cell r="E169">
            <v>0</v>
          </cell>
          <cell r="F169">
            <v>25</v>
          </cell>
          <cell r="G169">
            <v>4</v>
          </cell>
          <cell r="H169">
            <v>15</v>
          </cell>
          <cell r="I169">
            <v>19</v>
          </cell>
          <cell r="J169">
            <v>30</v>
          </cell>
          <cell r="K169">
            <v>22</v>
          </cell>
          <cell r="L169">
            <v>22</v>
          </cell>
          <cell r="M169">
            <v>56</v>
          </cell>
          <cell r="N169">
            <v>30</v>
          </cell>
          <cell r="O169">
            <v>22</v>
          </cell>
          <cell r="P169">
            <v>22</v>
          </cell>
          <cell r="Q169">
            <v>156</v>
          </cell>
          <cell r="R169">
            <v>30</v>
          </cell>
          <cell r="S169">
            <v>22</v>
          </cell>
          <cell r="T169">
            <v>22</v>
          </cell>
          <cell r="U169">
            <v>156</v>
          </cell>
          <cell r="Z169">
            <v>0</v>
          </cell>
          <cell r="AA169">
            <v>0</v>
          </cell>
          <cell r="AB169">
            <v>0</v>
          </cell>
          <cell r="AC169">
            <v>0</v>
          </cell>
          <cell r="AD169">
            <v>0</v>
          </cell>
          <cell r="AE169">
            <v>0</v>
          </cell>
          <cell r="AF169">
            <v>0</v>
          </cell>
          <cell r="AG169">
            <v>0</v>
          </cell>
          <cell r="AH169">
            <v>63</v>
          </cell>
          <cell r="AI169">
            <v>130</v>
          </cell>
          <cell r="AJ169">
            <v>230</v>
          </cell>
          <cell r="AK169">
            <v>230</v>
          </cell>
          <cell r="AL169">
            <v>230</v>
          </cell>
          <cell r="AM169">
            <v>230</v>
          </cell>
          <cell r="AN169">
            <v>230</v>
          </cell>
          <cell r="AO169">
            <v>230</v>
          </cell>
        </row>
        <row r="170">
          <cell r="A170" t="str">
            <v>-subtotal Large Green</v>
          </cell>
          <cell r="B170">
            <v>88</v>
          </cell>
          <cell r="C170">
            <v>128</v>
          </cell>
          <cell r="D170">
            <v>96</v>
          </cell>
          <cell r="E170">
            <v>61</v>
          </cell>
          <cell r="F170">
            <v>37</v>
          </cell>
          <cell r="G170">
            <v>34</v>
          </cell>
          <cell r="H170">
            <v>35</v>
          </cell>
          <cell r="I170">
            <v>37</v>
          </cell>
          <cell r="J170">
            <v>46</v>
          </cell>
          <cell r="K170">
            <v>42</v>
          </cell>
          <cell r="L170">
            <v>44</v>
          </cell>
          <cell r="M170">
            <v>113</v>
          </cell>
          <cell r="N170">
            <v>46</v>
          </cell>
          <cell r="O170">
            <v>42</v>
          </cell>
          <cell r="P170">
            <v>44</v>
          </cell>
          <cell r="Q170">
            <v>255</v>
          </cell>
          <cell r="R170">
            <v>46</v>
          </cell>
          <cell r="S170">
            <v>42</v>
          </cell>
          <cell r="T170">
            <v>44</v>
          </cell>
          <cell r="U170">
            <v>273</v>
          </cell>
          <cell r="Z170">
            <v>40</v>
          </cell>
          <cell r="AA170">
            <v>64</v>
          </cell>
          <cell r="AB170">
            <v>192</v>
          </cell>
          <cell r="AC170">
            <v>320</v>
          </cell>
          <cell r="AD170">
            <v>386</v>
          </cell>
          <cell r="AE170">
            <v>470</v>
          </cell>
          <cell r="AF170">
            <v>467</v>
          </cell>
          <cell r="AG170">
            <v>373</v>
          </cell>
          <cell r="AH170">
            <v>143</v>
          </cell>
          <cell r="AI170">
            <v>245</v>
          </cell>
          <cell r="AJ170">
            <v>387</v>
          </cell>
          <cell r="AK170">
            <v>405</v>
          </cell>
          <cell r="AL170">
            <v>448</v>
          </cell>
          <cell r="AM170">
            <v>468</v>
          </cell>
          <cell r="AN170">
            <v>468</v>
          </cell>
          <cell r="AO170">
            <v>468</v>
          </cell>
        </row>
        <row r="172">
          <cell r="A172" t="str">
            <v>GAC  Completions</v>
          </cell>
          <cell r="B172">
            <v>11</v>
          </cell>
          <cell r="C172">
            <v>12</v>
          </cell>
          <cell r="D172">
            <v>12</v>
          </cell>
          <cell r="E172">
            <v>15</v>
          </cell>
          <cell r="F172">
            <v>7</v>
          </cell>
          <cell r="G172">
            <v>6</v>
          </cell>
          <cell r="H172">
            <v>5</v>
          </cell>
          <cell r="I172">
            <v>7</v>
          </cell>
          <cell r="J172">
            <v>7</v>
          </cell>
          <cell r="K172">
            <v>6</v>
          </cell>
          <cell r="L172">
            <v>5</v>
          </cell>
          <cell r="M172">
            <v>27</v>
          </cell>
          <cell r="N172">
            <v>7</v>
          </cell>
          <cell r="O172">
            <v>6</v>
          </cell>
          <cell r="P172">
            <v>5</v>
          </cell>
          <cell r="Q172">
            <v>32</v>
          </cell>
          <cell r="R172">
            <v>7</v>
          </cell>
          <cell r="S172">
            <v>6</v>
          </cell>
          <cell r="T172">
            <v>5</v>
          </cell>
          <cell r="U172">
            <v>32</v>
          </cell>
          <cell r="Z172">
            <v>2</v>
          </cell>
          <cell r="AA172">
            <v>5</v>
          </cell>
          <cell r="AB172">
            <v>10</v>
          </cell>
          <cell r="AC172">
            <v>20.7</v>
          </cell>
          <cell r="AD172">
            <v>14</v>
          </cell>
          <cell r="AE172">
            <v>55</v>
          </cell>
          <cell r="AF172">
            <v>72</v>
          </cell>
          <cell r="AG172">
            <v>50</v>
          </cell>
          <cell r="AH172">
            <v>25</v>
          </cell>
          <cell r="AI172">
            <v>45</v>
          </cell>
          <cell r="AJ172">
            <v>50</v>
          </cell>
          <cell r="AK172">
            <v>50</v>
          </cell>
          <cell r="AL172">
            <v>50</v>
          </cell>
          <cell r="AM172">
            <v>50</v>
          </cell>
          <cell r="AN172">
            <v>50</v>
          </cell>
          <cell r="AO172">
            <v>50</v>
          </cell>
        </row>
        <row r="173">
          <cell r="A173" t="str">
            <v>Galaxy  Completions</v>
          </cell>
          <cell r="B173">
            <v>2</v>
          </cell>
          <cell r="C173">
            <v>2</v>
          </cell>
          <cell r="D173">
            <v>0.5</v>
          </cell>
          <cell r="E173">
            <v>0.5</v>
          </cell>
          <cell r="F173">
            <v>0.5</v>
          </cell>
          <cell r="G173">
            <v>0.5</v>
          </cell>
          <cell r="H173">
            <v>2</v>
          </cell>
          <cell r="I173">
            <v>1</v>
          </cell>
          <cell r="J173">
            <v>1</v>
          </cell>
          <cell r="K173">
            <v>0.5</v>
          </cell>
          <cell r="L173">
            <v>2</v>
          </cell>
          <cell r="M173">
            <v>6.5</v>
          </cell>
          <cell r="N173">
            <v>1</v>
          </cell>
          <cell r="O173">
            <v>0.5</v>
          </cell>
          <cell r="P173">
            <v>2</v>
          </cell>
          <cell r="Q173">
            <v>6.5</v>
          </cell>
          <cell r="R173">
            <v>1</v>
          </cell>
          <cell r="S173">
            <v>0.5</v>
          </cell>
          <cell r="T173">
            <v>2</v>
          </cell>
          <cell r="U173">
            <v>6.5</v>
          </cell>
          <cell r="AG173">
            <v>5</v>
          </cell>
          <cell r="AH173">
            <v>4</v>
          </cell>
          <cell r="AI173">
            <v>10</v>
          </cell>
          <cell r="AJ173">
            <v>10</v>
          </cell>
          <cell r="AK173">
            <v>10</v>
          </cell>
          <cell r="AL173">
            <v>10</v>
          </cell>
          <cell r="AM173">
            <v>10</v>
          </cell>
          <cell r="AN173">
            <v>10</v>
          </cell>
          <cell r="AO173">
            <v>10</v>
          </cell>
        </row>
        <row r="174">
          <cell r="A174" t="str">
            <v>New Aircraft</v>
          </cell>
          <cell r="B174">
            <v>121</v>
          </cell>
          <cell r="C174">
            <v>153</v>
          </cell>
          <cell r="D174">
            <v>112.5</v>
          </cell>
          <cell r="E174">
            <v>81.5</v>
          </cell>
          <cell r="F174">
            <v>49.5</v>
          </cell>
          <cell r="G174">
            <v>52</v>
          </cell>
          <cell r="H174">
            <v>48.2</v>
          </cell>
          <cell r="I174">
            <v>53.3</v>
          </cell>
          <cell r="J174">
            <v>62</v>
          </cell>
          <cell r="K174">
            <v>55.5</v>
          </cell>
          <cell r="L174">
            <v>59</v>
          </cell>
          <cell r="M174">
            <v>155.5</v>
          </cell>
          <cell r="N174">
            <v>62</v>
          </cell>
          <cell r="O174">
            <v>55.5</v>
          </cell>
          <cell r="P174">
            <v>59</v>
          </cell>
          <cell r="Q174">
            <v>311.5</v>
          </cell>
          <cell r="R174">
            <v>62</v>
          </cell>
          <cell r="S174">
            <v>55.5</v>
          </cell>
          <cell r="T174">
            <v>59</v>
          </cell>
          <cell r="U174">
            <v>349.5</v>
          </cell>
          <cell r="Z174">
            <v>42</v>
          </cell>
          <cell r="AA174">
            <v>69</v>
          </cell>
          <cell r="AB174">
            <v>202</v>
          </cell>
          <cell r="AC174">
            <v>340.7</v>
          </cell>
          <cell r="AD174">
            <v>400</v>
          </cell>
          <cell r="AE174">
            <v>525</v>
          </cell>
          <cell r="AF174">
            <v>539</v>
          </cell>
          <cell r="AG174">
            <v>468</v>
          </cell>
          <cell r="AH174">
            <v>203</v>
          </cell>
          <cell r="AI174">
            <v>332</v>
          </cell>
          <cell r="AJ174">
            <v>488</v>
          </cell>
          <cell r="AK174">
            <v>526</v>
          </cell>
          <cell r="AL174">
            <v>577</v>
          </cell>
          <cell r="AM174">
            <v>616</v>
          </cell>
          <cell r="AN174">
            <v>616</v>
          </cell>
          <cell r="AO174">
            <v>616</v>
          </cell>
        </row>
        <row r="175">
          <cell r="A175" t="str">
            <v>per above</v>
          </cell>
          <cell r="B175">
            <v>121</v>
          </cell>
          <cell r="C175">
            <v>153</v>
          </cell>
          <cell r="D175">
            <v>113</v>
          </cell>
          <cell r="E175">
            <v>82.25</v>
          </cell>
          <cell r="F175">
            <v>50</v>
          </cell>
          <cell r="G175">
            <v>52</v>
          </cell>
          <cell r="H175">
            <v>47.5</v>
          </cell>
          <cell r="I175">
            <v>62.5</v>
          </cell>
          <cell r="J175">
            <v>52.25</v>
          </cell>
          <cell r="K175">
            <v>68</v>
          </cell>
          <cell r="L175">
            <v>76</v>
          </cell>
          <cell r="M175">
            <v>114.5</v>
          </cell>
          <cell r="N175">
            <v>77</v>
          </cell>
          <cell r="O175">
            <v>100</v>
          </cell>
          <cell r="P175">
            <v>110</v>
          </cell>
          <cell r="Q175">
            <v>90</v>
          </cell>
          <cell r="R175">
            <v>121</v>
          </cell>
          <cell r="S175">
            <v>127</v>
          </cell>
          <cell r="T175">
            <v>133</v>
          </cell>
          <cell r="U175">
            <v>135</v>
          </cell>
          <cell r="Z175">
            <v>42</v>
          </cell>
          <cell r="AA175">
            <v>69.02000000000001</v>
          </cell>
          <cell r="AB175">
            <v>202.34</v>
          </cell>
          <cell r="AC175">
            <v>226.51</v>
          </cell>
          <cell r="AD175">
            <v>399.5</v>
          </cell>
          <cell r="AE175">
            <v>524.72</v>
          </cell>
          <cell r="AF175">
            <v>539.25</v>
          </cell>
          <cell r="AG175">
            <v>469.25</v>
          </cell>
          <cell r="AH175">
            <v>212</v>
          </cell>
          <cell r="AI175">
            <v>310.75</v>
          </cell>
          <cell r="AJ175">
            <v>377</v>
          </cell>
          <cell r="AK175">
            <v>516</v>
          </cell>
          <cell r="AL175">
            <v>430</v>
          </cell>
          <cell r="AM175">
            <v>430</v>
          </cell>
          <cell r="AN175">
            <v>430</v>
          </cell>
          <cell r="AO175">
            <v>430</v>
          </cell>
          <cell r="AP175" t="str">
            <v>- Gross profit + %unalloc exp.</v>
          </cell>
        </row>
        <row r="176">
          <cell r="A176" t="str">
            <v>Net Margin</v>
          </cell>
        </row>
        <row r="177">
          <cell r="A177" t="str">
            <v>G100</v>
          </cell>
          <cell r="B177">
            <v>8.3333333333333329E-2</v>
          </cell>
          <cell r="C177">
            <v>0.125</v>
          </cell>
          <cell r="D177">
            <v>8.3333333333333329E-2</v>
          </cell>
          <cell r="E177">
            <v>8.3333333333333329E-2</v>
          </cell>
          <cell r="F177">
            <v>8.3333333333333329E-2</v>
          </cell>
          <cell r="G177">
            <v>0.20833333333333334</v>
          </cell>
          <cell r="H177" t="str">
            <v>--</v>
          </cell>
          <cell r="I177">
            <v>0.27499999999999997</v>
          </cell>
          <cell r="J177" t="str">
            <v>--</v>
          </cell>
          <cell r="K177">
            <v>8.3333333333333329E-2</v>
          </cell>
          <cell r="L177">
            <v>8.3333333333333329E-2</v>
          </cell>
          <cell r="M177">
            <v>0.25</v>
          </cell>
          <cell r="N177" t="str">
            <v>--</v>
          </cell>
          <cell r="O177">
            <v>8.3333333333333329E-2</v>
          </cell>
          <cell r="P177">
            <v>0.16666666666666666</v>
          </cell>
          <cell r="Q177">
            <v>0.25</v>
          </cell>
          <cell r="R177">
            <v>0.16666666666666666</v>
          </cell>
          <cell r="S177" t="str">
            <v>--</v>
          </cell>
          <cell r="T177" t="str">
            <v>--</v>
          </cell>
          <cell r="U177" t="str">
            <v>--</v>
          </cell>
          <cell r="Z177" t="str">
            <v>--</v>
          </cell>
          <cell r="AA177" t="str">
            <v>--</v>
          </cell>
          <cell r="AB177" t="str">
            <v>--</v>
          </cell>
          <cell r="AC177" t="str">
            <v>--</v>
          </cell>
          <cell r="AD177" t="str">
            <v>--</v>
          </cell>
          <cell r="AE177" t="str">
            <v>--</v>
          </cell>
          <cell r="AF177">
            <v>0</v>
          </cell>
          <cell r="AG177">
            <v>0.10101010101010101</v>
          </cell>
          <cell r="AH177">
            <v>0.18181818181818182</v>
          </cell>
          <cell r="AI177">
            <v>0.18181818181818182</v>
          </cell>
          <cell r="AJ177">
            <v>0.25</v>
          </cell>
          <cell r="AK177">
            <v>1.1818181818181819</v>
          </cell>
          <cell r="AL177" t="str">
            <v>--</v>
          </cell>
          <cell r="AM177" t="str">
            <v>--</v>
          </cell>
          <cell r="AN177" t="str">
            <v>--</v>
          </cell>
          <cell r="AO177" t="str">
            <v>--</v>
          </cell>
        </row>
        <row r="178">
          <cell r="A178" t="str">
            <v>G150</v>
          </cell>
          <cell r="B178" t="str">
            <v>--</v>
          </cell>
          <cell r="C178" t="str">
            <v>--</v>
          </cell>
          <cell r="D178" t="str">
            <v>--</v>
          </cell>
          <cell r="E178" t="str">
            <v>--</v>
          </cell>
          <cell r="F178" t="str">
            <v>--</v>
          </cell>
          <cell r="G178" t="str">
            <v>--</v>
          </cell>
          <cell r="H178" t="str">
            <v>--</v>
          </cell>
          <cell r="I178" t="str">
            <v>--</v>
          </cell>
          <cell r="J178" t="str">
            <v>--</v>
          </cell>
          <cell r="K178" t="str">
            <v>--</v>
          </cell>
          <cell r="L178" t="str">
            <v>--</v>
          </cell>
          <cell r="M178" t="str">
            <v>--</v>
          </cell>
          <cell r="N178" t="str">
            <v>--</v>
          </cell>
          <cell r="O178" t="str">
            <v>--</v>
          </cell>
          <cell r="P178" t="str">
            <v>--</v>
          </cell>
          <cell r="Q178" t="str">
            <v>--</v>
          </cell>
          <cell r="R178" t="str">
            <v>--</v>
          </cell>
          <cell r="S178" t="str">
            <v>--</v>
          </cell>
          <cell r="T178" t="str">
            <v>--</v>
          </cell>
          <cell r="U178" t="str">
            <v>--</v>
          </cell>
          <cell r="Z178" t="str">
            <v>--</v>
          </cell>
          <cell r="AA178" t="str">
            <v>--</v>
          </cell>
          <cell r="AB178" t="str">
            <v>--</v>
          </cell>
          <cell r="AC178" t="str">
            <v>--</v>
          </cell>
          <cell r="AD178" t="str">
            <v>--</v>
          </cell>
          <cell r="AE178" t="str">
            <v>--</v>
          </cell>
          <cell r="AF178" t="str">
            <v>--</v>
          </cell>
          <cell r="AG178" t="str">
            <v>--</v>
          </cell>
          <cell r="AH178" t="str">
            <v>--</v>
          </cell>
          <cell r="AI178" t="str">
            <v>--</v>
          </cell>
          <cell r="AJ178" t="str">
            <v>--</v>
          </cell>
          <cell r="AK178">
            <v>8.9285714285714288E-2</v>
          </cell>
          <cell r="AL178">
            <v>6.5599580162686966E-2</v>
          </cell>
          <cell r="AM178">
            <v>6.2482683370608715E-2</v>
          </cell>
          <cell r="AN178">
            <v>6.0662799388940508E-2</v>
          </cell>
          <cell r="AO178">
            <v>8.6380685214025296E-2</v>
          </cell>
        </row>
        <row r="179">
          <cell r="A179" t="str">
            <v>G200</v>
          </cell>
          <cell r="B179">
            <v>0.1111111111111111</v>
          </cell>
          <cell r="C179">
            <v>0.1111111111111111</v>
          </cell>
          <cell r="D179">
            <v>0.1111111111111111</v>
          </cell>
          <cell r="E179">
            <v>0.1111111111111111</v>
          </cell>
          <cell r="F179">
            <v>0.1111111111111111</v>
          </cell>
          <cell r="G179">
            <v>8.3333333333333329E-2</v>
          </cell>
          <cell r="H179">
            <v>5.5555555555555552E-2</v>
          </cell>
          <cell r="I179">
            <v>3.968253968253968E-2</v>
          </cell>
          <cell r="J179">
            <v>8.3333333333333329E-2</v>
          </cell>
          <cell r="K179">
            <v>6.6666666666666666E-2</v>
          </cell>
          <cell r="L179">
            <v>8.3333333333333329E-2</v>
          </cell>
          <cell r="M179">
            <v>6.6666666666666666E-2</v>
          </cell>
          <cell r="N179">
            <v>5.5555555555555552E-2</v>
          </cell>
          <cell r="O179">
            <v>6.6666666666666666E-2</v>
          </cell>
          <cell r="P179">
            <v>5.5555555555555552E-2</v>
          </cell>
          <cell r="Q179">
            <v>0.13333333333333333</v>
          </cell>
          <cell r="R179">
            <v>5.5555555555555552E-2</v>
          </cell>
          <cell r="S179">
            <v>4.1666666666666664E-2</v>
          </cell>
          <cell r="T179">
            <v>4.7619047619047616E-2</v>
          </cell>
          <cell r="U179">
            <v>0.1388888888888889</v>
          </cell>
          <cell r="Z179" t="str">
            <v>--</v>
          </cell>
          <cell r="AA179" t="str">
            <v>--</v>
          </cell>
          <cell r="AB179" t="str">
            <v>--</v>
          </cell>
          <cell r="AC179" t="str">
            <v>--</v>
          </cell>
          <cell r="AD179" t="str">
            <v>--</v>
          </cell>
          <cell r="AE179" t="str">
            <v>--</v>
          </cell>
          <cell r="AF179">
            <v>0</v>
          </cell>
          <cell r="AG179">
            <v>0.1111111111111111</v>
          </cell>
          <cell r="AH179">
            <v>6.1403508771929821E-2</v>
          </cell>
          <cell r="AI179">
            <v>7.407407407407407E-2</v>
          </cell>
          <cell r="AJ179">
            <v>8.771929824561403E-2</v>
          </cell>
          <cell r="AK179">
            <v>7.9710144927536225E-2</v>
          </cell>
          <cell r="AL179">
            <v>8.1018518518518517E-2</v>
          </cell>
          <cell r="AM179">
            <v>9.7222222222222224E-2</v>
          </cell>
          <cell r="AN179">
            <v>7.7777777777777779E-2</v>
          </cell>
          <cell r="AO179">
            <v>7.7777777777777779E-2</v>
          </cell>
        </row>
        <row r="180">
          <cell r="A180" t="str">
            <v>-subtotal Midsize Green</v>
          </cell>
          <cell r="B180">
            <v>0.10416666666666667</v>
          </cell>
          <cell r="C180">
            <v>0.11458333333333333</v>
          </cell>
          <cell r="D180">
            <v>9.5238095238095233E-2</v>
          </cell>
          <cell r="E180">
            <v>0.10416666666666667</v>
          </cell>
          <cell r="F180">
            <v>9.2592592592592587E-2</v>
          </cell>
          <cell r="G180">
            <v>9.583333333333334E-2</v>
          </cell>
          <cell r="H180">
            <v>6.8888888888888888E-2</v>
          </cell>
          <cell r="I180">
            <v>6.0144927536231886E-2</v>
          </cell>
          <cell r="J180">
            <v>0.1111111111111111</v>
          </cell>
          <cell r="K180">
            <v>6.8627450980392163E-2</v>
          </cell>
          <cell r="L180">
            <v>8.3333333333333329E-2</v>
          </cell>
          <cell r="M180">
            <v>8.8235294117647065E-2</v>
          </cell>
          <cell r="N180">
            <v>7.407407407407407E-2</v>
          </cell>
          <cell r="O180">
            <v>6.8627450980392163E-2</v>
          </cell>
          <cell r="P180">
            <v>6.6666666666666666E-2</v>
          </cell>
          <cell r="Q180">
            <v>0.15789473684210525</v>
          </cell>
          <cell r="R180">
            <v>6.6666666666666666E-2</v>
          </cell>
          <cell r="S180">
            <v>4.8611111111111112E-2</v>
          </cell>
          <cell r="T180">
            <v>6.3492063492063489E-2</v>
          </cell>
          <cell r="U180">
            <v>0.35185185185185186</v>
          </cell>
          <cell r="Z180" t="str">
            <v>--</v>
          </cell>
          <cell r="AA180" t="str">
            <v>--</v>
          </cell>
          <cell r="AB180" t="str">
            <v>--</v>
          </cell>
          <cell r="AC180" t="str">
            <v>--</v>
          </cell>
          <cell r="AD180" t="str">
            <v>--</v>
          </cell>
          <cell r="AE180" t="str">
            <v>--</v>
          </cell>
          <cell r="AF180">
            <v>0</v>
          </cell>
          <cell r="AG180">
            <v>0.10840108401084012</v>
          </cell>
          <cell r="AH180">
            <v>7.8085642317380355E-2</v>
          </cell>
          <cell r="AI180">
            <v>8.6956521739130432E-2</v>
          </cell>
          <cell r="AJ180">
            <v>0.10621761658031088</v>
          </cell>
          <cell r="AK180">
            <v>0.10286677908937605</v>
          </cell>
          <cell r="AL180">
            <v>7.758737012548915E-2</v>
          </cell>
          <cell r="AM180">
            <v>8.8695800818259077E-2</v>
          </cell>
          <cell r="AN180">
            <v>7.878528447310644E-2</v>
          </cell>
          <cell r="AO180">
            <v>9.3103646620193381E-2</v>
          </cell>
        </row>
        <row r="182">
          <cell r="A182" t="str">
            <v>G300/350</v>
          </cell>
          <cell r="B182" t="str">
            <v>--</v>
          </cell>
          <cell r="C182" t="str">
            <v>--</v>
          </cell>
          <cell r="D182" t="str">
            <v>--</v>
          </cell>
          <cell r="E182" t="str">
            <v>--</v>
          </cell>
          <cell r="F182">
            <v>0</v>
          </cell>
          <cell r="G182">
            <v>0</v>
          </cell>
          <cell r="H182">
            <v>0</v>
          </cell>
          <cell r="I182">
            <v>0</v>
          </cell>
          <cell r="J182">
            <v>0</v>
          </cell>
          <cell r="K182">
            <v>0</v>
          </cell>
          <cell r="L182">
            <v>0</v>
          </cell>
          <cell r="M182" t="str">
            <v>--</v>
          </cell>
          <cell r="N182">
            <v>0</v>
          </cell>
          <cell r="O182">
            <v>0</v>
          </cell>
          <cell r="P182">
            <v>0</v>
          </cell>
          <cell r="Q182" t="str">
            <v>--</v>
          </cell>
          <cell r="R182">
            <v>0</v>
          </cell>
          <cell r="S182" t="str">
            <v>--</v>
          </cell>
          <cell r="T182" t="str">
            <v>--</v>
          </cell>
          <cell r="U182" t="str">
            <v>--</v>
          </cell>
          <cell r="Z182" t="str">
            <v>--</v>
          </cell>
          <cell r="AA182" t="str">
            <v>--</v>
          </cell>
          <cell r="AB182" t="str">
            <v>--</v>
          </cell>
          <cell r="AC182" t="str">
            <v>--</v>
          </cell>
          <cell r="AD182" t="str">
            <v>--</v>
          </cell>
          <cell r="AE182" t="str">
            <v>--</v>
          </cell>
          <cell r="AF182" t="str">
            <v>--</v>
          </cell>
          <cell r="AG182" t="str">
            <v>--</v>
          </cell>
          <cell r="AH182">
            <v>0</v>
          </cell>
          <cell r="AI182">
            <v>9.0909090909090912E-2</v>
          </cell>
          <cell r="AJ182">
            <v>9.7402597402597407E-2</v>
          </cell>
          <cell r="AK182">
            <v>0.44130626654898497</v>
          </cell>
          <cell r="AL182">
            <v>0.11782448864171929</v>
          </cell>
          <cell r="AM182">
            <v>0.11554818931226762</v>
          </cell>
          <cell r="AN182">
            <v>0.11218270807016276</v>
          </cell>
          <cell r="AO182">
            <v>0.10891525055355607</v>
          </cell>
        </row>
        <row r="183">
          <cell r="A183" t="str">
            <v>G400 (IV/IVSP)</v>
          </cell>
          <cell r="B183">
            <v>0.21721141911460487</v>
          </cell>
          <cell r="C183">
            <v>0.27582402427251412</v>
          </cell>
          <cell r="D183">
            <v>0.26203282305888842</v>
          </cell>
          <cell r="E183">
            <v>0.20686801820438558</v>
          </cell>
          <cell r="F183">
            <v>0.2857142857142857</v>
          </cell>
          <cell r="G183">
            <v>0.31746031746031744</v>
          </cell>
          <cell r="H183">
            <v>0.18478260869565216</v>
          </cell>
          <cell r="I183">
            <v>0.16666666666666666</v>
          </cell>
          <cell r="J183">
            <v>0.17391304347826086</v>
          </cell>
          <cell r="K183">
            <v>0.21739130434782608</v>
          </cell>
          <cell r="L183">
            <v>0.3188405797101449</v>
          </cell>
          <cell r="M183" t="str">
            <v>--</v>
          </cell>
          <cell r="N183" t="str">
            <v>--</v>
          </cell>
          <cell r="O183" t="str">
            <v>--</v>
          </cell>
          <cell r="P183" t="str">
            <v>--</v>
          </cell>
          <cell r="Q183" t="str">
            <v>--</v>
          </cell>
          <cell r="R183" t="str">
            <v>--</v>
          </cell>
          <cell r="S183" t="str">
            <v>--</v>
          </cell>
          <cell r="T183" t="str">
            <v>--</v>
          </cell>
          <cell r="U183" t="str">
            <v>--</v>
          </cell>
          <cell r="Z183">
            <v>6.51890482398957E-2</v>
          </cell>
          <cell r="AA183">
            <v>0.1076388888888889</v>
          </cell>
          <cell r="AB183">
            <v>0.19198193111236592</v>
          </cell>
          <cell r="AC183">
            <v>0.24284253578732107</v>
          </cell>
          <cell r="AD183">
            <v>0.2239665096807954</v>
          </cell>
          <cell r="AE183">
            <v>0.23835319609967501</v>
          </cell>
          <cell r="AF183">
            <v>0.23726851851851852</v>
          </cell>
          <cell r="AG183">
            <v>0.2442528735632184</v>
          </cell>
          <cell r="AH183">
            <v>0.2546889708900274</v>
          </cell>
          <cell r="AI183">
            <v>0.74162664123134581</v>
          </cell>
          <cell r="AJ183" t="str">
            <v>--</v>
          </cell>
          <cell r="AK183" t="str">
            <v>--</v>
          </cell>
          <cell r="AL183" t="str">
            <v>--</v>
          </cell>
          <cell r="AM183" t="str">
            <v>--</v>
          </cell>
          <cell r="AN183" t="str">
            <v>--</v>
          </cell>
          <cell r="AO183" t="str">
            <v>--</v>
          </cell>
        </row>
        <row r="184">
          <cell r="A184" t="str">
            <v>G450</v>
          </cell>
          <cell r="B184" t="str">
            <v>--</v>
          </cell>
          <cell r="C184" t="str">
            <v>--</v>
          </cell>
          <cell r="D184" t="str">
            <v>--</v>
          </cell>
          <cell r="E184" t="str">
            <v>--</v>
          </cell>
          <cell r="F184" t="str">
            <v>--</v>
          </cell>
          <cell r="G184" t="str">
            <v>--</v>
          </cell>
          <cell r="H184" t="str">
            <v>--</v>
          </cell>
          <cell r="I184" t="str">
            <v>--</v>
          </cell>
          <cell r="J184" t="str">
            <v>--</v>
          </cell>
          <cell r="K184" t="str">
            <v>--</v>
          </cell>
          <cell r="L184" t="str">
            <v>--</v>
          </cell>
          <cell r="M184" t="str">
            <v>--</v>
          </cell>
          <cell r="N184" t="str">
            <v>--</v>
          </cell>
          <cell r="O184" t="str">
            <v>--</v>
          </cell>
          <cell r="P184" t="str">
            <v>--</v>
          </cell>
          <cell r="Q184" t="str">
            <v>--</v>
          </cell>
          <cell r="R184" t="str">
            <v>--</v>
          </cell>
          <cell r="S184" t="str">
            <v>--</v>
          </cell>
          <cell r="T184" t="str">
            <v>--</v>
          </cell>
          <cell r="U184" t="str">
            <v>--</v>
          </cell>
          <cell r="Z184" t="str">
            <v>--</v>
          </cell>
          <cell r="AA184" t="str">
            <v>--</v>
          </cell>
          <cell r="AB184" t="str">
            <v>--</v>
          </cell>
          <cell r="AC184" t="str">
            <v>--</v>
          </cell>
          <cell r="AD184" t="str">
            <v>--</v>
          </cell>
          <cell r="AE184" t="str">
            <v>--</v>
          </cell>
          <cell r="AF184" t="str">
            <v>--</v>
          </cell>
          <cell r="AG184" t="str">
            <v>--</v>
          </cell>
          <cell r="AH184" t="str">
            <v>--</v>
          </cell>
          <cell r="AI184">
            <v>0</v>
          </cell>
          <cell r="AJ184">
            <v>1.5282810037181961E-2</v>
          </cell>
          <cell r="AK184">
            <v>1.8666666666666668E-2</v>
          </cell>
          <cell r="AL184">
            <v>2.1874999999999999E-2</v>
          </cell>
          <cell r="AM184">
            <v>3.0555555555555555E-2</v>
          </cell>
          <cell r="AN184">
            <v>2.9464285714285714E-2</v>
          </cell>
          <cell r="AO184">
            <v>2.9464285714285714E-2</v>
          </cell>
        </row>
        <row r="185">
          <cell r="A185" t="str">
            <v>GV</v>
          </cell>
          <cell r="B185">
            <v>0.21904761904761905</v>
          </cell>
          <cell r="C185">
            <v>0.25185185185185183</v>
          </cell>
          <cell r="D185">
            <v>0.24166666666666667</v>
          </cell>
          <cell r="E185">
            <v>0.14761904761904762</v>
          </cell>
          <cell r="F185" t="str">
            <v>--</v>
          </cell>
          <cell r="G185" t="str">
            <v>--</v>
          </cell>
          <cell r="H185">
            <v>9.375E-2</v>
          </cell>
          <cell r="I185" t="str">
            <v>--</v>
          </cell>
          <cell r="J185" t="str">
            <v>--</v>
          </cell>
          <cell r="K185" t="str">
            <v>--</v>
          </cell>
          <cell r="L185" t="str">
            <v>--</v>
          </cell>
          <cell r="M185" t="str">
            <v>--</v>
          </cell>
          <cell r="N185" t="str">
            <v>--</v>
          </cell>
          <cell r="O185" t="str">
            <v>--</v>
          </cell>
          <cell r="P185" t="str">
            <v>--</v>
          </cell>
          <cell r="Q185" t="str">
            <v>--</v>
          </cell>
          <cell r="R185" t="str">
            <v>--</v>
          </cell>
          <cell r="S185" t="str">
            <v>--</v>
          </cell>
          <cell r="T185" t="str">
            <v>--</v>
          </cell>
          <cell r="U185" t="str">
            <v>--</v>
          </cell>
          <cell r="Z185" t="str">
            <v>--</v>
          </cell>
          <cell r="AA185">
            <v>2.2222222222222223E-2</v>
          </cell>
          <cell r="AB185">
            <v>0.10344827586206896</v>
          </cell>
          <cell r="AC185">
            <v>0.13584117032392895</v>
          </cell>
          <cell r="AD185">
            <v>0.1681329423264907</v>
          </cell>
          <cell r="AE185">
            <v>0.22281639928698752</v>
          </cell>
          <cell r="AF185">
            <v>0.20542059474750465</v>
          </cell>
          <cell r="AG185">
            <v>0.20722109367822522</v>
          </cell>
          <cell r="AH185">
            <v>0.46875</v>
          </cell>
          <cell r="AI185" t="str">
            <v>--</v>
          </cell>
          <cell r="AJ185" t="str">
            <v>--</v>
          </cell>
          <cell r="AK185" t="str">
            <v>--</v>
          </cell>
          <cell r="AL185" t="str">
            <v>--</v>
          </cell>
          <cell r="AM185" t="str">
            <v>--</v>
          </cell>
          <cell r="AN185" t="str">
            <v>--</v>
          </cell>
          <cell r="AO185" t="str">
            <v>--</v>
          </cell>
        </row>
        <row r="186">
          <cell r="A186" t="str">
            <v>G500</v>
          </cell>
          <cell r="B186" t="str">
            <v>--</v>
          </cell>
          <cell r="C186" t="str">
            <v>--</v>
          </cell>
          <cell r="D186" t="str">
            <v>--</v>
          </cell>
          <cell r="E186" t="str">
            <v>--</v>
          </cell>
          <cell r="F186" t="str">
            <v>--</v>
          </cell>
          <cell r="G186" t="str">
            <v>--</v>
          </cell>
          <cell r="H186" t="str">
            <v>--</v>
          </cell>
          <cell r="I186" t="str">
            <v>--</v>
          </cell>
          <cell r="J186" t="str">
            <v>--</v>
          </cell>
          <cell r="K186" t="str">
            <v>--</v>
          </cell>
          <cell r="L186" t="str">
            <v>--</v>
          </cell>
          <cell r="M186" t="str">
            <v>--</v>
          </cell>
          <cell r="N186" t="str">
            <v>--</v>
          </cell>
          <cell r="O186" t="str">
            <v>--</v>
          </cell>
          <cell r="P186" t="str">
            <v>--</v>
          </cell>
          <cell r="Q186" t="str">
            <v>--</v>
          </cell>
          <cell r="R186" t="str">
            <v>--</v>
          </cell>
          <cell r="S186" t="str">
            <v>--</v>
          </cell>
          <cell r="T186" t="str">
            <v>--</v>
          </cell>
          <cell r="U186" t="str">
            <v>--</v>
          </cell>
          <cell r="Z186" t="str">
            <v>--</v>
          </cell>
          <cell r="AA186" t="str">
            <v>--</v>
          </cell>
          <cell r="AB186" t="str">
            <v>--</v>
          </cell>
          <cell r="AC186" t="str">
            <v>--</v>
          </cell>
          <cell r="AD186" t="str">
            <v>--</v>
          </cell>
          <cell r="AE186" t="str">
            <v>--</v>
          </cell>
          <cell r="AF186" t="str">
            <v>--</v>
          </cell>
          <cell r="AG186" t="str">
            <v>--</v>
          </cell>
          <cell r="AH186" t="str">
            <v>--</v>
          </cell>
          <cell r="AI186" t="str">
            <v>--</v>
          </cell>
          <cell r="AJ186">
            <v>0.5357142857142857</v>
          </cell>
          <cell r="AK186">
            <v>0.19047619047619047</v>
          </cell>
          <cell r="AL186">
            <v>0.14447526583448914</v>
          </cell>
          <cell r="AM186">
            <v>0.14778325123152711</v>
          </cell>
          <cell r="AN186">
            <v>0.15625</v>
          </cell>
          <cell r="AO186">
            <v>0.15625</v>
          </cell>
        </row>
        <row r="187">
          <cell r="A187" t="str">
            <v>G550 (GVSP)</v>
          </cell>
          <cell r="B187" t="str">
            <v>--</v>
          </cell>
          <cell r="C187" t="str">
            <v>--</v>
          </cell>
          <cell r="D187" t="str">
            <v>--</v>
          </cell>
          <cell r="E187">
            <v>0</v>
          </cell>
          <cell r="F187">
            <v>0.11160714285714286</v>
          </cell>
          <cell r="G187">
            <v>2.5000000000000001E-2</v>
          </cell>
          <cell r="H187">
            <v>5.514705882352941E-2</v>
          </cell>
          <cell r="I187">
            <v>6.7857142857142852E-2</v>
          </cell>
          <cell r="J187">
            <v>0.11029411764705882</v>
          </cell>
          <cell r="K187">
            <v>8.0882352941176475E-2</v>
          </cell>
          <cell r="L187">
            <v>8.0882352941176475E-2</v>
          </cell>
          <cell r="M187">
            <v>0.20588235294117646</v>
          </cell>
          <cell r="N187">
            <v>0.12605042016806722</v>
          </cell>
          <cell r="O187">
            <v>7.1895424836601302E-2</v>
          </cell>
          <cell r="P187">
            <v>6.4705882352941183E-2</v>
          </cell>
          <cell r="Q187">
            <v>0.50980392156862742</v>
          </cell>
          <cell r="R187">
            <v>0.11029411764705882</v>
          </cell>
          <cell r="S187">
            <v>7.1895424836601302E-2</v>
          </cell>
          <cell r="T187">
            <v>6.4705882352941183E-2</v>
          </cell>
          <cell r="U187">
            <v>0.50980392156862742</v>
          </cell>
          <cell r="Z187" t="str">
            <v>--</v>
          </cell>
          <cell r="AA187" t="str">
            <v>--</v>
          </cell>
          <cell r="AB187" t="str">
            <v>--</v>
          </cell>
          <cell r="AC187" t="str">
            <v>--</v>
          </cell>
          <cell r="AD187" t="str">
            <v>--</v>
          </cell>
          <cell r="AE187" t="str">
            <v>--</v>
          </cell>
          <cell r="AF187" t="str">
            <v>--</v>
          </cell>
          <cell r="AG187">
            <v>0</v>
          </cell>
          <cell r="AH187">
            <v>7.03125E-2</v>
          </cell>
          <cell r="AI187">
            <v>0.11284722222222222</v>
          </cell>
          <cell r="AJ187">
            <v>0.18003913894324852</v>
          </cell>
          <cell r="AK187">
            <v>0.17370092904435386</v>
          </cell>
          <cell r="AL187">
            <v>0.16358463726884778</v>
          </cell>
          <cell r="AM187">
            <v>0.15927977839335181</v>
          </cell>
          <cell r="AN187">
            <v>0.14743589743589744</v>
          </cell>
          <cell r="AO187">
            <v>0.13690476190476192</v>
          </cell>
        </row>
        <row r="188">
          <cell r="A188" t="str">
            <v>-subtotal Large Green</v>
          </cell>
          <cell r="B188">
            <v>0.21816739389131296</v>
          </cell>
          <cell r="C188">
            <v>0.26254794576743995</v>
          </cell>
          <cell r="D188">
            <v>0.24933769674302636</v>
          </cell>
          <cell r="E188">
            <v>0.15761459356105628</v>
          </cell>
          <cell r="F188">
            <v>0.12012987012987013</v>
          </cell>
          <cell r="G188">
            <v>0.11074918566775244</v>
          </cell>
          <cell r="H188">
            <v>8.3732057416267949E-2</v>
          </cell>
          <cell r="I188">
            <v>9.2964824120603015E-2</v>
          </cell>
          <cell r="J188">
            <v>0.11917098445595854</v>
          </cell>
          <cell r="K188">
            <v>0.10294117647058823</v>
          </cell>
          <cell r="L188">
            <v>0.11428571428571428</v>
          </cell>
          <cell r="M188">
            <v>0.41544117647058826</v>
          </cell>
          <cell r="N188">
            <v>0.1393939393939394</v>
          </cell>
          <cell r="O188">
            <v>0.1276595744680851</v>
          </cell>
          <cell r="P188">
            <v>0.11398963730569948</v>
          </cell>
          <cell r="Q188">
            <v>0.83333333333333337</v>
          </cell>
          <cell r="R188">
            <v>0.14465408805031446</v>
          </cell>
          <cell r="S188">
            <v>0.13725490196078433</v>
          </cell>
          <cell r="T188">
            <v>0.12941176470588237</v>
          </cell>
          <cell r="U188">
            <v>0.89215686274509809</v>
          </cell>
          <cell r="Z188">
            <v>6.51890482398957E-2</v>
          </cell>
          <cell r="AA188">
            <v>9.6096096096096095E-2</v>
          </cell>
          <cell r="AB188">
            <v>0.13701562834510811</v>
          </cell>
          <cell r="AC188">
            <v>0.1839714844199149</v>
          </cell>
          <cell r="AD188">
            <v>0.19509729593126104</v>
          </cell>
          <cell r="AE188">
            <v>0.22982885085574573</v>
          </cell>
          <cell r="AF188">
            <v>0.21828223565881003</v>
          </cell>
          <cell r="AG188">
            <v>0.21843139321750016</v>
          </cell>
          <cell r="AH188">
            <v>0.10583081538017756</v>
          </cell>
          <cell r="AI188">
            <v>0.15737018491293805</v>
          </cell>
          <cell r="AJ188">
            <v>0.20182203577991784</v>
          </cell>
          <cell r="AK188">
            <v>0.18380392704611626</v>
          </cell>
          <cell r="AL188">
            <v>0.16435792695346735</v>
          </cell>
          <cell r="AM188">
            <v>0.15900195986427273</v>
          </cell>
          <cell r="AN188">
            <v>0.15121892415970314</v>
          </cell>
          <cell r="AO188">
            <v>0.14527230527742668</v>
          </cell>
        </row>
        <row r="190">
          <cell r="A190" t="str">
            <v>GAC  Completions</v>
          </cell>
          <cell r="B190">
            <v>0.1440733464309103</v>
          </cell>
          <cell r="C190">
            <v>0.11226494527083918</v>
          </cell>
          <cell r="D190">
            <v>0.13868022651103662</v>
          </cell>
          <cell r="E190">
            <v>0.19646365422396858</v>
          </cell>
          <cell r="F190">
            <v>8.3333333333333329E-2</v>
          </cell>
          <cell r="G190">
            <v>9.0909090909090912E-2</v>
          </cell>
          <cell r="H190">
            <v>5.9523809523809521E-2</v>
          </cell>
          <cell r="I190">
            <v>8.3333333333333329E-2</v>
          </cell>
          <cell r="J190">
            <v>0.14285714285714285</v>
          </cell>
          <cell r="K190">
            <v>5.7142857142857141E-2</v>
          </cell>
          <cell r="L190">
            <v>5.1020408163265307E-2</v>
          </cell>
          <cell r="M190">
            <v>0.24107142857142858</v>
          </cell>
          <cell r="N190">
            <v>8.3333333333333329E-2</v>
          </cell>
          <cell r="O190">
            <v>6.1224489795918366E-2</v>
          </cell>
          <cell r="P190">
            <v>4.2016806722689079E-2</v>
          </cell>
          <cell r="Q190">
            <v>0.26890756302521007</v>
          </cell>
          <cell r="R190">
            <v>6.25E-2</v>
          </cell>
          <cell r="S190">
            <v>4.2857142857142858E-2</v>
          </cell>
          <cell r="T190">
            <v>3.968253968253968E-2</v>
          </cell>
          <cell r="U190">
            <v>0.26890756302521007</v>
          </cell>
          <cell r="Z190">
            <v>3.4482758620689655E-2</v>
          </cell>
          <cell r="AA190">
            <v>6.6613375965893964E-2</v>
          </cell>
          <cell r="AB190">
            <v>0.10989010989010989</v>
          </cell>
          <cell r="AC190">
            <v>0.1125</v>
          </cell>
          <cell r="AD190">
            <v>5.0835148874364564E-2</v>
          </cell>
          <cell r="AE190">
            <v>0.17857142857142858</v>
          </cell>
          <cell r="AF190">
            <v>0.20249291274805384</v>
          </cell>
          <cell r="AG190">
            <v>0.14445856928232984</v>
          </cell>
          <cell r="AH190">
            <v>9.5463388835747606E-2</v>
          </cell>
          <cell r="AI190">
            <v>0.1542100896577461</v>
          </cell>
          <cell r="AJ190">
            <v>0.14142724271962609</v>
          </cell>
          <cell r="AK190">
            <v>0.1138247426314898</v>
          </cell>
          <cell r="AL190">
            <v>0.11318706900330218</v>
          </cell>
          <cell r="AM190">
            <v>0.10180847476487496</v>
          </cell>
          <cell r="AN190">
            <v>9.6960452157023785E-2</v>
          </cell>
          <cell r="AO190">
            <v>9.2343287768594073E-2</v>
          </cell>
        </row>
        <row r="191">
          <cell r="A191" t="str">
            <v>Galaxy  Completions</v>
          </cell>
          <cell r="B191">
            <v>0.08</v>
          </cell>
          <cell r="C191">
            <v>0.1</v>
          </cell>
          <cell r="D191">
            <v>0.1</v>
          </cell>
          <cell r="E191">
            <v>3.3333333333333333E-2</v>
          </cell>
          <cell r="F191">
            <v>6.6666666666666666E-2</v>
          </cell>
          <cell r="G191">
            <v>0.1</v>
          </cell>
          <cell r="H191">
            <v>6.25E-2</v>
          </cell>
          <cell r="I191">
            <v>2.0833333333333332E-2</v>
          </cell>
          <cell r="J191">
            <v>0.05</v>
          </cell>
          <cell r="K191">
            <v>4.1666666666666664E-2</v>
          </cell>
          <cell r="L191">
            <v>7.1428571428571425E-2</v>
          </cell>
          <cell r="M191">
            <v>0.16250000000000001</v>
          </cell>
          <cell r="N191">
            <v>8.3333333333333329E-2</v>
          </cell>
          <cell r="O191">
            <v>1.5625E-2</v>
          </cell>
          <cell r="P191">
            <v>0.1</v>
          </cell>
          <cell r="Q191">
            <v>0.203125</v>
          </cell>
          <cell r="R191">
            <v>3.5714285714285712E-2</v>
          </cell>
          <cell r="S191">
            <v>2.0833333333333332E-2</v>
          </cell>
          <cell r="T191">
            <v>6.25E-2</v>
          </cell>
          <cell r="U191">
            <v>0.13541666666666666</v>
          </cell>
          <cell r="Z191" t="str">
            <v>--</v>
          </cell>
          <cell r="AA191" t="str">
            <v>--</v>
          </cell>
          <cell r="AB191" t="str">
            <v>--</v>
          </cell>
          <cell r="AC191" t="str">
            <v>--</v>
          </cell>
          <cell r="AD191" t="str">
            <v>--</v>
          </cell>
          <cell r="AE191" t="str">
            <v>--</v>
          </cell>
          <cell r="AF191" t="str">
            <v>--</v>
          </cell>
          <cell r="AG191">
            <v>7.3260073260073263E-2</v>
          </cell>
          <cell r="AH191">
            <v>5.8049886621315196E-2</v>
          </cell>
          <cell r="AI191">
            <v>0.13821401576503614</v>
          </cell>
          <cell r="AJ191">
            <v>0.13711707913198032</v>
          </cell>
          <cell r="AK191">
            <v>9.4972868662843504E-2</v>
          </cell>
          <cell r="AL191">
            <v>8.2912821848514159E-2</v>
          </cell>
          <cell r="AM191">
            <v>7.4808561066328563E-2</v>
          </cell>
          <cell r="AN191">
            <v>7.1246248634598622E-2</v>
          </cell>
          <cell r="AO191">
            <v>6.7853570128189156E-2</v>
          </cell>
        </row>
        <row r="192">
          <cell r="A192" t="str">
            <v>New Aircraft</v>
          </cell>
          <cell r="B192">
            <v>0.17367340787415136</v>
          </cell>
          <cell r="C192">
            <v>0.215365558402072</v>
          </cell>
          <cell r="D192">
            <v>0.2169511136823836</v>
          </cell>
          <cell r="E192">
            <v>0.15483405209263446</v>
          </cell>
          <cell r="F192">
            <v>0.10915104740904079</v>
          </cell>
          <cell r="G192">
            <v>0.10441767068273092</v>
          </cell>
          <cell r="H192">
            <v>7.7243589743589747E-2</v>
          </cell>
          <cell r="I192">
            <v>7.9790419161676646E-2</v>
          </cell>
          <cell r="J192">
            <v>0.11764705882352941</v>
          </cell>
          <cell r="K192">
            <v>8.8516746411483258E-2</v>
          </cell>
          <cell r="L192">
            <v>9.7199341021416807E-2</v>
          </cell>
          <cell r="M192">
            <v>0.29562737642585551</v>
          </cell>
          <cell r="N192">
            <v>0.11610486891385768</v>
          </cell>
          <cell r="O192">
            <v>9.8930481283422467E-2</v>
          </cell>
          <cell r="P192">
            <v>9.1472868217054262E-2</v>
          </cell>
          <cell r="Q192">
            <v>0.54553415061295973</v>
          </cell>
          <cell r="R192">
            <v>0.10726643598615918</v>
          </cell>
          <cell r="S192">
            <v>9.039087947882736E-2</v>
          </cell>
          <cell r="T192">
            <v>9.4551282051282048E-2</v>
          </cell>
          <cell r="U192">
            <v>0.60154905335628228</v>
          </cell>
          <cell r="Z192">
            <v>6.2537224538415717E-2</v>
          </cell>
          <cell r="AA192">
            <v>9.3109869646182508E-2</v>
          </cell>
          <cell r="AB192">
            <v>0.13536152248207464</v>
          </cell>
          <cell r="AC192">
            <v>0.17713424144743681</v>
          </cell>
          <cell r="AD192">
            <v>0.1774701628288744</v>
          </cell>
          <cell r="AE192">
            <v>0.22311942201444965</v>
          </cell>
          <cell r="AF192">
            <v>0.20007423904973989</v>
          </cell>
          <cell r="AG192">
            <v>0.18787635487755913</v>
          </cell>
          <cell r="AH192">
            <v>9.7643097643097518E-2</v>
          </cell>
          <cell r="AI192">
            <v>0.14504150283966799</v>
          </cell>
          <cell r="AJ192">
            <v>0.1787545787545787</v>
          </cell>
          <cell r="AK192">
            <v>0.15743789284645313</v>
          </cell>
          <cell r="AL192">
            <v>0.1381230817113932</v>
          </cell>
          <cell r="AM192">
            <v>0.13507859744859962</v>
          </cell>
          <cell r="AN192">
            <v>0.12654475424712905</v>
          </cell>
          <cell r="AO192">
            <v>0.12686504253021774</v>
          </cell>
        </row>
        <row r="193">
          <cell r="A193" t="str">
            <v>Avg Sell'g Prix - Green Aircraft/Completions</v>
          </cell>
        </row>
        <row r="194">
          <cell r="A194" t="str">
            <v>G100</v>
          </cell>
          <cell r="B194">
            <v>12</v>
          </cell>
          <cell r="C194">
            <v>12</v>
          </cell>
          <cell r="D194">
            <v>12</v>
          </cell>
          <cell r="E194">
            <v>12</v>
          </cell>
          <cell r="F194">
            <v>12</v>
          </cell>
          <cell r="G194">
            <v>12</v>
          </cell>
          <cell r="H194">
            <v>12</v>
          </cell>
          <cell r="I194">
            <v>12</v>
          </cell>
          <cell r="J194">
            <v>12</v>
          </cell>
          <cell r="K194">
            <v>12</v>
          </cell>
          <cell r="L194">
            <v>12</v>
          </cell>
          <cell r="M194">
            <v>12</v>
          </cell>
          <cell r="N194">
            <v>12</v>
          </cell>
          <cell r="O194">
            <v>12</v>
          </cell>
          <cell r="P194">
            <v>12</v>
          </cell>
          <cell r="Q194">
            <v>12</v>
          </cell>
          <cell r="R194">
            <v>12</v>
          </cell>
          <cell r="S194">
            <v>12</v>
          </cell>
          <cell r="T194">
            <v>12</v>
          </cell>
          <cell r="U194">
            <v>12</v>
          </cell>
          <cell r="Z194">
            <v>0</v>
          </cell>
          <cell r="AA194">
            <v>0</v>
          </cell>
          <cell r="AB194">
            <v>0</v>
          </cell>
          <cell r="AC194">
            <v>0</v>
          </cell>
          <cell r="AD194">
            <v>0</v>
          </cell>
          <cell r="AE194">
            <v>0</v>
          </cell>
          <cell r="AF194">
            <v>11</v>
          </cell>
          <cell r="AG194">
            <v>11</v>
          </cell>
          <cell r="AH194">
            <v>11</v>
          </cell>
          <cell r="AI194">
            <v>11</v>
          </cell>
          <cell r="AJ194">
            <v>11</v>
          </cell>
          <cell r="AK194">
            <v>11</v>
          </cell>
          <cell r="AL194">
            <v>0</v>
          </cell>
          <cell r="AM194">
            <v>0</v>
          </cell>
          <cell r="AN194">
            <v>0</v>
          </cell>
          <cell r="AO194">
            <v>0</v>
          </cell>
          <cell r="AP194" t="str">
            <v>- normal config</v>
          </cell>
        </row>
        <row r="195">
          <cell r="A195" t="str">
            <v>G150</v>
          </cell>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Z195">
            <v>0</v>
          </cell>
          <cell r="AA195">
            <v>0</v>
          </cell>
          <cell r="AB195">
            <v>0</v>
          </cell>
          <cell r="AC195">
            <v>0</v>
          </cell>
          <cell r="AD195">
            <v>0</v>
          </cell>
          <cell r="AE195">
            <v>0</v>
          </cell>
          <cell r="AF195">
            <v>0</v>
          </cell>
          <cell r="AG195">
            <v>0</v>
          </cell>
          <cell r="AH195">
            <v>0</v>
          </cell>
          <cell r="AI195">
            <v>0</v>
          </cell>
          <cell r="AJ195">
            <v>0</v>
          </cell>
          <cell r="AK195">
            <v>12</v>
          </cell>
          <cell r="AL195">
            <v>12.36</v>
          </cell>
          <cell r="AM195">
            <v>12.7308</v>
          </cell>
          <cell r="AN195">
            <v>13.112724</v>
          </cell>
          <cell r="AO195">
            <v>13.506105720000001</v>
          </cell>
        </row>
        <row r="196">
          <cell r="A196" t="str">
            <v>G200</v>
          </cell>
          <cell r="B196">
            <v>18</v>
          </cell>
          <cell r="C196">
            <v>18</v>
          </cell>
          <cell r="D196">
            <v>18</v>
          </cell>
          <cell r="E196">
            <v>18</v>
          </cell>
          <cell r="F196">
            <v>18</v>
          </cell>
          <cell r="G196">
            <v>18</v>
          </cell>
          <cell r="H196">
            <v>18</v>
          </cell>
          <cell r="I196">
            <v>18</v>
          </cell>
          <cell r="J196">
            <v>18</v>
          </cell>
          <cell r="K196">
            <v>18</v>
          </cell>
          <cell r="L196">
            <v>18</v>
          </cell>
          <cell r="M196">
            <v>18</v>
          </cell>
          <cell r="N196">
            <v>18</v>
          </cell>
          <cell r="O196">
            <v>18</v>
          </cell>
          <cell r="P196">
            <v>18</v>
          </cell>
          <cell r="Q196">
            <v>18</v>
          </cell>
          <cell r="R196">
            <v>18</v>
          </cell>
          <cell r="S196">
            <v>18</v>
          </cell>
          <cell r="T196">
            <v>18</v>
          </cell>
          <cell r="U196">
            <v>18</v>
          </cell>
          <cell r="Z196">
            <v>0</v>
          </cell>
          <cell r="AA196">
            <v>0</v>
          </cell>
          <cell r="AB196">
            <v>0</v>
          </cell>
          <cell r="AC196">
            <v>0</v>
          </cell>
          <cell r="AD196">
            <v>0</v>
          </cell>
          <cell r="AE196">
            <v>0</v>
          </cell>
          <cell r="AF196">
            <v>18</v>
          </cell>
          <cell r="AG196">
            <v>18</v>
          </cell>
          <cell r="AH196">
            <v>18</v>
          </cell>
          <cell r="AI196">
            <v>18</v>
          </cell>
          <cell r="AJ196">
            <v>18</v>
          </cell>
          <cell r="AK196">
            <v>18</v>
          </cell>
          <cell r="AL196">
            <v>18</v>
          </cell>
          <cell r="AM196">
            <v>18</v>
          </cell>
          <cell r="AN196">
            <v>18</v>
          </cell>
          <cell r="AO196">
            <v>18</v>
          </cell>
        </row>
        <row r="197">
          <cell r="A197" t="str">
            <v>G300/350</v>
          </cell>
          <cell r="B197">
            <v>0</v>
          </cell>
          <cell r="C197">
            <v>0</v>
          </cell>
          <cell r="D197">
            <v>0</v>
          </cell>
          <cell r="E197">
            <v>0</v>
          </cell>
          <cell r="F197">
            <v>21</v>
          </cell>
          <cell r="G197">
            <v>21</v>
          </cell>
          <cell r="H197">
            <v>22</v>
          </cell>
          <cell r="I197">
            <v>22</v>
          </cell>
          <cell r="J197">
            <v>22</v>
          </cell>
          <cell r="K197">
            <v>22</v>
          </cell>
          <cell r="L197">
            <v>22</v>
          </cell>
          <cell r="M197">
            <v>22</v>
          </cell>
          <cell r="N197">
            <v>23</v>
          </cell>
          <cell r="O197">
            <v>23</v>
          </cell>
          <cell r="P197">
            <v>23</v>
          </cell>
          <cell r="Q197">
            <v>23</v>
          </cell>
          <cell r="R197">
            <v>23</v>
          </cell>
          <cell r="S197">
            <v>23</v>
          </cell>
          <cell r="T197">
            <v>23</v>
          </cell>
          <cell r="U197">
            <v>23</v>
          </cell>
          <cell r="Z197">
            <v>0</v>
          </cell>
          <cell r="AA197">
            <v>0</v>
          </cell>
          <cell r="AB197">
            <v>0</v>
          </cell>
          <cell r="AC197">
            <v>0</v>
          </cell>
          <cell r="AD197">
            <v>0</v>
          </cell>
          <cell r="AE197">
            <v>0</v>
          </cell>
          <cell r="AF197">
            <v>0</v>
          </cell>
          <cell r="AG197">
            <v>0</v>
          </cell>
          <cell r="AH197">
            <v>21</v>
          </cell>
          <cell r="AI197">
            <v>22</v>
          </cell>
          <cell r="AJ197">
            <v>22</v>
          </cell>
          <cell r="AK197">
            <v>22.66</v>
          </cell>
          <cell r="AL197">
            <v>23.3398</v>
          </cell>
          <cell r="AM197">
            <v>24.039994</v>
          </cell>
          <cell r="AN197">
            <v>24.761193819999999</v>
          </cell>
          <cell r="AO197">
            <v>25.504029634599998</v>
          </cell>
        </row>
        <row r="198">
          <cell r="A198" t="str">
            <v>G400 (GIV/IVSP)</v>
          </cell>
          <cell r="B198">
            <v>24.17</v>
          </cell>
          <cell r="C198">
            <v>24.17</v>
          </cell>
          <cell r="D198">
            <v>24.17</v>
          </cell>
          <cell r="E198">
            <v>24.17</v>
          </cell>
          <cell r="F198">
            <v>21</v>
          </cell>
          <cell r="G198">
            <v>21</v>
          </cell>
          <cell r="H198">
            <v>23</v>
          </cell>
          <cell r="I198">
            <v>24</v>
          </cell>
          <cell r="J198">
            <v>23</v>
          </cell>
          <cell r="K198">
            <v>23</v>
          </cell>
          <cell r="L198">
            <v>23</v>
          </cell>
          <cell r="M198">
            <v>23</v>
          </cell>
          <cell r="N198">
            <v>23</v>
          </cell>
          <cell r="O198">
            <v>23</v>
          </cell>
          <cell r="P198">
            <v>23</v>
          </cell>
          <cell r="Q198">
            <v>23</v>
          </cell>
          <cell r="R198">
            <v>23</v>
          </cell>
          <cell r="S198">
            <v>23</v>
          </cell>
          <cell r="T198">
            <v>23</v>
          </cell>
          <cell r="U198">
            <v>23</v>
          </cell>
          <cell r="Z198">
            <v>23.6</v>
          </cell>
          <cell r="AA198">
            <v>24</v>
          </cell>
          <cell r="AB198">
            <v>24.15</v>
          </cell>
          <cell r="AC198">
            <v>24.45</v>
          </cell>
          <cell r="AD198">
            <v>24.5</v>
          </cell>
          <cell r="AE198">
            <v>24.289473684210524</v>
          </cell>
          <cell r="AF198">
            <v>24</v>
          </cell>
          <cell r="AG198">
            <v>24</v>
          </cell>
          <cell r="AH198">
            <v>19.631788461538676</v>
          </cell>
          <cell r="AI198">
            <v>12.258067045454531</v>
          </cell>
          <cell r="AJ198">
            <v>0</v>
          </cell>
          <cell r="AK198">
            <v>0</v>
          </cell>
          <cell r="AL198">
            <v>0</v>
          </cell>
          <cell r="AM198">
            <v>0</v>
          </cell>
          <cell r="AN198">
            <v>0</v>
          </cell>
          <cell r="AO198">
            <v>0</v>
          </cell>
        </row>
        <row r="199">
          <cell r="A199" t="str">
            <v>G450</v>
          </cell>
          <cell r="B199">
            <v>0</v>
          </cell>
          <cell r="C199">
            <v>0</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Z199">
            <v>0</v>
          </cell>
          <cell r="AA199">
            <v>0</v>
          </cell>
          <cell r="AB199">
            <v>0</v>
          </cell>
          <cell r="AC199">
            <v>0</v>
          </cell>
          <cell r="AD199">
            <v>0</v>
          </cell>
          <cell r="AE199">
            <v>0</v>
          </cell>
          <cell r="AF199">
            <v>0</v>
          </cell>
          <cell r="AG199">
            <v>0</v>
          </cell>
          <cell r="AH199">
            <v>0</v>
          </cell>
          <cell r="AI199">
            <v>20</v>
          </cell>
          <cell r="AJ199">
            <v>22.901547500000035</v>
          </cell>
          <cell r="AK199">
            <v>25</v>
          </cell>
          <cell r="AL199">
            <v>30</v>
          </cell>
          <cell r="AM199">
            <v>30</v>
          </cell>
          <cell r="AN199">
            <v>32</v>
          </cell>
          <cell r="AO199">
            <v>32</v>
          </cell>
        </row>
        <row r="200">
          <cell r="A200" t="str">
            <v>GV</v>
          </cell>
          <cell r="B200">
            <v>30</v>
          </cell>
          <cell r="C200">
            <v>30</v>
          </cell>
          <cell r="D200">
            <v>30</v>
          </cell>
          <cell r="E200">
            <v>30</v>
          </cell>
          <cell r="F200">
            <v>30</v>
          </cell>
          <cell r="G200">
            <v>31</v>
          </cell>
          <cell r="H200">
            <v>32</v>
          </cell>
          <cell r="I200">
            <v>32</v>
          </cell>
          <cell r="J200">
            <v>32</v>
          </cell>
          <cell r="K200">
            <v>32</v>
          </cell>
          <cell r="L200">
            <v>32</v>
          </cell>
          <cell r="M200">
            <v>32</v>
          </cell>
          <cell r="N200">
            <v>32</v>
          </cell>
          <cell r="O200">
            <v>32</v>
          </cell>
          <cell r="P200">
            <v>32</v>
          </cell>
          <cell r="Q200">
            <v>32</v>
          </cell>
          <cell r="R200">
            <v>32</v>
          </cell>
          <cell r="S200">
            <v>32</v>
          </cell>
          <cell r="T200">
            <v>32</v>
          </cell>
          <cell r="U200">
            <v>32</v>
          </cell>
          <cell r="Z200">
            <v>0</v>
          </cell>
          <cell r="AA200">
            <v>30</v>
          </cell>
          <cell r="AB200">
            <v>30</v>
          </cell>
          <cell r="AC200">
            <v>33</v>
          </cell>
          <cell r="AD200">
            <v>33</v>
          </cell>
          <cell r="AE200">
            <v>34</v>
          </cell>
          <cell r="AF200">
            <v>36.440914285714378</v>
          </cell>
          <cell r="AG200">
            <v>31.60096774193552</v>
          </cell>
          <cell r="AH200">
            <v>32</v>
          </cell>
          <cell r="AI200">
            <v>0</v>
          </cell>
          <cell r="AJ200">
            <v>0</v>
          </cell>
          <cell r="AK200">
            <v>0</v>
          </cell>
          <cell r="AL200">
            <v>0</v>
          </cell>
          <cell r="AM200">
            <v>0</v>
          </cell>
          <cell r="AN200">
            <v>0</v>
          </cell>
          <cell r="AO200">
            <v>0</v>
          </cell>
        </row>
        <row r="201">
          <cell r="A201" t="str">
            <v>G500</v>
          </cell>
          <cell r="B201">
            <v>0</v>
          </cell>
          <cell r="C201">
            <v>0</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Z201">
            <v>0</v>
          </cell>
          <cell r="AA201">
            <v>0</v>
          </cell>
          <cell r="AB201">
            <v>0</v>
          </cell>
          <cell r="AC201">
            <v>0</v>
          </cell>
          <cell r="AD201">
            <v>0</v>
          </cell>
          <cell r="AE201">
            <v>0</v>
          </cell>
          <cell r="AF201">
            <v>0</v>
          </cell>
          <cell r="AG201">
            <v>0</v>
          </cell>
          <cell r="AH201">
            <v>0</v>
          </cell>
          <cell r="AI201">
            <v>0</v>
          </cell>
          <cell r="AJ201">
            <v>28</v>
          </cell>
          <cell r="AK201">
            <v>28</v>
          </cell>
          <cell r="AL201">
            <v>28.84</v>
          </cell>
          <cell r="AM201">
            <v>29</v>
          </cell>
          <cell r="AN201">
            <v>32</v>
          </cell>
          <cell r="AO201">
            <v>32</v>
          </cell>
        </row>
        <row r="202">
          <cell r="A202" t="str">
            <v>G550 (GVSP)</v>
          </cell>
          <cell r="B202">
            <v>32</v>
          </cell>
          <cell r="C202">
            <v>32</v>
          </cell>
          <cell r="D202">
            <v>32</v>
          </cell>
          <cell r="E202">
            <v>32</v>
          </cell>
          <cell r="F202">
            <v>32</v>
          </cell>
          <cell r="G202">
            <v>32</v>
          </cell>
          <cell r="H202">
            <v>34</v>
          </cell>
          <cell r="I202">
            <v>35</v>
          </cell>
          <cell r="J202">
            <v>34</v>
          </cell>
          <cell r="K202">
            <v>34</v>
          </cell>
          <cell r="L202">
            <v>34</v>
          </cell>
          <cell r="M202">
            <v>34</v>
          </cell>
          <cell r="N202">
            <v>34</v>
          </cell>
          <cell r="O202">
            <v>34</v>
          </cell>
          <cell r="P202">
            <v>34</v>
          </cell>
          <cell r="Q202">
            <v>34</v>
          </cell>
          <cell r="R202">
            <v>34</v>
          </cell>
          <cell r="S202">
            <v>34</v>
          </cell>
          <cell r="T202">
            <v>34</v>
          </cell>
          <cell r="U202">
            <v>34</v>
          </cell>
          <cell r="Z202">
            <v>0</v>
          </cell>
          <cell r="AA202">
            <v>0</v>
          </cell>
          <cell r="AB202">
            <v>0</v>
          </cell>
          <cell r="AC202">
            <v>0</v>
          </cell>
          <cell r="AD202">
            <v>0</v>
          </cell>
          <cell r="AE202">
            <v>0</v>
          </cell>
          <cell r="AF202">
            <v>0</v>
          </cell>
          <cell r="AG202">
            <v>32</v>
          </cell>
          <cell r="AH202">
            <v>32</v>
          </cell>
          <cell r="AI202">
            <v>36</v>
          </cell>
          <cell r="AJ202">
            <v>36.5</v>
          </cell>
          <cell r="AK202">
            <v>36.780971316840287</v>
          </cell>
          <cell r="AL202">
            <v>38</v>
          </cell>
          <cell r="AM202">
            <v>38</v>
          </cell>
          <cell r="AN202">
            <v>39</v>
          </cell>
          <cell r="AO202">
            <v>40</v>
          </cell>
        </row>
        <row r="203">
          <cell r="A203" t="str">
            <v>Large cabin completions</v>
          </cell>
          <cell r="B203">
            <v>5.09</v>
          </cell>
          <cell r="C203">
            <v>5.09</v>
          </cell>
          <cell r="D203">
            <v>5.09</v>
          </cell>
          <cell r="E203">
            <v>5.09</v>
          </cell>
          <cell r="F203">
            <v>6</v>
          </cell>
          <cell r="G203">
            <v>6</v>
          </cell>
          <cell r="H203">
            <v>7</v>
          </cell>
          <cell r="I203">
            <v>7</v>
          </cell>
          <cell r="J203">
            <v>7</v>
          </cell>
          <cell r="K203">
            <v>7</v>
          </cell>
          <cell r="L203">
            <v>7</v>
          </cell>
          <cell r="M203">
            <v>7</v>
          </cell>
          <cell r="N203">
            <v>7</v>
          </cell>
          <cell r="O203">
            <v>7</v>
          </cell>
          <cell r="P203">
            <v>7</v>
          </cell>
          <cell r="Q203">
            <v>7</v>
          </cell>
          <cell r="R203">
            <v>7</v>
          </cell>
          <cell r="S203">
            <v>7</v>
          </cell>
          <cell r="T203">
            <v>7</v>
          </cell>
          <cell r="U203">
            <v>7</v>
          </cell>
          <cell r="Z203">
            <v>2</v>
          </cell>
          <cell r="AA203">
            <v>2.78</v>
          </cell>
          <cell r="AB203">
            <v>3.5</v>
          </cell>
          <cell r="AC203">
            <v>4</v>
          </cell>
          <cell r="AD203">
            <v>4.05</v>
          </cell>
          <cell r="AE203">
            <v>4</v>
          </cell>
          <cell r="AF203">
            <v>5.008</v>
          </cell>
          <cell r="AG203">
            <v>5.09</v>
          </cell>
          <cell r="AH203">
            <v>5.3445</v>
          </cell>
          <cell r="AI203">
            <v>5.6117249999999999</v>
          </cell>
          <cell r="AJ203">
            <v>5.8923112499999997</v>
          </cell>
          <cell r="AK203">
            <v>6.1869268125000003</v>
          </cell>
          <cell r="AL203">
            <v>6.4962731531250002</v>
          </cell>
          <cell r="AM203">
            <v>6.8210868107812503</v>
          </cell>
          <cell r="AN203">
            <v>7.1621411513203128</v>
          </cell>
          <cell r="AO203">
            <v>7.5202482088863292</v>
          </cell>
          <cell r="AP203" t="str">
            <v>- 5% price y/y gr</v>
          </cell>
        </row>
        <row r="204">
          <cell r="A204" t="str">
            <v>Midsize cabin completions</v>
          </cell>
          <cell r="B204">
            <v>2.5</v>
          </cell>
          <cell r="C204">
            <v>2.5</v>
          </cell>
          <cell r="D204">
            <v>2.5</v>
          </cell>
          <cell r="E204">
            <v>2.5</v>
          </cell>
          <cell r="F204">
            <v>2.5</v>
          </cell>
          <cell r="G204">
            <v>2.5</v>
          </cell>
          <cell r="H204">
            <v>4</v>
          </cell>
          <cell r="I204">
            <v>4</v>
          </cell>
          <cell r="J204">
            <v>4</v>
          </cell>
          <cell r="K204">
            <v>4</v>
          </cell>
          <cell r="L204">
            <v>4</v>
          </cell>
          <cell r="M204">
            <v>4</v>
          </cell>
          <cell r="N204">
            <v>4</v>
          </cell>
          <cell r="O204">
            <v>4</v>
          </cell>
          <cell r="P204">
            <v>4</v>
          </cell>
          <cell r="Q204">
            <v>4</v>
          </cell>
          <cell r="R204">
            <v>4</v>
          </cell>
          <cell r="S204">
            <v>4</v>
          </cell>
          <cell r="T204">
            <v>4</v>
          </cell>
          <cell r="U204">
            <v>4</v>
          </cell>
          <cell r="Z204">
            <v>0</v>
          </cell>
          <cell r="AA204">
            <v>0</v>
          </cell>
          <cell r="AB204">
            <v>0</v>
          </cell>
          <cell r="AC204">
            <v>0</v>
          </cell>
          <cell r="AD204">
            <v>0</v>
          </cell>
          <cell r="AE204">
            <v>0</v>
          </cell>
          <cell r="AF204">
            <v>2.5</v>
          </cell>
          <cell r="AG204">
            <v>2.625</v>
          </cell>
          <cell r="AH204">
            <v>2.7562500000000001</v>
          </cell>
          <cell r="AI204">
            <v>2.8940625000000004</v>
          </cell>
          <cell r="AJ204">
            <v>3.0387656250000004</v>
          </cell>
          <cell r="AK204">
            <v>3.1907039062500004</v>
          </cell>
          <cell r="AL204">
            <v>3.3502391015625008</v>
          </cell>
          <cell r="AM204">
            <v>3.517751056640626</v>
          </cell>
          <cell r="AN204">
            <v>3.6936386094726577</v>
          </cell>
          <cell r="AO204">
            <v>3.8783205399462908</v>
          </cell>
          <cell r="AP204" t="str">
            <v>- 5% price y/y gr</v>
          </cell>
        </row>
        <row r="205">
          <cell r="A205" t="str">
            <v>Green Units Delivered</v>
          </cell>
        </row>
        <row r="206">
          <cell r="A206" t="str">
            <v>G100</v>
          </cell>
          <cell r="B206">
            <v>4</v>
          </cell>
          <cell r="C206">
            <v>2</v>
          </cell>
          <cell r="D206">
            <v>2</v>
          </cell>
          <cell r="E206">
            <v>1</v>
          </cell>
          <cell r="F206">
            <v>3</v>
          </cell>
          <cell r="G206">
            <v>1</v>
          </cell>
          <cell r="H206">
            <v>0</v>
          </cell>
          <cell r="I206">
            <v>1</v>
          </cell>
          <cell r="J206">
            <v>0</v>
          </cell>
          <cell r="K206">
            <v>1</v>
          </cell>
          <cell r="L206">
            <v>2</v>
          </cell>
          <cell r="M206">
            <v>1</v>
          </cell>
          <cell r="N206">
            <v>0</v>
          </cell>
          <cell r="O206">
            <v>1</v>
          </cell>
          <cell r="P206">
            <v>1</v>
          </cell>
          <cell r="Q206">
            <v>2</v>
          </cell>
          <cell r="R206">
            <v>1</v>
          </cell>
          <cell r="S206">
            <v>0</v>
          </cell>
          <cell r="T206">
            <v>0</v>
          </cell>
          <cell r="U206">
            <v>0</v>
          </cell>
          <cell r="V206">
            <v>0</v>
          </cell>
          <cell r="Z206">
            <v>0</v>
          </cell>
          <cell r="AA206">
            <v>0</v>
          </cell>
          <cell r="AB206">
            <v>0</v>
          </cell>
          <cell r="AC206">
            <v>0</v>
          </cell>
          <cell r="AD206">
            <v>0</v>
          </cell>
          <cell r="AE206">
            <v>0</v>
          </cell>
          <cell r="AF206">
            <v>5</v>
          </cell>
          <cell r="AG206">
            <v>9</v>
          </cell>
          <cell r="AH206">
            <v>5</v>
          </cell>
          <cell r="AI206">
            <v>4</v>
          </cell>
          <cell r="AJ206">
            <v>4</v>
          </cell>
          <cell r="AK206">
            <v>1</v>
          </cell>
          <cell r="AL206">
            <v>0</v>
          </cell>
          <cell r="AM206">
            <v>0</v>
          </cell>
          <cell r="AN206">
            <v>0</v>
          </cell>
          <cell r="AO206">
            <v>0</v>
          </cell>
        </row>
        <row r="207">
          <cell r="A207" t="str">
            <v>G150</v>
          </cell>
          <cell r="B207">
            <v>0</v>
          </cell>
          <cell r="C207">
            <v>0</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5</v>
          </cell>
          <cell r="T207">
            <v>4</v>
          </cell>
          <cell r="U207">
            <v>5</v>
          </cell>
          <cell r="V207">
            <v>0</v>
          </cell>
          <cell r="Z207">
            <v>0</v>
          </cell>
          <cell r="AA207">
            <v>0</v>
          </cell>
          <cell r="AB207">
            <v>0</v>
          </cell>
          <cell r="AC207">
            <v>0</v>
          </cell>
          <cell r="AD207">
            <v>0</v>
          </cell>
          <cell r="AE207">
            <v>0</v>
          </cell>
          <cell r="AF207">
            <v>0</v>
          </cell>
          <cell r="AG207">
            <v>0</v>
          </cell>
          <cell r="AH207">
            <v>0</v>
          </cell>
          <cell r="AI207">
            <v>0</v>
          </cell>
          <cell r="AJ207">
            <v>0</v>
          </cell>
          <cell r="AK207">
            <v>14</v>
          </cell>
          <cell r="AL207">
            <v>37</v>
          </cell>
          <cell r="AM207">
            <v>44</v>
          </cell>
          <cell r="AN207">
            <v>44</v>
          </cell>
          <cell r="AO207">
            <v>30</v>
          </cell>
        </row>
        <row r="208">
          <cell r="A208" t="str">
            <v>G200</v>
          </cell>
          <cell r="B208">
            <v>8</v>
          </cell>
          <cell r="C208">
            <v>4</v>
          </cell>
          <cell r="D208">
            <v>1</v>
          </cell>
          <cell r="E208">
            <v>2</v>
          </cell>
          <cell r="F208">
            <v>1</v>
          </cell>
          <cell r="G208">
            <v>6</v>
          </cell>
          <cell r="H208">
            <v>5</v>
          </cell>
          <cell r="I208">
            <v>7</v>
          </cell>
          <cell r="J208">
            <v>4</v>
          </cell>
          <cell r="K208">
            <v>5</v>
          </cell>
          <cell r="L208">
            <v>4</v>
          </cell>
          <cell r="M208">
            <v>5</v>
          </cell>
          <cell r="N208">
            <v>6</v>
          </cell>
          <cell r="O208">
            <v>5</v>
          </cell>
          <cell r="P208">
            <v>6</v>
          </cell>
          <cell r="Q208">
            <v>5</v>
          </cell>
          <cell r="R208">
            <v>6</v>
          </cell>
          <cell r="S208">
            <v>8</v>
          </cell>
          <cell r="T208">
            <v>7</v>
          </cell>
          <cell r="U208">
            <v>6</v>
          </cell>
          <cell r="V208">
            <v>0</v>
          </cell>
          <cell r="Z208">
            <v>0</v>
          </cell>
          <cell r="AA208">
            <v>0</v>
          </cell>
          <cell r="AB208">
            <v>0</v>
          </cell>
          <cell r="AC208">
            <v>0</v>
          </cell>
          <cell r="AD208">
            <v>0</v>
          </cell>
          <cell r="AE208">
            <v>0</v>
          </cell>
          <cell r="AF208">
            <v>8</v>
          </cell>
          <cell r="AG208">
            <v>15</v>
          </cell>
          <cell r="AH208">
            <v>19</v>
          </cell>
          <cell r="AI208">
            <v>18</v>
          </cell>
          <cell r="AJ208">
            <v>19</v>
          </cell>
          <cell r="AK208">
            <v>23</v>
          </cell>
          <cell r="AL208">
            <v>24</v>
          </cell>
          <cell r="AM208">
            <v>24</v>
          </cell>
          <cell r="AN208">
            <v>30</v>
          </cell>
          <cell r="AO208">
            <v>30</v>
          </cell>
        </row>
        <row r="209">
          <cell r="A209" t="str">
            <v>-subtotal Midsize Green</v>
          </cell>
          <cell r="B209">
            <v>12</v>
          </cell>
          <cell r="C209">
            <v>6</v>
          </cell>
          <cell r="D209">
            <v>3</v>
          </cell>
          <cell r="E209">
            <v>3</v>
          </cell>
          <cell r="F209">
            <v>4</v>
          </cell>
          <cell r="G209">
            <v>7</v>
          </cell>
          <cell r="H209">
            <v>5</v>
          </cell>
          <cell r="I209">
            <v>8</v>
          </cell>
          <cell r="J209">
            <v>4</v>
          </cell>
          <cell r="K209">
            <v>6</v>
          </cell>
          <cell r="L209">
            <v>6</v>
          </cell>
          <cell r="M209">
            <v>6</v>
          </cell>
          <cell r="N209">
            <v>6</v>
          </cell>
          <cell r="O209">
            <v>6</v>
          </cell>
          <cell r="P209">
            <v>7</v>
          </cell>
          <cell r="Q209">
            <v>7</v>
          </cell>
          <cell r="R209">
            <v>7</v>
          </cell>
          <cell r="S209">
            <v>13</v>
          </cell>
          <cell r="T209">
            <v>11</v>
          </cell>
          <cell r="U209">
            <v>11</v>
          </cell>
          <cell r="V209">
            <v>11</v>
          </cell>
          <cell r="Z209">
            <v>0</v>
          </cell>
          <cell r="AA209">
            <v>0</v>
          </cell>
          <cell r="AB209">
            <v>0</v>
          </cell>
          <cell r="AC209">
            <v>0</v>
          </cell>
          <cell r="AD209">
            <v>0</v>
          </cell>
          <cell r="AE209">
            <v>0</v>
          </cell>
          <cell r="AF209">
            <v>13</v>
          </cell>
          <cell r="AG209">
            <v>24</v>
          </cell>
          <cell r="AH209">
            <v>24</v>
          </cell>
          <cell r="AI209">
            <v>22</v>
          </cell>
          <cell r="AJ209">
            <v>26</v>
          </cell>
          <cell r="AK209">
            <v>42</v>
          </cell>
          <cell r="AL209">
            <v>61</v>
          </cell>
          <cell r="AM209">
            <v>68</v>
          </cell>
          <cell r="AN209">
            <v>74</v>
          </cell>
          <cell r="AO209">
            <v>60</v>
          </cell>
        </row>
        <row r="211">
          <cell r="A211" t="str">
            <v>G300/350</v>
          </cell>
          <cell r="B211">
            <v>0</v>
          </cell>
          <cell r="C211">
            <v>0</v>
          </cell>
          <cell r="D211">
            <v>0</v>
          </cell>
          <cell r="E211">
            <v>0</v>
          </cell>
          <cell r="F211">
            <v>2</v>
          </cell>
          <cell r="G211">
            <v>4</v>
          </cell>
          <cell r="H211">
            <v>1</v>
          </cell>
          <cell r="I211">
            <v>1</v>
          </cell>
          <cell r="J211">
            <v>1</v>
          </cell>
          <cell r="K211">
            <v>2</v>
          </cell>
          <cell r="L211">
            <v>2</v>
          </cell>
          <cell r="M211">
            <v>0</v>
          </cell>
          <cell r="N211">
            <v>4</v>
          </cell>
          <cell r="O211">
            <v>1</v>
          </cell>
          <cell r="P211">
            <v>2</v>
          </cell>
          <cell r="Q211">
            <v>0</v>
          </cell>
          <cell r="R211">
            <v>2</v>
          </cell>
          <cell r="S211">
            <v>0</v>
          </cell>
          <cell r="T211">
            <v>0</v>
          </cell>
          <cell r="U211">
            <v>0</v>
          </cell>
          <cell r="V211">
            <v>0</v>
          </cell>
          <cell r="Z211">
            <v>0</v>
          </cell>
          <cell r="AA211">
            <v>0</v>
          </cell>
          <cell r="AB211">
            <v>0</v>
          </cell>
          <cell r="AC211">
            <v>0</v>
          </cell>
          <cell r="AD211">
            <v>0</v>
          </cell>
          <cell r="AE211">
            <v>0</v>
          </cell>
          <cell r="AF211">
            <v>0</v>
          </cell>
          <cell r="AG211">
            <v>0</v>
          </cell>
          <cell r="AH211">
            <v>8</v>
          </cell>
          <cell r="AI211">
            <v>5</v>
          </cell>
          <cell r="AJ211">
            <v>7</v>
          </cell>
          <cell r="AK211">
            <v>2</v>
          </cell>
          <cell r="AL211">
            <v>8</v>
          </cell>
          <cell r="AM211">
            <v>9</v>
          </cell>
          <cell r="AN211">
            <v>9</v>
          </cell>
          <cell r="AO211">
            <v>9</v>
          </cell>
        </row>
        <row r="212">
          <cell r="A212" t="str">
            <v>G400 (GIV/IVSP)</v>
          </cell>
          <cell r="B212">
            <v>8</v>
          </cell>
          <cell r="C212">
            <v>9</v>
          </cell>
          <cell r="D212">
            <v>6</v>
          </cell>
          <cell r="E212">
            <v>6</v>
          </cell>
          <cell r="F212">
            <v>2</v>
          </cell>
          <cell r="G212">
            <v>3</v>
          </cell>
          <cell r="H212">
            <v>4</v>
          </cell>
          <cell r="I212">
            <v>4</v>
          </cell>
          <cell r="J212">
            <v>4</v>
          </cell>
          <cell r="K212">
            <v>4</v>
          </cell>
          <cell r="L212">
            <v>3</v>
          </cell>
          <cell r="M212">
            <v>0</v>
          </cell>
          <cell r="N212">
            <v>0</v>
          </cell>
          <cell r="O212">
            <v>0</v>
          </cell>
          <cell r="P212">
            <v>0</v>
          </cell>
          <cell r="Q212">
            <v>0</v>
          </cell>
          <cell r="R212">
            <v>0</v>
          </cell>
          <cell r="S212">
            <v>0</v>
          </cell>
          <cell r="T212">
            <v>0</v>
          </cell>
          <cell r="U212">
            <v>0</v>
          </cell>
          <cell r="V212">
            <v>0</v>
          </cell>
          <cell r="Z212">
            <v>26</v>
          </cell>
          <cell r="AA212">
            <v>24</v>
          </cell>
          <cell r="AB212">
            <v>22</v>
          </cell>
          <cell r="AC212">
            <v>32</v>
          </cell>
          <cell r="AD212">
            <v>39</v>
          </cell>
          <cell r="AE212">
            <v>38</v>
          </cell>
          <cell r="AF212">
            <v>36</v>
          </cell>
          <cell r="AG212">
            <v>29</v>
          </cell>
          <cell r="AH212">
            <v>13</v>
          </cell>
          <cell r="AI212">
            <v>11</v>
          </cell>
          <cell r="AJ212">
            <v>0</v>
          </cell>
          <cell r="AK212">
            <v>0</v>
          </cell>
          <cell r="AL212">
            <v>0</v>
          </cell>
          <cell r="AM212">
            <v>0</v>
          </cell>
          <cell r="AN212">
            <v>0</v>
          </cell>
          <cell r="AO212">
            <v>0</v>
          </cell>
        </row>
        <row r="213">
          <cell r="A213" t="str">
            <v>G450</v>
          </cell>
          <cell r="B213">
            <v>0</v>
          </cell>
          <cell r="C213">
            <v>0</v>
          </cell>
          <cell r="D213">
            <v>0</v>
          </cell>
          <cell r="E213">
            <v>0</v>
          </cell>
          <cell r="F213">
            <v>0</v>
          </cell>
          <cell r="G213">
            <v>0</v>
          </cell>
          <cell r="H213">
            <v>0</v>
          </cell>
          <cell r="I213">
            <v>0</v>
          </cell>
          <cell r="J213">
            <v>0</v>
          </cell>
          <cell r="K213">
            <v>0</v>
          </cell>
          <cell r="L213">
            <v>1</v>
          </cell>
          <cell r="M213">
            <v>7</v>
          </cell>
          <cell r="N213">
            <v>2</v>
          </cell>
          <cell r="O213">
            <v>5</v>
          </cell>
          <cell r="P213">
            <v>5</v>
          </cell>
          <cell r="Q213">
            <v>8</v>
          </cell>
          <cell r="R213">
            <v>6</v>
          </cell>
          <cell r="S213">
            <v>7</v>
          </cell>
          <cell r="T213">
            <v>8</v>
          </cell>
          <cell r="U213">
            <v>9</v>
          </cell>
          <cell r="V213">
            <v>0</v>
          </cell>
          <cell r="Z213">
            <v>0</v>
          </cell>
          <cell r="AA213">
            <v>0</v>
          </cell>
          <cell r="AB213">
            <v>0</v>
          </cell>
          <cell r="AC213">
            <v>0</v>
          </cell>
          <cell r="AD213">
            <v>0</v>
          </cell>
          <cell r="AE213">
            <v>0</v>
          </cell>
          <cell r="AF213">
            <v>0</v>
          </cell>
          <cell r="AG213">
            <v>0</v>
          </cell>
          <cell r="AH213">
            <v>0</v>
          </cell>
          <cell r="AI213">
            <v>8</v>
          </cell>
          <cell r="AJ213">
            <v>20</v>
          </cell>
          <cell r="AK213">
            <v>30</v>
          </cell>
          <cell r="AL213">
            <v>32</v>
          </cell>
          <cell r="AM213">
            <v>36</v>
          </cell>
          <cell r="AN213">
            <v>35</v>
          </cell>
          <cell r="AO213">
            <v>35</v>
          </cell>
        </row>
        <row r="214">
          <cell r="A214" t="str">
            <v>GV</v>
          </cell>
          <cell r="B214">
            <v>7</v>
          </cell>
          <cell r="C214">
            <v>9</v>
          </cell>
          <cell r="D214">
            <v>8</v>
          </cell>
          <cell r="E214">
            <v>7</v>
          </cell>
          <cell r="F214">
            <v>0</v>
          </cell>
          <cell r="G214">
            <v>0</v>
          </cell>
          <cell r="H214">
            <v>1</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Z214">
            <v>0</v>
          </cell>
          <cell r="AA214">
            <v>3</v>
          </cell>
          <cell r="AB214">
            <v>29</v>
          </cell>
          <cell r="AC214">
            <v>29</v>
          </cell>
          <cell r="AD214">
            <v>31</v>
          </cell>
          <cell r="AE214">
            <v>33</v>
          </cell>
          <cell r="AF214">
            <v>35</v>
          </cell>
          <cell r="AG214">
            <v>31</v>
          </cell>
          <cell r="AH214">
            <v>1</v>
          </cell>
          <cell r="AI214">
            <v>0</v>
          </cell>
          <cell r="AJ214">
            <v>0</v>
          </cell>
          <cell r="AK214">
            <v>0</v>
          </cell>
          <cell r="AL214">
            <v>0</v>
          </cell>
          <cell r="AM214">
            <v>0</v>
          </cell>
          <cell r="AN214">
            <v>0</v>
          </cell>
          <cell r="AO214">
            <v>0</v>
          </cell>
        </row>
        <row r="215">
          <cell r="A215" t="str">
            <v>G500</v>
          </cell>
          <cell r="B215">
            <v>0</v>
          </cell>
          <cell r="C215">
            <v>0</v>
          </cell>
          <cell r="D215">
            <v>0</v>
          </cell>
          <cell r="E215">
            <v>0</v>
          </cell>
          <cell r="F215">
            <v>0</v>
          </cell>
          <cell r="G215">
            <v>0</v>
          </cell>
          <cell r="H215">
            <v>0</v>
          </cell>
          <cell r="I215">
            <v>0</v>
          </cell>
          <cell r="J215">
            <v>0</v>
          </cell>
          <cell r="K215">
            <v>0</v>
          </cell>
          <cell r="L215">
            <v>0</v>
          </cell>
          <cell r="M215">
            <v>0</v>
          </cell>
          <cell r="N215">
            <v>1</v>
          </cell>
          <cell r="O215">
            <v>0</v>
          </cell>
          <cell r="P215">
            <v>0</v>
          </cell>
          <cell r="Q215">
            <v>0</v>
          </cell>
          <cell r="R215">
            <v>2</v>
          </cell>
          <cell r="S215">
            <v>0</v>
          </cell>
          <cell r="T215">
            <v>0</v>
          </cell>
          <cell r="U215">
            <v>1</v>
          </cell>
          <cell r="V215">
            <v>0</v>
          </cell>
          <cell r="Z215">
            <v>0</v>
          </cell>
          <cell r="AA215">
            <v>0</v>
          </cell>
          <cell r="AB215">
            <v>0</v>
          </cell>
          <cell r="AC215">
            <v>0</v>
          </cell>
          <cell r="AD215">
            <v>0</v>
          </cell>
          <cell r="AE215">
            <v>0</v>
          </cell>
          <cell r="AF215">
            <v>0</v>
          </cell>
          <cell r="AG215">
            <v>0</v>
          </cell>
          <cell r="AH215">
            <v>0</v>
          </cell>
          <cell r="AI215">
            <v>0</v>
          </cell>
          <cell r="AJ215">
            <v>1</v>
          </cell>
          <cell r="AK215">
            <v>3</v>
          </cell>
          <cell r="AL215">
            <v>6</v>
          </cell>
          <cell r="AM215">
            <v>7</v>
          </cell>
          <cell r="AN215">
            <v>6</v>
          </cell>
          <cell r="AO215">
            <v>6</v>
          </cell>
        </row>
        <row r="216">
          <cell r="A216" t="str">
            <v>G550 (GVSP)</v>
          </cell>
          <cell r="B216">
            <v>0</v>
          </cell>
          <cell r="C216">
            <v>0</v>
          </cell>
          <cell r="D216">
            <v>0</v>
          </cell>
          <cell r="E216">
            <v>1</v>
          </cell>
          <cell r="F216">
            <v>7</v>
          </cell>
          <cell r="G216">
            <v>5</v>
          </cell>
          <cell r="H216">
            <v>8</v>
          </cell>
          <cell r="I216">
            <v>8</v>
          </cell>
          <cell r="J216">
            <v>8</v>
          </cell>
          <cell r="K216">
            <v>8</v>
          </cell>
          <cell r="L216">
            <v>8</v>
          </cell>
          <cell r="M216">
            <v>8</v>
          </cell>
          <cell r="N216">
            <v>7</v>
          </cell>
          <cell r="O216">
            <v>9</v>
          </cell>
          <cell r="P216">
            <v>10</v>
          </cell>
          <cell r="Q216">
            <v>9</v>
          </cell>
          <cell r="R216">
            <v>8</v>
          </cell>
          <cell r="S216">
            <v>9</v>
          </cell>
          <cell r="T216">
            <v>10</v>
          </cell>
          <cell r="U216">
            <v>9</v>
          </cell>
          <cell r="V216">
            <v>0</v>
          </cell>
          <cell r="Z216">
            <v>0</v>
          </cell>
          <cell r="AA216">
            <v>0</v>
          </cell>
          <cell r="AB216">
            <v>0</v>
          </cell>
          <cell r="AC216">
            <v>0</v>
          </cell>
          <cell r="AD216">
            <v>0</v>
          </cell>
          <cell r="AE216">
            <v>0</v>
          </cell>
          <cell r="AF216">
            <v>0</v>
          </cell>
          <cell r="AG216">
            <v>1</v>
          </cell>
          <cell r="AH216">
            <v>28</v>
          </cell>
          <cell r="AI216">
            <v>32</v>
          </cell>
          <cell r="AJ216">
            <v>35</v>
          </cell>
          <cell r="AK216">
            <v>36</v>
          </cell>
          <cell r="AL216">
            <v>37</v>
          </cell>
          <cell r="AM216">
            <v>38</v>
          </cell>
          <cell r="AN216">
            <v>40</v>
          </cell>
          <cell r="AO216">
            <v>42</v>
          </cell>
        </row>
        <row r="217">
          <cell r="A217" t="str">
            <v>-subtotal Large Green</v>
          </cell>
          <cell r="B217">
            <v>15</v>
          </cell>
          <cell r="C217">
            <v>18</v>
          </cell>
          <cell r="D217">
            <v>14</v>
          </cell>
          <cell r="E217">
            <v>14</v>
          </cell>
          <cell r="F217">
            <v>11</v>
          </cell>
          <cell r="G217">
            <v>12</v>
          </cell>
          <cell r="H217">
            <v>14</v>
          </cell>
          <cell r="I217">
            <v>13</v>
          </cell>
          <cell r="J217">
            <v>13</v>
          </cell>
          <cell r="K217">
            <v>14</v>
          </cell>
          <cell r="L217">
            <v>14</v>
          </cell>
          <cell r="M217">
            <v>15</v>
          </cell>
          <cell r="N217">
            <v>14</v>
          </cell>
          <cell r="O217">
            <v>15</v>
          </cell>
          <cell r="P217">
            <v>17</v>
          </cell>
          <cell r="Q217">
            <v>17</v>
          </cell>
          <cell r="R217">
            <v>18</v>
          </cell>
          <cell r="S217">
            <v>16</v>
          </cell>
          <cell r="T217">
            <v>18</v>
          </cell>
          <cell r="U217">
            <v>19</v>
          </cell>
          <cell r="V217">
            <v>19</v>
          </cell>
          <cell r="Z217">
            <v>26</v>
          </cell>
          <cell r="AA217">
            <v>27</v>
          </cell>
          <cell r="AB217">
            <v>51</v>
          </cell>
          <cell r="AC217">
            <v>61</v>
          </cell>
          <cell r="AD217">
            <v>70</v>
          </cell>
          <cell r="AE217">
            <v>71</v>
          </cell>
          <cell r="AF217">
            <v>71</v>
          </cell>
          <cell r="AG217">
            <v>61</v>
          </cell>
          <cell r="AH217">
            <v>50</v>
          </cell>
          <cell r="AI217">
            <v>56</v>
          </cell>
          <cell r="AJ217">
            <v>63</v>
          </cell>
          <cell r="AK217">
            <v>71</v>
          </cell>
          <cell r="AL217">
            <v>83</v>
          </cell>
          <cell r="AM217">
            <v>90</v>
          </cell>
          <cell r="AN217">
            <v>90</v>
          </cell>
          <cell r="AO217">
            <v>92</v>
          </cell>
        </row>
        <row r="219">
          <cell r="A219" t="str">
            <v>TOTAL</v>
          </cell>
          <cell r="B219">
            <v>27</v>
          </cell>
          <cell r="C219">
            <v>24</v>
          </cell>
          <cell r="D219">
            <v>17</v>
          </cell>
          <cell r="E219">
            <v>17</v>
          </cell>
          <cell r="F219">
            <v>15</v>
          </cell>
          <cell r="G219">
            <v>19</v>
          </cell>
          <cell r="H219">
            <v>19</v>
          </cell>
          <cell r="I219">
            <v>21</v>
          </cell>
          <cell r="J219">
            <v>17</v>
          </cell>
          <cell r="K219">
            <v>20</v>
          </cell>
          <cell r="L219">
            <v>20</v>
          </cell>
          <cell r="M219">
            <v>21</v>
          </cell>
          <cell r="N219">
            <v>20</v>
          </cell>
          <cell r="O219">
            <v>21</v>
          </cell>
          <cell r="P219">
            <v>24</v>
          </cell>
          <cell r="Q219">
            <v>24</v>
          </cell>
          <cell r="R219">
            <v>25</v>
          </cell>
          <cell r="S219">
            <v>29</v>
          </cell>
          <cell r="T219">
            <v>29</v>
          </cell>
          <cell r="U219">
            <v>30</v>
          </cell>
          <cell r="V219">
            <v>30</v>
          </cell>
          <cell r="Z219">
            <v>26</v>
          </cell>
          <cell r="AA219">
            <v>27</v>
          </cell>
          <cell r="AB219">
            <v>51</v>
          </cell>
          <cell r="AC219">
            <v>61</v>
          </cell>
          <cell r="AD219">
            <v>70</v>
          </cell>
          <cell r="AE219">
            <v>71</v>
          </cell>
          <cell r="AF219">
            <v>84</v>
          </cell>
          <cell r="AG219">
            <v>85</v>
          </cell>
          <cell r="AH219">
            <v>74</v>
          </cell>
          <cell r="AI219">
            <v>78</v>
          </cell>
          <cell r="AJ219">
            <v>89</v>
          </cell>
          <cell r="AK219">
            <v>113</v>
          </cell>
          <cell r="AL219">
            <v>144</v>
          </cell>
          <cell r="AM219">
            <v>158</v>
          </cell>
          <cell r="AN219">
            <v>164</v>
          </cell>
          <cell r="AO219">
            <v>152</v>
          </cell>
        </row>
        <row r="220">
          <cell r="A220" t="str">
            <v>Completions</v>
          </cell>
        </row>
        <row r="221">
          <cell r="A221" t="str">
            <v>Large cabin completions</v>
          </cell>
          <cell r="B221">
            <v>15</v>
          </cell>
          <cell r="C221">
            <v>21</v>
          </cell>
          <cell r="D221">
            <v>17</v>
          </cell>
          <cell r="E221">
            <v>15</v>
          </cell>
          <cell r="F221">
            <v>14</v>
          </cell>
          <cell r="G221">
            <v>11</v>
          </cell>
          <cell r="H221">
            <v>12</v>
          </cell>
          <cell r="I221">
            <v>12</v>
          </cell>
          <cell r="J221">
            <v>7</v>
          </cell>
          <cell r="K221">
            <v>15</v>
          </cell>
          <cell r="L221">
            <v>14</v>
          </cell>
          <cell r="M221">
            <v>16</v>
          </cell>
          <cell r="N221">
            <v>12</v>
          </cell>
          <cell r="O221">
            <v>14</v>
          </cell>
          <cell r="P221">
            <v>17</v>
          </cell>
          <cell r="Q221">
            <v>17</v>
          </cell>
          <cell r="R221">
            <v>16</v>
          </cell>
          <cell r="S221">
            <v>20</v>
          </cell>
          <cell r="T221">
            <v>18</v>
          </cell>
          <cell r="U221">
            <v>17</v>
          </cell>
          <cell r="V221">
            <v>20</v>
          </cell>
          <cell r="Z221">
            <v>29</v>
          </cell>
          <cell r="AA221">
            <v>27</v>
          </cell>
          <cell r="AB221">
            <v>26</v>
          </cell>
          <cell r="AC221">
            <v>46</v>
          </cell>
          <cell r="AD221">
            <v>68</v>
          </cell>
          <cell r="AE221">
            <v>77</v>
          </cell>
          <cell r="AF221">
            <v>71</v>
          </cell>
          <cell r="AG221">
            <v>68</v>
          </cell>
          <cell r="AH221">
            <v>49</v>
          </cell>
          <cell r="AI221">
            <v>52</v>
          </cell>
          <cell r="AJ221">
            <v>60</v>
          </cell>
          <cell r="AK221">
            <v>71</v>
          </cell>
          <cell r="AL221">
            <v>68</v>
          </cell>
          <cell r="AM221">
            <v>72</v>
          </cell>
          <cell r="AN221">
            <v>72</v>
          </cell>
          <cell r="AO221">
            <v>72</v>
          </cell>
        </row>
        <row r="222">
          <cell r="A222" t="str">
            <v>Midsize cabin completions</v>
          </cell>
          <cell r="B222">
            <v>10</v>
          </cell>
          <cell r="C222">
            <v>8</v>
          </cell>
          <cell r="D222">
            <v>2</v>
          </cell>
          <cell r="E222">
            <v>6</v>
          </cell>
          <cell r="F222">
            <v>3</v>
          </cell>
          <cell r="G222">
            <v>2</v>
          </cell>
          <cell r="H222">
            <v>8</v>
          </cell>
          <cell r="I222">
            <v>12</v>
          </cell>
          <cell r="J222">
            <v>5</v>
          </cell>
          <cell r="K222">
            <v>3</v>
          </cell>
          <cell r="L222">
            <v>7</v>
          </cell>
          <cell r="M222">
            <v>10</v>
          </cell>
          <cell r="N222">
            <v>3</v>
          </cell>
          <cell r="O222">
            <v>8</v>
          </cell>
          <cell r="P222">
            <v>5</v>
          </cell>
          <cell r="Q222">
            <v>8</v>
          </cell>
          <cell r="R222">
            <v>7</v>
          </cell>
          <cell r="S222">
            <v>6</v>
          </cell>
          <cell r="T222">
            <v>8</v>
          </cell>
          <cell r="U222">
            <v>12</v>
          </cell>
          <cell r="V222">
            <v>10</v>
          </cell>
          <cell r="Z222">
            <v>0</v>
          </cell>
          <cell r="AA222">
            <v>0</v>
          </cell>
          <cell r="AB222">
            <v>0</v>
          </cell>
          <cell r="AC222">
            <v>0</v>
          </cell>
          <cell r="AD222">
            <v>0</v>
          </cell>
          <cell r="AE222">
            <v>0</v>
          </cell>
          <cell r="AF222">
            <v>0</v>
          </cell>
          <cell r="AG222">
            <v>26</v>
          </cell>
          <cell r="AH222">
            <v>25</v>
          </cell>
          <cell r="AI222">
            <v>25</v>
          </cell>
          <cell r="AJ222">
            <v>24</v>
          </cell>
          <cell r="AK222">
            <v>33</v>
          </cell>
          <cell r="AL222">
            <v>36</v>
          </cell>
          <cell r="AM222">
            <v>38</v>
          </cell>
          <cell r="AN222">
            <v>38</v>
          </cell>
          <cell r="AO222">
            <v>38</v>
          </cell>
        </row>
        <row r="223">
          <cell r="A223" t="str">
            <v>TOTAL COMPLETIONS</v>
          </cell>
          <cell r="B223">
            <v>25</v>
          </cell>
          <cell r="C223">
            <v>29</v>
          </cell>
          <cell r="D223">
            <v>19</v>
          </cell>
          <cell r="E223">
            <v>21</v>
          </cell>
          <cell r="F223">
            <v>17</v>
          </cell>
          <cell r="G223">
            <v>13</v>
          </cell>
          <cell r="H223">
            <v>20</v>
          </cell>
          <cell r="I223">
            <v>24</v>
          </cell>
          <cell r="J223">
            <v>12</v>
          </cell>
          <cell r="K223">
            <v>18</v>
          </cell>
          <cell r="L223">
            <v>21</v>
          </cell>
          <cell r="M223">
            <v>26</v>
          </cell>
          <cell r="N223">
            <v>15</v>
          </cell>
          <cell r="O223">
            <v>22</v>
          </cell>
          <cell r="P223">
            <v>22</v>
          </cell>
          <cell r="Q223">
            <v>25</v>
          </cell>
          <cell r="R223">
            <v>23</v>
          </cell>
          <cell r="S223">
            <v>26</v>
          </cell>
          <cell r="T223">
            <v>26</v>
          </cell>
          <cell r="U223">
            <v>29</v>
          </cell>
          <cell r="V223">
            <v>30</v>
          </cell>
          <cell r="Z223">
            <v>29</v>
          </cell>
          <cell r="AA223">
            <v>27</v>
          </cell>
          <cell r="AB223">
            <v>26</v>
          </cell>
          <cell r="AC223">
            <v>46</v>
          </cell>
          <cell r="AD223">
            <v>68</v>
          </cell>
          <cell r="AE223">
            <v>77</v>
          </cell>
          <cell r="AF223">
            <v>71</v>
          </cell>
          <cell r="AG223">
            <v>94</v>
          </cell>
          <cell r="AH223">
            <v>74</v>
          </cell>
          <cell r="AI223">
            <v>77</v>
          </cell>
          <cell r="AJ223">
            <v>84</v>
          </cell>
          <cell r="AK223">
            <v>104</v>
          </cell>
          <cell r="AL223">
            <v>104</v>
          </cell>
          <cell r="AM223">
            <v>110</v>
          </cell>
          <cell r="AN223">
            <v>110</v>
          </cell>
          <cell r="AO223">
            <v>110</v>
          </cell>
        </row>
        <row r="224">
          <cell r="A224" t="str">
            <v>Completions/Dels</v>
          </cell>
          <cell r="B224">
            <v>0.92592592592592593</v>
          </cell>
          <cell r="C224">
            <v>1.2083333333333333</v>
          </cell>
          <cell r="D224">
            <v>1.1176470588235294</v>
          </cell>
          <cell r="E224">
            <v>1.2352941176470589</v>
          </cell>
          <cell r="F224">
            <v>1.1333333333333333</v>
          </cell>
          <cell r="G224">
            <v>0.68421052631578949</v>
          </cell>
          <cell r="H224">
            <v>1.0526315789473684</v>
          </cell>
          <cell r="I224">
            <v>1.1428571428571428</v>
          </cell>
          <cell r="J224">
            <v>0.70588235294117652</v>
          </cell>
          <cell r="K224">
            <v>0.9</v>
          </cell>
          <cell r="L224">
            <v>1.05</v>
          </cell>
          <cell r="M224">
            <v>1.2380952380952381</v>
          </cell>
          <cell r="N224">
            <v>0.75</v>
          </cell>
          <cell r="O224">
            <v>1.0476190476190477</v>
          </cell>
          <cell r="P224">
            <v>0.91666666666666663</v>
          </cell>
          <cell r="Q224">
            <v>1.0416666666666667</v>
          </cell>
          <cell r="R224">
            <v>0.92</v>
          </cell>
          <cell r="S224">
            <v>0.89655172413793105</v>
          </cell>
          <cell r="T224">
            <v>0.89655172413793105</v>
          </cell>
          <cell r="U224">
            <v>0.96666666666666667</v>
          </cell>
          <cell r="V224">
            <v>1</v>
          </cell>
          <cell r="Z224">
            <v>1.1153846153846154</v>
          </cell>
          <cell r="AA224">
            <v>1</v>
          </cell>
          <cell r="AB224">
            <v>0.50980392156862742</v>
          </cell>
          <cell r="AC224">
            <v>0.75409836065573765</v>
          </cell>
          <cell r="AD224">
            <v>0.97142857142857142</v>
          </cell>
          <cell r="AE224">
            <v>1.0845070422535212</v>
          </cell>
          <cell r="AF224">
            <v>0.84523809523809523</v>
          </cell>
          <cell r="AG224">
            <v>1.1058823529411765</v>
          </cell>
          <cell r="AH224">
            <v>1</v>
          </cell>
          <cell r="AI224">
            <v>0.98717948717948723</v>
          </cell>
          <cell r="AJ224">
            <v>0.9438202247191011</v>
          </cell>
          <cell r="AK224">
            <v>0.92035398230088494</v>
          </cell>
          <cell r="AL224">
            <v>0.72222222222222221</v>
          </cell>
          <cell r="AM224">
            <v>0.69620253164556967</v>
          </cell>
          <cell r="AN224">
            <v>0.67073170731707321</v>
          </cell>
          <cell r="AO224">
            <v>0.72368421052631582</v>
          </cell>
          <cell r="AP224" t="str">
            <v>- about 90% avg vs. dels (HW - 4/04)</v>
          </cell>
        </row>
        <row r="227">
          <cell r="C227" t="str">
            <v>GAC Est. Cash flow ($MM)</v>
          </cell>
        </row>
        <row r="229">
          <cell r="D229">
            <v>1996</v>
          </cell>
          <cell r="E229">
            <v>1997</v>
          </cell>
          <cell r="F229">
            <v>1998</v>
          </cell>
          <cell r="G229">
            <v>1999</v>
          </cell>
          <cell r="H229">
            <v>2000</v>
          </cell>
          <cell r="I229">
            <v>2001</v>
          </cell>
        </row>
        <row r="230">
          <cell r="B230" t="str">
            <v>Net Income</v>
          </cell>
          <cell r="D230">
            <v>47.300000000000011</v>
          </cell>
          <cell r="E230">
            <v>242.92679999999996</v>
          </cell>
          <cell r="F230">
            <v>132.73599999999999</v>
          </cell>
          <cell r="G230">
            <v>249.55500000000001</v>
          </cell>
          <cell r="H230">
            <v>365.125</v>
          </cell>
          <cell r="I230">
            <v>0</v>
          </cell>
        </row>
        <row r="231">
          <cell r="B231" t="str">
            <v>DA</v>
          </cell>
          <cell r="D231">
            <v>27</v>
          </cell>
          <cell r="E231">
            <v>33</v>
          </cell>
          <cell r="F231">
            <v>34.799999999999997</v>
          </cell>
          <cell r="G231">
            <v>37</v>
          </cell>
          <cell r="H231">
            <v>40</v>
          </cell>
          <cell r="I231">
            <v>40</v>
          </cell>
        </row>
        <row r="232">
          <cell r="B232" t="str">
            <v>Post retire benefit</v>
          </cell>
          <cell r="D232">
            <v>7</v>
          </cell>
          <cell r="E232">
            <v>7</v>
          </cell>
          <cell r="F232">
            <v>7</v>
          </cell>
          <cell r="G232">
            <v>7</v>
          </cell>
          <cell r="H232">
            <v>7</v>
          </cell>
          <cell r="I232">
            <v>7</v>
          </cell>
        </row>
        <row r="233">
          <cell r="B233" t="str">
            <v>Deferred taxes</v>
          </cell>
          <cell r="D233">
            <v>0</v>
          </cell>
          <cell r="E233">
            <v>-37.866999999999997</v>
          </cell>
          <cell r="F233">
            <v>62.802999999999997</v>
          </cell>
          <cell r="G233">
            <v>-23</v>
          </cell>
          <cell r="H233">
            <v>-33</v>
          </cell>
          <cell r="I233">
            <v>0</v>
          </cell>
        </row>
        <row r="234">
          <cell r="B234" t="str">
            <v>Other</v>
          </cell>
          <cell r="D234">
            <v>8</v>
          </cell>
          <cell r="E234">
            <v>1</v>
          </cell>
          <cell r="F234">
            <v>14</v>
          </cell>
          <cell r="G234">
            <v>1</v>
          </cell>
          <cell r="H234">
            <v>1</v>
          </cell>
          <cell r="I234">
            <v>1</v>
          </cell>
        </row>
        <row r="235">
          <cell r="B235" t="str">
            <v>W.C. change</v>
          </cell>
          <cell r="D235">
            <v>154</v>
          </cell>
          <cell r="E235">
            <v>-126</v>
          </cell>
          <cell r="F235">
            <v>-150</v>
          </cell>
          <cell r="G235">
            <v>-135</v>
          </cell>
          <cell r="H235">
            <v>-150</v>
          </cell>
          <cell r="I235">
            <v>-130</v>
          </cell>
        </row>
        <row r="236">
          <cell r="B236" t="str">
            <v>Capx</v>
          </cell>
          <cell r="D236">
            <v>-18</v>
          </cell>
          <cell r="E236">
            <v>-30</v>
          </cell>
          <cell r="F236">
            <v>-28</v>
          </cell>
          <cell r="G236">
            <v>-25</v>
          </cell>
          <cell r="H236">
            <v>-20</v>
          </cell>
          <cell r="I236">
            <v>-20</v>
          </cell>
        </row>
        <row r="237">
          <cell r="B237" t="str">
            <v>Acquis</v>
          </cell>
          <cell r="F237">
            <v>-250</v>
          </cell>
        </row>
        <row r="238">
          <cell r="B238" t="str">
            <v>Mideast shs</v>
          </cell>
          <cell r="G238">
            <v>-50</v>
          </cell>
          <cell r="AL238" t="str">
            <v>- KC aviation</v>
          </cell>
        </row>
        <row r="239">
          <cell r="B239" t="str">
            <v>Other</v>
          </cell>
          <cell r="F239">
            <v>1</v>
          </cell>
        </row>
        <row r="240">
          <cell r="B240" t="str">
            <v>Stock, net</v>
          </cell>
          <cell r="D240">
            <v>-369</v>
          </cell>
          <cell r="F240">
            <v>-198</v>
          </cell>
        </row>
        <row r="241">
          <cell r="B241" t="str">
            <v>Opns/other</v>
          </cell>
          <cell r="D241">
            <v>153</v>
          </cell>
          <cell r="E241">
            <v>-16</v>
          </cell>
          <cell r="F241">
            <v>13</v>
          </cell>
          <cell r="G241">
            <v>-74</v>
          </cell>
          <cell r="H241">
            <v>7</v>
          </cell>
        </row>
        <row r="242">
          <cell r="B242" t="str">
            <v>Net Cash Flow</v>
          </cell>
          <cell r="D242">
            <v>9.3000000000000114</v>
          </cell>
          <cell r="E242">
            <v>74.059799999999967</v>
          </cell>
          <cell r="F242">
            <v>-360.661</v>
          </cell>
          <cell r="G242">
            <v>-12.444999999999993</v>
          </cell>
          <cell r="H242">
            <v>217.125</v>
          </cell>
          <cell r="I242">
            <v>-102</v>
          </cell>
        </row>
        <row r="243">
          <cell r="B243" t="str">
            <v>Cash begin yr</v>
          </cell>
          <cell r="D243">
            <v>223</v>
          </cell>
          <cell r="E243">
            <v>232.3</v>
          </cell>
          <cell r="F243">
            <v>306.35979999999995</v>
          </cell>
          <cell r="G243">
            <v>-54.301200000000051</v>
          </cell>
          <cell r="H243">
            <v>-66.746200000000044</v>
          </cell>
          <cell r="I243">
            <v>150.37879999999996</v>
          </cell>
        </row>
        <row r="244">
          <cell r="B244" t="str">
            <v>Cash yearend</v>
          </cell>
          <cell r="D244">
            <v>232.3</v>
          </cell>
          <cell r="E244">
            <v>306.35979999999995</v>
          </cell>
          <cell r="F244">
            <v>-54.301200000000051</v>
          </cell>
          <cell r="G244">
            <v>-66.746200000000044</v>
          </cell>
          <cell r="H244">
            <v>150.37879999999996</v>
          </cell>
          <cell r="I244">
            <v>48.378799999999956</v>
          </cell>
        </row>
        <row r="245">
          <cell r="B245" t="str">
            <v>Net Debt</v>
          </cell>
          <cell r="D245">
            <v>167.7</v>
          </cell>
          <cell r="E245">
            <v>73.64020000000005</v>
          </cell>
          <cell r="F245">
            <v>415.30120000000005</v>
          </cell>
          <cell r="G245">
            <v>296.74620000000004</v>
          </cell>
          <cell r="H245">
            <v>49.621200000000044</v>
          </cell>
          <cell r="I245">
            <v>151.62120000000004</v>
          </cell>
        </row>
        <row r="246">
          <cell r="B246" t="str">
            <v>Debt</v>
          </cell>
          <cell r="D246">
            <v>400</v>
          </cell>
          <cell r="E246">
            <v>380</v>
          </cell>
          <cell r="F246">
            <v>361</v>
          </cell>
          <cell r="G246">
            <v>230</v>
          </cell>
          <cell r="H246">
            <v>200</v>
          </cell>
          <cell r="I246">
            <v>200</v>
          </cell>
        </row>
        <row r="247">
          <cell r="B247" t="str">
            <v>Equity</v>
          </cell>
          <cell r="D247">
            <v>-189</v>
          </cell>
          <cell r="E247">
            <v>53.926799999999957</v>
          </cell>
          <cell r="F247">
            <v>196</v>
          </cell>
          <cell r="G247">
            <v>445.55500000000001</v>
          </cell>
          <cell r="H247">
            <v>810.68000000000006</v>
          </cell>
          <cell r="I247">
            <v>810.68000000000006</v>
          </cell>
        </row>
        <row r="248">
          <cell r="B248" t="str">
            <v>N. Debt/cap</v>
          </cell>
          <cell r="E248">
            <v>0.57726684800928174</v>
          </cell>
          <cell r="F248">
            <v>0.679372459926465</v>
          </cell>
          <cell r="G248">
            <v>0.39976521659940734</v>
          </cell>
          <cell r="H248">
            <v>5.7678868749689104E-2</v>
          </cell>
          <cell r="I248">
            <v>0.1575610630018959</v>
          </cell>
        </row>
        <row r="249">
          <cell r="B249" t="str">
            <v>ROE</v>
          </cell>
        </row>
        <row r="252">
          <cell r="A252" t="str">
            <v>Revs vs. COGS Growth Analysis</v>
          </cell>
        </row>
        <row r="253">
          <cell r="A253" t="str">
            <v>Y/Y Change</v>
          </cell>
          <cell r="B253" t="str">
            <v>Q1:98</v>
          </cell>
          <cell r="C253" t="str">
            <v>Q2:98</v>
          </cell>
          <cell r="D253" t="str">
            <v>Q3:98</v>
          </cell>
          <cell r="E253" t="str">
            <v>Q4:98</v>
          </cell>
          <cell r="F253" t="str">
            <v>Q1:99</v>
          </cell>
          <cell r="G253" t="str">
            <v>Q2:99</v>
          </cell>
          <cell r="H253" t="str">
            <v>Q3:99</v>
          </cell>
          <cell r="I253" t="str">
            <v>Q4:99</v>
          </cell>
        </row>
        <row r="254">
          <cell r="A254" t="str">
            <v>Sales</v>
          </cell>
          <cell r="B254">
            <v>0</v>
          </cell>
          <cell r="C254">
            <v>0</v>
          </cell>
          <cell r="D254">
            <v>0</v>
          </cell>
          <cell r="E254">
            <v>0.27554504859469398</v>
          </cell>
          <cell r="F254">
            <v>0.24175605880015905</v>
          </cell>
          <cell r="G254">
            <v>0.27073608617594247</v>
          </cell>
          <cell r="H254">
            <v>0.13382305972532738</v>
          </cell>
          <cell r="I254">
            <v>0.16819530617750211</v>
          </cell>
        </row>
        <row r="255">
          <cell r="A255" t="str">
            <v>COGS</v>
          </cell>
          <cell r="F255">
            <v>0.21267556874381799</v>
          </cell>
          <cell r="G255">
            <v>0.2847866419294991</v>
          </cell>
          <cell r="H255">
            <v>0.11407468198604853</v>
          </cell>
          <cell r="I255">
            <v>0.15545407901487951</v>
          </cell>
        </row>
        <row r="256">
          <cell r="A256" t="str">
            <v xml:space="preserve">A/R </v>
          </cell>
          <cell r="F256" t="e">
            <v>#REF!</v>
          </cell>
        </row>
        <row r="257">
          <cell r="A257" t="str">
            <v>Inventories</v>
          </cell>
          <cell r="F257" t="e">
            <v>#REF!</v>
          </cell>
        </row>
        <row r="259">
          <cell r="A259" t="str">
            <v>Inventory components</v>
          </cell>
        </row>
        <row r="260">
          <cell r="A260" t="str">
            <v>Raw+WIP</v>
          </cell>
          <cell r="B260" t="e">
            <v>#REF!</v>
          </cell>
          <cell r="C260" t="e">
            <v>#REF!</v>
          </cell>
          <cell r="D260" t="e">
            <v>#REF!</v>
          </cell>
          <cell r="E260" t="e">
            <v>#REF!</v>
          </cell>
          <cell r="F260" t="e">
            <v>#REF!</v>
          </cell>
        </row>
        <row r="261">
          <cell r="A261" t="str">
            <v>Finished goods</v>
          </cell>
          <cell r="B261" t="e">
            <v>#REF!</v>
          </cell>
          <cell r="C261" t="e">
            <v>#REF!</v>
          </cell>
          <cell r="D261" t="e">
            <v>#REF!</v>
          </cell>
          <cell r="E261" t="e">
            <v>#REF!</v>
          </cell>
          <cell r="F261" t="e">
            <v>#REF!</v>
          </cell>
        </row>
        <row r="262">
          <cell r="A262" t="str">
            <v>% Inv.</v>
          </cell>
        </row>
        <row r="263">
          <cell r="A263" t="str">
            <v>Raw+WIP</v>
          </cell>
          <cell r="B263" t="e">
            <v>#REF!</v>
          </cell>
          <cell r="C263" t="e">
            <v>#REF!</v>
          </cell>
          <cell r="D263" t="e">
            <v>#REF!</v>
          </cell>
          <cell r="E263" t="e">
            <v>#REF!</v>
          </cell>
          <cell r="F263" t="e">
            <v>#REF!</v>
          </cell>
        </row>
        <row r="264">
          <cell r="A264" t="str">
            <v>Finished goods</v>
          </cell>
          <cell r="B264" t="e">
            <v>#REF!</v>
          </cell>
          <cell r="C264" t="e">
            <v>#REF!</v>
          </cell>
          <cell r="D264" t="e">
            <v>#REF!</v>
          </cell>
          <cell r="E264" t="e">
            <v>#REF!</v>
          </cell>
          <cell r="F264" t="e">
            <v>#REF!</v>
          </cell>
          <cell r="G264" t="str">
            <v>- positive inventory divergence</v>
          </cell>
        </row>
        <row r="266">
          <cell r="A266" t="str">
            <v>COGS/Sls</v>
          </cell>
          <cell r="B266">
            <v>0.80333730631704414</v>
          </cell>
          <cell r="C266">
            <v>0.77414721723518853</v>
          </cell>
          <cell r="D266">
            <v>0.77834557649313307</v>
          </cell>
          <cell r="E266">
            <v>0.78864310763420575</v>
          </cell>
          <cell r="F266">
            <v>0.78452407614781638</v>
          </cell>
          <cell r="G266">
            <v>0.78270697937270417</v>
          </cell>
          <cell r="H266">
            <v>0.76478873239436618</v>
          </cell>
          <cell r="I266">
            <v>0.78004156563907179</v>
          </cell>
        </row>
        <row r="289">
          <cell r="A289" t="str">
            <v>Gulfstream Book:Bill History</v>
          </cell>
          <cell r="B289">
            <v>1995</v>
          </cell>
          <cell r="C289">
            <v>1996</v>
          </cell>
          <cell r="D289">
            <v>1997</v>
          </cell>
          <cell r="E289">
            <v>1998</v>
          </cell>
          <cell r="F289">
            <v>1999</v>
          </cell>
          <cell r="G289">
            <v>2000</v>
          </cell>
          <cell r="H289">
            <v>2001</v>
          </cell>
          <cell r="I289">
            <v>2002</v>
          </cell>
          <cell r="J289">
            <v>2003</v>
          </cell>
          <cell r="K289">
            <v>2004</v>
          </cell>
          <cell r="L289">
            <v>2005</v>
          </cell>
          <cell r="M289" t="str">
            <v>2006A</v>
          </cell>
        </row>
        <row r="290">
          <cell r="A290" t="str">
            <v>Total Company</v>
          </cell>
        </row>
        <row r="291">
          <cell r="A291" t="str">
            <v>Orders</v>
          </cell>
          <cell r="B291">
            <v>42</v>
          </cell>
          <cell r="C291">
            <v>65</v>
          </cell>
          <cell r="D291">
            <v>46</v>
          </cell>
          <cell r="E291">
            <v>90</v>
          </cell>
          <cell r="F291">
            <v>44</v>
          </cell>
          <cell r="G291">
            <v>82</v>
          </cell>
          <cell r="H291">
            <v>123</v>
          </cell>
          <cell r="I291">
            <v>133</v>
          </cell>
          <cell r="J291">
            <v>59</v>
          </cell>
          <cell r="K291">
            <v>95</v>
          </cell>
          <cell r="L291">
            <v>124</v>
          </cell>
          <cell r="M291">
            <v>159</v>
          </cell>
        </row>
        <row r="292">
          <cell r="A292" t="str">
            <v>Deliveries</v>
          </cell>
          <cell r="B292">
            <v>26</v>
          </cell>
          <cell r="C292">
            <v>27</v>
          </cell>
          <cell r="D292">
            <v>51</v>
          </cell>
          <cell r="E292">
            <v>61</v>
          </cell>
          <cell r="F292">
            <v>70</v>
          </cell>
          <cell r="G292">
            <v>71</v>
          </cell>
          <cell r="H292">
            <v>84</v>
          </cell>
          <cell r="I292">
            <v>85</v>
          </cell>
          <cell r="J292">
            <v>74</v>
          </cell>
          <cell r="K292">
            <v>78</v>
          </cell>
          <cell r="L292">
            <v>89</v>
          </cell>
          <cell r="M292">
            <v>113</v>
          </cell>
        </row>
        <row r="293">
          <cell r="A293" t="str">
            <v>Book:bill</v>
          </cell>
          <cell r="B293">
            <v>1.6153846153846154</v>
          </cell>
          <cell r="C293">
            <v>2.4074074074074074</v>
          </cell>
          <cell r="D293">
            <v>0.90196078431372551</v>
          </cell>
          <cell r="E293">
            <v>1.4754098360655739</v>
          </cell>
          <cell r="F293">
            <v>0.62857142857142856</v>
          </cell>
          <cell r="G293">
            <v>1.1549295774647887</v>
          </cell>
          <cell r="H293">
            <v>1.4642857142857142</v>
          </cell>
          <cell r="I293">
            <v>1.5647058823529412</v>
          </cell>
          <cell r="J293">
            <v>0.79729729729729726</v>
          </cell>
          <cell r="K293">
            <v>1.2179487179487178</v>
          </cell>
          <cell r="L293">
            <v>1.3932584269662922</v>
          </cell>
          <cell r="M293">
            <v>1.4070796460176991</v>
          </cell>
        </row>
        <row r="294">
          <cell r="A294" t="str">
            <v>Large Cabin Only</v>
          </cell>
        </row>
        <row r="295">
          <cell r="A295" t="str">
            <v>Orders</v>
          </cell>
          <cell r="B295">
            <v>42</v>
          </cell>
          <cell r="C295">
            <v>65</v>
          </cell>
          <cell r="D295">
            <v>46</v>
          </cell>
          <cell r="E295">
            <v>90</v>
          </cell>
          <cell r="F295">
            <v>44</v>
          </cell>
          <cell r="G295">
            <v>82</v>
          </cell>
          <cell r="H295">
            <v>70</v>
          </cell>
          <cell r="I295">
            <v>62</v>
          </cell>
          <cell r="J295">
            <v>41</v>
          </cell>
          <cell r="K295">
            <v>71</v>
          </cell>
          <cell r="L295">
            <v>92</v>
          </cell>
          <cell r="M295">
            <v>114</v>
          </cell>
          <cell r="AC295" t="str">
            <v>New Gulfstream Portfolio Certification Status</v>
          </cell>
        </row>
        <row r="296">
          <cell r="A296" t="str">
            <v>Deliveries</v>
          </cell>
          <cell r="B296">
            <v>26</v>
          </cell>
          <cell r="C296">
            <v>27</v>
          </cell>
          <cell r="D296">
            <v>51</v>
          </cell>
          <cell r="E296">
            <v>61</v>
          </cell>
          <cell r="F296">
            <v>70</v>
          </cell>
          <cell r="G296">
            <v>71</v>
          </cell>
          <cell r="H296">
            <v>71</v>
          </cell>
          <cell r="I296">
            <v>61</v>
          </cell>
          <cell r="J296">
            <v>50</v>
          </cell>
          <cell r="K296">
            <v>56</v>
          </cell>
          <cell r="L296">
            <v>63</v>
          </cell>
          <cell r="M296">
            <v>71</v>
          </cell>
          <cell r="AD296" t="str">
            <v>ProvType</v>
          </cell>
          <cell r="AE296" t="str">
            <v>Type</v>
          </cell>
          <cell r="AF296" t="str">
            <v>JAA Cert</v>
          </cell>
          <cell r="AG296" t="str">
            <v>Air-Wor</v>
          </cell>
          <cell r="AH296" t="str">
            <v>Prices</v>
          </cell>
          <cell r="AJ296" t="str">
            <v>Comp</v>
          </cell>
          <cell r="AM296" t="str">
            <v>Est In Service</v>
          </cell>
          <cell r="AN296" t="str">
            <v>Est In Service</v>
          </cell>
          <cell r="AO296" t="str">
            <v>Est In Service</v>
          </cell>
        </row>
        <row r="297">
          <cell r="A297" t="str">
            <v>Book:bill</v>
          </cell>
          <cell r="B297">
            <v>1.6153846153846154</v>
          </cell>
          <cell r="C297">
            <v>2.4074074074074074</v>
          </cell>
          <cell r="D297">
            <v>0.90196078431372551</v>
          </cell>
          <cell r="E297">
            <v>1.4754098360655739</v>
          </cell>
          <cell r="F297">
            <v>0.62857142857142856</v>
          </cell>
          <cell r="G297">
            <v>1.1549295774647887</v>
          </cell>
          <cell r="H297">
            <v>0.9859154929577465</v>
          </cell>
          <cell r="I297">
            <v>1.0163934426229508</v>
          </cell>
          <cell r="J297">
            <v>0.82</v>
          </cell>
          <cell r="K297">
            <v>1.2678571428571428</v>
          </cell>
          <cell r="L297">
            <v>1.4603174603174602</v>
          </cell>
          <cell r="M297">
            <v>1.6056338028169015</v>
          </cell>
          <cell r="AC297" t="str">
            <v>G100</v>
          </cell>
          <cell r="AH297" t="str">
            <v>$12-14MM</v>
          </cell>
          <cell r="AM297" t="str">
            <v>-NA</v>
          </cell>
          <cell r="AN297" t="str">
            <v>-NA</v>
          </cell>
          <cell r="AO297" t="str">
            <v>-NA</v>
          </cell>
        </row>
        <row r="298">
          <cell r="B298" t="str">
            <v>Number of Gulfstreams in operation (Units)</v>
          </cell>
          <cell r="AC298" t="str">
            <v>G150</v>
          </cell>
          <cell r="AH298" t="str">
            <v>$12-14MM</v>
          </cell>
          <cell r="AJ298" t="str">
            <v>HawkXP, Lear60, Cit Sovereign</v>
          </cell>
          <cell r="AM298" t="str">
            <v>-dev looks pushed out to 2006, was 2Q05</v>
          </cell>
          <cell r="AN298" t="str">
            <v>-dev looks pushed out to 2006, was 2Q05</v>
          </cell>
          <cell r="AO298" t="str">
            <v>-dev looks pushed out to 2006, was 2Q05</v>
          </cell>
        </row>
        <row r="299">
          <cell r="D299" t="str">
            <v>ao 1999</v>
          </cell>
          <cell r="H299" t="str">
            <v>ao 2002</v>
          </cell>
          <cell r="AC299" t="str">
            <v>G200</v>
          </cell>
          <cell r="AH299" t="str">
            <v>$16-21MM</v>
          </cell>
          <cell r="AJ299" t="str">
            <v>Challenger 300, Hawker Horizon, Falcon 50EX, CitX, Legacy</v>
          </cell>
          <cell r="AM299" t="str">
            <v>-NA</v>
          </cell>
          <cell r="AN299" t="str">
            <v>-NA</v>
          </cell>
          <cell r="AO299" t="str">
            <v>-NA</v>
          </cell>
        </row>
        <row r="300">
          <cell r="B300" t="str">
            <v>GII</v>
          </cell>
          <cell r="D300">
            <v>202</v>
          </cell>
          <cell r="G300" t="str">
            <v>G-II</v>
          </cell>
          <cell r="H300">
            <v>239</v>
          </cell>
          <cell r="AC300" t="str">
            <v>G300</v>
          </cell>
          <cell r="AE300" t="str">
            <v>1/03</v>
          </cell>
          <cell r="AF300" t="str">
            <v>7/03</v>
          </cell>
          <cell r="AH300" t="str">
            <v>$21-27MM</v>
          </cell>
          <cell r="AJ300" t="str">
            <v>Challenger 604, Falcon 200EX</v>
          </cell>
          <cell r="AM300" t="str">
            <v>-Company says remain on schedule for June dels, first 300 serial #1503</v>
          </cell>
          <cell r="AN300" t="str">
            <v>-Company says remain on schedule for June dels, first 300 serial #1503</v>
          </cell>
          <cell r="AO300" t="str">
            <v>-Company says remain on schedule for June dels, first 300 serial #1503</v>
          </cell>
        </row>
        <row r="301">
          <cell r="B301" t="str">
            <v>GIIB</v>
          </cell>
          <cell r="D301">
            <v>42</v>
          </cell>
          <cell r="G301" t="str">
            <v>G-IIB</v>
          </cell>
          <cell r="H301">
            <v>44</v>
          </cell>
          <cell r="AC301" t="str">
            <v>G350</v>
          </cell>
          <cell r="AD301" t="str">
            <v>replaces 300</v>
          </cell>
          <cell r="AM301" t="str">
            <v>-First Del 3Q05</v>
          </cell>
          <cell r="AN301" t="str">
            <v>-First Del 3Q05</v>
          </cell>
          <cell r="AO301" t="str">
            <v>-First Del 3Q05</v>
          </cell>
        </row>
        <row r="302">
          <cell r="B302" t="str">
            <v>GIII</v>
          </cell>
          <cell r="D302">
            <v>198</v>
          </cell>
          <cell r="G302" t="str">
            <v>G-III</v>
          </cell>
          <cell r="H302">
            <v>195</v>
          </cell>
          <cell r="AC302" t="str">
            <v>G400</v>
          </cell>
          <cell r="AE302" t="str">
            <v>1/03</v>
          </cell>
          <cell r="AF302" t="str">
            <v>7/03</v>
          </cell>
          <cell r="AH302" t="str">
            <v>$29-33MM</v>
          </cell>
          <cell r="AJ302" t="str">
            <v>Falcon 900C &amp; 900EX</v>
          </cell>
          <cell r="AM302" t="str">
            <v>-Company says remain on schedule for June dels, first 400 serial #1500</v>
          </cell>
          <cell r="AN302" t="str">
            <v>-Company says remain on schedule for June dels, first 400 serial #1500</v>
          </cell>
          <cell r="AO302" t="str">
            <v>-Company says remain on schedule for June dels, first 400 serial #1500</v>
          </cell>
        </row>
        <row r="303">
          <cell r="B303" t="str">
            <v>GIV</v>
          </cell>
          <cell r="D303">
            <v>207</v>
          </cell>
          <cell r="G303" t="str">
            <v>G-IV</v>
          </cell>
          <cell r="H303">
            <v>228</v>
          </cell>
          <cell r="AC303" t="str">
            <v>G450</v>
          </cell>
          <cell r="AD303" t="str">
            <v>replaces 400</v>
          </cell>
          <cell r="AH303" t="str">
            <v>$33MM</v>
          </cell>
          <cell r="AJ303" t="str">
            <v>Falcon 900EX</v>
          </cell>
          <cell r="AM303" t="str">
            <v>-First del 2Q05</v>
          </cell>
          <cell r="AN303" t="str">
            <v>-First del 2Q05</v>
          </cell>
          <cell r="AO303" t="str">
            <v>-First del 2Q05</v>
          </cell>
        </row>
        <row r="304">
          <cell r="B304" t="str">
            <v>GIV-SP</v>
          </cell>
          <cell r="D304">
            <v>139</v>
          </cell>
          <cell r="G304" t="str">
            <v>G-IVSP</v>
          </cell>
          <cell r="H304">
            <v>225</v>
          </cell>
          <cell r="AC304" t="str">
            <v>G500</v>
          </cell>
          <cell r="AE304">
            <v>2004</v>
          </cell>
          <cell r="AH304" t="str">
            <v>$35-38MM</v>
          </cell>
          <cell r="AM304" t="str">
            <v>-First del 2004 (was est 1Q04)</v>
          </cell>
          <cell r="AN304" t="str">
            <v>-First del 2004 (was est 1Q04)</v>
          </cell>
          <cell r="AO304" t="str">
            <v>-First del 2004 (was est 1Q04)</v>
          </cell>
        </row>
        <row r="305">
          <cell r="B305" t="str">
            <v>GV</v>
          </cell>
          <cell r="D305">
            <v>43</v>
          </cell>
          <cell r="G305" t="str">
            <v>G-V</v>
          </cell>
          <cell r="H305">
            <v>140</v>
          </cell>
          <cell r="AC305" t="str">
            <v>G550</v>
          </cell>
          <cell r="AD305" t="str">
            <v>12/02</v>
          </cell>
          <cell r="AE305" t="str">
            <v>due summer</v>
          </cell>
          <cell r="AH305" t="str">
            <v>$43-46MM</v>
          </cell>
          <cell r="AJ305" t="str">
            <v>GEX, BBJ</v>
          </cell>
          <cell r="AM305" t="str">
            <v>-First Del 3Q03</v>
          </cell>
          <cell r="AN305" t="str">
            <v>-First Del 3Q03</v>
          </cell>
          <cell r="AO305" t="str">
            <v>-First Del 3Q03</v>
          </cell>
        </row>
        <row r="306">
          <cell r="G306" t="str">
            <v>G-VSP</v>
          </cell>
          <cell r="H306">
            <v>2</v>
          </cell>
          <cell r="AC306" t="str">
            <v>Myles:</v>
          </cell>
          <cell r="AG306" t="str">
            <v>10/03</v>
          </cell>
        </row>
        <row r="307">
          <cell r="B307" t="str">
            <v>TOTAL</v>
          </cell>
          <cell r="D307">
            <v>831</v>
          </cell>
          <cell r="G307" t="str">
            <v>Total</v>
          </cell>
          <cell r="H307">
            <v>1073</v>
          </cell>
          <cell r="AC307" t="str">
            <v>1)  1st dels G550s -- are they getting out door?... First One has been delivered according to Airclaims to Deerport Aviation</v>
          </cell>
        </row>
        <row r="308">
          <cell r="B308" t="str">
            <v>GIV-Vs</v>
          </cell>
          <cell r="D308">
            <v>389</v>
          </cell>
          <cell r="G308" t="str">
            <v>GIV-Vs</v>
          </cell>
          <cell r="H308">
            <v>595</v>
          </cell>
          <cell r="AC308" t="str">
            <v>2) how is G500 schedules 2004 looking?</v>
          </cell>
        </row>
        <row r="309">
          <cell r="B309" t="str">
            <v xml:space="preserve">Int'l </v>
          </cell>
          <cell r="D309">
            <v>0.15042117930204574</v>
          </cell>
          <cell r="G309" t="str">
            <v>Int'l</v>
          </cell>
          <cell r="H309">
            <v>0.27731092436974791</v>
          </cell>
        </row>
        <row r="310">
          <cell r="B310" t="str">
            <v>U.S.</v>
          </cell>
          <cell r="D310">
            <v>0.84957882069795421</v>
          </cell>
          <cell r="G310" t="str">
            <v>U.S.</v>
          </cell>
          <cell r="H310">
            <v>0.72268907563025209</v>
          </cell>
        </row>
        <row r="311">
          <cell r="AO311" t="str">
            <v>A/o 1991</v>
          </cell>
          <cell r="AX311" t="str">
            <v>EPS add/aircraft:</v>
          </cell>
          <cell r="AZ311" t="str">
            <v>1999</v>
          </cell>
          <cell r="BA311" t="str">
            <v>2000</v>
          </cell>
          <cell r="BB311" t="str">
            <v>2001</v>
          </cell>
        </row>
        <row r="312">
          <cell r="A312" t="str">
            <v>Fractional Ownership</v>
          </cell>
          <cell r="D312" t="str">
            <v>Q1:99</v>
          </cell>
          <cell r="G312" t="str">
            <v>Fractional As % Fleet</v>
          </cell>
          <cell r="N312" t="str">
            <v>*assumes -- 7% 2001 dels=fractional, 11% in 2002=fractional</v>
          </cell>
          <cell r="U312" t="str">
            <v>A/O 10/2008</v>
          </cell>
          <cell r="AR312" t="str">
            <v>Gulfstream Users By Sector</v>
          </cell>
        </row>
        <row r="313">
          <cell r="A313" t="str">
            <v>Firm orders</v>
          </cell>
          <cell r="C313" t="str">
            <v>Ords</v>
          </cell>
          <cell r="D313" t="str">
            <v>Dels</v>
          </cell>
          <cell r="E313" t="str">
            <v>Backlog</v>
          </cell>
          <cell r="G313" t="str">
            <v>GIV -- GIVSP --  GVs</v>
          </cell>
          <cell r="J313" t="str">
            <v>1997</v>
          </cell>
          <cell r="K313" t="str">
            <v>1998</v>
          </cell>
          <cell r="L313" t="str">
            <v>1999</v>
          </cell>
          <cell r="M313" t="str">
            <v>2000</v>
          </cell>
          <cell r="N313" t="str">
            <v>2001</v>
          </cell>
          <cell r="O313" t="str">
            <v>2002</v>
          </cell>
          <cell r="P313" t="str">
            <v>2003E</v>
          </cell>
          <cell r="Q313" t="str">
            <v>Comments/Assumptions</v>
          </cell>
          <cell r="U313" t="str">
            <v>Gulfstream Users By Industry</v>
          </cell>
          <cell r="AE313" t="str">
            <v>Most modern fleet</v>
          </cell>
        </row>
        <row r="314">
          <cell r="A314" t="str">
            <v>M.E. Shs</v>
          </cell>
          <cell r="C314">
            <v>12</v>
          </cell>
          <cell r="D314">
            <v>2</v>
          </cell>
          <cell r="E314">
            <v>10</v>
          </cell>
          <cell r="G314" t="str">
            <v>Beginning fleet</v>
          </cell>
          <cell r="J314">
            <v>293</v>
          </cell>
          <cell r="K314">
            <v>339</v>
          </cell>
          <cell r="L314">
            <v>393.30500000000001</v>
          </cell>
          <cell r="M314">
            <v>459.33847500000002</v>
          </cell>
          <cell r="N314">
            <v>527.541782625</v>
          </cell>
          <cell r="O314">
            <v>595.90407371187496</v>
          </cell>
          <cell r="P314">
            <v>657.43479315903585</v>
          </cell>
          <cell r="W314" t="str">
            <v>GII</v>
          </cell>
          <cell r="X314" t="str">
            <v>GIII</v>
          </cell>
          <cell r="Y314" t="str">
            <v>GIV</v>
          </cell>
          <cell r="Z314" t="str">
            <v>GV</v>
          </cell>
          <cell r="AA314" t="str">
            <v>Other</v>
          </cell>
          <cell r="AB314" t="str">
            <v>Total</v>
          </cell>
          <cell r="AC314" t="str">
            <v>% Total</v>
          </cell>
          <cell r="AE314" t="str">
            <v>% GIV/GVs</v>
          </cell>
          <cell r="AF314" t="str">
            <v>Significant Owners - Examples</v>
          </cell>
          <cell r="AR314" t="str">
            <v>GIII</v>
          </cell>
          <cell r="AS314" t="str">
            <v>GIV</v>
          </cell>
          <cell r="AT314" t="str">
            <v>GV</v>
          </cell>
          <cell r="AU314" t="str">
            <v>Total</v>
          </cell>
          <cell r="AV314" t="str">
            <v>% of Known</v>
          </cell>
          <cell r="AW314" t="str">
            <v>Significant Owners</v>
          </cell>
        </row>
        <row r="315">
          <cell r="A315" t="str">
            <v>Gulfstream shs</v>
          </cell>
          <cell r="C315">
            <v>56</v>
          </cell>
          <cell r="D315">
            <v>19</v>
          </cell>
          <cell r="E315">
            <v>37</v>
          </cell>
          <cell r="G315" t="str">
            <v>Green Deliveries</v>
          </cell>
          <cell r="U315" t="str">
            <v>Consumer Discretionary</v>
          </cell>
          <cell r="W315">
            <v>15</v>
          </cell>
          <cell r="X315">
            <v>16</v>
          </cell>
          <cell r="Y315">
            <v>44</v>
          </cell>
          <cell r="Z315">
            <v>31</v>
          </cell>
          <cell r="AA315">
            <v>5</v>
          </cell>
          <cell r="AB315">
            <v>111</v>
          </cell>
          <cell r="AC315">
            <v>0.1008174386920981</v>
          </cell>
          <cell r="AE315">
            <v>7.3891625615763554E-2</v>
          </cell>
          <cell r="AF315" t="str">
            <v>AOL/Time Warner, Whirlpool Corp., Entertainment Industry</v>
          </cell>
          <cell r="AP315" t="str">
            <v>Consumer Discretionary</v>
          </cell>
          <cell r="AR315">
            <v>6</v>
          </cell>
          <cell r="AS315">
            <v>26</v>
          </cell>
          <cell r="AT315">
            <v>16</v>
          </cell>
          <cell r="AU315">
            <v>48</v>
          </cell>
          <cell r="AV315">
            <v>9.375E-2</v>
          </cell>
          <cell r="AW315" t="str">
            <v>AOL, Ford, GM</v>
          </cell>
        </row>
        <row r="316">
          <cell r="A316" t="str">
            <v>Total Fractional</v>
          </cell>
          <cell r="C316">
            <v>68</v>
          </cell>
          <cell r="D316">
            <v>21</v>
          </cell>
          <cell r="E316">
            <v>47</v>
          </cell>
          <cell r="G316" t="str">
            <v>Fractional</v>
          </cell>
          <cell r="J316">
            <v>4</v>
          </cell>
          <cell r="K316">
            <v>4</v>
          </cell>
          <cell r="L316">
            <v>4</v>
          </cell>
          <cell r="M316">
            <v>4</v>
          </cell>
          <cell r="N316">
            <v>4</v>
          </cell>
          <cell r="O316">
            <v>7</v>
          </cell>
          <cell r="P316">
            <v>5</v>
          </cell>
          <cell r="U316" t="str">
            <v>Consumer Staples</v>
          </cell>
          <cell r="W316">
            <v>6</v>
          </cell>
          <cell r="X316">
            <v>6</v>
          </cell>
          <cell r="Y316">
            <v>8</v>
          </cell>
          <cell r="Z316">
            <v>8</v>
          </cell>
          <cell r="AA316">
            <v>0</v>
          </cell>
          <cell r="AB316">
            <v>28</v>
          </cell>
          <cell r="AC316">
            <v>2.5431425976385105E-2</v>
          </cell>
          <cell r="AE316">
            <v>1.5763546798029555E-2</v>
          </cell>
          <cell r="AF316" t="str">
            <v>Coca-Cola, Proctor &amp; Gamble</v>
          </cell>
          <cell r="AP316" t="str">
            <v>Consumer Staples</v>
          </cell>
          <cell r="AR316">
            <v>4</v>
          </cell>
          <cell r="AS316">
            <v>20</v>
          </cell>
          <cell r="AT316">
            <v>8</v>
          </cell>
          <cell r="AU316">
            <v>32</v>
          </cell>
          <cell r="AV316">
            <v>6.25E-2</v>
          </cell>
          <cell r="AW316" t="str">
            <v>P&amp;G, Coca Cola</v>
          </cell>
        </row>
        <row r="317">
          <cell r="A317" t="str">
            <v xml:space="preserve">Fractional % </v>
          </cell>
          <cell r="E317">
            <v>0.42342342342342343</v>
          </cell>
          <cell r="G317" t="str">
            <v>ME shs</v>
          </cell>
          <cell r="K317">
            <v>1</v>
          </cell>
          <cell r="L317">
            <v>4</v>
          </cell>
          <cell r="M317">
            <v>4</v>
          </cell>
          <cell r="N317">
            <v>1</v>
          </cell>
          <cell r="O317">
            <v>0</v>
          </cell>
          <cell r="P317">
            <v>0</v>
          </cell>
          <cell r="U317" t="str">
            <v>Energy</v>
          </cell>
          <cell r="W317">
            <v>8</v>
          </cell>
          <cell r="X317">
            <v>3</v>
          </cell>
          <cell r="Y317">
            <v>18</v>
          </cell>
          <cell r="Z317">
            <v>12</v>
          </cell>
          <cell r="AA317">
            <v>1</v>
          </cell>
          <cell r="AB317">
            <v>42</v>
          </cell>
          <cell r="AC317">
            <v>3.8147138964577658E-2</v>
          </cell>
          <cell r="AE317">
            <v>2.9556650246305417E-2</v>
          </cell>
          <cell r="AF317" t="str">
            <v>Chevron, Valero</v>
          </cell>
          <cell r="AP317" t="str">
            <v>Energy</v>
          </cell>
          <cell r="AR317">
            <v>7</v>
          </cell>
          <cell r="AS317">
            <v>34</v>
          </cell>
          <cell r="AT317">
            <v>10</v>
          </cell>
          <cell r="AU317">
            <v>51</v>
          </cell>
          <cell r="AV317">
            <v>9.9609375E-2</v>
          </cell>
          <cell r="AW317" t="str">
            <v>El Paso, Marathon, Chevron, Conoco</v>
          </cell>
        </row>
        <row r="318">
          <cell r="G318" t="str">
            <v>Single owner</v>
          </cell>
          <cell r="J318">
            <v>47</v>
          </cell>
          <cell r="K318">
            <v>56</v>
          </cell>
          <cell r="L318">
            <v>62</v>
          </cell>
          <cell r="M318">
            <v>63</v>
          </cell>
          <cell r="N318">
            <v>66</v>
          </cell>
          <cell r="O318">
            <v>54</v>
          </cell>
          <cell r="P318">
            <v>45</v>
          </cell>
          <cell r="U318" t="str">
            <v>Financials</v>
          </cell>
          <cell r="W318">
            <v>12</v>
          </cell>
          <cell r="X318">
            <v>16</v>
          </cell>
          <cell r="Y318">
            <v>73</v>
          </cell>
          <cell r="Z318">
            <v>38</v>
          </cell>
          <cell r="AA318">
            <v>2</v>
          </cell>
          <cell r="AB318">
            <v>141</v>
          </cell>
          <cell r="AC318">
            <v>0.12806539509536785</v>
          </cell>
          <cell r="AE318">
            <v>0.10935960591133005</v>
          </cell>
          <cell r="AF318" t="str">
            <v>Bank of America, JP Morgan Chase, Societe Generale, Wachovia</v>
          </cell>
          <cell r="AP318" t="str">
            <v>Financials</v>
          </cell>
          <cell r="AR318">
            <v>2</v>
          </cell>
          <cell r="AS318">
            <v>20</v>
          </cell>
          <cell r="AT318">
            <v>8</v>
          </cell>
          <cell r="AU318">
            <v>30</v>
          </cell>
          <cell r="AV318">
            <v>5.859375E-2</v>
          </cell>
          <cell r="AW318" t="str">
            <v>Chase, Banc of America</v>
          </cell>
        </row>
        <row r="319">
          <cell r="G319" t="str">
            <v>Total</v>
          </cell>
          <cell r="J319">
            <v>51</v>
          </cell>
          <cell r="K319">
            <v>61</v>
          </cell>
          <cell r="L319">
            <v>70</v>
          </cell>
          <cell r="M319">
            <v>71</v>
          </cell>
          <cell r="N319">
            <v>71</v>
          </cell>
          <cell r="O319">
            <v>61</v>
          </cell>
          <cell r="P319">
            <v>50</v>
          </cell>
          <cell r="U319" t="str">
            <v>Fractionals/Dealers/Leassors</v>
          </cell>
          <cell r="W319">
            <v>47</v>
          </cell>
          <cell r="X319">
            <v>61</v>
          </cell>
          <cell r="Y319">
            <v>215</v>
          </cell>
          <cell r="Z319">
            <v>120</v>
          </cell>
          <cell r="AA319">
            <v>24</v>
          </cell>
          <cell r="AB319">
            <v>467</v>
          </cell>
          <cell r="AC319">
            <v>0.42415985467756584</v>
          </cell>
          <cell r="AE319">
            <v>0.33004926108374383</v>
          </cell>
          <cell r="AF319" t="str">
            <v>Bank of America Leasing, CIT Leasing, GE Capital, Netjets</v>
          </cell>
          <cell r="AP319" t="str">
            <v>Health Care</v>
          </cell>
          <cell r="AR319">
            <v>1</v>
          </cell>
          <cell r="AS319">
            <v>18</v>
          </cell>
          <cell r="AT319">
            <v>6</v>
          </cell>
          <cell r="AU319">
            <v>25</v>
          </cell>
          <cell r="AV319">
            <v>4.8828125E-2</v>
          </cell>
          <cell r="AW319" t="str">
            <v>Schering Plough, Bristol Myers, J&amp;J</v>
          </cell>
        </row>
        <row r="320">
          <cell r="A320" t="str">
            <v>GAC's Q1:99 Firm Backlog</v>
          </cell>
          <cell r="G320" t="str">
            <v>Completed Deliveries</v>
          </cell>
          <cell r="J320">
            <v>47</v>
          </cell>
          <cell r="K320">
            <v>56</v>
          </cell>
          <cell r="L320">
            <v>68</v>
          </cell>
          <cell r="M320">
            <v>70.5</v>
          </cell>
          <cell r="N320">
            <v>71</v>
          </cell>
          <cell r="O320">
            <v>66</v>
          </cell>
          <cell r="P320">
            <v>55.5</v>
          </cell>
          <cell r="U320" t="str">
            <v>Health Care</v>
          </cell>
          <cell r="W320">
            <v>2</v>
          </cell>
          <cell r="X320">
            <v>2</v>
          </cell>
          <cell r="Y320">
            <v>15</v>
          </cell>
          <cell r="Z320">
            <v>10</v>
          </cell>
          <cell r="AA320">
            <v>0</v>
          </cell>
          <cell r="AB320">
            <v>29</v>
          </cell>
          <cell r="AC320">
            <v>2.633969118982743E-2</v>
          </cell>
          <cell r="AE320">
            <v>2.4630541871921183E-2</v>
          </cell>
          <cell r="AF320" t="str">
            <v>Abbott Labs, Amgen, Johnson &amp; Johnson</v>
          </cell>
          <cell r="AP320" t="str">
            <v>Industrials</v>
          </cell>
          <cell r="AR320">
            <v>6</v>
          </cell>
          <cell r="AS320">
            <v>21</v>
          </cell>
          <cell r="AT320">
            <v>12</v>
          </cell>
          <cell r="AU320">
            <v>39</v>
          </cell>
          <cell r="AV320">
            <v>7.6171875E-2</v>
          </cell>
          <cell r="AW320" t="str">
            <v>GE, 3M</v>
          </cell>
        </row>
        <row r="321">
          <cell r="A321" t="str">
            <v>U.S.</v>
          </cell>
          <cell r="B321" t="str">
            <v>Units</v>
          </cell>
          <cell r="C321" t="str">
            <v>% Total</v>
          </cell>
          <cell r="G321" t="str">
            <v>Retires (GIVs)</v>
          </cell>
          <cell r="J321">
            <v>-1</v>
          </cell>
          <cell r="K321">
            <v>-1.6950000000000001</v>
          </cell>
          <cell r="L321">
            <v>-1.9665250000000001</v>
          </cell>
          <cell r="M321">
            <v>-2.2966923750000001</v>
          </cell>
          <cell r="N321">
            <v>-2.637708913125</v>
          </cell>
          <cell r="O321">
            <v>-4.469280552839062</v>
          </cell>
          <cell r="P321">
            <v>-4.930760948692769</v>
          </cell>
          <cell r="U321" t="str">
            <v>Industrials</v>
          </cell>
          <cell r="W321">
            <v>20</v>
          </cell>
          <cell r="X321">
            <v>15</v>
          </cell>
          <cell r="Y321">
            <v>47</v>
          </cell>
          <cell r="Z321">
            <v>29</v>
          </cell>
          <cell r="AA321">
            <v>3</v>
          </cell>
          <cell r="AB321">
            <v>114</v>
          </cell>
          <cell r="AC321">
            <v>0.10354223433242507</v>
          </cell>
          <cell r="AE321">
            <v>7.4876847290640397E-2</v>
          </cell>
          <cell r="AF321" t="str">
            <v>3M, General Dynamics, Honeywell, US Steel</v>
          </cell>
          <cell r="AP321" t="str">
            <v>Information Technology</v>
          </cell>
          <cell r="AR321">
            <v>2</v>
          </cell>
          <cell r="AS321">
            <v>11</v>
          </cell>
          <cell r="AT321">
            <v>7</v>
          </cell>
          <cell r="AU321">
            <v>20</v>
          </cell>
          <cell r="AV321">
            <v>3.90625E-2</v>
          </cell>
          <cell r="AW321" t="str">
            <v>CA, HPQ, IBM</v>
          </cell>
        </row>
        <row r="322">
          <cell r="A322" t="str">
            <v xml:space="preserve">  Individuals</v>
          </cell>
          <cell r="B322">
            <v>2.5641000000000003</v>
          </cell>
          <cell r="C322">
            <v>2.3100000000000002E-2</v>
          </cell>
          <cell r="G322" t="str">
            <v xml:space="preserve">Est. Ending fleet </v>
          </cell>
          <cell r="J322">
            <v>339</v>
          </cell>
          <cell r="K322">
            <v>393.30500000000001</v>
          </cell>
          <cell r="L322">
            <v>459.33847500000002</v>
          </cell>
          <cell r="M322">
            <v>527.541782625</v>
          </cell>
          <cell r="N322">
            <v>595.90407371187496</v>
          </cell>
          <cell r="O322">
            <v>657.43479315903585</v>
          </cell>
          <cell r="P322">
            <v>708.0040322103431</v>
          </cell>
          <cell r="U322" t="str">
            <v>Information Technology</v>
          </cell>
          <cell r="W322">
            <v>2</v>
          </cell>
          <cell r="X322">
            <v>0</v>
          </cell>
          <cell r="Y322">
            <v>10</v>
          </cell>
          <cell r="Z322">
            <v>11</v>
          </cell>
          <cell r="AA322">
            <v>0</v>
          </cell>
          <cell r="AB322">
            <v>23</v>
          </cell>
          <cell r="AC322">
            <v>2.0890099909173478E-2</v>
          </cell>
          <cell r="AE322">
            <v>2.0689655172413793E-2</v>
          </cell>
          <cell r="AF322" t="str">
            <v>HP, Motorola</v>
          </cell>
          <cell r="AP322" t="str">
            <v>Materials</v>
          </cell>
          <cell r="AR322">
            <v>4</v>
          </cell>
          <cell r="AS322">
            <v>14</v>
          </cell>
          <cell r="AT322">
            <v>8</v>
          </cell>
          <cell r="AU322">
            <v>26</v>
          </cell>
          <cell r="AV322">
            <v>5.078125E-2</v>
          </cell>
          <cell r="AW322" t="str">
            <v>Alcoa, Phelps Dodge</v>
          </cell>
        </row>
        <row r="323">
          <cell r="A323" t="str">
            <v xml:space="preserve">  Corporations</v>
          </cell>
          <cell r="B323">
            <v>42.734999999999999</v>
          </cell>
          <cell r="C323">
            <v>0.38500000000000001</v>
          </cell>
          <cell r="G323" t="str">
            <v>Cumulative  fract fleet</v>
          </cell>
          <cell r="J323">
            <v>15</v>
          </cell>
          <cell r="K323">
            <v>19</v>
          </cell>
          <cell r="L323">
            <v>25.5</v>
          </cell>
          <cell r="M323">
            <v>33.5</v>
          </cell>
          <cell r="N323">
            <v>40</v>
          </cell>
          <cell r="O323">
            <v>46</v>
          </cell>
          <cell r="P323">
            <v>52</v>
          </cell>
          <cell r="Q323" t="str">
            <v>- 6 mos:  green --&gt; in svc</v>
          </cell>
          <cell r="U323" t="str">
            <v>International Govts/Agencies</v>
          </cell>
          <cell r="W323">
            <v>10</v>
          </cell>
          <cell r="X323">
            <v>10</v>
          </cell>
          <cell r="Y323">
            <v>42</v>
          </cell>
          <cell r="Z323">
            <v>16</v>
          </cell>
          <cell r="AA323">
            <v>0</v>
          </cell>
          <cell r="AB323">
            <v>78</v>
          </cell>
          <cell r="AC323">
            <v>7.0844686648501368E-2</v>
          </cell>
          <cell r="AE323">
            <v>5.7142857142857141E-2</v>
          </cell>
          <cell r="AF323" t="str">
            <v>Algeria, Egypt, Israel, Japan, Saudi Arabia, Sweden</v>
          </cell>
          <cell r="AP323" t="str">
            <v>Telecommunications</v>
          </cell>
          <cell r="AR323">
            <v>2</v>
          </cell>
          <cell r="AS323">
            <v>12</v>
          </cell>
          <cell r="AT323">
            <v>4</v>
          </cell>
          <cell r="AU323">
            <v>18</v>
          </cell>
          <cell r="AV323">
            <v>3.515625E-2</v>
          </cell>
          <cell r="AW323" t="str">
            <v>AT&amp;T</v>
          </cell>
        </row>
        <row r="324">
          <cell r="A324" t="str">
            <v xml:space="preserve">  GAC shares</v>
          </cell>
          <cell r="B324">
            <v>37</v>
          </cell>
          <cell r="C324">
            <v>0.33333333333333331</v>
          </cell>
          <cell r="G324" t="str">
            <v>Fractl %  Total Fleet</v>
          </cell>
          <cell r="J324">
            <v>1.1799410029498525E-2</v>
          </cell>
          <cell r="K324">
            <v>4.8308564599992374E-2</v>
          </cell>
          <cell r="L324">
            <v>5.5514618060244138E-2</v>
          </cell>
          <cell r="M324">
            <v>6.3502079083304158E-2</v>
          </cell>
          <cell r="N324">
            <v>6.7124897721945034E-2</v>
          </cell>
          <cell r="O324">
            <v>6.9968916276800144E-2</v>
          </cell>
          <cell r="P324">
            <v>7.3445909393565656E-2</v>
          </cell>
          <cell r="Q324" t="str">
            <v>- includes older GIVs</v>
          </cell>
          <cell r="U324" t="str">
            <v>Materials</v>
          </cell>
          <cell r="W324">
            <v>3</v>
          </cell>
          <cell r="X324">
            <v>0</v>
          </cell>
          <cell r="Y324">
            <v>2</v>
          </cell>
          <cell r="Z324">
            <v>1</v>
          </cell>
          <cell r="AA324">
            <v>0</v>
          </cell>
          <cell r="AB324">
            <v>6</v>
          </cell>
          <cell r="AC324">
            <v>5.4495912806539508E-3</v>
          </cell>
          <cell r="AE324">
            <v>2.9556650246305421E-3</v>
          </cell>
          <cell r="AF324" t="str">
            <v>Antair</v>
          </cell>
          <cell r="AP324" t="str">
            <v>Utilities</v>
          </cell>
          <cell r="AR324">
            <v>2</v>
          </cell>
          <cell r="AS324">
            <v>11</v>
          </cell>
          <cell r="AT324">
            <v>6</v>
          </cell>
          <cell r="AU324">
            <v>19</v>
          </cell>
          <cell r="AV324">
            <v>3.7109375E-2</v>
          </cell>
        </row>
        <row r="325">
          <cell r="A325" t="str">
            <v>U.S. total</v>
          </cell>
          <cell r="B325">
            <v>85.47</v>
          </cell>
          <cell r="C325">
            <v>0.77</v>
          </cell>
          <cell r="G325" t="str">
            <v>Fractl dels/In prodn fleet</v>
          </cell>
          <cell r="K325">
            <v>0.1043956043956044</v>
          </cell>
          <cell r="L325">
            <v>0.10199999999999999</v>
          </cell>
          <cell r="M325">
            <v>0.10452418096723869</v>
          </cell>
          <cell r="N325">
            <v>0.10217113665389528</v>
          </cell>
          <cell r="O325">
            <v>0.11810012836970475</v>
          </cell>
          <cell r="P325">
            <v>0.13885180240320427</v>
          </cell>
          <cell r="Q325" t="str">
            <v>- excludes older GIVs</v>
          </cell>
          <cell r="U325" t="str">
            <v>Telecommunications</v>
          </cell>
          <cell r="W325">
            <v>0</v>
          </cell>
          <cell r="X325">
            <v>0</v>
          </cell>
          <cell r="Y325">
            <v>5</v>
          </cell>
          <cell r="Z325">
            <v>4</v>
          </cell>
          <cell r="AA325">
            <v>0</v>
          </cell>
          <cell r="AB325">
            <v>9</v>
          </cell>
          <cell r="AC325">
            <v>8.1743869209809257E-3</v>
          </cell>
          <cell r="AE325">
            <v>8.8669950738916262E-3</v>
          </cell>
          <cell r="AF325" t="str">
            <v>MCI, Qualcomm, Verizon</v>
          </cell>
          <cell r="AP325" t="str">
            <v>Fractional Jet Companies</v>
          </cell>
          <cell r="AR325">
            <v>2</v>
          </cell>
          <cell r="AS325">
            <v>30</v>
          </cell>
          <cell r="AT325">
            <v>12</v>
          </cell>
          <cell r="AU325">
            <v>44</v>
          </cell>
          <cell r="AV325">
            <v>8.59375E-2</v>
          </cell>
          <cell r="AW325" t="str">
            <v>Netjets</v>
          </cell>
        </row>
        <row r="326">
          <cell r="A326" t="str">
            <v>Military</v>
          </cell>
          <cell r="B326">
            <v>4.4400000000000004</v>
          </cell>
          <cell r="C326">
            <v>0.04</v>
          </cell>
          <cell r="G326" t="str">
            <v>Fractl as % of Green dels</v>
          </cell>
          <cell r="K326">
            <v>8.1967213114754092E-2</v>
          </cell>
          <cell r="L326">
            <v>0.11428571428571428</v>
          </cell>
          <cell r="M326">
            <v>0.11267605633802817</v>
          </cell>
          <cell r="N326">
            <v>7.0422535211267609E-2</v>
          </cell>
          <cell r="O326">
            <v>0.11475409836065574</v>
          </cell>
          <cell r="P326">
            <v>0.1</v>
          </cell>
          <cell r="U326" t="str">
            <v>US Government Agencies</v>
          </cell>
          <cell r="W326">
            <v>9</v>
          </cell>
          <cell r="X326">
            <v>17</v>
          </cell>
          <cell r="Y326">
            <v>11</v>
          </cell>
          <cell r="Z326">
            <v>14</v>
          </cell>
          <cell r="AA326">
            <v>0</v>
          </cell>
          <cell r="AB326">
            <v>51</v>
          </cell>
          <cell r="AC326">
            <v>4.632152588555858E-2</v>
          </cell>
          <cell r="AE326">
            <v>2.4630541871921183E-2</v>
          </cell>
          <cell r="AF326" t="str">
            <v>NASA, USAF, USN</v>
          </cell>
          <cell r="AP326" t="str">
            <v>International Govts/Agencies</v>
          </cell>
          <cell r="AR326">
            <v>22</v>
          </cell>
          <cell r="AS326">
            <v>58</v>
          </cell>
          <cell r="AT326">
            <v>22</v>
          </cell>
          <cell r="AU326">
            <v>102</v>
          </cell>
          <cell r="AV326">
            <v>0.19921875</v>
          </cell>
          <cell r="AW326" t="str">
            <v>Kuwait, Saudi Arabia, Egypt, Algeria</v>
          </cell>
        </row>
        <row r="327">
          <cell r="A327" t="str">
            <v>International</v>
          </cell>
          <cell r="U327" t="str">
            <v>Utilities</v>
          </cell>
          <cell r="W327">
            <v>0</v>
          </cell>
          <cell r="X327">
            <v>0</v>
          </cell>
          <cell r="Y327">
            <v>1</v>
          </cell>
          <cell r="Z327">
            <v>0</v>
          </cell>
          <cell r="AA327">
            <v>1</v>
          </cell>
          <cell r="AB327">
            <v>2</v>
          </cell>
          <cell r="AC327">
            <v>1.8165304268846503E-3</v>
          </cell>
          <cell r="AE327">
            <v>9.8522167487684722E-4</v>
          </cell>
          <cell r="AP327" t="str">
            <v>US Government Agencies</v>
          </cell>
          <cell r="AR327">
            <v>22</v>
          </cell>
          <cell r="AS327">
            <v>26</v>
          </cell>
          <cell r="AT327">
            <v>10</v>
          </cell>
          <cell r="AU327">
            <v>58</v>
          </cell>
          <cell r="AV327">
            <v>0.11328125</v>
          </cell>
          <cell r="AW327" t="str">
            <v>USAF</v>
          </cell>
        </row>
        <row r="328">
          <cell r="A328" t="str">
            <v xml:space="preserve">   ME Shs</v>
          </cell>
          <cell r="B328">
            <v>10</v>
          </cell>
          <cell r="C328">
            <v>9.0090090090090086E-2</v>
          </cell>
          <cell r="U328" t="str">
            <v>Not Available</v>
          </cell>
          <cell r="W328">
            <v>68</v>
          </cell>
          <cell r="X328">
            <v>70</v>
          </cell>
          <cell r="Y328">
            <v>139</v>
          </cell>
          <cell r="Z328">
            <v>91</v>
          </cell>
          <cell r="AA328">
            <v>11</v>
          </cell>
          <cell r="AB328">
            <v>379</v>
          </cell>
          <cell r="AE328">
            <v>0.22660098522167488</v>
          </cell>
          <cell r="AP328" t="str">
            <v>Not Available</v>
          </cell>
          <cell r="AR328">
            <v>113</v>
          </cell>
          <cell r="AS328">
            <v>163</v>
          </cell>
          <cell r="AT328">
            <v>19</v>
          </cell>
          <cell r="AU328">
            <v>295</v>
          </cell>
        </row>
        <row r="329">
          <cell r="A329" t="str">
            <v xml:space="preserve">   Other</v>
          </cell>
          <cell r="B329">
            <v>11</v>
          </cell>
          <cell r="C329">
            <v>9.90990990990991E-2</v>
          </cell>
          <cell r="G329" t="str">
            <v>GAC Projected Deliveries/Backlog</v>
          </cell>
          <cell r="U329" t="str">
            <v>Total</v>
          </cell>
          <cell r="W329">
            <v>202</v>
          </cell>
          <cell r="X329">
            <v>216</v>
          </cell>
          <cell r="Y329">
            <v>630</v>
          </cell>
          <cell r="Z329">
            <v>385</v>
          </cell>
          <cell r="AA329">
            <v>47</v>
          </cell>
          <cell r="AB329">
            <v>1480</v>
          </cell>
          <cell r="AE329">
            <v>0.68581081081081086</v>
          </cell>
          <cell r="AP329" t="str">
            <v>TOTAL</v>
          </cell>
          <cell r="AR329">
            <v>195</v>
          </cell>
          <cell r="AS329">
            <v>464</v>
          </cell>
          <cell r="AT329">
            <v>148</v>
          </cell>
          <cell r="AU329">
            <v>807</v>
          </cell>
        </row>
        <row r="330">
          <cell r="A330" t="str">
            <v>Intl total</v>
          </cell>
          <cell r="B330">
            <v>21</v>
          </cell>
          <cell r="C330">
            <v>0.1891891891891892</v>
          </cell>
          <cell r="J330">
            <v>1999</v>
          </cell>
          <cell r="K330">
            <v>2000</v>
          </cell>
          <cell r="L330">
            <v>2001</v>
          </cell>
          <cell r="M330">
            <v>2002</v>
          </cell>
          <cell r="N330" t="str">
            <v>2003E</v>
          </cell>
          <cell r="O330" t="str">
            <v>2004E</v>
          </cell>
          <cell r="P330" t="str">
            <v>2005E</v>
          </cell>
          <cell r="U330" t="str">
            <v>Source: Ascend Worldwide, Company Websites, SEC Filings</v>
          </cell>
          <cell r="AU330">
            <v>53.8</v>
          </cell>
        </row>
        <row r="331">
          <cell r="A331" t="str">
            <v>Total</v>
          </cell>
          <cell r="B331">
            <v>111</v>
          </cell>
          <cell r="G331" t="str">
            <v>Beginning backlog</v>
          </cell>
          <cell r="J331">
            <v>117</v>
          </cell>
          <cell r="K331">
            <v>91</v>
          </cell>
          <cell r="L331">
            <v>102</v>
          </cell>
          <cell r="M331">
            <v>141</v>
          </cell>
          <cell r="N331">
            <v>189</v>
          </cell>
          <cell r="O331">
            <v>176</v>
          </cell>
          <cell r="P331">
            <v>152</v>
          </cell>
        </row>
        <row r="332">
          <cell r="A332" t="str">
            <v>Fractional total</v>
          </cell>
          <cell r="B332">
            <v>47</v>
          </cell>
          <cell r="C332">
            <v>0.42342342342342343</v>
          </cell>
        </row>
        <row r="333">
          <cell r="G333" t="str">
            <v>Deliveries</v>
          </cell>
          <cell r="J333">
            <v>70</v>
          </cell>
          <cell r="K333">
            <v>71</v>
          </cell>
          <cell r="L333">
            <v>84</v>
          </cell>
          <cell r="M333">
            <v>85</v>
          </cell>
          <cell r="N333">
            <v>74</v>
          </cell>
          <cell r="O333">
            <v>78</v>
          </cell>
          <cell r="P333">
            <v>89</v>
          </cell>
        </row>
        <row r="334">
          <cell r="G334" t="str">
            <v xml:space="preserve"> - filled delivery slots</v>
          </cell>
          <cell r="J334">
            <v>70</v>
          </cell>
          <cell r="K334">
            <v>71</v>
          </cell>
          <cell r="L334">
            <v>84</v>
          </cell>
          <cell r="M334">
            <v>85</v>
          </cell>
          <cell r="N334">
            <v>60</v>
          </cell>
          <cell r="O334">
            <v>50</v>
          </cell>
          <cell r="P334">
            <v>35</v>
          </cell>
        </row>
        <row r="336">
          <cell r="G336" t="str">
            <v>Orders</v>
          </cell>
          <cell r="J336">
            <v>44</v>
          </cell>
          <cell r="K336">
            <v>82</v>
          </cell>
          <cell r="L336">
            <v>123</v>
          </cell>
          <cell r="M336">
            <v>133</v>
          </cell>
          <cell r="N336">
            <v>75</v>
          </cell>
          <cell r="O336">
            <v>82</v>
          </cell>
          <cell r="P336">
            <v>82</v>
          </cell>
        </row>
        <row r="337">
          <cell r="A337" t="str">
            <v>Fraction shs</v>
          </cell>
          <cell r="C337" t="str">
            <v>Q1:99</v>
          </cell>
          <cell r="D337" t="str">
            <v>% Breakdown</v>
          </cell>
          <cell r="G337" t="str">
            <v>- implied unfilled</v>
          </cell>
          <cell r="J337">
            <v>0</v>
          </cell>
          <cell r="K337">
            <v>0</v>
          </cell>
          <cell r="L337">
            <v>0</v>
          </cell>
          <cell r="M337">
            <v>0</v>
          </cell>
          <cell r="N337">
            <v>14</v>
          </cell>
          <cell r="O337">
            <v>28</v>
          </cell>
          <cell r="P337">
            <v>54</v>
          </cell>
        </row>
        <row r="338">
          <cell r="A338" t="str">
            <v>A.c. in operation</v>
          </cell>
          <cell r="C338">
            <v>19</v>
          </cell>
          <cell r="G338" t="str">
            <v>- net backlog add</v>
          </cell>
          <cell r="J338">
            <v>44</v>
          </cell>
          <cell r="K338">
            <v>82</v>
          </cell>
          <cell r="L338">
            <v>123</v>
          </cell>
          <cell r="M338">
            <v>133</v>
          </cell>
          <cell r="N338">
            <v>61</v>
          </cell>
          <cell r="O338">
            <v>54</v>
          </cell>
          <cell r="P338">
            <v>28</v>
          </cell>
        </row>
        <row r="339">
          <cell r="A339" t="str">
            <v>Number of shs</v>
          </cell>
          <cell r="C339">
            <v>116</v>
          </cell>
        </row>
        <row r="340">
          <cell r="A340" t="str">
            <v xml:space="preserve">  - 1st  time buyer</v>
          </cell>
          <cell r="C340">
            <v>52.2</v>
          </cell>
          <cell r="D340">
            <v>0.45</v>
          </cell>
          <cell r="G340" t="str">
            <v>Ending backlog</v>
          </cell>
          <cell r="J340">
            <v>91</v>
          </cell>
          <cell r="K340">
            <v>102</v>
          </cell>
          <cell r="L340">
            <v>141</v>
          </cell>
          <cell r="M340">
            <v>189</v>
          </cell>
          <cell r="N340">
            <v>176</v>
          </cell>
          <cell r="O340">
            <v>152</v>
          </cell>
          <cell r="P340">
            <v>91</v>
          </cell>
        </row>
        <row r="341">
          <cell r="A341" t="str">
            <v xml:space="preserve">  - new GAC owner</v>
          </cell>
          <cell r="C341">
            <v>54.230000000000004</v>
          </cell>
          <cell r="D341">
            <v>0.46750000000000003</v>
          </cell>
          <cell r="G341" t="str">
            <v>Backlog/dels</v>
          </cell>
          <cell r="J341">
            <v>1.3</v>
          </cell>
          <cell r="K341">
            <v>1.4366197183098592</v>
          </cell>
          <cell r="L341">
            <v>1.6785714285714286</v>
          </cell>
          <cell r="M341">
            <v>2.223529411764706</v>
          </cell>
          <cell r="N341">
            <v>2.3783783783783785</v>
          </cell>
          <cell r="O341">
            <v>1.9487179487179487</v>
          </cell>
          <cell r="P341">
            <v>1.0224719101123596</v>
          </cell>
        </row>
        <row r="342">
          <cell r="A342" t="str">
            <v xml:space="preserve">  - prior GAC owner</v>
          </cell>
          <cell r="C342">
            <v>9.57</v>
          </cell>
          <cell r="D342">
            <v>8.2500000000000004E-2</v>
          </cell>
        </row>
        <row r="351">
          <cell r="A351" t="str">
            <v>Gulfstream Product  Lifecycle</v>
          </cell>
        </row>
        <row r="352">
          <cell r="G352" t="str">
            <v>Aircraft Deliveries</v>
          </cell>
          <cell r="O352" t="str">
            <v>Firm</v>
          </cell>
          <cell r="W352" t="str">
            <v>Cum deliveries</v>
          </cell>
        </row>
        <row r="353">
          <cell r="B353" t="str">
            <v>GII</v>
          </cell>
          <cell r="C353" t="str">
            <v>GIII</v>
          </cell>
          <cell r="D353" t="str">
            <v>GIV/SP (400)</v>
          </cell>
          <cell r="E353" t="str">
            <v>GV</v>
          </cell>
          <cell r="F353" t="str">
            <v>GVSP/550</v>
          </cell>
          <cell r="G353" t="str">
            <v>G100</v>
          </cell>
          <cell r="H353" t="str">
            <v>G150</v>
          </cell>
          <cell r="I353" t="str">
            <v>G200</v>
          </cell>
          <cell r="J353" t="str">
            <v>G300/350</v>
          </cell>
          <cell r="K353" t="str">
            <v>G450</v>
          </cell>
          <cell r="L353" t="str">
            <v>G500</v>
          </cell>
          <cell r="M353" t="str">
            <v>Total</v>
          </cell>
          <cell r="N353" t="str">
            <v>Orders</v>
          </cell>
          <cell r="O353" t="str">
            <v>Backlog</v>
          </cell>
          <cell r="P353" t="str">
            <v>Years</v>
          </cell>
          <cell r="Q353" t="str">
            <v>GII</v>
          </cell>
          <cell r="R353" t="str">
            <v>GIII</v>
          </cell>
          <cell r="S353" t="str">
            <v>GIV/SP (G400)</v>
          </cell>
          <cell r="T353" t="str">
            <v>GV</v>
          </cell>
          <cell r="U353" t="str">
            <v>GVSP</v>
          </cell>
          <cell r="V353" t="str">
            <v>G100</v>
          </cell>
          <cell r="W353" t="str">
            <v>G150</v>
          </cell>
          <cell r="X353" t="str">
            <v>G200</v>
          </cell>
          <cell r="Y353" t="str">
            <v>G300</v>
          </cell>
          <cell r="Z353" t="str">
            <v>G450</v>
          </cell>
          <cell r="AA353" t="str">
            <v>G500</v>
          </cell>
          <cell r="AB353" t="str">
            <v>Total</v>
          </cell>
          <cell r="AC353" t="str">
            <v>Est. Fleet</v>
          </cell>
          <cell r="AD353" t="str">
            <v>YEAR</v>
          </cell>
          <cell r="AF353" t="str">
            <v>Yr of Program</v>
          </cell>
          <cell r="AG353" t="str">
            <v>GII</v>
          </cell>
          <cell r="AH353" t="str">
            <v>GIII</v>
          </cell>
          <cell r="AI353" t="str">
            <v>GIV/SP</v>
          </cell>
          <cell r="AJ353" t="str">
            <v>GV</v>
          </cell>
          <cell r="AK353" t="str">
            <v>GVSP</v>
          </cell>
          <cell r="AL353" t="str">
            <v>G100</v>
          </cell>
          <cell r="AM353" t="str">
            <v>G150</v>
          </cell>
          <cell r="AN353" t="str">
            <v>G200</v>
          </cell>
          <cell r="AO353" t="str">
            <v>G300</v>
          </cell>
          <cell r="AP353" t="str">
            <v>G450</v>
          </cell>
          <cell r="AQ353" t="str">
            <v>G500</v>
          </cell>
        </row>
        <row r="354">
          <cell r="A354">
            <v>1967</v>
          </cell>
          <cell r="B354">
            <v>2</v>
          </cell>
          <cell r="M354">
            <v>2</v>
          </cell>
          <cell r="Q354">
            <v>2</v>
          </cell>
          <cell r="AB354">
            <v>2</v>
          </cell>
          <cell r="AC354">
            <v>1.99</v>
          </cell>
          <cell r="AD354">
            <v>1</v>
          </cell>
          <cell r="AF354">
            <v>1</v>
          </cell>
          <cell r="AG354">
            <v>2</v>
          </cell>
          <cell r="AH354">
            <v>1</v>
          </cell>
          <cell r="AI354">
            <v>1</v>
          </cell>
          <cell r="AJ354">
            <v>3</v>
          </cell>
          <cell r="AK354">
            <v>1</v>
          </cell>
          <cell r="AL354">
            <v>5</v>
          </cell>
          <cell r="AM354">
            <v>14</v>
          </cell>
          <cell r="AN354">
            <v>8</v>
          </cell>
          <cell r="AO354">
            <v>8</v>
          </cell>
          <cell r="AP354">
            <v>8</v>
          </cell>
          <cell r="AQ354">
            <v>1</v>
          </cell>
        </row>
        <row r="355">
          <cell r="A355">
            <v>1968</v>
          </cell>
          <cell r="B355">
            <v>35</v>
          </cell>
          <cell r="M355">
            <v>35</v>
          </cell>
          <cell r="Q355">
            <v>37</v>
          </cell>
          <cell r="AB355">
            <v>37</v>
          </cell>
          <cell r="AC355">
            <v>36.814999999999998</v>
          </cell>
          <cell r="AD355">
            <v>2</v>
          </cell>
          <cell r="AF355">
            <v>2</v>
          </cell>
          <cell r="AG355">
            <v>37</v>
          </cell>
          <cell r="AH355">
            <v>20</v>
          </cell>
          <cell r="AI355">
            <v>11</v>
          </cell>
          <cell r="AJ355">
            <v>32</v>
          </cell>
          <cell r="AK355">
            <v>29</v>
          </cell>
          <cell r="AL355">
            <v>14</v>
          </cell>
          <cell r="AM355">
            <v>51</v>
          </cell>
          <cell r="AN355">
            <v>23</v>
          </cell>
          <cell r="AO355">
            <v>13</v>
          </cell>
          <cell r="AP355">
            <v>28</v>
          </cell>
          <cell r="AQ355">
            <v>4</v>
          </cell>
        </row>
        <row r="356">
          <cell r="A356">
            <v>1969</v>
          </cell>
          <cell r="B356">
            <v>37</v>
          </cell>
          <cell r="M356">
            <v>37</v>
          </cell>
          <cell r="Q356">
            <v>74</v>
          </cell>
          <cell r="AB356">
            <v>74</v>
          </cell>
          <cell r="AC356">
            <v>73.63</v>
          </cell>
          <cell r="AD356">
            <v>3</v>
          </cell>
          <cell r="AF356">
            <v>3</v>
          </cell>
          <cell r="AG356">
            <v>74</v>
          </cell>
          <cell r="AH356">
            <v>45</v>
          </cell>
          <cell r="AI356">
            <v>37</v>
          </cell>
          <cell r="AJ356">
            <v>61</v>
          </cell>
          <cell r="AK356">
            <v>61</v>
          </cell>
          <cell r="AL356">
            <v>19</v>
          </cell>
          <cell r="AM356">
            <v>95</v>
          </cell>
          <cell r="AN356">
            <v>42</v>
          </cell>
          <cell r="AO356">
            <v>20</v>
          </cell>
          <cell r="AP356">
            <v>58</v>
          </cell>
          <cell r="AQ356">
            <v>10</v>
          </cell>
        </row>
        <row r="357">
          <cell r="A357">
            <v>1970</v>
          </cell>
          <cell r="B357">
            <v>16</v>
          </cell>
          <cell r="M357">
            <v>16</v>
          </cell>
          <cell r="Q357">
            <v>90</v>
          </cell>
          <cell r="AB357">
            <v>90</v>
          </cell>
          <cell r="AC357">
            <v>89.55</v>
          </cell>
          <cell r="AD357">
            <v>4</v>
          </cell>
          <cell r="AF357">
            <v>4</v>
          </cell>
          <cell r="AG357">
            <v>90</v>
          </cell>
          <cell r="AH357">
            <v>81</v>
          </cell>
          <cell r="AI357">
            <v>86</v>
          </cell>
          <cell r="AJ357">
            <v>92</v>
          </cell>
          <cell r="AK357">
            <v>96</v>
          </cell>
          <cell r="AL357">
            <v>23</v>
          </cell>
          <cell r="AM357">
            <v>139</v>
          </cell>
          <cell r="AN357">
            <v>60</v>
          </cell>
          <cell r="AO357">
            <v>22</v>
          </cell>
          <cell r="AP357">
            <v>90</v>
          </cell>
          <cell r="AQ357">
            <v>17</v>
          </cell>
        </row>
        <row r="358">
          <cell r="A358">
            <v>1971</v>
          </cell>
          <cell r="B358">
            <v>12</v>
          </cell>
          <cell r="M358">
            <v>12</v>
          </cell>
          <cell r="Q358">
            <v>102</v>
          </cell>
          <cell r="AB358">
            <v>102</v>
          </cell>
          <cell r="AC358">
            <v>101.49</v>
          </cell>
          <cell r="AD358">
            <v>5</v>
          </cell>
          <cell r="AF358">
            <v>5</v>
          </cell>
          <cell r="AG358">
            <v>102</v>
          </cell>
          <cell r="AH358">
            <v>117</v>
          </cell>
          <cell r="AI358">
            <v>124</v>
          </cell>
          <cell r="AJ358">
            <v>125</v>
          </cell>
          <cell r="AK358">
            <v>132</v>
          </cell>
          <cell r="AL358">
            <v>27</v>
          </cell>
          <cell r="AM358">
            <v>169</v>
          </cell>
          <cell r="AN358">
            <v>82</v>
          </cell>
          <cell r="AO358">
            <v>30</v>
          </cell>
          <cell r="AP358">
            <v>126</v>
          </cell>
          <cell r="AQ358">
            <v>23</v>
          </cell>
        </row>
        <row r="359">
          <cell r="A359">
            <v>1972</v>
          </cell>
          <cell r="B359">
            <v>16</v>
          </cell>
          <cell r="M359">
            <v>16</v>
          </cell>
          <cell r="Q359">
            <v>118</v>
          </cell>
          <cell r="AB359">
            <v>118</v>
          </cell>
          <cell r="AC359">
            <v>117.41</v>
          </cell>
          <cell r="AD359">
            <v>6</v>
          </cell>
          <cell r="AF359">
            <v>6</v>
          </cell>
          <cell r="AG359">
            <v>118</v>
          </cell>
          <cell r="AH359">
            <v>153</v>
          </cell>
          <cell r="AI359">
            <v>155</v>
          </cell>
          <cell r="AJ359">
            <v>160</v>
          </cell>
          <cell r="AK359">
            <v>169</v>
          </cell>
          <cell r="AL359">
            <v>28</v>
          </cell>
          <cell r="AN359">
            <v>109</v>
          </cell>
          <cell r="AO359">
            <v>39</v>
          </cell>
          <cell r="AP359">
            <v>161</v>
          </cell>
          <cell r="AQ359">
            <v>29</v>
          </cell>
        </row>
        <row r="360">
          <cell r="A360">
            <v>1973</v>
          </cell>
          <cell r="B360">
            <v>17</v>
          </cell>
          <cell r="M360">
            <v>17</v>
          </cell>
          <cell r="Q360">
            <v>135</v>
          </cell>
          <cell r="AB360">
            <v>135</v>
          </cell>
          <cell r="AC360">
            <v>134.32499999999999</v>
          </cell>
          <cell r="AD360">
            <v>7</v>
          </cell>
          <cell r="AF360">
            <v>7</v>
          </cell>
          <cell r="AG360">
            <v>135</v>
          </cell>
          <cell r="AH360">
            <v>177</v>
          </cell>
          <cell r="AI360">
            <v>184</v>
          </cell>
          <cell r="AJ360">
            <v>191</v>
          </cell>
          <cell r="AK360">
            <v>207</v>
          </cell>
          <cell r="AN360">
            <v>133</v>
          </cell>
          <cell r="AO360">
            <v>48</v>
          </cell>
          <cell r="AP360">
            <v>196</v>
          </cell>
        </row>
        <row r="361">
          <cell r="A361">
            <v>1974</v>
          </cell>
          <cell r="B361">
            <v>17</v>
          </cell>
          <cell r="M361">
            <v>17</v>
          </cell>
          <cell r="Q361">
            <v>152</v>
          </cell>
          <cell r="AB361">
            <v>152</v>
          </cell>
          <cell r="AC361">
            <v>151.24</v>
          </cell>
          <cell r="AD361">
            <v>8</v>
          </cell>
          <cell r="AF361">
            <v>8</v>
          </cell>
          <cell r="AG361">
            <v>152</v>
          </cell>
          <cell r="AH361">
            <v>193</v>
          </cell>
          <cell r="AI361">
            <v>209</v>
          </cell>
          <cell r="AJ361">
            <v>192</v>
          </cell>
          <cell r="AK361">
            <v>247</v>
          </cell>
          <cell r="AN361">
            <v>157</v>
          </cell>
          <cell r="AO361">
            <v>57</v>
          </cell>
        </row>
        <row r="362">
          <cell r="A362">
            <v>1975</v>
          </cell>
          <cell r="B362">
            <v>14</v>
          </cell>
          <cell r="M362">
            <v>14</v>
          </cell>
          <cell r="Q362">
            <v>166</v>
          </cell>
          <cell r="AB362">
            <v>166</v>
          </cell>
          <cell r="AC362">
            <v>165.17</v>
          </cell>
          <cell r="AD362">
            <v>9</v>
          </cell>
          <cell r="AF362">
            <v>9</v>
          </cell>
          <cell r="AG362">
            <v>166</v>
          </cell>
          <cell r="AH362">
            <v>199</v>
          </cell>
          <cell r="AI362">
            <v>235</v>
          </cell>
          <cell r="AK362">
            <v>289</v>
          </cell>
          <cell r="AN362">
            <v>187</v>
          </cell>
        </row>
        <row r="363">
          <cell r="A363">
            <v>1976</v>
          </cell>
          <cell r="B363">
            <v>23</v>
          </cell>
          <cell r="M363">
            <v>23</v>
          </cell>
          <cell r="Q363">
            <v>189</v>
          </cell>
          <cell r="AB363">
            <v>189</v>
          </cell>
          <cell r="AC363">
            <v>188.05500000000001</v>
          </cell>
          <cell r="AD363">
            <v>10</v>
          </cell>
          <cell r="AF363">
            <v>10</v>
          </cell>
          <cell r="AG363">
            <v>189</v>
          </cell>
          <cell r="AH363">
            <v>201</v>
          </cell>
          <cell r="AI363">
            <v>257</v>
          </cell>
          <cell r="AN363">
            <v>217</v>
          </cell>
        </row>
        <row r="364">
          <cell r="A364">
            <v>1977</v>
          </cell>
          <cell r="B364">
            <v>16</v>
          </cell>
          <cell r="M364">
            <v>16</v>
          </cell>
          <cell r="Q364">
            <v>205</v>
          </cell>
          <cell r="AB364">
            <v>205</v>
          </cell>
          <cell r="AC364">
            <v>203.97499999999999</v>
          </cell>
          <cell r="AD364">
            <v>11</v>
          </cell>
          <cell r="AF364">
            <v>11</v>
          </cell>
          <cell r="AG364">
            <v>205</v>
          </cell>
          <cell r="AI364">
            <v>283</v>
          </cell>
        </row>
        <row r="365">
          <cell r="A365">
            <v>1978</v>
          </cell>
          <cell r="B365">
            <v>23</v>
          </cell>
          <cell r="M365">
            <v>23</v>
          </cell>
          <cell r="O365" t="str">
            <v xml:space="preserve"> </v>
          </cell>
          <cell r="Q365">
            <v>228</v>
          </cell>
          <cell r="AB365">
            <v>228</v>
          </cell>
          <cell r="AC365">
            <v>226.86</v>
          </cell>
          <cell r="AD365">
            <v>12</v>
          </cell>
          <cell r="AF365">
            <v>12</v>
          </cell>
          <cell r="AG365">
            <v>228</v>
          </cell>
          <cell r="AI365">
            <v>307</v>
          </cell>
        </row>
        <row r="366">
          <cell r="A366">
            <v>1979</v>
          </cell>
          <cell r="B366">
            <v>18</v>
          </cell>
          <cell r="C366">
            <v>1</v>
          </cell>
          <cell r="M366">
            <v>19</v>
          </cell>
          <cell r="Q366">
            <v>246</v>
          </cell>
          <cell r="R366">
            <v>1</v>
          </cell>
          <cell r="AB366">
            <v>247</v>
          </cell>
          <cell r="AC366">
            <v>245.76499999999999</v>
          </cell>
          <cell r="AD366">
            <v>13</v>
          </cell>
          <cell r="AF366">
            <v>13</v>
          </cell>
          <cell r="AG366">
            <v>246</v>
          </cell>
          <cell r="AI366">
            <v>329</v>
          </cell>
        </row>
        <row r="367">
          <cell r="A367">
            <v>1980</v>
          </cell>
          <cell r="B367">
            <v>8</v>
          </cell>
          <cell r="C367">
            <v>19</v>
          </cell>
          <cell r="M367">
            <v>27</v>
          </cell>
          <cell r="Q367">
            <v>254</v>
          </cell>
          <cell r="R367">
            <v>20</v>
          </cell>
          <cell r="AB367">
            <v>274</v>
          </cell>
          <cell r="AC367">
            <v>272.63</v>
          </cell>
          <cell r="AD367">
            <v>14</v>
          </cell>
          <cell r="AF367">
            <v>14</v>
          </cell>
          <cell r="AG367">
            <v>254</v>
          </cell>
          <cell r="AI367">
            <v>361</v>
          </cell>
        </row>
        <row r="368">
          <cell r="A368">
            <v>1981</v>
          </cell>
          <cell r="C368">
            <v>25</v>
          </cell>
          <cell r="M368">
            <v>25</v>
          </cell>
          <cell r="O368">
            <v>58</v>
          </cell>
          <cell r="P368">
            <v>1.6111111111111112</v>
          </cell>
          <cell r="R368">
            <v>45</v>
          </cell>
          <cell r="AB368">
            <v>299</v>
          </cell>
          <cell r="AC368">
            <v>297.505</v>
          </cell>
          <cell r="AD368">
            <v>15</v>
          </cell>
          <cell r="AF368">
            <v>15</v>
          </cell>
          <cell r="AI368">
            <v>400</v>
          </cell>
        </row>
        <row r="369">
          <cell r="A369">
            <v>1982</v>
          </cell>
          <cell r="C369">
            <v>36</v>
          </cell>
          <cell r="M369">
            <v>36</v>
          </cell>
          <cell r="N369">
            <v>15</v>
          </cell>
          <cell r="O369">
            <v>37</v>
          </cell>
          <cell r="P369">
            <v>1.0277777777777777</v>
          </cell>
          <cell r="R369">
            <v>81</v>
          </cell>
          <cell r="AB369">
            <v>335</v>
          </cell>
          <cell r="AC369">
            <v>333.32499999999999</v>
          </cell>
          <cell r="AD369">
            <v>16</v>
          </cell>
          <cell r="AF369">
            <v>16</v>
          </cell>
          <cell r="AI369">
            <v>438</v>
          </cell>
        </row>
        <row r="370">
          <cell r="A370">
            <v>1983</v>
          </cell>
          <cell r="C370">
            <v>36</v>
          </cell>
          <cell r="M370">
            <v>36</v>
          </cell>
          <cell r="N370">
            <v>54</v>
          </cell>
          <cell r="O370">
            <v>55</v>
          </cell>
          <cell r="P370">
            <v>1.5277777777777777</v>
          </cell>
          <cell r="R370">
            <v>117</v>
          </cell>
          <cell r="AB370">
            <v>371</v>
          </cell>
          <cell r="AC370">
            <v>365.435</v>
          </cell>
          <cell r="AD370">
            <v>17</v>
          </cell>
          <cell r="AF370">
            <v>17</v>
          </cell>
          <cell r="AI370">
            <v>474</v>
          </cell>
        </row>
        <row r="371">
          <cell r="A371">
            <v>1984</v>
          </cell>
          <cell r="C371">
            <v>36</v>
          </cell>
          <cell r="M371">
            <v>36</v>
          </cell>
          <cell r="N371">
            <v>60</v>
          </cell>
          <cell r="O371">
            <v>79</v>
          </cell>
          <cell r="P371">
            <v>3.16</v>
          </cell>
          <cell r="R371">
            <v>153</v>
          </cell>
          <cell r="AB371">
            <v>407</v>
          </cell>
          <cell r="AC371">
            <v>400.89499999999998</v>
          </cell>
          <cell r="AD371">
            <v>18</v>
          </cell>
          <cell r="AF371">
            <v>18</v>
          </cell>
          <cell r="AI371">
            <v>503</v>
          </cell>
        </row>
        <row r="372">
          <cell r="A372">
            <v>1985</v>
          </cell>
          <cell r="C372">
            <v>24</v>
          </cell>
          <cell r="D372">
            <v>1</v>
          </cell>
          <cell r="M372">
            <v>25</v>
          </cell>
          <cell r="N372">
            <v>18</v>
          </cell>
          <cell r="O372">
            <v>72</v>
          </cell>
          <cell r="P372">
            <v>2.7692307692307692</v>
          </cell>
          <cell r="R372">
            <v>177</v>
          </cell>
          <cell r="S372">
            <v>1</v>
          </cell>
          <cell r="AB372">
            <v>432</v>
          </cell>
          <cell r="AC372">
            <v>425.52</v>
          </cell>
          <cell r="AD372">
            <v>19</v>
          </cell>
          <cell r="AF372">
            <v>19</v>
          </cell>
          <cell r="AI372">
            <v>516</v>
          </cell>
        </row>
        <row r="373">
          <cell r="A373">
            <v>1986</v>
          </cell>
          <cell r="C373">
            <v>16</v>
          </cell>
          <cell r="D373">
            <v>10</v>
          </cell>
          <cell r="M373">
            <v>26</v>
          </cell>
          <cell r="N373">
            <v>22</v>
          </cell>
          <cell r="O373">
            <v>68</v>
          </cell>
          <cell r="P373">
            <v>2.125</v>
          </cell>
          <cell r="R373">
            <v>193</v>
          </cell>
          <cell r="S373">
            <v>11</v>
          </cell>
          <cell r="AB373">
            <v>458</v>
          </cell>
          <cell r="AC373">
            <v>451.13</v>
          </cell>
          <cell r="AD373">
            <v>20</v>
          </cell>
          <cell r="AF373">
            <v>20</v>
          </cell>
          <cell r="AI373">
            <v>527</v>
          </cell>
        </row>
        <row r="374">
          <cell r="A374">
            <v>1987</v>
          </cell>
          <cell r="C374">
            <v>6</v>
          </cell>
          <cell r="D374">
            <v>26</v>
          </cell>
          <cell r="M374">
            <v>32</v>
          </cell>
          <cell r="N374">
            <v>27</v>
          </cell>
          <cell r="O374">
            <v>63</v>
          </cell>
          <cell r="P374">
            <v>1.2352941176470589</v>
          </cell>
          <cell r="R374">
            <v>199</v>
          </cell>
          <cell r="S374">
            <v>37</v>
          </cell>
          <cell r="AB374">
            <v>490</v>
          </cell>
          <cell r="AC374">
            <v>482.65</v>
          </cell>
          <cell r="AD374">
            <v>21</v>
          </cell>
          <cell r="AF374">
            <v>21</v>
          </cell>
        </row>
        <row r="375">
          <cell r="A375">
            <v>1988</v>
          </cell>
          <cell r="C375">
            <v>2</v>
          </cell>
          <cell r="D375">
            <v>49</v>
          </cell>
          <cell r="M375">
            <v>51</v>
          </cell>
          <cell r="N375">
            <v>12</v>
          </cell>
          <cell r="O375">
            <v>24</v>
          </cell>
          <cell r="P375">
            <v>0.63157894736842102</v>
          </cell>
          <cell r="R375">
            <v>201</v>
          </cell>
          <cell r="S375">
            <v>86</v>
          </cell>
          <cell r="AB375">
            <v>541</v>
          </cell>
          <cell r="AC375">
            <v>532.88499999999999</v>
          </cell>
          <cell r="AD375">
            <v>22</v>
          </cell>
          <cell r="AF375">
            <v>22</v>
          </cell>
        </row>
        <row r="376">
          <cell r="A376">
            <v>1989</v>
          </cell>
          <cell r="D376">
            <v>38</v>
          </cell>
          <cell r="M376">
            <v>38</v>
          </cell>
          <cell r="N376">
            <v>27</v>
          </cell>
          <cell r="O376">
            <v>13</v>
          </cell>
          <cell r="P376">
            <v>0.41935483870967744</v>
          </cell>
          <cell r="S376">
            <v>124</v>
          </cell>
          <cell r="AB376">
            <v>579</v>
          </cell>
          <cell r="AC376">
            <v>570.31500000000005</v>
          </cell>
          <cell r="AD376">
            <v>23</v>
          </cell>
          <cell r="AF376">
            <v>23</v>
          </cell>
        </row>
        <row r="377">
          <cell r="A377">
            <v>1990</v>
          </cell>
          <cell r="D377">
            <v>31</v>
          </cell>
          <cell r="M377">
            <v>31</v>
          </cell>
          <cell r="N377">
            <v>20</v>
          </cell>
          <cell r="O377">
            <v>2</v>
          </cell>
          <cell r="P377">
            <v>6.8965517241379309E-2</v>
          </cell>
          <cell r="S377">
            <v>155</v>
          </cell>
          <cell r="AB377">
            <v>610</v>
          </cell>
          <cell r="AC377">
            <v>600.85</v>
          </cell>
          <cell r="AD377">
            <v>24</v>
          </cell>
          <cell r="AF377">
            <v>24</v>
          </cell>
        </row>
        <row r="378">
          <cell r="A378">
            <v>1991</v>
          </cell>
          <cell r="D378">
            <v>29</v>
          </cell>
          <cell r="M378">
            <v>29</v>
          </cell>
          <cell r="N378">
            <v>32</v>
          </cell>
          <cell r="O378">
            <v>5</v>
          </cell>
          <cell r="P378">
            <v>0.2</v>
          </cell>
          <cell r="S378">
            <v>184</v>
          </cell>
          <cell r="AB378">
            <v>639</v>
          </cell>
          <cell r="AC378">
            <v>629.41499999999996</v>
          </cell>
          <cell r="AD378">
            <v>25</v>
          </cell>
          <cell r="AF378">
            <v>25</v>
          </cell>
        </row>
        <row r="379">
          <cell r="A379">
            <v>1992</v>
          </cell>
          <cell r="D379">
            <v>25</v>
          </cell>
          <cell r="M379">
            <v>25</v>
          </cell>
          <cell r="N379">
            <v>31</v>
          </cell>
          <cell r="O379">
            <v>11</v>
          </cell>
          <cell r="P379">
            <v>0.42307692307692307</v>
          </cell>
          <cell r="S379">
            <v>209</v>
          </cell>
          <cell r="AB379">
            <v>664</v>
          </cell>
          <cell r="AC379">
            <v>654.04</v>
          </cell>
          <cell r="AD379">
            <v>26</v>
          </cell>
          <cell r="AF379">
            <v>26</v>
          </cell>
        </row>
        <row r="380">
          <cell r="A380">
            <v>1993</v>
          </cell>
          <cell r="D380">
            <v>26</v>
          </cell>
          <cell r="M380">
            <v>26</v>
          </cell>
          <cell r="N380">
            <v>42</v>
          </cell>
          <cell r="O380">
            <v>27</v>
          </cell>
          <cell r="P380">
            <v>1.2272727272727273</v>
          </cell>
          <cell r="S380">
            <v>235</v>
          </cell>
          <cell r="AB380">
            <v>690</v>
          </cell>
          <cell r="AC380">
            <v>679.65</v>
          </cell>
          <cell r="AD380">
            <v>27</v>
          </cell>
          <cell r="AF380">
            <v>27</v>
          </cell>
        </row>
        <row r="381">
          <cell r="A381">
            <v>1994</v>
          </cell>
          <cell r="D381">
            <v>22</v>
          </cell>
          <cell r="M381">
            <v>22</v>
          </cell>
          <cell r="N381">
            <v>38</v>
          </cell>
          <cell r="O381">
            <v>43</v>
          </cell>
          <cell r="P381">
            <v>1.6538461538461537</v>
          </cell>
          <cell r="S381">
            <v>257</v>
          </cell>
          <cell r="AB381">
            <v>712</v>
          </cell>
          <cell r="AC381">
            <v>701.32</v>
          </cell>
          <cell r="AD381">
            <v>28</v>
          </cell>
          <cell r="AF381">
            <v>28</v>
          </cell>
        </row>
        <row r="382">
          <cell r="A382">
            <v>1995</v>
          </cell>
          <cell r="D382">
            <v>26</v>
          </cell>
          <cell r="M382">
            <v>26</v>
          </cell>
          <cell r="N382">
            <v>40</v>
          </cell>
          <cell r="O382">
            <v>57</v>
          </cell>
          <cell r="P382">
            <v>2.1111111111111112</v>
          </cell>
          <cell r="S382">
            <v>283</v>
          </cell>
          <cell r="AB382">
            <v>738</v>
          </cell>
          <cell r="AC382">
            <v>726.93</v>
          </cell>
          <cell r="AD382">
            <v>29</v>
          </cell>
          <cell r="AF382">
            <v>29</v>
          </cell>
        </row>
        <row r="383">
          <cell r="A383">
            <v>1996</v>
          </cell>
          <cell r="D383">
            <v>24</v>
          </cell>
          <cell r="E383">
            <v>3</v>
          </cell>
          <cell r="M383">
            <v>27</v>
          </cell>
          <cell r="N383">
            <v>64</v>
          </cell>
          <cell r="O383">
            <v>94</v>
          </cell>
          <cell r="P383">
            <v>1.8431372549019607</v>
          </cell>
          <cell r="S383">
            <v>307</v>
          </cell>
          <cell r="T383">
            <v>3</v>
          </cell>
          <cell r="AB383">
            <v>765</v>
          </cell>
          <cell r="AC383">
            <v>753.52499999999998</v>
          </cell>
          <cell r="AD383">
            <v>30</v>
          </cell>
          <cell r="AF383">
            <v>30</v>
          </cell>
        </row>
        <row r="384">
          <cell r="A384">
            <v>1997</v>
          </cell>
          <cell r="D384">
            <v>22</v>
          </cell>
          <cell r="E384">
            <v>29</v>
          </cell>
          <cell r="M384">
            <v>51</v>
          </cell>
          <cell r="N384">
            <v>57</v>
          </cell>
          <cell r="O384">
            <v>100</v>
          </cell>
          <cell r="P384">
            <v>1.639344262295082</v>
          </cell>
          <cell r="S384">
            <v>329</v>
          </cell>
          <cell r="T384">
            <v>32</v>
          </cell>
          <cell r="AB384">
            <v>816</v>
          </cell>
          <cell r="AC384">
            <v>803.76</v>
          </cell>
          <cell r="AD384">
            <v>31</v>
          </cell>
          <cell r="AF384">
            <v>31</v>
          </cell>
        </row>
        <row r="385">
          <cell r="A385">
            <v>1998</v>
          </cell>
          <cell r="D385">
            <v>32</v>
          </cell>
          <cell r="E385">
            <v>29</v>
          </cell>
          <cell r="M385">
            <v>61</v>
          </cell>
          <cell r="N385">
            <v>79</v>
          </cell>
          <cell r="O385">
            <v>135</v>
          </cell>
          <cell r="P385">
            <v>1.9285714285714286</v>
          </cell>
          <cell r="S385">
            <v>361</v>
          </cell>
          <cell r="T385">
            <v>61</v>
          </cell>
          <cell r="AB385">
            <v>877</v>
          </cell>
          <cell r="AC385">
            <v>863.84500000000003</v>
          </cell>
          <cell r="AD385">
            <v>32</v>
          </cell>
          <cell r="AF385">
            <v>32</v>
          </cell>
        </row>
        <row r="386">
          <cell r="A386">
            <v>1999</v>
          </cell>
          <cell r="D386">
            <v>39</v>
          </cell>
          <cell r="E386">
            <v>31</v>
          </cell>
          <cell r="M386">
            <v>70</v>
          </cell>
          <cell r="N386">
            <v>44</v>
          </cell>
          <cell r="O386">
            <v>117</v>
          </cell>
          <cell r="P386">
            <v>1.647887323943662</v>
          </cell>
          <cell r="S386">
            <v>400</v>
          </cell>
          <cell r="T386">
            <v>92</v>
          </cell>
          <cell r="AB386">
            <v>947</v>
          </cell>
          <cell r="AC386">
            <v>932.79499999999996</v>
          </cell>
          <cell r="AD386">
            <v>33</v>
          </cell>
          <cell r="AF386">
            <v>33</v>
          </cell>
        </row>
        <row r="387">
          <cell r="A387">
            <v>2000</v>
          </cell>
          <cell r="D387">
            <v>38</v>
          </cell>
          <cell r="E387">
            <v>33</v>
          </cell>
          <cell r="M387">
            <v>71</v>
          </cell>
          <cell r="N387">
            <v>105</v>
          </cell>
          <cell r="O387">
            <v>82</v>
          </cell>
          <cell r="P387">
            <v>0.97619047619047616</v>
          </cell>
          <cell r="S387">
            <v>438</v>
          </cell>
          <cell r="T387">
            <v>125</v>
          </cell>
          <cell r="AB387">
            <v>1018</v>
          </cell>
          <cell r="AC387">
            <v>1002.73</v>
          </cell>
          <cell r="AD387">
            <v>34</v>
          </cell>
          <cell r="AF387">
            <v>34</v>
          </cell>
        </row>
        <row r="388">
          <cell r="A388">
            <v>2001</v>
          </cell>
          <cell r="D388">
            <v>36</v>
          </cell>
          <cell r="E388">
            <v>35</v>
          </cell>
          <cell r="G388">
            <v>5</v>
          </cell>
          <cell r="I388">
            <v>8</v>
          </cell>
          <cell r="M388">
            <v>84</v>
          </cell>
          <cell r="N388">
            <v>150</v>
          </cell>
          <cell r="O388">
            <v>129</v>
          </cell>
          <cell r="P388">
            <v>1.5176470588235293</v>
          </cell>
          <cell r="S388">
            <v>474</v>
          </cell>
          <cell r="T388">
            <v>160</v>
          </cell>
          <cell r="V388">
            <v>5</v>
          </cell>
          <cell r="X388">
            <v>8</v>
          </cell>
          <cell r="AB388">
            <v>1102</v>
          </cell>
          <cell r="AC388">
            <v>1085.47</v>
          </cell>
          <cell r="AD388">
            <v>35</v>
          </cell>
          <cell r="AF388">
            <v>35</v>
          </cell>
        </row>
        <row r="389">
          <cell r="A389">
            <v>2002</v>
          </cell>
          <cell r="D389">
            <v>29</v>
          </cell>
          <cell r="E389">
            <v>31</v>
          </cell>
          <cell r="F389">
            <v>1</v>
          </cell>
          <cell r="G389">
            <v>9</v>
          </cell>
          <cell r="I389">
            <v>15</v>
          </cell>
          <cell r="M389">
            <v>85</v>
          </cell>
          <cell r="N389">
            <v>133</v>
          </cell>
          <cell r="O389">
            <v>173</v>
          </cell>
          <cell r="P389">
            <v>2.3378378378378377</v>
          </cell>
          <cell r="S389">
            <v>503</v>
          </cell>
          <cell r="T389">
            <v>191</v>
          </cell>
          <cell r="U389">
            <v>1</v>
          </cell>
          <cell r="V389">
            <v>14</v>
          </cell>
          <cell r="X389">
            <v>23</v>
          </cell>
          <cell r="AB389">
            <v>1187</v>
          </cell>
          <cell r="AC389">
            <v>1169.1949999999999</v>
          </cell>
          <cell r="AD389">
            <v>36</v>
          </cell>
          <cell r="AF389">
            <v>36</v>
          </cell>
        </row>
        <row r="390">
          <cell r="A390">
            <v>2003</v>
          </cell>
          <cell r="D390">
            <v>13</v>
          </cell>
          <cell r="E390">
            <v>1</v>
          </cell>
          <cell r="F390">
            <v>28</v>
          </cell>
          <cell r="G390">
            <v>5</v>
          </cell>
          <cell r="I390">
            <v>19</v>
          </cell>
          <cell r="J390">
            <v>8</v>
          </cell>
          <cell r="M390">
            <v>74</v>
          </cell>
          <cell r="S390">
            <v>516</v>
          </cell>
          <cell r="T390">
            <v>192</v>
          </cell>
          <cell r="U390">
            <v>29</v>
          </cell>
          <cell r="V390">
            <v>19</v>
          </cell>
          <cell r="X390">
            <v>42</v>
          </cell>
          <cell r="Y390">
            <v>8</v>
          </cell>
          <cell r="AB390">
            <v>1261</v>
          </cell>
          <cell r="AC390">
            <v>1242.085</v>
          </cell>
          <cell r="AD390">
            <v>37</v>
          </cell>
          <cell r="AF390">
            <v>37</v>
          </cell>
        </row>
        <row r="391">
          <cell r="A391">
            <v>2004</v>
          </cell>
          <cell r="D391">
            <v>11</v>
          </cell>
          <cell r="F391">
            <v>32</v>
          </cell>
          <cell r="G391">
            <v>4</v>
          </cell>
          <cell r="I391">
            <v>18</v>
          </cell>
          <cell r="J391">
            <v>5</v>
          </cell>
          <cell r="K391">
            <v>8</v>
          </cell>
          <cell r="M391">
            <v>78</v>
          </cell>
          <cell r="S391">
            <v>527</v>
          </cell>
          <cell r="U391">
            <v>61</v>
          </cell>
          <cell r="V391">
            <v>23</v>
          </cell>
          <cell r="X391">
            <v>60</v>
          </cell>
          <cell r="Y391">
            <v>13</v>
          </cell>
          <cell r="Z391">
            <v>8</v>
          </cell>
          <cell r="AB391">
            <v>1339</v>
          </cell>
          <cell r="AC391">
            <v>1318.915</v>
          </cell>
          <cell r="AD391">
            <v>38</v>
          </cell>
          <cell r="AF391">
            <v>38</v>
          </cell>
        </row>
        <row r="392">
          <cell r="A392">
            <v>2005</v>
          </cell>
          <cell r="F392">
            <v>35</v>
          </cell>
          <cell r="G392">
            <v>4</v>
          </cell>
          <cell r="I392">
            <v>22</v>
          </cell>
          <cell r="J392">
            <v>7</v>
          </cell>
          <cell r="K392">
            <v>20</v>
          </cell>
          <cell r="L392">
            <v>1</v>
          </cell>
          <cell r="M392">
            <v>89</v>
          </cell>
          <cell r="U392">
            <v>96</v>
          </cell>
          <cell r="V392">
            <v>27</v>
          </cell>
          <cell r="X392">
            <v>82</v>
          </cell>
          <cell r="Y392">
            <v>20</v>
          </cell>
          <cell r="Z392">
            <v>28</v>
          </cell>
          <cell r="AA392">
            <v>1</v>
          </cell>
          <cell r="AB392">
            <v>1428</v>
          </cell>
          <cell r="AC392">
            <v>1406.58</v>
          </cell>
          <cell r="AD392">
            <v>39</v>
          </cell>
          <cell r="AF392">
            <v>39</v>
          </cell>
        </row>
        <row r="393">
          <cell r="A393" t="str">
            <v>2006A</v>
          </cell>
          <cell r="F393">
            <v>36</v>
          </cell>
          <cell r="G393">
            <v>1</v>
          </cell>
          <cell r="H393">
            <v>14</v>
          </cell>
          <cell r="I393">
            <v>27</v>
          </cell>
          <cell r="J393">
            <v>2</v>
          </cell>
          <cell r="K393">
            <v>30</v>
          </cell>
          <cell r="L393">
            <v>3</v>
          </cell>
          <cell r="M393">
            <v>113</v>
          </cell>
          <cell r="U393">
            <v>132</v>
          </cell>
          <cell r="V393">
            <v>28</v>
          </cell>
          <cell r="W393">
            <v>14</v>
          </cell>
          <cell r="X393">
            <v>109</v>
          </cell>
          <cell r="Y393">
            <v>22</v>
          </cell>
          <cell r="Z393">
            <v>58</v>
          </cell>
          <cell r="AA393">
            <v>4</v>
          </cell>
          <cell r="AB393">
            <v>1541</v>
          </cell>
          <cell r="AC393">
            <v>1517.885</v>
          </cell>
          <cell r="AD393">
            <v>40</v>
          </cell>
          <cell r="AF393">
            <v>40</v>
          </cell>
        </row>
        <row r="394">
          <cell r="A394" t="str">
            <v>2007E</v>
          </cell>
          <cell r="F394">
            <v>37</v>
          </cell>
          <cell r="H394">
            <v>37</v>
          </cell>
          <cell r="I394">
            <v>24</v>
          </cell>
          <cell r="J394">
            <v>8</v>
          </cell>
          <cell r="K394">
            <v>32</v>
          </cell>
          <cell r="L394">
            <v>6</v>
          </cell>
          <cell r="M394">
            <v>144</v>
          </cell>
          <cell r="U394">
            <v>169</v>
          </cell>
          <cell r="W394">
            <v>51</v>
          </cell>
          <cell r="X394">
            <v>133</v>
          </cell>
          <cell r="Y394">
            <v>30</v>
          </cell>
          <cell r="Z394">
            <v>90</v>
          </cell>
          <cell r="AA394">
            <v>10</v>
          </cell>
          <cell r="AB394">
            <v>1685</v>
          </cell>
          <cell r="AC394">
            <v>1659.7249999999999</v>
          </cell>
          <cell r="AD394">
            <v>41</v>
          </cell>
          <cell r="AF394">
            <v>41</v>
          </cell>
        </row>
        <row r="395">
          <cell r="A395" t="str">
            <v>2008E</v>
          </cell>
          <cell r="F395">
            <v>38</v>
          </cell>
          <cell r="H395">
            <v>44</v>
          </cell>
          <cell r="I395">
            <v>24</v>
          </cell>
          <cell r="J395">
            <v>9</v>
          </cell>
          <cell r="K395">
            <v>36</v>
          </cell>
          <cell r="L395">
            <v>7</v>
          </cell>
          <cell r="M395">
            <v>158</v>
          </cell>
          <cell r="U395">
            <v>207</v>
          </cell>
          <cell r="W395">
            <v>95</v>
          </cell>
          <cell r="X395">
            <v>157</v>
          </cell>
          <cell r="Y395">
            <v>39</v>
          </cell>
          <cell r="Z395">
            <v>126</v>
          </cell>
          <cell r="AA395">
            <v>17</v>
          </cell>
          <cell r="AB395">
            <v>1843</v>
          </cell>
          <cell r="AC395">
            <v>1815.355</v>
          </cell>
          <cell r="AD395">
            <v>42</v>
          </cell>
          <cell r="AF395">
            <v>42</v>
          </cell>
        </row>
        <row r="396">
          <cell r="A396" t="str">
            <v>2009E</v>
          </cell>
          <cell r="F396">
            <v>40</v>
          </cell>
          <cell r="H396">
            <v>44</v>
          </cell>
          <cell r="I396">
            <v>30</v>
          </cell>
          <cell r="J396">
            <v>9</v>
          </cell>
          <cell r="K396">
            <v>35</v>
          </cell>
          <cell r="L396">
            <v>6</v>
          </cell>
          <cell r="M396">
            <v>164</v>
          </cell>
          <cell r="U396">
            <v>247</v>
          </cell>
          <cell r="W396">
            <v>139</v>
          </cell>
          <cell r="X396">
            <v>187</v>
          </cell>
          <cell r="Y396">
            <v>48</v>
          </cell>
          <cell r="Z396">
            <v>161</v>
          </cell>
          <cell r="AA396">
            <v>23</v>
          </cell>
          <cell r="AB396">
            <v>2007</v>
          </cell>
          <cell r="AC396">
            <v>1976.895</v>
          </cell>
          <cell r="AD396">
            <v>43</v>
          </cell>
          <cell r="AF396">
            <v>43</v>
          </cell>
        </row>
        <row r="397">
          <cell r="A397" t="str">
            <v>2010E</v>
          </cell>
          <cell r="F397">
            <v>42</v>
          </cell>
          <cell r="H397">
            <v>30</v>
          </cell>
          <cell r="I397">
            <v>30</v>
          </cell>
          <cell r="J397">
            <v>9</v>
          </cell>
          <cell r="K397">
            <v>35</v>
          </cell>
          <cell r="L397">
            <v>6</v>
          </cell>
          <cell r="M397">
            <v>152</v>
          </cell>
          <cell r="U397">
            <v>289</v>
          </cell>
          <cell r="W397">
            <v>169</v>
          </cell>
          <cell r="X397">
            <v>217</v>
          </cell>
          <cell r="Y397">
            <v>57</v>
          </cell>
          <cell r="Z397">
            <v>196</v>
          </cell>
          <cell r="AA397">
            <v>29</v>
          </cell>
          <cell r="AB397">
            <v>2159</v>
          </cell>
          <cell r="AC397">
            <v>2126.6149999999998</v>
          </cell>
          <cell r="AD397">
            <v>44</v>
          </cell>
          <cell r="AF397">
            <v>44</v>
          </cell>
        </row>
        <row r="398">
          <cell r="A398" t="str">
            <v>Years in Prodn</v>
          </cell>
          <cell r="B398">
            <v>14</v>
          </cell>
          <cell r="C398">
            <v>10</v>
          </cell>
          <cell r="D398">
            <v>20</v>
          </cell>
          <cell r="E398">
            <v>8</v>
          </cell>
          <cell r="F398">
            <v>9</v>
          </cell>
          <cell r="G398">
            <v>6</v>
          </cell>
          <cell r="H398">
            <v>5</v>
          </cell>
          <cell r="I398">
            <v>10</v>
          </cell>
          <cell r="J398">
            <v>8</v>
          </cell>
          <cell r="K398">
            <v>7</v>
          </cell>
          <cell r="L398">
            <v>6</v>
          </cell>
        </row>
        <row r="399">
          <cell r="A399" t="str">
            <v># Units Prd'd</v>
          </cell>
          <cell r="B399">
            <v>254</v>
          </cell>
          <cell r="C399">
            <v>201</v>
          </cell>
          <cell r="D399">
            <v>527</v>
          </cell>
          <cell r="E399">
            <v>192</v>
          </cell>
          <cell r="F399">
            <v>289</v>
          </cell>
          <cell r="G399">
            <v>28</v>
          </cell>
          <cell r="H399">
            <v>169</v>
          </cell>
          <cell r="I399">
            <v>217</v>
          </cell>
          <cell r="J399">
            <v>57</v>
          </cell>
          <cell r="K399">
            <v>196</v>
          </cell>
          <cell r="L399">
            <v>29</v>
          </cell>
          <cell r="V399">
            <v>14</v>
          </cell>
          <cell r="X399">
            <v>31</v>
          </cell>
        </row>
        <row r="400">
          <cell r="A400" t="str">
            <v>Mean 1967-98</v>
          </cell>
          <cell r="M400">
            <v>27.40625</v>
          </cell>
        </row>
        <row r="401">
          <cell r="A401" t="str">
            <v>Mean 1978-1998</v>
          </cell>
          <cell r="M401">
            <v>32</v>
          </cell>
        </row>
        <row r="402">
          <cell r="A402" t="str">
            <v>Mean 1988-1998</v>
          </cell>
          <cell r="M402">
            <v>35.18181818181818</v>
          </cell>
        </row>
        <row r="404">
          <cell r="A404" t="str">
            <v>Gulfstream Delivery + Revs/Profit Table</v>
          </cell>
        </row>
        <row r="406">
          <cell r="A406" t="str">
            <v>Sales</v>
          </cell>
          <cell r="B406">
            <v>1996</v>
          </cell>
          <cell r="C406">
            <v>1997</v>
          </cell>
          <cell r="D406">
            <v>1998</v>
          </cell>
          <cell r="E406">
            <v>1999</v>
          </cell>
          <cell r="F406">
            <v>2000</v>
          </cell>
          <cell r="G406">
            <v>2001</v>
          </cell>
          <cell r="H406" t="str">
            <v>2002A</v>
          </cell>
          <cell r="I406" t="str">
            <v>2003E</v>
          </cell>
          <cell r="J406" t="str">
            <v>2004E</v>
          </cell>
          <cell r="K406" t="str">
            <v>Comments</v>
          </cell>
        </row>
        <row r="407">
          <cell r="A407" t="str">
            <v>New Aircraft</v>
          </cell>
          <cell r="B407">
            <v>740.5</v>
          </cell>
          <cell r="C407">
            <v>1492</v>
          </cell>
          <cell r="D407">
            <v>1909</v>
          </cell>
          <cell r="E407">
            <v>2251</v>
          </cell>
          <cell r="F407">
            <v>2353</v>
          </cell>
          <cell r="G407">
            <v>2694.0000000000036</v>
          </cell>
          <cell r="H407">
            <v>2491.0000000000009</v>
          </cell>
          <cell r="I407">
            <v>2079.0000000000027</v>
          </cell>
          <cell r="J407">
            <v>2289</v>
          </cell>
        </row>
        <row r="408">
          <cell r="A408" t="str">
            <v>Used</v>
          </cell>
          <cell r="B408">
            <v>153.30000000000001</v>
          </cell>
          <cell r="C408">
            <v>210.4</v>
          </cell>
          <cell r="D408">
            <v>237.2</v>
          </cell>
          <cell r="E408">
            <v>318</v>
          </cell>
          <cell r="F408">
            <v>255</v>
          </cell>
          <cell r="G408">
            <v>177</v>
          </cell>
          <cell r="H408">
            <v>435</v>
          </cell>
          <cell r="I408">
            <v>459</v>
          </cell>
          <cell r="J408">
            <v>278</v>
          </cell>
        </row>
        <row r="409">
          <cell r="A409" t="str">
            <v>Spares/Support</v>
          </cell>
          <cell r="B409">
            <v>169.9</v>
          </cell>
          <cell r="C409">
            <v>201.1</v>
          </cell>
          <cell r="D409">
            <v>281.8</v>
          </cell>
          <cell r="E409">
            <v>340</v>
          </cell>
          <cell r="F409">
            <v>421</v>
          </cell>
          <cell r="G409">
            <v>394</v>
          </cell>
          <cell r="H409">
            <v>363</v>
          </cell>
          <cell r="I409">
            <v>408</v>
          </cell>
          <cell r="J409">
            <v>445</v>
          </cell>
        </row>
        <row r="410">
          <cell r="A410" t="str">
            <v>Total</v>
          </cell>
          <cell r="B410">
            <v>1063.7</v>
          </cell>
          <cell r="C410">
            <v>1903.5</v>
          </cell>
          <cell r="D410">
            <v>2428</v>
          </cell>
          <cell r="E410">
            <v>2909</v>
          </cell>
          <cell r="F410">
            <v>3029</v>
          </cell>
          <cell r="G410">
            <v>3265.0000000000036</v>
          </cell>
          <cell r="H410">
            <v>3289.0000000000009</v>
          </cell>
          <cell r="I410">
            <v>2946.0000000000027</v>
          </cell>
          <cell r="J410">
            <v>3012</v>
          </cell>
        </row>
        <row r="411">
          <cell r="A411" t="str">
            <v>%ch</v>
          </cell>
          <cell r="C411">
            <v>0.78950832001504168</v>
          </cell>
          <cell r="D411">
            <v>0.27554504859469398</v>
          </cell>
          <cell r="E411">
            <v>0.19810543657331148</v>
          </cell>
          <cell r="F411">
            <v>4.1251289102784527E-2</v>
          </cell>
          <cell r="G411">
            <v>7.7913502806207902E-2</v>
          </cell>
          <cell r="H411">
            <v>7.3506891271049035E-3</v>
          </cell>
          <cell r="I411">
            <v>-0.10428701733049506</v>
          </cell>
          <cell r="J411">
            <v>2.2403258655803615E-2</v>
          </cell>
        </row>
        <row r="412">
          <cell r="A412" t="str">
            <v>Operating Profit</v>
          </cell>
        </row>
        <row r="413">
          <cell r="A413" t="str">
            <v>New Aircraft</v>
          </cell>
          <cell r="B413">
            <v>193.9</v>
          </cell>
          <cell r="C413">
            <v>297.5</v>
          </cell>
          <cell r="D413">
            <v>464.3</v>
          </cell>
          <cell r="E413">
            <v>536</v>
          </cell>
          <cell r="F413">
            <v>565</v>
          </cell>
          <cell r="G413">
            <v>570</v>
          </cell>
          <cell r="H413">
            <v>503</v>
          </cell>
          <cell r="I413">
            <v>242</v>
          </cell>
          <cell r="J413">
            <v>322</v>
          </cell>
          <cell r="K413" t="str">
            <v>-mfg margin</v>
          </cell>
        </row>
        <row r="414">
          <cell r="A414" t="str">
            <v>Used</v>
          </cell>
          <cell r="B414">
            <v>-1.7</v>
          </cell>
          <cell r="C414">
            <v>8.1999999999999993</v>
          </cell>
          <cell r="D414">
            <v>11.4</v>
          </cell>
          <cell r="E414">
            <v>-8</v>
          </cell>
          <cell r="F414">
            <v>0</v>
          </cell>
          <cell r="G414">
            <v>0</v>
          </cell>
          <cell r="H414">
            <v>-81</v>
          </cell>
          <cell r="I414">
            <v>-64</v>
          </cell>
          <cell r="J414">
            <v>6</v>
          </cell>
          <cell r="K414" t="str">
            <v>-big losses tailoff</v>
          </cell>
        </row>
        <row r="415">
          <cell r="A415" t="str">
            <v>Spares/Support</v>
          </cell>
          <cell r="B415">
            <v>36.5</v>
          </cell>
          <cell r="C415">
            <v>45</v>
          </cell>
          <cell r="D415">
            <v>53.7</v>
          </cell>
          <cell r="E415">
            <v>68</v>
          </cell>
          <cell r="F415">
            <v>80</v>
          </cell>
          <cell r="G415">
            <v>96</v>
          </cell>
          <cell r="H415">
            <v>70</v>
          </cell>
          <cell r="I415">
            <v>80</v>
          </cell>
          <cell r="J415">
            <v>80</v>
          </cell>
        </row>
        <row r="416">
          <cell r="A416" t="str">
            <v>Unallocated</v>
          </cell>
          <cell r="B416">
            <v>-178.4</v>
          </cell>
          <cell r="C416">
            <v>-122</v>
          </cell>
          <cell r="D416">
            <v>-301</v>
          </cell>
          <cell r="E416">
            <v>-175</v>
          </cell>
          <cell r="F416">
            <v>-53</v>
          </cell>
          <cell r="G416">
            <v>-41</v>
          </cell>
          <cell r="H416">
            <v>-45</v>
          </cell>
          <cell r="I416">
            <v>-40</v>
          </cell>
          <cell r="J416">
            <v>-15</v>
          </cell>
          <cell r="K416" t="str">
            <v>-includes R&amp;D, SGA, etc</v>
          </cell>
        </row>
        <row r="417">
          <cell r="A417" t="str">
            <v>Total</v>
          </cell>
          <cell r="B417">
            <v>50.300000000000011</v>
          </cell>
          <cell r="C417">
            <v>228.7</v>
          </cell>
          <cell r="D417">
            <v>228.39999999999998</v>
          </cell>
          <cell r="E417">
            <v>421</v>
          </cell>
          <cell r="F417">
            <v>592</v>
          </cell>
          <cell r="G417">
            <v>625</v>
          </cell>
          <cell r="H417">
            <v>447</v>
          </cell>
          <cell r="I417">
            <v>218</v>
          </cell>
          <cell r="J417">
            <v>393</v>
          </cell>
        </row>
        <row r="418">
          <cell r="A418" t="str">
            <v>%ch</v>
          </cell>
          <cell r="C418">
            <v>3.5467196819085478</v>
          </cell>
          <cell r="D418">
            <v>-1.3117621337997987E-3</v>
          </cell>
          <cell r="E418">
            <v>0.84325744308231187</v>
          </cell>
          <cell r="F418">
            <v>0.40617577197149646</v>
          </cell>
          <cell r="G418">
            <v>5.5743243243243201E-2</v>
          </cell>
          <cell r="H418">
            <v>-0.28480000000000005</v>
          </cell>
          <cell r="I418">
            <v>-0.51230425055928408</v>
          </cell>
          <cell r="J418">
            <v>0.80275229357798161</v>
          </cell>
        </row>
        <row r="419">
          <cell r="A419" t="str">
            <v>Operating Margin</v>
          </cell>
        </row>
        <row r="420">
          <cell r="A420" t="str">
            <v>New Aircraft</v>
          </cell>
          <cell r="B420">
            <v>0.26185010128291697</v>
          </cell>
          <cell r="C420">
            <v>0.19939678284182305</v>
          </cell>
          <cell r="D420">
            <v>0.24321634363541123</v>
          </cell>
          <cell r="E420">
            <v>0.23811639271434917</v>
          </cell>
          <cell r="F420">
            <v>0.24011899702507436</v>
          </cell>
          <cell r="G420">
            <v>0.21158129175946519</v>
          </cell>
          <cell r="H420">
            <v>0.2019269369731031</v>
          </cell>
          <cell r="I420">
            <v>0.11640211640211624</v>
          </cell>
          <cell r="J420">
            <v>0.14067278287461774</v>
          </cell>
          <cell r="K420" t="str">
            <v>-good perf. + learning curve</v>
          </cell>
        </row>
        <row r="421">
          <cell r="A421" t="str">
            <v>Used</v>
          </cell>
          <cell r="B421">
            <v>-1.1089367253750815E-2</v>
          </cell>
          <cell r="C421">
            <v>3.8973384030418244E-2</v>
          </cell>
          <cell r="D421">
            <v>4.8060708263069143E-2</v>
          </cell>
          <cell r="E421">
            <v>-2.5157232704402517E-2</v>
          </cell>
          <cell r="F421">
            <v>0</v>
          </cell>
          <cell r="G421">
            <v>0</v>
          </cell>
          <cell r="H421">
            <v>-0.18620689655172415</v>
          </cell>
          <cell r="I421">
            <v>-0.13943355119825709</v>
          </cell>
          <cell r="J421">
            <v>2.1582733812949641E-2</v>
          </cell>
        </row>
        <row r="422">
          <cell r="A422" t="str">
            <v>Spares/Support</v>
          </cell>
          <cell r="B422">
            <v>0.214832254267216</v>
          </cell>
          <cell r="C422">
            <v>0.22376926902038788</v>
          </cell>
          <cell r="D422">
            <v>0.19056068133427964</v>
          </cell>
          <cell r="E422">
            <v>0.2</v>
          </cell>
          <cell r="F422">
            <v>0.19002375296912113</v>
          </cell>
          <cell r="G422">
            <v>0.24365482233502539</v>
          </cell>
          <cell r="H422">
            <v>0.1928374655647383</v>
          </cell>
          <cell r="I422">
            <v>0.19607843137254902</v>
          </cell>
          <cell r="J422">
            <v>0.1797752808988764</v>
          </cell>
        </row>
        <row r="423">
          <cell r="A423" t="str">
            <v>Total</v>
          </cell>
          <cell r="B423">
            <v>4.7287769107831161E-2</v>
          </cell>
          <cell r="C423">
            <v>0.12014709745206198</v>
          </cell>
          <cell r="D423">
            <v>9.406919275123557E-2</v>
          </cell>
          <cell r="E423">
            <v>0.14472327260226883</v>
          </cell>
          <cell r="F423">
            <v>0.19544404093760318</v>
          </cell>
          <cell r="G423">
            <v>0.19142419601837651</v>
          </cell>
          <cell r="H423">
            <v>0.13590757069017934</v>
          </cell>
          <cell r="I423">
            <v>7.3998642226748068E-2</v>
          </cell>
          <cell r="J423">
            <v>0.13047808764940239</v>
          </cell>
        </row>
        <row r="424">
          <cell r="A424" t="str">
            <v>Orders</v>
          </cell>
        </row>
        <row r="425">
          <cell r="A425" t="str">
            <v>Large Cabin</v>
          </cell>
          <cell r="B425">
            <v>65</v>
          </cell>
          <cell r="C425">
            <v>46</v>
          </cell>
          <cell r="D425">
            <v>90</v>
          </cell>
          <cell r="E425">
            <v>44</v>
          </cell>
          <cell r="F425">
            <v>82</v>
          </cell>
          <cell r="G425">
            <v>70</v>
          </cell>
          <cell r="H425">
            <v>62</v>
          </cell>
        </row>
        <row r="426">
          <cell r="A426" t="str">
            <v>Mid-size</v>
          </cell>
          <cell r="B426">
            <v>0</v>
          </cell>
          <cell r="C426">
            <v>0</v>
          </cell>
          <cell r="D426">
            <v>0</v>
          </cell>
          <cell r="E426">
            <v>0</v>
          </cell>
          <cell r="F426">
            <v>0</v>
          </cell>
          <cell r="G426">
            <v>53</v>
          </cell>
          <cell r="H426">
            <v>71</v>
          </cell>
        </row>
        <row r="427">
          <cell r="A427" t="str">
            <v>Total</v>
          </cell>
          <cell r="B427">
            <v>65</v>
          </cell>
          <cell r="C427">
            <v>46</v>
          </cell>
          <cell r="D427">
            <v>90</v>
          </cell>
          <cell r="E427">
            <v>44</v>
          </cell>
          <cell r="F427">
            <v>82</v>
          </cell>
          <cell r="G427">
            <v>123</v>
          </cell>
          <cell r="H427">
            <v>133</v>
          </cell>
        </row>
        <row r="428">
          <cell r="A428" t="str">
            <v>Deliveries</v>
          </cell>
        </row>
        <row r="429">
          <cell r="A429" t="str">
            <v>Large Cabin</v>
          </cell>
          <cell r="B429">
            <v>27</v>
          </cell>
          <cell r="C429">
            <v>51</v>
          </cell>
          <cell r="D429">
            <v>61</v>
          </cell>
          <cell r="E429">
            <v>70</v>
          </cell>
          <cell r="F429">
            <v>71</v>
          </cell>
          <cell r="G429">
            <v>71</v>
          </cell>
          <cell r="H429">
            <v>61</v>
          </cell>
          <cell r="I429">
            <v>42</v>
          </cell>
          <cell r="J429">
            <v>43</v>
          </cell>
          <cell r="K429" t="str">
            <v>-less volatile vs. past</v>
          </cell>
        </row>
        <row r="430">
          <cell r="A430" t="str">
            <v>Mid-size</v>
          </cell>
          <cell r="B430">
            <v>0</v>
          </cell>
          <cell r="C430">
            <v>0</v>
          </cell>
          <cell r="D430">
            <v>0</v>
          </cell>
          <cell r="E430">
            <v>0</v>
          </cell>
          <cell r="F430">
            <v>0</v>
          </cell>
          <cell r="G430">
            <v>13</v>
          </cell>
          <cell r="H430">
            <v>24</v>
          </cell>
          <cell r="I430">
            <v>24</v>
          </cell>
          <cell r="J430">
            <v>22</v>
          </cell>
          <cell r="K430" t="str">
            <v>-more plugged to economy</v>
          </cell>
        </row>
        <row r="431">
          <cell r="A431" t="str">
            <v>Total</v>
          </cell>
          <cell r="B431">
            <v>27</v>
          </cell>
          <cell r="C431">
            <v>51</v>
          </cell>
          <cell r="D431">
            <v>61</v>
          </cell>
          <cell r="E431">
            <v>70</v>
          </cell>
          <cell r="F431">
            <v>71</v>
          </cell>
          <cell r="G431">
            <v>84</v>
          </cell>
          <cell r="H431">
            <v>85</v>
          </cell>
          <cell r="I431">
            <v>66</v>
          </cell>
          <cell r="J431">
            <v>65</v>
          </cell>
        </row>
        <row r="432">
          <cell r="A432" t="str">
            <v>Backlog</v>
          </cell>
        </row>
        <row r="433">
          <cell r="A433" t="str">
            <v>Large Cabin</v>
          </cell>
          <cell r="B433">
            <v>94</v>
          </cell>
          <cell r="C433">
            <v>100</v>
          </cell>
          <cell r="D433">
            <v>117</v>
          </cell>
          <cell r="E433">
            <v>82</v>
          </cell>
          <cell r="F433">
            <v>107</v>
          </cell>
          <cell r="G433">
            <v>74</v>
          </cell>
          <cell r="H433">
            <v>72</v>
          </cell>
        </row>
        <row r="434">
          <cell r="A434" t="str">
            <v>Mid-size</v>
          </cell>
          <cell r="B434">
            <v>0</v>
          </cell>
          <cell r="C434">
            <v>0</v>
          </cell>
          <cell r="D434">
            <v>0</v>
          </cell>
          <cell r="E434">
            <v>0</v>
          </cell>
          <cell r="F434">
            <v>0</v>
          </cell>
          <cell r="G434">
            <v>57</v>
          </cell>
          <cell r="H434">
            <v>101</v>
          </cell>
        </row>
        <row r="435">
          <cell r="A435" t="str">
            <v>Total</v>
          </cell>
          <cell r="B435">
            <v>94</v>
          </cell>
          <cell r="C435">
            <v>100</v>
          </cell>
          <cell r="D435">
            <v>117</v>
          </cell>
          <cell r="E435">
            <v>82</v>
          </cell>
          <cell r="F435">
            <v>107</v>
          </cell>
          <cell r="G435">
            <v>131</v>
          </cell>
          <cell r="H435">
            <v>173</v>
          </cell>
        </row>
        <row r="437">
          <cell r="A437" t="str">
            <v>Book: Bill (%)</v>
          </cell>
          <cell r="B437">
            <v>2.4074074074074074</v>
          </cell>
          <cell r="C437">
            <v>0.90196078431372551</v>
          </cell>
          <cell r="D437">
            <v>1.4754098360655739</v>
          </cell>
          <cell r="E437">
            <v>0.62857142857142856</v>
          </cell>
          <cell r="F437">
            <v>1.1549295774647887</v>
          </cell>
          <cell r="G437">
            <v>1.4642857142857142</v>
          </cell>
          <cell r="H437">
            <v>1.5647058823529412</v>
          </cell>
        </row>
        <row r="439">
          <cell r="A439" t="str">
            <v>R&amp;D/Sls</v>
          </cell>
          <cell r="B439">
            <v>5.4620663720973961E-2</v>
          </cell>
          <cell r="C439">
            <v>5.6737588652482273E-3</v>
          </cell>
          <cell r="D439">
            <v>4.1186161449752881E-3</v>
          </cell>
          <cell r="E439">
            <v>5.5001718803712619E-3</v>
          </cell>
          <cell r="F439">
            <v>5.2822713766919778E-3</v>
          </cell>
          <cell r="G439">
            <v>6.1255742725880484E-3</v>
          </cell>
          <cell r="H439">
            <v>2.4019458802067493E-2</v>
          </cell>
          <cell r="I439">
            <v>2.4439918533604867E-2</v>
          </cell>
          <cell r="J439">
            <v>2.0584329349269587E-2</v>
          </cell>
          <cell r="K439" t="str">
            <v>-average 1996-2004 = 1.6%</v>
          </cell>
        </row>
        <row r="451">
          <cell r="A451" t="str">
            <v>GAC Business Jet  Cycle Trends</v>
          </cell>
        </row>
        <row r="452">
          <cell r="B452" t="str">
            <v>Yrs.</v>
          </cell>
          <cell r="G452" t="str">
            <v>Yrs.</v>
          </cell>
        </row>
        <row r="453">
          <cell r="A453" t="str">
            <v>Peak Year</v>
          </cell>
          <cell r="B453" t="str">
            <v>To Trough</v>
          </cell>
          <cell r="C453" t="str">
            <v>Del Pk</v>
          </cell>
          <cell r="D453" t="str">
            <v>Backlog</v>
          </cell>
          <cell r="E453" t="str">
            <v>BL/Dels</v>
          </cell>
          <cell r="F453" t="str">
            <v>Trough Year</v>
          </cell>
          <cell r="G453" t="str">
            <v>To Pk</v>
          </cell>
          <cell r="H453" t="str">
            <v>Del trough</v>
          </cell>
          <cell r="I453" t="str">
            <v>Backlog</v>
          </cell>
          <cell r="K453" t="str">
            <v>BL/Dels</v>
          </cell>
        </row>
        <row r="454">
          <cell r="A454">
            <v>1969</v>
          </cell>
          <cell r="C454">
            <v>37</v>
          </cell>
        </row>
        <row r="455">
          <cell r="A455">
            <v>1982</v>
          </cell>
          <cell r="B455">
            <v>3</v>
          </cell>
          <cell r="C455">
            <v>36</v>
          </cell>
          <cell r="D455">
            <v>37</v>
          </cell>
          <cell r="E455">
            <v>1.0277777777777777</v>
          </cell>
          <cell r="F455">
            <v>1971</v>
          </cell>
          <cell r="G455">
            <v>11</v>
          </cell>
          <cell r="H455">
            <v>12</v>
          </cell>
          <cell r="K455" t="str">
            <v>NA</v>
          </cell>
        </row>
        <row r="456">
          <cell r="A456">
            <v>1988</v>
          </cell>
          <cell r="B456">
            <v>6</v>
          </cell>
          <cell r="C456">
            <v>51</v>
          </cell>
          <cell r="D456">
            <v>24</v>
          </cell>
          <cell r="E456">
            <v>0.47058823529411764</v>
          </cell>
          <cell r="F456">
            <v>1985</v>
          </cell>
          <cell r="G456">
            <v>3</v>
          </cell>
          <cell r="H456">
            <v>25</v>
          </cell>
          <cell r="I456">
            <v>72</v>
          </cell>
          <cell r="K456">
            <v>2.88</v>
          </cell>
        </row>
        <row r="457">
          <cell r="A457">
            <v>2000</v>
          </cell>
          <cell r="C457">
            <v>65</v>
          </cell>
          <cell r="D457">
            <v>130</v>
          </cell>
          <cell r="E457">
            <v>2</v>
          </cell>
          <cell r="F457">
            <v>1994</v>
          </cell>
          <cell r="G457">
            <v>6</v>
          </cell>
          <cell r="H457">
            <v>22</v>
          </cell>
          <cell r="I457">
            <v>43</v>
          </cell>
          <cell r="K457">
            <v>1.9545454545454546</v>
          </cell>
        </row>
        <row r="460">
          <cell r="B460" t="str">
            <v>Used Aircraft Pricing</v>
          </cell>
          <cell r="F460" t="str">
            <v xml:space="preserve">also GAC availability -- both internet and anecdotal </v>
          </cell>
        </row>
        <row r="462">
          <cell r="C462" t="str">
            <v>GIV (92)</v>
          </cell>
          <cell r="D462" t="str">
            <v>Falcon 900 (90)</v>
          </cell>
          <cell r="E462" t="str">
            <v>Chal 601 (95)</v>
          </cell>
        </row>
        <row r="463">
          <cell r="A463" t="str">
            <v>New - 99 prices</v>
          </cell>
          <cell r="C463">
            <v>28</v>
          </cell>
          <cell r="D463">
            <v>26.9</v>
          </cell>
          <cell r="E463">
            <v>21.8</v>
          </cell>
        </row>
        <row r="464">
          <cell r="A464" t="str">
            <v>Used - mkt pr</v>
          </cell>
          <cell r="C464">
            <v>25</v>
          </cell>
          <cell r="D464">
            <v>20.85</v>
          </cell>
          <cell r="E464">
            <v>18.7</v>
          </cell>
        </row>
        <row r="465">
          <cell r="A465" t="str">
            <v>Used - blue bk</v>
          </cell>
          <cell r="C465">
            <v>25.75</v>
          </cell>
          <cell r="D465">
            <v>22.45</v>
          </cell>
          <cell r="E465">
            <v>19.2</v>
          </cell>
        </row>
        <row r="466">
          <cell r="A466" t="str">
            <v>Discount to blue</v>
          </cell>
          <cell r="C466">
            <v>2.9126213592232997E-2</v>
          </cell>
          <cell r="D466">
            <v>7.1269487750556748E-2</v>
          </cell>
          <cell r="E466">
            <v>2.604166666666663E-2</v>
          </cell>
        </row>
        <row r="468">
          <cell r="A468" t="str">
            <v>discount rate</v>
          </cell>
          <cell r="C468">
            <v>0.03</v>
          </cell>
          <cell r="D468">
            <v>0.03</v>
          </cell>
          <cell r="E468">
            <v>0.03</v>
          </cell>
        </row>
        <row r="469">
          <cell r="A469" t="str">
            <v>Notional price when bought</v>
          </cell>
          <cell r="C469">
            <v>22.7</v>
          </cell>
          <cell r="D469">
            <v>20.6</v>
          </cell>
          <cell r="E469">
            <v>18.2</v>
          </cell>
        </row>
        <row r="470">
          <cell r="A470" t="str">
            <v>Used prem to original price</v>
          </cell>
          <cell r="C470">
            <v>0.10132158590308374</v>
          </cell>
          <cell r="D470">
            <v>1.2135922330097087E-2</v>
          </cell>
          <cell r="E470">
            <v>2.7472527472527472E-2</v>
          </cell>
        </row>
        <row r="474">
          <cell r="A474" t="str">
            <v>GAC Est. Order Breakdown by Customer Group</v>
          </cell>
        </row>
        <row r="476">
          <cell r="C476" t="str">
            <v>GIVSP</v>
          </cell>
          <cell r="E476" t="str">
            <v>GV</v>
          </cell>
          <cell r="G476" t="str">
            <v>Delivered</v>
          </cell>
          <cell r="I476" t="str">
            <v>Impl'd Backlog</v>
          </cell>
        </row>
        <row r="477">
          <cell r="A477" t="str">
            <v>Customer</v>
          </cell>
          <cell r="C477" t="str">
            <v>Ords</v>
          </cell>
          <cell r="D477" t="str">
            <v>Opns</v>
          </cell>
          <cell r="E477" t="str">
            <v>Ords</v>
          </cell>
          <cell r="F477" t="str">
            <v>Opns</v>
          </cell>
          <cell r="G477" t="str">
            <v>GIVSP</v>
          </cell>
          <cell r="H477" t="str">
            <v>GV</v>
          </cell>
          <cell r="I477" t="str">
            <v>GIVSP</v>
          </cell>
          <cell r="J477" t="str">
            <v>GV</v>
          </cell>
          <cell r="K477" t="str">
            <v>Total</v>
          </cell>
        </row>
        <row r="478">
          <cell r="A478" t="str">
            <v>Executive Jet</v>
          </cell>
          <cell r="C478">
            <v>44</v>
          </cell>
          <cell r="E478">
            <v>12</v>
          </cell>
          <cell r="F478">
            <v>12</v>
          </cell>
          <cell r="G478">
            <v>18</v>
          </cell>
          <cell r="I478">
            <v>26</v>
          </cell>
          <cell r="J478">
            <v>12</v>
          </cell>
          <cell r="K478">
            <v>38</v>
          </cell>
        </row>
        <row r="479">
          <cell r="A479" t="str">
            <v>GATX/GAC</v>
          </cell>
          <cell r="C479">
            <v>1</v>
          </cell>
          <cell r="D479">
            <v>3</v>
          </cell>
          <cell r="E479">
            <v>5</v>
          </cell>
          <cell r="F479">
            <v>3</v>
          </cell>
          <cell r="I479">
            <v>1</v>
          </cell>
          <cell r="J479">
            <v>5</v>
          </cell>
          <cell r="K479">
            <v>6</v>
          </cell>
        </row>
        <row r="480">
          <cell r="A480" t="str">
            <v>M.E. shs</v>
          </cell>
          <cell r="C480">
            <v>12</v>
          </cell>
          <cell r="G480">
            <v>2</v>
          </cell>
          <cell r="I480">
            <v>10</v>
          </cell>
          <cell r="J480">
            <v>0</v>
          </cell>
          <cell r="K480">
            <v>10</v>
          </cell>
        </row>
        <row r="481">
          <cell r="A481" t="str">
            <v>- subtot Fractional</v>
          </cell>
          <cell r="C481">
            <v>57</v>
          </cell>
          <cell r="D481">
            <v>3</v>
          </cell>
          <cell r="E481">
            <v>17</v>
          </cell>
          <cell r="F481">
            <v>15</v>
          </cell>
          <cell r="G481">
            <v>20</v>
          </cell>
          <cell r="H481">
            <v>0</v>
          </cell>
          <cell r="I481">
            <v>37</v>
          </cell>
          <cell r="J481">
            <v>17</v>
          </cell>
          <cell r="K481">
            <v>54</v>
          </cell>
        </row>
        <row r="483">
          <cell r="A483" t="str">
            <v>VCX</v>
          </cell>
          <cell r="E483">
            <v>4</v>
          </cell>
          <cell r="F483">
            <v>3</v>
          </cell>
          <cell r="H483">
            <v>2</v>
          </cell>
          <cell r="I483">
            <v>0</v>
          </cell>
          <cell r="J483">
            <v>2</v>
          </cell>
          <cell r="L483" t="str">
            <v>- Army Q4:99, USAF Q2:00</v>
          </cell>
        </row>
        <row r="486">
          <cell r="A486" t="str">
            <v>COMPLETED</v>
          </cell>
        </row>
        <row r="487">
          <cell r="A487" t="str">
            <v>Govt Kuwait</v>
          </cell>
          <cell r="E487">
            <v>3</v>
          </cell>
          <cell r="H487">
            <v>3</v>
          </cell>
          <cell r="J487">
            <v>0</v>
          </cell>
        </row>
        <row r="493">
          <cell r="A493" t="str">
            <v>Gulfstream Backlog Analysis</v>
          </cell>
        </row>
        <row r="495">
          <cell r="D495">
            <v>1999</v>
          </cell>
          <cell r="E495">
            <v>2000</v>
          </cell>
          <cell r="F495">
            <v>2001</v>
          </cell>
          <cell r="G495" t="str">
            <v>1Q02</v>
          </cell>
        </row>
        <row r="496">
          <cell r="A496" t="str">
            <v>New Orders</v>
          </cell>
          <cell r="D496">
            <v>42</v>
          </cell>
          <cell r="E496">
            <v>62</v>
          </cell>
          <cell r="F496">
            <v>121</v>
          </cell>
          <cell r="L496" t="str">
            <v>1999 Backlog</v>
          </cell>
        </row>
        <row r="497">
          <cell r="A497" t="str">
            <v>Options Exercised</v>
          </cell>
          <cell r="D497">
            <v>2</v>
          </cell>
          <cell r="E497">
            <v>20</v>
          </cell>
          <cell r="F497">
            <v>2</v>
          </cell>
          <cell r="K497" t="str">
            <v>Green</v>
          </cell>
          <cell r="L497">
            <v>117</v>
          </cell>
        </row>
        <row r="498">
          <cell r="B498" t="str">
            <v>Total Firm Orders</v>
          </cell>
          <cell r="D498">
            <v>44</v>
          </cell>
          <cell r="E498">
            <v>82</v>
          </cell>
          <cell r="F498">
            <v>123</v>
          </cell>
          <cell r="L498">
            <v>105</v>
          </cell>
        </row>
        <row r="499">
          <cell r="A499" t="str">
            <v>Firm Contracts in Backlog</v>
          </cell>
          <cell r="D499">
            <v>80</v>
          </cell>
          <cell r="E499">
            <v>87</v>
          </cell>
          <cell r="F499">
            <v>131</v>
          </cell>
        </row>
        <row r="500">
          <cell r="A500" t="str">
            <v>Green Deliveries</v>
          </cell>
          <cell r="D500">
            <v>70</v>
          </cell>
          <cell r="E500">
            <v>71</v>
          </cell>
          <cell r="F500">
            <v>84</v>
          </cell>
          <cell r="G500">
            <v>27</v>
          </cell>
        </row>
        <row r="501">
          <cell r="A501" t="str">
            <v>Firm Contracts Backlog</v>
          </cell>
          <cell r="D501">
            <v>2860</v>
          </cell>
          <cell r="E501">
            <v>3336</v>
          </cell>
          <cell r="F501">
            <v>4198</v>
          </cell>
          <cell r="G501">
            <v>4500</v>
          </cell>
        </row>
        <row r="503">
          <cell r="A503" t="str">
            <v>Gulfstream Backlog by Plane Type</v>
          </cell>
        </row>
        <row r="504">
          <cell r="E504">
            <v>2001</v>
          </cell>
          <cell r="G504">
            <v>2001</v>
          </cell>
          <cell r="H504" t="str">
            <v>1Q02</v>
          </cell>
        </row>
        <row r="505">
          <cell r="A505" t="str">
            <v>Plane Type</v>
          </cell>
          <cell r="C505">
            <v>1999</v>
          </cell>
          <cell r="D505">
            <v>2000</v>
          </cell>
          <cell r="E505" t="str">
            <v>Pre Avolar</v>
          </cell>
          <cell r="F505" t="str">
            <v>Adjusts</v>
          </cell>
          <cell r="G505" t="str">
            <v>Post Avolar</v>
          </cell>
          <cell r="H505" t="str">
            <v>1Q02 Del</v>
          </cell>
          <cell r="I505" t="str">
            <v>Est. Orders</v>
          </cell>
          <cell r="J505" t="str">
            <v>Implied B-L</v>
          </cell>
        </row>
        <row r="507">
          <cell r="A507" t="str">
            <v>G-IV</v>
          </cell>
          <cell r="C507">
            <v>0</v>
          </cell>
          <cell r="D507">
            <v>0</v>
          </cell>
          <cell r="E507">
            <v>0</v>
          </cell>
          <cell r="F507">
            <v>0</v>
          </cell>
          <cell r="G507">
            <v>0</v>
          </cell>
          <cell r="H507">
            <v>0</v>
          </cell>
          <cell r="I507">
            <v>0</v>
          </cell>
          <cell r="J507">
            <v>0</v>
          </cell>
        </row>
        <row r="508">
          <cell r="A508" t="str">
            <v>G-IVSP</v>
          </cell>
          <cell r="C508">
            <v>39</v>
          </cell>
          <cell r="D508">
            <v>34</v>
          </cell>
          <cell r="E508">
            <v>20</v>
          </cell>
          <cell r="F508">
            <v>-7</v>
          </cell>
          <cell r="G508">
            <v>13</v>
          </cell>
          <cell r="H508">
            <v>8</v>
          </cell>
          <cell r="I508">
            <v>4</v>
          </cell>
          <cell r="J508">
            <v>9</v>
          </cell>
        </row>
        <row r="509">
          <cell r="A509" t="str">
            <v>G-V</v>
          </cell>
          <cell r="C509">
            <v>43</v>
          </cell>
          <cell r="D509">
            <v>25</v>
          </cell>
          <cell r="E509">
            <v>15</v>
          </cell>
          <cell r="F509">
            <v>-5</v>
          </cell>
          <cell r="G509">
            <v>10</v>
          </cell>
          <cell r="H509">
            <v>7</v>
          </cell>
          <cell r="I509">
            <v>2</v>
          </cell>
          <cell r="J509">
            <v>5</v>
          </cell>
        </row>
        <row r="510">
          <cell r="A510" t="str">
            <v>G-VSP</v>
          </cell>
          <cell r="C510">
            <v>0</v>
          </cell>
          <cell r="D510">
            <v>48</v>
          </cell>
          <cell r="E510">
            <v>51</v>
          </cell>
          <cell r="F510">
            <v>0</v>
          </cell>
          <cell r="G510">
            <v>51</v>
          </cell>
          <cell r="H510">
            <v>0</v>
          </cell>
          <cell r="I510">
            <v>12</v>
          </cell>
          <cell r="J510">
            <v>63</v>
          </cell>
        </row>
        <row r="511">
          <cell r="A511" t="str">
            <v>G100</v>
          </cell>
          <cell r="C511">
            <v>0</v>
          </cell>
          <cell r="D511">
            <v>0</v>
          </cell>
          <cell r="E511">
            <v>0</v>
          </cell>
          <cell r="F511">
            <v>0</v>
          </cell>
          <cell r="G511">
            <v>0</v>
          </cell>
          <cell r="H511">
            <v>4</v>
          </cell>
          <cell r="I511">
            <v>4</v>
          </cell>
          <cell r="J511">
            <v>0</v>
          </cell>
        </row>
        <row r="512">
          <cell r="A512" t="str">
            <v>G200</v>
          </cell>
          <cell r="C512">
            <v>0</v>
          </cell>
          <cell r="D512">
            <v>0</v>
          </cell>
          <cell r="E512">
            <v>79</v>
          </cell>
          <cell r="F512">
            <v>-24</v>
          </cell>
          <cell r="G512">
            <v>55</v>
          </cell>
          <cell r="H512">
            <v>8</v>
          </cell>
          <cell r="I512">
            <v>14</v>
          </cell>
          <cell r="J512">
            <v>61</v>
          </cell>
        </row>
        <row r="513">
          <cell r="A513" t="str">
            <v>Total</v>
          </cell>
          <cell r="C513">
            <v>82</v>
          </cell>
          <cell r="D513">
            <v>107</v>
          </cell>
          <cell r="E513">
            <v>165</v>
          </cell>
          <cell r="F513">
            <v>-36</v>
          </cell>
          <cell r="G513">
            <v>129</v>
          </cell>
          <cell r="H513">
            <v>27</v>
          </cell>
          <cell r="I513">
            <v>36</v>
          </cell>
          <cell r="J513">
            <v>138</v>
          </cell>
        </row>
        <row r="515">
          <cell r="A515" t="str">
            <v>Implied Bl</v>
          </cell>
          <cell r="H515">
            <v>-669</v>
          </cell>
          <cell r="I515">
            <v>976</v>
          </cell>
          <cell r="J515">
            <v>307</v>
          </cell>
        </row>
        <row r="516">
          <cell r="A516" t="str">
            <v>Actual Bl</v>
          </cell>
          <cell r="C516">
            <v>2860</v>
          </cell>
          <cell r="D516">
            <v>3336</v>
          </cell>
          <cell r="E516">
            <v>4998</v>
          </cell>
          <cell r="F516">
            <v>-800</v>
          </cell>
          <cell r="G516">
            <v>4198</v>
          </cell>
          <cell r="H516">
            <v>-760</v>
          </cell>
          <cell r="I516">
            <v>1000</v>
          </cell>
          <cell r="J516">
            <v>4500</v>
          </cell>
        </row>
        <row r="517">
          <cell r="A517" t="str">
            <v>Difference</v>
          </cell>
          <cell r="C517">
            <v>2860</v>
          </cell>
          <cell r="D517">
            <v>3336</v>
          </cell>
          <cell r="E517">
            <v>4998</v>
          </cell>
          <cell r="F517">
            <v>-800</v>
          </cell>
          <cell r="G517">
            <v>4198</v>
          </cell>
          <cell r="H517">
            <v>-91</v>
          </cell>
          <cell r="I517">
            <v>24</v>
          </cell>
          <cell r="J517">
            <v>4193</v>
          </cell>
        </row>
        <row r="519">
          <cell r="A519" t="str">
            <v>Avolar Write-down of Backlog</v>
          </cell>
        </row>
        <row r="521">
          <cell r="A521" t="str">
            <v>Plane Type</v>
          </cell>
          <cell r="C521" t="str">
            <v># Units</v>
          </cell>
          <cell r="D521" t="str">
            <v>Avg. Price</v>
          </cell>
          <cell r="E521" t="str">
            <v>$ Revenue</v>
          </cell>
          <cell r="F521" t="str">
            <v>Comments</v>
          </cell>
        </row>
        <row r="522">
          <cell r="A522" t="str">
            <v>G-IVSPs</v>
          </cell>
          <cell r="C522">
            <v>7</v>
          </cell>
          <cell r="D522">
            <v>28</v>
          </cell>
          <cell r="E522">
            <v>196</v>
          </cell>
        </row>
        <row r="523">
          <cell r="A523" t="str">
            <v>G-Vs</v>
          </cell>
          <cell r="C523">
            <v>5</v>
          </cell>
          <cell r="D523">
            <v>35</v>
          </cell>
          <cell r="E523">
            <v>175</v>
          </cell>
        </row>
        <row r="524">
          <cell r="A524" t="str">
            <v>G200s</v>
          </cell>
          <cell r="C524">
            <v>24</v>
          </cell>
          <cell r="D524">
            <v>19</v>
          </cell>
          <cell r="E524">
            <v>456</v>
          </cell>
        </row>
        <row r="525">
          <cell r="A525" t="str">
            <v>Orders</v>
          </cell>
          <cell r="C525">
            <v>36</v>
          </cell>
          <cell r="D525">
            <v>22.972222222222221</v>
          </cell>
          <cell r="E525">
            <v>827</v>
          </cell>
          <cell r="F525" t="str">
            <v>vs. $800 MM Quoted</v>
          </cell>
        </row>
        <row r="528">
          <cell r="A528" t="str">
            <v>1Q02 Reconciled Deliveries</v>
          </cell>
        </row>
        <row r="529">
          <cell r="B529" t="str">
            <v xml:space="preserve"> </v>
          </cell>
        </row>
        <row r="530">
          <cell r="A530" t="str">
            <v>Plane Type</v>
          </cell>
          <cell r="C530" t="str">
            <v># Units</v>
          </cell>
          <cell r="D530" t="str">
            <v>Avg. Pr.</v>
          </cell>
          <cell r="E530" t="str">
            <v>$ Revenue</v>
          </cell>
          <cell r="F530" t="str">
            <v>Comments</v>
          </cell>
        </row>
        <row r="531">
          <cell r="A531" t="str">
            <v>G-IV</v>
          </cell>
          <cell r="C531">
            <v>0</v>
          </cell>
          <cell r="D531">
            <v>0</v>
          </cell>
          <cell r="E531">
            <v>0</v>
          </cell>
        </row>
        <row r="532">
          <cell r="A532" t="str">
            <v>G-IVSP</v>
          </cell>
          <cell r="C532">
            <v>8</v>
          </cell>
          <cell r="D532">
            <v>28</v>
          </cell>
          <cell r="E532">
            <v>224</v>
          </cell>
        </row>
        <row r="533">
          <cell r="A533" t="str">
            <v>G-V</v>
          </cell>
          <cell r="C533">
            <v>7</v>
          </cell>
          <cell r="D533">
            <v>35</v>
          </cell>
          <cell r="E533">
            <v>245</v>
          </cell>
        </row>
        <row r="534">
          <cell r="A534" t="str">
            <v>G-VSP</v>
          </cell>
          <cell r="C534">
            <v>0</v>
          </cell>
          <cell r="D534">
            <v>40</v>
          </cell>
          <cell r="E534">
            <v>0</v>
          </cell>
        </row>
        <row r="535">
          <cell r="A535" t="str">
            <v>G100</v>
          </cell>
          <cell r="C535">
            <v>4</v>
          </cell>
          <cell r="D535">
            <v>12</v>
          </cell>
          <cell r="E535">
            <v>48</v>
          </cell>
        </row>
        <row r="536">
          <cell r="A536" t="str">
            <v>G200</v>
          </cell>
          <cell r="C536">
            <v>8</v>
          </cell>
          <cell r="D536">
            <v>19</v>
          </cell>
          <cell r="E536">
            <v>152</v>
          </cell>
        </row>
        <row r="537">
          <cell r="C537">
            <v>27</v>
          </cell>
          <cell r="D537">
            <v>24.777777777777779</v>
          </cell>
          <cell r="E537">
            <v>669</v>
          </cell>
          <cell r="F537" t="str">
            <v>vs. $760 MM less  Ops and Preowned</v>
          </cell>
        </row>
        <row r="539">
          <cell r="A539" t="str">
            <v>Possible 1Q02 Orders</v>
          </cell>
        </row>
        <row r="540">
          <cell r="C540" t="str">
            <v>1Q02</v>
          </cell>
          <cell r="D540" t="str">
            <v>Avg. Pr.</v>
          </cell>
          <cell r="E540" t="str">
            <v>Revs</v>
          </cell>
          <cell r="F540" t="str">
            <v>1Q01</v>
          </cell>
          <cell r="G540" t="str">
            <v>Avg. Pr.</v>
          </cell>
          <cell r="H540" t="str">
            <v>Revs</v>
          </cell>
          <cell r="I540" t="str">
            <v>Y/Y</v>
          </cell>
          <cell r="J540" t="str">
            <v>Revs</v>
          </cell>
        </row>
        <row r="541">
          <cell r="A541" t="str">
            <v>Plane Type</v>
          </cell>
          <cell r="C541" t="str">
            <v># Units</v>
          </cell>
          <cell r="D541" t="str">
            <v>($MMs)</v>
          </cell>
          <cell r="E541" t="str">
            <v>$MM</v>
          </cell>
          <cell r="F541" t="str">
            <v># Units</v>
          </cell>
          <cell r="G541" t="str">
            <v>($MMs)</v>
          </cell>
          <cell r="H541" t="str">
            <v>$MM</v>
          </cell>
          <cell r="I541" t="str">
            <v>Units</v>
          </cell>
          <cell r="J541" t="str">
            <v>$MM</v>
          </cell>
          <cell r="K541" t="str">
            <v>Comments</v>
          </cell>
        </row>
        <row r="542">
          <cell r="A542" t="str">
            <v>G-IV</v>
          </cell>
          <cell r="C542">
            <v>0</v>
          </cell>
        </row>
        <row r="543">
          <cell r="A543" t="str">
            <v>G-IVSP</v>
          </cell>
          <cell r="C543">
            <v>4</v>
          </cell>
          <cell r="D543">
            <v>28</v>
          </cell>
          <cell r="E543">
            <v>112</v>
          </cell>
          <cell r="F543">
            <v>9</v>
          </cell>
          <cell r="G543">
            <v>28</v>
          </cell>
          <cell r="H543">
            <v>252</v>
          </cell>
          <cell r="I543">
            <v>-0.55555555555555558</v>
          </cell>
          <cell r="J543">
            <v>-0.55555555555555558</v>
          </cell>
        </row>
        <row r="544">
          <cell r="A544" t="str">
            <v>G-V</v>
          </cell>
          <cell r="C544">
            <v>2</v>
          </cell>
          <cell r="D544">
            <v>35</v>
          </cell>
          <cell r="E544">
            <v>70</v>
          </cell>
          <cell r="F544">
            <v>9</v>
          </cell>
          <cell r="G544">
            <v>32</v>
          </cell>
          <cell r="H544">
            <v>288</v>
          </cell>
          <cell r="I544">
            <v>-0.77777777777777779</v>
          </cell>
          <cell r="J544">
            <v>-0.75694444444444442</v>
          </cell>
        </row>
        <row r="545">
          <cell r="A545" t="str">
            <v>G-VSP</v>
          </cell>
          <cell r="C545">
            <v>12</v>
          </cell>
          <cell r="D545">
            <v>40</v>
          </cell>
          <cell r="E545">
            <v>480</v>
          </cell>
          <cell r="F545">
            <v>5</v>
          </cell>
          <cell r="G545">
            <v>35</v>
          </cell>
          <cell r="H545">
            <v>175</v>
          </cell>
          <cell r="I545">
            <v>1.4</v>
          </cell>
          <cell r="J545">
            <v>1.7428571428571429</v>
          </cell>
        </row>
        <row r="546">
          <cell r="A546" t="str">
            <v>G100</v>
          </cell>
          <cell r="C546">
            <v>4</v>
          </cell>
          <cell r="D546">
            <v>12</v>
          </cell>
          <cell r="E546">
            <v>48</v>
          </cell>
        </row>
        <row r="547">
          <cell r="A547" t="str">
            <v>G200</v>
          </cell>
          <cell r="C547">
            <v>14</v>
          </cell>
          <cell r="D547">
            <v>19</v>
          </cell>
          <cell r="E547">
            <v>266</v>
          </cell>
          <cell r="F547" t="str">
            <v xml:space="preserve">  </v>
          </cell>
          <cell r="H547" t="str">
            <v xml:space="preserve">  </v>
          </cell>
        </row>
        <row r="548">
          <cell r="A548" t="str">
            <v>Total</v>
          </cell>
          <cell r="C548">
            <v>36</v>
          </cell>
          <cell r="E548">
            <v>976</v>
          </cell>
          <cell r="F548">
            <v>23</v>
          </cell>
          <cell r="H548">
            <v>715</v>
          </cell>
          <cell r="K548" t="str">
            <v>vs. $1B in new orders</v>
          </cell>
        </row>
        <row r="563">
          <cell r="AK563">
            <v>771.4</v>
          </cell>
        </row>
        <row r="564">
          <cell r="AK564">
            <v>11.5</v>
          </cell>
        </row>
        <row r="565">
          <cell r="AK565">
            <v>9.1999999999999993</v>
          </cell>
        </row>
        <row r="567">
          <cell r="AK567">
            <v>57.1</v>
          </cell>
        </row>
        <row r="568">
          <cell r="AK568">
            <v>31.2</v>
          </cell>
        </row>
      </sheetData>
      <sheetData sheetId="6">
        <row r="2">
          <cell r="A2" t="str">
            <v>Gulfstream Abbreviated Estimated P&amp;L ($MM)</v>
          </cell>
        </row>
        <row r="4">
          <cell r="C4" t="str">
            <v>Gulfstream Standalone</v>
          </cell>
          <cell r="G4" t="str">
            <v>Division of GD ---&gt;</v>
          </cell>
          <cell r="I4" t="str">
            <v>downcycle</v>
          </cell>
          <cell r="J4" t="str">
            <v>trough</v>
          </cell>
          <cell r="K4" t="str">
            <v>upcycle</v>
          </cell>
          <cell r="M4" t="str">
            <v>last update -- 1/06</v>
          </cell>
          <cell r="O4" t="str">
            <v>Peak</v>
          </cell>
          <cell r="P4" t="str">
            <v>Peak</v>
          </cell>
          <cell r="W4" t="str">
            <v>% Of Total</v>
          </cell>
        </row>
        <row r="5">
          <cell r="B5">
            <v>1995</v>
          </cell>
          <cell r="C5">
            <v>1996</v>
          </cell>
          <cell r="D5">
            <v>1997</v>
          </cell>
          <cell r="E5">
            <v>1998</v>
          </cell>
          <cell r="F5">
            <v>1999</v>
          </cell>
          <cell r="G5">
            <v>2000</v>
          </cell>
          <cell r="H5">
            <v>2001</v>
          </cell>
          <cell r="I5">
            <v>2002</v>
          </cell>
          <cell r="J5">
            <v>2003</v>
          </cell>
          <cell r="K5" t="str">
            <v>2004A</v>
          </cell>
          <cell r="L5" t="str">
            <v>2005E</v>
          </cell>
          <cell r="M5" t="str">
            <v>2006E</v>
          </cell>
          <cell r="N5" t="str">
            <v>2007E</v>
          </cell>
          <cell r="O5" t="str">
            <v>2008E</v>
          </cell>
          <cell r="P5" t="str">
            <v>2008E</v>
          </cell>
          <cell r="V5" t="str">
            <v>2005E</v>
          </cell>
          <cell r="W5" t="str">
            <v>2006E</v>
          </cell>
          <cell r="X5" t="str">
            <v>2007E</v>
          </cell>
          <cell r="Y5" t="str">
            <v>2008E</v>
          </cell>
        </row>
        <row r="6">
          <cell r="A6" t="str">
            <v>Midsize</v>
          </cell>
          <cell r="B6">
            <v>0</v>
          </cell>
          <cell r="C6">
            <v>0</v>
          </cell>
          <cell r="D6">
            <v>0</v>
          </cell>
          <cell r="E6">
            <v>0</v>
          </cell>
          <cell r="F6">
            <v>0</v>
          </cell>
          <cell r="G6">
            <v>0</v>
          </cell>
          <cell r="H6">
            <v>13</v>
          </cell>
          <cell r="I6">
            <v>24</v>
          </cell>
          <cell r="J6">
            <v>24</v>
          </cell>
          <cell r="K6">
            <v>22</v>
          </cell>
          <cell r="L6">
            <v>26</v>
          </cell>
          <cell r="M6">
            <v>42</v>
          </cell>
          <cell r="N6">
            <v>56</v>
          </cell>
          <cell r="O6">
            <v>70</v>
          </cell>
          <cell r="P6">
            <v>20</v>
          </cell>
          <cell r="V6">
            <v>0.29213483146067415</v>
          </cell>
          <cell r="W6">
            <v>0.37168141592920356</v>
          </cell>
          <cell r="X6">
            <v>0.40579710144927539</v>
          </cell>
          <cell r="Y6">
            <v>0.44303797468354428</v>
          </cell>
        </row>
        <row r="7">
          <cell r="A7" t="str">
            <v>Large Cabin</v>
          </cell>
          <cell r="B7">
            <v>26</v>
          </cell>
          <cell r="C7">
            <v>27</v>
          </cell>
          <cell r="D7">
            <v>51</v>
          </cell>
          <cell r="E7">
            <v>61</v>
          </cell>
          <cell r="F7">
            <v>70</v>
          </cell>
          <cell r="G7">
            <v>71</v>
          </cell>
          <cell r="H7">
            <v>71</v>
          </cell>
          <cell r="I7">
            <v>61</v>
          </cell>
          <cell r="J7">
            <v>50</v>
          </cell>
          <cell r="K7">
            <v>56</v>
          </cell>
          <cell r="L7">
            <v>63</v>
          </cell>
          <cell r="M7">
            <v>71</v>
          </cell>
          <cell r="N7">
            <v>82</v>
          </cell>
          <cell r="O7">
            <v>88</v>
          </cell>
          <cell r="P7">
            <v>72</v>
          </cell>
          <cell r="V7">
            <v>0.7078651685393258</v>
          </cell>
          <cell r="W7">
            <v>0.62831858407079644</v>
          </cell>
          <cell r="X7">
            <v>0.59420289855072461</v>
          </cell>
          <cell r="Y7">
            <v>0.55696202531645567</v>
          </cell>
        </row>
        <row r="8">
          <cell r="A8" t="str">
            <v>TOTAL GAC Dels</v>
          </cell>
          <cell r="B8">
            <v>26</v>
          </cell>
          <cell r="C8">
            <v>27</v>
          </cell>
          <cell r="D8">
            <v>51</v>
          </cell>
          <cell r="E8">
            <v>61</v>
          </cell>
          <cell r="F8">
            <v>70</v>
          </cell>
          <cell r="G8">
            <v>71</v>
          </cell>
          <cell r="H8">
            <v>84</v>
          </cell>
          <cell r="I8">
            <v>85</v>
          </cell>
          <cell r="J8">
            <v>74</v>
          </cell>
          <cell r="K8">
            <v>78</v>
          </cell>
          <cell r="L8">
            <v>89</v>
          </cell>
          <cell r="M8">
            <v>113</v>
          </cell>
          <cell r="N8">
            <v>138</v>
          </cell>
          <cell r="O8">
            <v>158</v>
          </cell>
          <cell r="P8">
            <v>92</v>
          </cell>
          <cell r="V8">
            <v>1</v>
          </cell>
          <cell r="W8">
            <v>1</v>
          </cell>
          <cell r="X8">
            <v>1</v>
          </cell>
          <cell r="Y8">
            <v>1</v>
          </cell>
        </row>
        <row r="10">
          <cell r="A10" t="str">
            <v>Sales Breakdown</v>
          </cell>
        </row>
        <row r="11">
          <cell r="A11" t="str">
            <v>Green Deliveries</v>
          </cell>
          <cell r="B11">
            <v>613.6</v>
          </cell>
          <cell r="C11">
            <v>666</v>
          </cell>
          <cell r="D11">
            <v>1401.3</v>
          </cell>
          <cell r="E11">
            <v>1739.4</v>
          </cell>
          <cell r="F11">
            <v>1978.5</v>
          </cell>
          <cell r="G11">
            <v>2047.3000000000002</v>
          </cell>
          <cell r="H11">
            <v>2336.85</v>
          </cell>
          <cell r="I11">
            <v>2080.578</v>
          </cell>
          <cell r="J11">
            <v>1723.1</v>
          </cell>
          <cell r="K11">
            <v>1951.5500000000002</v>
          </cell>
          <cell r="L11">
            <v>2349</v>
          </cell>
          <cell r="M11">
            <v>2861</v>
          </cell>
          <cell r="N11">
            <v>3539.2200000000003</v>
          </cell>
          <cell r="O11">
            <v>4053</v>
          </cell>
          <cell r="P11">
            <v>2834</v>
          </cell>
          <cell r="V11">
            <v>0.68424118846489945</v>
          </cell>
          <cell r="W11">
            <v>0.69504672919900778</v>
          </cell>
          <cell r="X11">
            <v>0.73302790676481189</v>
          </cell>
          <cell r="Y11">
            <v>0.72323340471092079</v>
          </cell>
        </row>
        <row r="12">
          <cell r="A12" t="str">
            <v>Completions</v>
          </cell>
          <cell r="B12">
            <v>58</v>
          </cell>
          <cell r="C12">
            <v>75.059999999999988</v>
          </cell>
          <cell r="D12">
            <v>92.04</v>
          </cell>
          <cell r="E12">
            <v>184.23</v>
          </cell>
          <cell r="F12">
            <v>275.74</v>
          </cell>
          <cell r="G12">
            <v>308</v>
          </cell>
          <cell r="H12">
            <v>357.13</v>
          </cell>
          <cell r="I12">
            <v>411.12</v>
          </cell>
          <cell r="J12">
            <v>345.47999999999996</v>
          </cell>
          <cell r="K12">
            <v>361</v>
          </cell>
          <cell r="L12">
            <v>402</v>
          </cell>
          <cell r="M12">
            <v>480.27</v>
          </cell>
          <cell r="N12">
            <v>584</v>
          </cell>
          <cell r="O12">
            <v>826</v>
          </cell>
          <cell r="P12">
            <v>636</v>
          </cell>
          <cell r="V12">
            <v>0.11709874745120885</v>
          </cell>
          <cell r="W12">
            <v>0.11667601979461988</v>
          </cell>
          <cell r="X12">
            <v>0.12095554883580284</v>
          </cell>
          <cell r="Y12">
            <v>0.14739471805852963</v>
          </cell>
        </row>
        <row r="13">
          <cell r="A13" t="str">
            <v>Used Sales</v>
          </cell>
          <cell r="B13">
            <v>45</v>
          </cell>
          <cell r="C13">
            <v>153.30000000000001</v>
          </cell>
          <cell r="D13">
            <v>210.4</v>
          </cell>
          <cell r="E13">
            <v>237.2</v>
          </cell>
          <cell r="F13">
            <v>318</v>
          </cell>
          <cell r="G13">
            <v>255</v>
          </cell>
          <cell r="H13">
            <v>177</v>
          </cell>
          <cell r="I13">
            <v>435</v>
          </cell>
          <cell r="J13">
            <v>469</v>
          </cell>
          <cell r="K13">
            <v>254</v>
          </cell>
          <cell r="L13">
            <v>198</v>
          </cell>
          <cell r="M13">
            <v>217</v>
          </cell>
          <cell r="N13">
            <v>80</v>
          </cell>
          <cell r="O13">
            <v>25</v>
          </cell>
          <cell r="P13">
            <v>30</v>
          </cell>
          <cell r="V13">
            <v>5.7675502475968539E-2</v>
          </cell>
          <cell r="W13">
            <v>5.2717630281784229E-2</v>
          </cell>
          <cell r="X13">
            <v>1.6569253265178472E-2</v>
          </cell>
          <cell r="Y13">
            <v>4.4610992148465386E-3</v>
          </cell>
        </row>
        <row r="14">
          <cell r="A14" t="str">
            <v>Spares/Services</v>
          </cell>
          <cell r="B14">
            <v>324.5</v>
          </cell>
          <cell r="C14">
            <v>170.03800000000001</v>
          </cell>
          <cell r="D14">
            <v>200.64484000000002</v>
          </cell>
          <cell r="E14">
            <v>266.85763720000006</v>
          </cell>
          <cell r="F14">
            <v>336.50748050920009</v>
          </cell>
          <cell r="G14">
            <v>421</v>
          </cell>
          <cell r="H14">
            <v>394</v>
          </cell>
          <cell r="I14">
            <v>362</v>
          </cell>
          <cell r="J14">
            <v>408</v>
          </cell>
          <cell r="K14">
            <v>445</v>
          </cell>
          <cell r="L14">
            <v>484</v>
          </cell>
          <cell r="M14">
            <v>558</v>
          </cell>
          <cell r="N14">
            <v>625</v>
          </cell>
          <cell r="O14">
            <v>700</v>
          </cell>
          <cell r="P14">
            <v>650</v>
          </cell>
          <cell r="V14">
            <v>0.14098456160792311</v>
          </cell>
          <cell r="W14">
            <v>0.13555962072458802</v>
          </cell>
          <cell r="X14">
            <v>0.1294472911342068</v>
          </cell>
          <cell r="Y14">
            <v>0.12491077801570306</v>
          </cell>
        </row>
        <row r="15">
          <cell r="A15" t="str">
            <v>Total</v>
          </cell>
          <cell r="B15">
            <v>1041.0999999999999</v>
          </cell>
          <cell r="C15">
            <v>1064.3979999999999</v>
          </cell>
          <cell r="D15">
            <v>1904.3848399999999</v>
          </cell>
          <cell r="E15">
            <v>2427.6876372000002</v>
          </cell>
          <cell r="F15">
            <v>2908.7474805091997</v>
          </cell>
          <cell r="G15">
            <v>3031.3</v>
          </cell>
          <cell r="H15">
            <v>3264.98</v>
          </cell>
          <cell r="I15">
            <v>3288.6979999999999</v>
          </cell>
          <cell r="J15">
            <v>2945.58</v>
          </cell>
          <cell r="K15">
            <v>3011.55</v>
          </cell>
          <cell r="L15">
            <v>3433</v>
          </cell>
          <cell r="M15">
            <v>4116.2700000000004</v>
          </cell>
          <cell r="N15">
            <v>4828.22</v>
          </cell>
          <cell r="O15">
            <v>5604</v>
          </cell>
          <cell r="P15">
            <v>5250</v>
          </cell>
          <cell r="V15">
            <v>1</v>
          </cell>
          <cell r="W15">
            <v>0.99999999999999989</v>
          </cell>
          <cell r="X15">
            <v>1</v>
          </cell>
          <cell r="Y15">
            <v>1</v>
          </cell>
        </row>
        <row r="16">
          <cell r="A16" t="str">
            <v>per main</v>
          </cell>
          <cell r="I16">
            <v>3289</v>
          </cell>
          <cell r="J16">
            <v>2946</v>
          </cell>
          <cell r="K16">
            <v>3012</v>
          </cell>
          <cell r="L16">
            <v>3433</v>
          </cell>
          <cell r="M16">
            <v>4116</v>
          </cell>
          <cell r="N16">
            <v>4828</v>
          </cell>
          <cell r="O16">
            <v>5512</v>
          </cell>
          <cell r="P16">
            <v>5250</v>
          </cell>
        </row>
        <row r="18">
          <cell r="A18" t="str">
            <v>Margin Breakdown</v>
          </cell>
        </row>
        <row r="19">
          <cell r="A19" t="str">
            <v>Green Deliveries</v>
          </cell>
          <cell r="B19">
            <v>0</v>
          </cell>
          <cell r="C19">
            <v>0.26165222788977954</v>
          </cell>
          <cell r="D19">
            <v>0.19935669771493669</v>
          </cell>
          <cell r="E19">
            <v>0.24149999999999999</v>
          </cell>
          <cell r="F19">
            <v>0.23781001819069167</v>
          </cell>
          <cell r="G19">
            <v>0.23988451577293762</v>
          </cell>
          <cell r="H19">
            <v>0.21959999999999999</v>
          </cell>
          <cell r="I19">
            <v>0.20219999999999999</v>
          </cell>
          <cell r="J19">
            <v>0.11899999999999999</v>
          </cell>
          <cell r="K19">
            <v>0.14649999999999999</v>
          </cell>
          <cell r="L19">
            <v>0.15759999999999999</v>
          </cell>
          <cell r="M19">
            <v>0.17150000000000001</v>
          </cell>
          <cell r="N19">
            <v>0.17610000000000001</v>
          </cell>
          <cell r="O19">
            <v>0.191</v>
          </cell>
          <cell r="P19">
            <v>0.19600000000000001</v>
          </cell>
        </row>
        <row r="20">
          <cell r="A20" t="str">
            <v>Completions</v>
          </cell>
          <cell r="B20">
            <v>0</v>
          </cell>
          <cell r="C20">
            <v>0.26165222788977954</v>
          </cell>
          <cell r="D20">
            <v>0.19935669771493669</v>
          </cell>
          <cell r="E20">
            <v>0.24149999999999999</v>
          </cell>
          <cell r="F20">
            <v>0.23781001819069167</v>
          </cell>
          <cell r="G20">
            <v>0.23988451577293762</v>
          </cell>
          <cell r="H20">
            <v>0.21959999999999999</v>
          </cell>
          <cell r="I20">
            <v>0.20219999999999999</v>
          </cell>
          <cell r="J20">
            <v>0.11899999999999999</v>
          </cell>
          <cell r="K20">
            <v>0.14649999999999999</v>
          </cell>
          <cell r="L20">
            <v>0.15759999999999999</v>
          </cell>
          <cell r="M20">
            <v>0.17150000000000001</v>
          </cell>
          <cell r="N20">
            <v>0.17610000000000001</v>
          </cell>
          <cell r="O20">
            <v>0.191</v>
          </cell>
          <cell r="P20">
            <v>0.19600000000000001</v>
          </cell>
        </row>
        <row r="21">
          <cell r="A21" t="str">
            <v>Used Sales</v>
          </cell>
          <cell r="B21">
            <v>0</v>
          </cell>
          <cell r="C21">
            <v>-1.1089367253750815E-2</v>
          </cell>
          <cell r="D21">
            <v>3.8973384030418244E-2</v>
          </cell>
          <cell r="E21">
            <v>4.8060708263069143E-2</v>
          </cell>
          <cell r="F21">
            <v>-2.5157232704402517E-2</v>
          </cell>
          <cell r="G21">
            <v>0</v>
          </cell>
          <cell r="H21">
            <v>0</v>
          </cell>
          <cell r="I21">
            <v>-0.18620689655172415</v>
          </cell>
          <cell r="J21">
            <v>-0.13943355119825707</v>
          </cell>
          <cell r="K21">
            <v>0</v>
          </cell>
          <cell r="L21">
            <v>0</v>
          </cell>
          <cell r="M21">
            <v>0</v>
          </cell>
          <cell r="N21">
            <v>0</v>
          </cell>
          <cell r="O21">
            <v>0</v>
          </cell>
          <cell r="P21">
            <v>0</v>
          </cell>
        </row>
        <row r="22">
          <cell r="A22" t="str">
            <v>Spares/Services</v>
          </cell>
          <cell r="B22">
            <v>0</v>
          </cell>
          <cell r="C22">
            <v>0.21465789999882379</v>
          </cell>
          <cell r="D22">
            <v>0.22427688646266705</v>
          </cell>
          <cell r="E22">
            <v>0.20123089061061353</v>
          </cell>
          <cell r="F22">
            <v>0.20207574552905336</v>
          </cell>
          <cell r="G22">
            <v>0.19110624695389955</v>
          </cell>
          <cell r="H22">
            <v>0.19</v>
          </cell>
          <cell r="I22">
            <v>0.19</v>
          </cell>
          <cell r="J22">
            <v>0.19</v>
          </cell>
          <cell r="K22">
            <v>0.19</v>
          </cell>
          <cell r="L22">
            <v>0.19</v>
          </cell>
          <cell r="M22">
            <v>0.19</v>
          </cell>
          <cell r="N22">
            <v>0.19</v>
          </cell>
          <cell r="O22">
            <v>0.18</v>
          </cell>
          <cell r="P22">
            <v>0.19</v>
          </cell>
        </row>
        <row r="23">
          <cell r="A23" t="str">
            <v>Total</v>
          </cell>
          <cell r="B23">
            <v>0</v>
          </cell>
          <cell r="C23">
            <v>4.7632558497855144E-2</v>
          </cell>
          <cell r="D23">
            <v>0.12020014345715099</v>
          </cell>
          <cell r="E23">
            <v>0.15350271562523077</v>
          </cell>
          <cell r="F23">
            <v>0.14476363391038369</v>
          </cell>
          <cell r="G23">
            <v>0.1954460891259828</v>
          </cell>
          <cell r="H23">
            <v>0.19156564756905095</v>
          </cell>
          <cell r="I23">
            <v>0.13579882847254446</v>
          </cell>
          <cell r="J23">
            <v>7.4106520443517898E-2</v>
          </cell>
          <cell r="K23">
            <v>0.13061000979562018</v>
          </cell>
          <cell r="L23">
            <v>0.14404823769297992</v>
          </cell>
          <cell r="M23">
            <v>0.15646393579624271</v>
          </cell>
          <cell r="N23">
            <v>0.16773242354325196</v>
          </cell>
          <cell r="O23">
            <v>0.18252837259100643</v>
          </cell>
          <cell r="P23">
            <v>0.16526095238095237</v>
          </cell>
        </row>
        <row r="26">
          <cell r="A26" t="str">
            <v>Gulfstream Detailed Est P&amp;L ($MM)</v>
          </cell>
        </row>
        <row r="28">
          <cell r="M28" t="str">
            <v>last update -- 1/09</v>
          </cell>
        </row>
        <row r="29">
          <cell r="C29" t="str">
            <v>Gulfstream Standalone</v>
          </cell>
          <cell r="G29" t="str">
            <v>Division of GD ---&gt;</v>
          </cell>
          <cell r="I29" t="str">
            <v>downcycle</v>
          </cell>
          <cell r="J29" t="str">
            <v>trough</v>
          </cell>
          <cell r="K29" t="str">
            <v>upcycle</v>
          </cell>
          <cell r="O29" t="str">
            <v>peak</v>
          </cell>
          <cell r="Q29" t="str">
            <v>trough</v>
          </cell>
        </row>
        <row r="30">
          <cell r="A30" t="str">
            <v>Deliveries(Green)</v>
          </cell>
          <cell r="B30">
            <v>1995</v>
          </cell>
          <cell r="C30">
            <v>1996</v>
          </cell>
          <cell r="D30">
            <v>1997</v>
          </cell>
          <cell r="E30">
            <v>1998</v>
          </cell>
          <cell r="F30">
            <v>1999</v>
          </cell>
          <cell r="G30">
            <v>2000</v>
          </cell>
          <cell r="H30">
            <v>2001</v>
          </cell>
          <cell r="I30">
            <v>2002</v>
          </cell>
          <cell r="J30">
            <v>2003</v>
          </cell>
          <cell r="K30">
            <v>2004</v>
          </cell>
          <cell r="L30">
            <v>2005</v>
          </cell>
          <cell r="M30">
            <v>2006</v>
          </cell>
          <cell r="N30">
            <v>2007</v>
          </cell>
          <cell r="O30" t="str">
            <v>2008A</v>
          </cell>
          <cell r="P30" t="str">
            <v>2009E</v>
          </cell>
          <cell r="Q30" t="str">
            <v>2010E</v>
          </cell>
          <cell r="R30" t="str">
            <v>2011E</v>
          </cell>
          <cell r="S30" t="str">
            <v>2012E</v>
          </cell>
          <cell r="V30" t="str">
            <v>Factors/Assumptions</v>
          </cell>
        </row>
        <row r="31">
          <cell r="A31" t="str">
            <v>Midsize</v>
          </cell>
        </row>
        <row r="32">
          <cell r="A32" t="str">
            <v>G100</v>
          </cell>
          <cell r="H32">
            <v>5</v>
          </cell>
          <cell r="I32">
            <v>14</v>
          </cell>
          <cell r="J32">
            <v>10</v>
          </cell>
          <cell r="K32">
            <v>7</v>
          </cell>
          <cell r="L32">
            <v>8</v>
          </cell>
          <cell r="M32">
            <v>1</v>
          </cell>
          <cell r="N32">
            <v>0</v>
          </cell>
          <cell r="O32">
            <v>0</v>
          </cell>
          <cell r="P32">
            <v>0</v>
          </cell>
          <cell r="Q32">
            <v>0</v>
          </cell>
          <cell r="R32">
            <v>0</v>
          </cell>
          <cell r="S32">
            <v>0</v>
          </cell>
          <cell r="V32" t="str">
            <v>- declining</v>
          </cell>
        </row>
        <row r="33">
          <cell r="A33" t="str">
            <v>G250</v>
          </cell>
          <cell r="R33">
            <v>5</v>
          </cell>
          <cell r="S33">
            <v>30</v>
          </cell>
          <cell r="V33" t="str">
            <v>- first delivs 2011</v>
          </cell>
        </row>
        <row r="34">
          <cell r="A34" t="str">
            <v>G150</v>
          </cell>
          <cell r="H34">
            <v>0</v>
          </cell>
          <cell r="I34">
            <v>0</v>
          </cell>
          <cell r="J34">
            <v>0</v>
          </cell>
          <cell r="K34">
            <v>0</v>
          </cell>
          <cell r="L34">
            <v>0</v>
          </cell>
          <cell r="M34">
            <v>14</v>
          </cell>
          <cell r="N34">
            <v>27</v>
          </cell>
          <cell r="O34">
            <v>35</v>
          </cell>
          <cell r="P34">
            <v>10</v>
          </cell>
          <cell r="Q34">
            <v>10</v>
          </cell>
          <cell r="R34">
            <v>12</v>
          </cell>
          <cell r="S34">
            <v>12</v>
          </cell>
          <cell r="V34" t="str">
            <v>- check certification, 1st del 06</v>
          </cell>
        </row>
        <row r="35">
          <cell r="A35" t="str">
            <v>G200</v>
          </cell>
          <cell r="H35">
            <v>8</v>
          </cell>
          <cell r="I35">
            <v>10</v>
          </cell>
          <cell r="J35">
            <v>14</v>
          </cell>
          <cell r="K35">
            <v>15</v>
          </cell>
          <cell r="L35">
            <v>18</v>
          </cell>
          <cell r="M35">
            <v>27</v>
          </cell>
          <cell r="N35">
            <v>29</v>
          </cell>
          <cell r="O35">
            <v>35</v>
          </cell>
          <cell r="P35">
            <v>10</v>
          </cell>
          <cell r="Q35">
            <v>12</v>
          </cell>
          <cell r="R35">
            <v>8</v>
          </cell>
          <cell r="S35">
            <v>10</v>
          </cell>
        </row>
        <row r="36">
          <cell r="A36" t="str">
            <v>subtotal Midsize</v>
          </cell>
          <cell r="H36">
            <v>13</v>
          </cell>
          <cell r="I36">
            <v>24</v>
          </cell>
          <cell r="J36">
            <v>24</v>
          </cell>
          <cell r="K36">
            <v>22</v>
          </cell>
          <cell r="L36">
            <v>26</v>
          </cell>
          <cell r="M36">
            <v>42</v>
          </cell>
          <cell r="N36">
            <v>56</v>
          </cell>
          <cell r="O36">
            <v>70</v>
          </cell>
          <cell r="P36">
            <v>20</v>
          </cell>
          <cell r="Q36">
            <v>22</v>
          </cell>
          <cell r="R36">
            <v>25</v>
          </cell>
          <cell r="S36">
            <v>52</v>
          </cell>
          <cell r="T36" t="str">
            <v>1Q</v>
          </cell>
          <cell r="U36" t="str">
            <v>2Q</v>
          </cell>
          <cell r="V36" t="str">
            <v>1H</v>
          </cell>
          <cell r="Y36" t="str">
            <v>2H</v>
          </cell>
          <cell r="Z36" t="str">
            <v>FY</v>
          </cell>
        </row>
        <row r="37">
          <cell r="A37" t="str">
            <v>% Ch</v>
          </cell>
          <cell r="I37">
            <v>0.84615384615384626</v>
          </cell>
          <cell r="J37">
            <v>0</v>
          </cell>
          <cell r="K37">
            <v>-8.333333333333337E-2</v>
          </cell>
          <cell r="L37">
            <v>0.18181818181818188</v>
          </cell>
          <cell r="M37">
            <v>0.61538461538461542</v>
          </cell>
          <cell r="N37">
            <v>0.33333333333333326</v>
          </cell>
          <cell r="O37">
            <v>0.25</v>
          </cell>
          <cell r="P37">
            <v>-0.7142857142857143</v>
          </cell>
          <cell r="Q37">
            <v>0.10000000000000009</v>
          </cell>
          <cell r="R37">
            <v>0.13636363636363646</v>
          </cell>
          <cell r="S37">
            <v>1.08</v>
          </cell>
          <cell r="T37">
            <v>22</v>
          </cell>
          <cell r="U37">
            <v>20</v>
          </cell>
          <cell r="V37">
            <v>42</v>
          </cell>
          <cell r="W37">
            <v>10</v>
          </cell>
          <cell r="X37">
            <v>20</v>
          </cell>
          <cell r="Y37">
            <v>30</v>
          </cell>
          <cell r="Z37">
            <v>72</v>
          </cell>
        </row>
        <row r="38">
          <cell r="A38" t="str">
            <v>Large Cabin</v>
          </cell>
          <cell r="T38">
            <v>9</v>
          </cell>
          <cell r="U38">
            <v>6</v>
          </cell>
          <cell r="V38">
            <v>15</v>
          </cell>
          <cell r="W38">
            <v>1</v>
          </cell>
          <cell r="X38">
            <v>4</v>
          </cell>
          <cell r="Y38">
            <v>5</v>
          </cell>
          <cell r="Z38">
            <v>20</v>
          </cell>
        </row>
        <row r="39">
          <cell r="A39" t="str">
            <v>G300/350</v>
          </cell>
          <cell r="K39">
            <v>6</v>
          </cell>
          <cell r="L39">
            <v>7</v>
          </cell>
          <cell r="M39">
            <v>6</v>
          </cell>
          <cell r="N39">
            <v>2</v>
          </cell>
          <cell r="O39">
            <v>2</v>
          </cell>
          <cell r="P39">
            <v>2</v>
          </cell>
          <cell r="Q39">
            <v>2</v>
          </cell>
          <cell r="R39">
            <v>1</v>
          </cell>
          <cell r="S39">
            <v>1</v>
          </cell>
          <cell r="T39">
            <v>31</v>
          </cell>
          <cell r="U39">
            <v>26</v>
          </cell>
          <cell r="V39">
            <v>57</v>
          </cell>
          <cell r="W39">
            <v>11</v>
          </cell>
          <cell r="X39">
            <v>24</v>
          </cell>
          <cell r="Y39">
            <v>35</v>
          </cell>
          <cell r="Z39">
            <v>92</v>
          </cell>
        </row>
        <row r="40">
          <cell r="A40" t="str">
            <v>G400 (GIV/IVSP)</v>
          </cell>
          <cell r="B40">
            <v>26</v>
          </cell>
          <cell r="C40">
            <v>24</v>
          </cell>
          <cell r="D40">
            <v>22</v>
          </cell>
          <cell r="E40">
            <v>32</v>
          </cell>
          <cell r="F40">
            <v>39</v>
          </cell>
          <cell r="G40">
            <v>38</v>
          </cell>
          <cell r="H40">
            <v>36</v>
          </cell>
          <cell r="I40">
            <v>29</v>
          </cell>
          <cell r="J40">
            <v>27</v>
          </cell>
          <cell r="K40">
            <v>26</v>
          </cell>
          <cell r="T40">
            <v>22</v>
          </cell>
          <cell r="U40">
            <v>22</v>
          </cell>
        </row>
        <row r="41">
          <cell r="A41" t="str">
            <v>G450</v>
          </cell>
          <cell r="L41">
            <v>28</v>
          </cell>
          <cell r="M41">
            <v>30</v>
          </cell>
          <cell r="N41">
            <v>35</v>
          </cell>
          <cell r="O41">
            <v>35</v>
          </cell>
          <cell r="P41">
            <v>25</v>
          </cell>
          <cell r="Q41">
            <v>25</v>
          </cell>
          <cell r="R41">
            <v>25</v>
          </cell>
          <cell r="S41">
            <v>36</v>
          </cell>
          <cell r="T41">
            <v>15</v>
          </cell>
          <cell r="U41">
            <v>17</v>
          </cell>
        </row>
        <row r="42">
          <cell r="A42" t="str">
            <v>GV</v>
          </cell>
          <cell r="C42">
            <v>3</v>
          </cell>
          <cell r="D42">
            <v>29</v>
          </cell>
          <cell r="E42">
            <v>29</v>
          </cell>
          <cell r="F42">
            <v>31</v>
          </cell>
          <cell r="G42">
            <v>33</v>
          </cell>
          <cell r="H42">
            <v>35</v>
          </cell>
          <cell r="I42">
            <v>32</v>
          </cell>
          <cell r="J42">
            <v>5</v>
          </cell>
          <cell r="T42">
            <v>37</v>
          </cell>
          <cell r="U42">
            <v>39</v>
          </cell>
          <cell r="AA42" t="str">
            <v>- becomes G550</v>
          </cell>
        </row>
        <row r="43">
          <cell r="A43" t="str">
            <v>G500</v>
          </cell>
          <cell r="K43">
            <v>1</v>
          </cell>
          <cell r="L43">
            <v>3</v>
          </cell>
          <cell r="M43">
            <v>4</v>
          </cell>
          <cell r="N43">
            <v>8</v>
          </cell>
          <cell r="O43">
            <v>9</v>
          </cell>
          <cell r="P43">
            <v>7</v>
          </cell>
          <cell r="Q43">
            <v>7</v>
          </cell>
          <cell r="R43">
            <v>9</v>
          </cell>
          <cell r="S43">
            <v>9</v>
          </cell>
        </row>
        <row r="44">
          <cell r="A44" t="str">
            <v>G650</v>
          </cell>
          <cell r="R44">
            <v>0</v>
          </cell>
          <cell r="S44">
            <v>20</v>
          </cell>
          <cell r="T44">
            <v>0</v>
          </cell>
          <cell r="U44">
            <v>-9.0909090909090939E-2</v>
          </cell>
          <cell r="AA44" t="str">
            <v>- first delivs 2011 (grn) EIS 2012 completed by 2012</v>
          </cell>
        </row>
        <row r="45">
          <cell r="A45" t="str">
            <v>G550 - (GVSP)</v>
          </cell>
          <cell r="J45">
            <v>18</v>
          </cell>
          <cell r="K45">
            <v>23</v>
          </cell>
          <cell r="L45">
            <v>25</v>
          </cell>
          <cell r="M45">
            <v>31</v>
          </cell>
          <cell r="N45">
            <v>37</v>
          </cell>
          <cell r="O45">
            <v>42</v>
          </cell>
          <cell r="P45">
            <v>38</v>
          </cell>
          <cell r="Q45">
            <v>36</v>
          </cell>
          <cell r="R45">
            <v>35</v>
          </cell>
          <cell r="S45">
            <v>45</v>
          </cell>
          <cell r="T45">
            <v>-0.4</v>
          </cell>
          <cell r="U45">
            <v>-0.64705882352941169</v>
          </cell>
        </row>
        <row r="46">
          <cell r="A46" t="str">
            <v>-subotal Large Cabin</v>
          </cell>
          <cell r="B46">
            <v>26</v>
          </cell>
          <cell r="C46">
            <v>27</v>
          </cell>
          <cell r="D46">
            <v>51</v>
          </cell>
          <cell r="E46">
            <v>61</v>
          </cell>
          <cell r="F46">
            <v>70</v>
          </cell>
          <cell r="G46">
            <v>71</v>
          </cell>
          <cell r="H46">
            <v>71</v>
          </cell>
          <cell r="I46">
            <v>61</v>
          </cell>
          <cell r="J46">
            <v>50</v>
          </cell>
          <cell r="K46">
            <v>56</v>
          </cell>
          <cell r="L46">
            <v>63</v>
          </cell>
          <cell r="M46">
            <v>71</v>
          </cell>
          <cell r="N46">
            <v>82</v>
          </cell>
          <cell r="O46">
            <v>88</v>
          </cell>
          <cell r="P46">
            <v>72</v>
          </cell>
          <cell r="Q46">
            <v>70</v>
          </cell>
          <cell r="R46">
            <v>70</v>
          </cell>
          <cell r="S46">
            <v>111</v>
          </cell>
          <cell r="T46">
            <v>-0.16216216216216217</v>
          </cell>
          <cell r="U46">
            <v>-0.33333333333333337</v>
          </cell>
          <cell r="AA46" t="str">
            <v>- max capacity @ Savannah=90 (10/05)</v>
          </cell>
        </row>
        <row r="47">
          <cell r="A47" t="str">
            <v>% Ch</v>
          </cell>
          <cell r="D47">
            <v>0.88888888888888884</v>
          </cell>
          <cell r="E47">
            <v>0.19607843137254899</v>
          </cell>
          <cell r="F47">
            <v>0.14754098360655732</v>
          </cell>
          <cell r="G47">
            <v>1.4285714285714235E-2</v>
          </cell>
          <cell r="H47">
            <v>0</v>
          </cell>
          <cell r="I47">
            <v>-0.14084507042253525</v>
          </cell>
          <cell r="J47">
            <v>-0.18032786885245899</v>
          </cell>
          <cell r="K47">
            <v>0.12000000000000011</v>
          </cell>
          <cell r="L47">
            <v>0.125</v>
          </cell>
          <cell r="M47">
            <v>0.12698412698412698</v>
          </cell>
          <cell r="N47">
            <v>0.15492957746478875</v>
          </cell>
          <cell r="O47">
            <v>7.3170731707317138E-2</v>
          </cell>
          <cell r="P47">
            <v>-0.18181818181818177</v>
          </cell>
          <cell r="Q47">
            <v>-2.777777777777779E-2</v>
          </cell>
          <cell r="R47">
            <v>0</v>
          </cell>
          <cell r="S47">
            <v>0.58571428571428563</v>
          </cell>
        </row>
        <row r="48">
          <cell r="A48" t="str">
            <v>guidance by mgmt a/o 1/09</v>
          </cell>
          <cell r="O48">
            <v>90</v>
          </cell>
          <cell r="P48">
            <v>94</v>
          </cell>
          <cell r="Q48">
            <v>94</v>
          </cell>
          <cell r="R48">
            <v>94</v>
          </cell>
        </row>
        <row r="49">
          <cell r="A49" t="str">
            <v>guidance by mgmt a/o 3/09</v>
          </cell>
          <cell r="O49">
            <v>90</v>
          </cell>
          <cell r="P49">
            <v>73</v>
          </cell>
          <cell r="Q49">
            <v>73</v>
          </cell>
          <cell r="R49">
            <v>73</v>
          </cell>
        </row>
        <row r="50">
          <cell r="A50" t="str">
            <v>Total Green Delivs</v>
          </cell>
          <cell r="B50">
            <v>26</v>
          </cell>
          <cell r="C50">
            <v>27</v>
          </cell>
          <cell r="D50">
            <v>51</v>
          </cell>
          <cell r="E50">
            <v>61</v>
          </cell>
          <cell r="F50">
            <v>70</v>
          </cell>
          <cell r="G50">
            <v>71</v>
          </cell>
          <cell r="H50">
            <v>84</v>
          </cell>
          <cell r="I50">
            <v>85</v>
          </cell>
          <cell r="J50">
            <v>74</v>
          </cell>
          <cell r="K50">
            <v>78</v>
          </cell>
          <cell r="L50">
            <v>89</v>
          </cell>
          <cell r="M50">
            <v>113</v>
          </cell>
          <cell r="N50">
            <v>138</v>
          </cell>
          <cell r="O50">
            <v>158</v>
          </cell>
          <cell r="P50">
            <v>92</v>
          </cell>
          <cell r="Q50">
            <v>92</v>
          </cell>
          <cell r="R50">
            <v>95</v>
          </cell>
          <cell r="S50">
            <v>163</v>
          </cell>
        </row>
        <row r="51">
          <cell r="A51" t="str">
            <v>% Ch</v>
          </cell>
          <cell r="D51">
            <v>0.88888888888888884</v>
          </cell>
          <cell r="E51">
            <v>0.19607843137254899</v>
          </cell>
          <cell r="F51">
            <v>0.14754098360655732</v>
          </cell>
          <cell r="G51">
            <v>1.4285714285714235E-2</v>
          </cell>
          <cell r="H51">
            <v>0.18309859154929575</v>
          </cell>
          <cell r="I51">
            <v>1.1904761904761862E-2</v>
          </cell>
          <cell r="J51">
            <v>-0.12941176470588234</v>
          </cell>
          <cell r="K51">
            <v>5.4054054054053946E-2</v>
          </cell>
          <cell r="L51">
            <v>0.14102564102564097</v>
          </cell>
          <cell r="M51">
            <v>0.2696629213483146</v>
          </cell>
          <cell r="N51">
            <v>0.22123893805309724</v>
          </cell>
          <cell r="O51">
            <v>0.14492753623188404</v>
          </cell>
          <cell r="P51">
            <v>-0.41772151898734178</v>
          </cell>
          <cell r="Q51">
            <v>0</v>
          </cell>
          <cell r="R51">
            <v>3.2608695652173836E-2</v>
          </cell>
          <cell r="S51">
            <v>0.71578947368421053</v>
          </cell>
        </row>
        <row r="53">
          <cell r="A53" t="str">
            <v>ASP ($MM)/Plane</v>
          </cell>
          <cell r="V53" t="str">
            <v>- most price recoveries don't occur til 08</v>
          </cell>
        </row>
        <row r="54">
          <cell r="A54" t="str">
            <v>G100</v>
          </cell>
          <cell r="B54">
            <v>0</v>
          </cell>
          <cell r="C54">
            <v>0</v>
          </cell>
          <cell r="D54">
            <v>0</v>
          </cell>
          <cell r="E54">
            <v>0</v>
          </cell>
          <cell r="F54">
            <v>0</v>
          </cell>
          <cell r="G54">
            <v>0</v>
          </cell>
          <cell r="H54">
            <v>12</v>
          </cell>
          <cell r="I54">
            <v>12</v>
          </cell>
          <cell r="J54">
            <v>12</v>
          </cell>
          <cell r="K54">
            <v>12</v>
          </cell>
          <cell r="L54">
            <v>12</v>
          </cell>
          <cell r="M54">
            <v>12</v>
          </cell>
          <cell r="N54">
            <v>12</v>
          </cell>
          <cell r="O54">
            <v>12</v>
          </cell>
          <cell r="P54">
            <v>12</v>
          </cell>
          <cell r="Q54">
            <v>12</v>
          </cell>
          <cell r="R54">
            <v>12</v>
          </cell>
          <cell r="S54">
            <v>12</v>
          </cell>
        </row>
        <row r="55">
          <cell r="A55" t="str">
            <v>G150</v>
          </cell>
          <cell r="B55">
            <v>0</v>
          </cell>
          <cell r="C55">
            <v>0</v>
          </cell>
          <cell r="D55">
            <v>0</v>
          </cell>
          <cell r="E55">
            <v>0</v>
          </cell>
          <cell r="F55">
            <v>0</v>
          </cell>
          <cell r="G55">
            <v>0</v>
          </cell>
          <cell r="H55">
            <v>0</v>
          </cell>
          <cell r="I55">
            <v>0</v>
          </cell>
          <cell r="J55">
            <v>0</v>
          </cell>
          <cell r="K55">
            <v>0</v>
          </cell>
          <cell r="L55">
            <v>12</v>
          </cell>
          <cell r="M55">
            <v>12</v>
          </cell>
          <cell r="N55">
            <v>13</v>
          </cell>
          <cell r="O55">
            <v>12</v>
          </cell>
          <cell r="P55">
            <v>12</v>
          </cell>
          <cell r="Q55">
            <v>12</v>
          </cell>
          <cell r="R55">
            <v>12</v>
          </cell>
          <cell r="S55">
            <v>13</v>
          </cell>
        </row>
        <row r="56">
          <cell r="A56" t="str">
            <v>G200</v>
          </cell>
          <cell r="B56">
            <v>0</v>
          </cell>
          <cell r="C56">
            <v>0</v>
          </cell>
          <cell r="D56">
            <v>0</v>
          </cell>
          <cell r="E56">
            <v>0</v>
          </cell>
          <cell r="F56">
            <v>0</v>
          </cell>
          <cell r="G56">
            <v>0</v>
          </cell>
          <cell r="H56">
            <v>18</v>
          </cell>
          <cell r="I56">
            <v>18</v>
          </cell>
          <cell r="J56">
            <v>18</v>
          </cell>
          <cell r="K56">
            <v>18</v>
          </cell>
          <cell r="L56">
            <v>17</v>
          </cell>
          <cell r="M56">
            <v>17</v>
          </cell>
          <cell r="N56">
            <v>18.18</v>
          </cell>
          <cell r="O56">
            <v>17</v>
          </cell>
          <cell r="P56">
            <v>15</v>
          </cell>
          <cell r="Q56">
            <v>15</v>
          </cell>
          <cell r="R56">
            <v>18</v>
          </cell>
          <cell r="S56">
            <v>18</v>
          </cell>
        </row>
        <row r="57">
          <cell r="A57" t="str">
            <v>G250</v>
          </cell>
          <cell r="R57">
            <v>24</v>
          </cell>
          <cell r="S57">
            <v>24</v>
          </cell>
        </row>
        <row r="58">
          <cell r="A58" t="str">
            <v>G300/350</v>
          </cell>
          <cell r="B58">
            <v>0</v>
          </cell>
          <cell r="C58">
            <v>0</v>
          </cell>
          <cell r="D58">
            <v>0</v>
          </cell>
          <cell r="E58">
            <v>0</v>
          </cell>
          <cell r="F58">
            <v>0</v>
          </cell>
          <cell r="G58">
            <v>0</v>
          </cell>
          <cell r="H58">
            <v>0</v>
          </cell>
          <cell r="I58">
            <v>0</v>
          </cell>
          <cell r="J58">
            <v>21</v>
          </cell>
          <cell r="K58">
            <v>22</v>
          </cell>
          <cell r="L58">
            <v>23</v>
          </cell>
          <cell r="M58">
            <v>23</v>
          </cell>
          <cell r="N58">
            <v>24</v>
          </cell>
          <cell r="O58">
            <v>22</v>
          </cell>
          <cell r="P58">
            <v>28</v>
          </cell>
          <cell r="Q58">
            <v>28</v>
          </cell>
          <cell r="R58">
            <v>28</v>
          </cell>
          <cell r="S58">
            <v>28</v>
          </cell>
        </row>
        <row r="59">
          <cell r="A59" t="str">
            <v>G400 (GIV/IVSP)</v>
          </cell>
          <cell r="B59">
            <v>23.6</v>
          </cell>
          <cell r="C59">
            <v>24</v>
          </cell>
          <cell r="D59">
            <v>24.15</v>
          </cell>
          <cell r="E59">
            <v>24.45</v>
          </cell>
          <cell r="F59">
            <v>24.5</v>
          </cell>
          <cell r="G59">
            <v>24.35</v>
          </cell>
          <cell r="H59">
            <v>24.1</v>
          </cell>
          <cell r="I59">
            <v>24.17</v>
          </cell>
          <cell r="J59">
            <v>22.5</v>
          </cell>
          <cell r="K59">
            <v>23.175000000000001</v>
          </cell>
          <cell r="L59">
            <v>24</v>
          </cell>
        </row>
        <row r="60">
          <cell r="A60" t="str">
            <v>G450</v>
          </cell>
          <cell r="B60">
            <v>0</v>
          </cell>
          <cell r="C60">
            <v>0</v>
          </cell>
          <cell r="D60">
            <v>0</v>
          </cell>
          <cell r="E60">
            <v>0</v>
          </cell>
          <cell r="F60">
            <v>0</v>
          </cell>
          <cell r="G60">
            <v>0</v>
          </cell>
          <cell r="H60">
            <v>0</v>
          </cell>
          <cell r="I60">
            <v>0</v>
          </cell>
          <cell r="J60">
            <v>0</v>
          </cell>
          <cell r="K60">
            <v>0</v>
          </cell>
          <cell r="L60">
            <v>28</v>
          </cell>
          <cell r="M60">
            <v>28</v>
          </cell>
          <cell r="N60">
            <v>28</v>
          </cell>
          <cell r="O60">
            <v>30</v>
          </cell>
          <cell r="P60">
            <v>30</v>
          </cell>
          <cell r="Q60">
            <v>32</v>
          </cell>
          <cell r="R60">
            <v>33.5</v>
          </cell>
          <cell r="S60">
            <v>33.5</v>
          </cell>
        </row>
        <row r="61">
          <cell r="A61" t="str">
            <v>GV</v>
          </cell>
          <cell r="B61">
            <v>0</v>
          </cell>
          <cell r="C61">
            <v>30</v>
          </cell>
          <cell r="D61">
            <v>30</v>
          </cell>
          <cell r="E61">
            <v>33</v>
          </cell>
          <cell r="F61">
            <v>33</v>
          </cell>
          <cell r="G61">
            <v>34</v>
          </cell>
          <cell r="H61">
            <v>36.15</v>
          </cell>
          <cell r="I61">
            <v>32.238999999999997</v>
          </cell>
          <cell r="J61">
            <v>31</v>
          </cell>
          <cell r="K61">
            <v>32</v>
          </cell>
          <cell r="L61">
            <v>32</v>
          </cell>
          <cell r="M61">
            <v>30</v>
          </cell>
          <cell r="N61">
            <v>30</v>
          </cell>
          <cell r="O61">
            <v>32</v>
          </cell>
          <cell r="P61">
            <v>33</v>
          </cell>
          <cell r="Q61">
            <v>33</v>
          </cell>
          <cell r="R61">
            <v>33</v>
          </cell>
          <cell r="S61">
            <v>33</v>
          </cell>
        </row>
        <row r="62">
          <cell r="A62" t="str">
            <v>G500</v>
          </cell>
          <cell r="B62">
            <v>0</v>
          </cell>
          <cell r="C62">
            <v>0</v>
          </cell>
          <cell r="D62">
            <v>0</v>
          </cell>
          <cell r="E62">
            <v>0</v>
          </cell>
          <cell r="F62">
            <v>0</v>
          </cell>
          <cell r="G62">
            <v>0</v>
          </cell>
          <cell r="H62">
            <v>0</v>
          </cell>
          <cell r="I62">
            <v>0</v>
          </cell>
          <cell r="J62">
            <v>0</v>
          </cell>
          <cell r="K62">
            <v>35</v>
          </cell>
          <cell r="L62">
            <v>34</v>
          </cell>
          <cell r="M62">
            <v>32</v>
          </cell>
          <cell r="N62">
            <v>33</v>
          </cell>
          <cell r="O62">
            <v>34</v>
          </cell>
          <cell r="P62">
            <v>34</v>
          </cell>
          <cell r="Q62">
            <v>35</v>
          </cell>
          <cell r="R62">
            <v>38</v>
          </cell>
          <cell r="S62">
            <v>38</v>
          </cell>
        </row>
        <row r="63">
          <cell r="A63" t="str">
            <v>G650</v>
          </cell>
          <cell r="R63">
            <v>55</v>
          </cell>
          <cell r="S63">
            <v>60</v>
          </cell>
          <cell r="V63" t="str">
            <v>- launch customer discounts = $58, $62MM all's told</v>
          </cell>
        </row>
        <row r="64">
          <cell r="A64" t="str">
            <v>G550 - (GVSP)</v>
          </cell>
          <cell r="B64">
            <v>0</v>
          </cell>
          <cell r="C64">
            <v>0</v>
          </cell>
          <cell r="D64">
            <v>0</v>
          </cell>
          <cell r="E64">
            <v>0</v>
          </cell>
          <cell r="F64">
            <v>0</v>
          </cell>
          <cell r="G64">
            <v>0</v>
          </cell>
          <cell r="H64">
            <v>0</v>
          </cell>
          <cell r="I64">
            <v>32</v>
          </cell>
          <cell r="J64">
            <v>32.700000000000003</v>
          </cell>
          <cell r="K64">
            <v>36</v>
          </cell>
          <cell r="L64">
            <v>36</v>
          </cell>
          <cell r="M64">
            <v>36</v>
          </cell>
          <cell r="N64">
            <v>37</v>
          </cell>
          <cell r="O64">
            <v>39</v>
          </cell>
          <cell r="P64">
            <v>40</v>
          </cell>
          <cell r="Q64">
            <v>40</v>
          </cell>
          <cell r="R64">
            <v>42</v>
          </cell>
          <cell r="S64">
            <v>42</v>
          </cell>
          <cell r="V64" t="str">
            <v>- GAC says $40MM, 8/05=$46</v>
          </cell>
        </row>
        <row r="66">
          <cell r="A66" t="str">
            <v>Revenues/Plane</v>
          </cell>
        </row>
        <row r="67">
          <cell r="A67" t="str">
            <v>G100</v>
          </cell>
          <cell r="H67">
            <v>60</v>
          </cell>
          <cell r="I67">
            <v>168</v>
          </cell>
          <cell r="J67">
            <v>120</v>
          </cell>
          <cell r="K67">
            <v>84</v>
          </cell>
          <cell r="L67">
            <v>96</v>
          </cell>
          <cell r="M67">
            <v>12</v>
          </cell>
          <cell r="N67">
            <v>0</v>
          </cell>
          <cell r="O67">
            <v>0</v>
          </cell>
          <cell r="P67">
            <v>0</v>
          </cell>
          <cell r="Q67">
            <v>0</v>
          </cell>
          <cell r="R67">
            <v>0</v>
          </cell>
          <cell r="S67">
            <v>0</v>
          </cell>
        </row>
        <row r="68">
          <cell r="A68" t="str">
            <v>G150</v>
          </cell>
          <cell r="H68">
            <v>0</v>
          </cell>
          <cell r="I68">
            <v>0</v>
          </cell>
          <cell r="J68">
            <v>0</v>
          </cell>
          <cell r="K68">
            <v>0</v>
          </cell>
          <cell r="L68">
            <v>0</v>
          </cell>
          <cell r="M68">
            <v>168</v>
          </cell>
          <cell r="N68">
            <v>351</v>
          </cell>
          <cell r="O68">
            <v>420</v>
          </cell>
          <cell r="P68">
            <v>120</v>
          </cell>
          <cell r="Q68">
            <v>120</v>
          </cell>
          <cell r="R68">
            <v>144</v>
          </cell>
          <cell r="S68">
            <v>156</v>
          </cell>
        </row>
        <row r="69">
          <cell r="A69" t="str">
            <v>G200</v>
          </cell>
          <cell r="H69">
            <v>144</v>
          </cell>
          <cell r="I69">
            <v>180</v>
          </cell>
          <cell r="J69">
            <v>252</v>
          </cell>
          <cell r="K69">
            <v>270</v>
          </cell>
          <cell r="L69">
            <v>306</v>
          </cell>
          <cell r="M69">
            <v>459</v>
          </cell>
          <cell r="N69">
            <v>527.22</v>
          </cell>
          <cell r="O69">
            <v>595</v>
          </cell>
          <cell r="P69">
            <v>150</v>
          </cell>
          <cell r="Q69">
            <v>180</v>
          </cell>
          <cell r="R69">
            <v>144</v>
          </cell>
          <cell r="S69">
            <v>180</v>
          </cell>
        </row>
        <row r="70">
          <cell r="A70" t="str">
            <v>subtotal Midsize</v>
          </cell>
          <cell r="H70">
            <v>204</v>
          </cell>
          <cell r="I70">
            <v>348</v>
          </cell>
          <cell r="J70">
            <v>372</v>
          </cell>
          <cell r="K70">
            <v>354</v>
          </cell>
          <cell r="L70">
            <v>402</v>
          </cell>
          <cell r="M70">
            <v>639</v>
          </cell>
          <cell r="N70">
            <v>878.22</v>
          </cell>
          <cell r="O70">
            <v>1015</v>
          </cell>
          <cell r="P70">
            <v>270</v>
          </cell>
          <cell r="Q70">
            <v>300</v>
          </cell>
          <cell r="R70">
            <v>288</v>
          </cell>
          <cell r="S70">
            <v>336</v>
          </cell>
        </row>
        <row r="71">
          <cell r="A71" t="str">
            <v>% Ch</v>
          </cell>
          <cell r="I71">
            <v>0.70588235294117641</v>
          </cell>
          <cell r="J71">
            <v>6.8965517241379226E-2</v>
          </cell>
          <cell r="K71">
            <v>-4.8387096774193505E-2</v>
          </cell>
          <cell r="L71">
            <v>0.13559322033898313</v>
          </cell>
          <cell r="M71">
            <v>0.58955223880597019</v>
          </cell>
          <cell r="N71">
            <v>0.37436619718309871</v>
          </cell>
          <cell r="O71">
            <v>0.15574685158616286</v>
          </cell>
          <cell r="P71">
            <v>-0.73399014778325122</v>
          </cell>
          <cell r="Q71">
            <v>0.11111111111111116</v>
          </cell>
          <cell r="R71">
            <v>-4.0000000000000036E-2</v>
          </cell>
          <cell r="S71">
            <v>0.16666666666666674</v>
          </cell>
        </row>
        <row r="72">
          <cell r="A72" t="str">
            <v>Large Cabin</v>
          </cell>
        </row>
        <row r="73">
          <cell r="A73" t="str">
            <v>G300</v>
          </cell>
          <cell r="K73">
            <v>132</v>
          </cell>
          <cell r="L73">
            <v>161</v>
          </cell>
          <cell r="M73">
            <v>138</v>
          </cell>
          <cell r="N73">
            <v>48</v>
          </cell>
          <cell r="O73">
            <v>44</v>
          </cell>
          <cell r="P73">
            <v>56</v>
          </cell>
          <cell r="Q73">
            <v>56</v>
          </cell>
          <cell r="R73">
            <v>28</v>
          </cell>
          <cell r="S73">
            <v>28</v>
          </cell>
        </row>
        <row r="74">
          <cell r="A74" t="str">
            <v>G400 (GIV/IVSP)</v>
          </cell>
          <cell r="B74">
            <v>613.6</v>
          </cell>
          <cell r="C74">
            <v>576</v>
          </cell>
          <cell r="D74">
            <v>531.29999999999995</v>
          </cell>
          <cell r="E74">
            <v>782.4</v>
          </cell>
          <cell r="F74">
            <v>955.5</v>
          </cell>
          <cell r="G74">
            <v>925.30000000000007</v>
          </cell>
          <cell r="H74">
            <v>867.6</v>
          </cell>
          <cell r="I74">
            <v>700.93000000000006</v>
          </cell>
          <cell r="J74">
            <v>607.5</v>
          </cell>
          <cell r="K74">
            <v>602.55000000000007</v>
          </cell>
          <cell r="L74">
            <v>0</v>
          </cell>
          <cell r="M74">
            <v>0</v>
          </cell>
          <cell r="N74">
            <v>0</v>
          </cell>
          <cell r="O74">
            <v>0</v>
          </cell>
          <cell r="P74">
            <v>0</v>
          </cell>
          <cell r="Q74">
            <v>0</v>
          </cell>
          <cell r="R74">
            <v>0</v>
          </cell>
          <cell r="S74">
            <v>0</v>
          </cell>
        </row>
        <row r="75">
          <cell r="A75" t="str">
            <v>G450</v>
          </cell>
          <cell r="L75">
            <v>784</v>
          </cell>
          <cell r="M75">
            <v>840</v>
          </cell>
          <cell r="N75">
            <v>980</v>
          </cell>
          <cell r="O75">
            <v>1050</v>
          </cell>
          <cell r="P75">
            <v>750</v>
          </cell>
          <cell r="Q75">
            <v>800</v>
          </cell>
          <cell r="R75">
            <v>837.5</v>
          </cell>
          <cell r="S75">
            <v>1206</v>
          </cell>
        </row>
        <row r="76">
          <cell r="A76" t="str">
            <v>GV</v>
          </cell>
          <cell r="B76">
            <v>0</v>
          </cell>
          <cell r="C76">
            <v>90</v>
          </cell>
          <cell r="D76">
            <v>870</v>
          </cell>
          <cell r="E76">
            <v>957</v>
          </cell>
          <cell r="F76">
            <v>1023</v>
          </cell>
          <cell r="G76">
            <v>1122</v>
          </cell>
          <cell r="H76">
            <v>1265.25</v>
          </cell>
          <cell r="I76">
            <v>1031.6479999999999</v>
          </cell>
          <cell r="J76">
            <v>155</v>
          </cell>
        </row>
        <row r="77">
          <cell r="A77" t="str">
            <v>G500</v>
          </cell>
          <cell r="K77">
            <v>35</v>
          </cell>
          <cell r="L77">
            <v>102</v>
          </cell>
          <cell r="M77">
            <v>128</v>
          </cell>
          <cell r="N77">
            <v>264</v>
          </cell>
          <cell r="O77">
            <v>306</v>
          </cell>
          <cell r="P77">
            <v>238</v>
          </cell>
          <cell r="Q77">
            <v>245</v>
          </cell>
          <cell r="R77">
            <v>342</v>
          </cell>
          <cell r="S77">
            <v>342</v>
          </cell>
        </row>
        <row r="78">
          <cell r="A78" t="str">
            <v>G550 - (GVSP)</v>
          </cell>
          <cell r="J78">
            <v>588.6</v>
          </cell>
          <cell r="K78">
            <v>828</v>
          </cell>
          <cell r="L78">
            <v>900</v>
          </cell>
          <cell r="M78">
            <v>1116</v>
          </cell>
          <cell r="N78">
            <v>1369</v>
          </cell>
          <cell r="O78">
            <v>1638</v>
          </cell>
          <cell r="P78">
            <v>1520</v>
          </cell>
          <cell r="Q78">
            <v>1440</v>
          </cell>
          <cell r="R78">
            <v>1470</v>
          </cell>
          <cell r="S78">
            <v>1890</v>
          </cell>
        </row>
        <row r="79">
          <cell r="A79" t="str">
            <v>-subotal Large Cabin</v>
          </cell>
          <cell r="B79">
            <v>613.6</v>
          </cell>
          <cell r="C79">
            <v>666</v>
          </cell>
          <cell r="D79">
            <v>1401.3</v>
          </cell>
          <cell r="E79">
            <v>1739.4</v>
          </cell>
          <cell r="F79">
            <v>1978.5</v>
          </cell>
          <cell r="G79">
            <v>2047.3000000000002</v>
          </cell>
          <cell r="H79">
            <v>2132.85</v>
          </cell>
          <cell r="I79">
            <v>1732.578</v>
          </cell>
          <cell r="J79">
            <v>1351.1</v>
          </cell>
          <cell r="K79">
            <v>1597.5500000000002</v>
          </cell>
          <cell r="L79">
            <v>1947</v>
          </cell>
          <cell r="M79">
            <v>2222</v>
          </cell>
          <cell r="N79">
            <v>2661</v>
          </cell>
          <cell r="O79">
            <v>3038</v>
          </cell>
          <cell r="P79">
            <v>2564</v>
          </cell>
          <cell r="Q79">
            <v>2541</v>
          </cell>
          <cell r="R79">
            <v>2677.5</v>
          </cell>
          <cell r="S79">
            <v>3466</v>
          </cell>
        </row>
        <row r="80">
          <cell r="A80" t="str">
            <v>% Ch</v>
          </cell>
          <cell r="C80">
            <v>8.539765319426329E-2</v>
          </cell>
          <cell r="D80">
            <v>1.1040540540540538</v>
          </cell>
          <cell r="E80">
            <v>0.24127595803896384</v>
          </cell>
          <cell r="F80">
            <v>0.13746119351500519</v>
          </cell>
          <cell r="G80">
            <v>3.4773818549406199E-2</v>
          </cell>
          <cell r="H80">
            <v>4.17867435158501E-2</v>
          </cell>
          <cell r="I80">
            <v>-0.18767001898867708</v>
          </cell>
          <cell r="J80">
            <v>-0.22017940895013099</v>
          </cell>
          <cell r="K80">
            <v>0.18240692768855027</v>
          </cell>
          <cell r="L80">
            <v>0.21874119745860843</v>
          </cell>
          <cell r="M80">
            <v>0.14124293785310726</v>
          </cell>
          <cell r="N80">
            <v>0.19756975697569756</v>
          </cell>
          <cell r="O80">
            <v>0.1416760616309658</v>
          </cell>
          <cell r="P80">
            <v>-0.15602369980250164</v>
          </cell>
          <cell r="Q80">
            <v>-8.970358814352597E-3</v>
          </cell>
          <cell r="R80">
            <v>5.3719008264462742E-2</v>
          </cell>
          <cell r="S80">
            <v>0.2944911297852475</v>
          </cell>
        </row>
        <row r="82">
          <cell r="A82" t="str">
            <v>TOTAL GREEN  SALES</v>
          </cell>
          <cell r="B82">
            <v>613.6</v>
          </cell>
          <cell r="C82">
            <v>666</v>
          </cell>
          <cell r="D82">
            <v>1401.3</v>
          </cell>
          <cell r="E82">
            <v>1739.4</v>
          </cell>
          <cell r="F82">
            <v>1978.5</v>
          </cell>
          <cell r="G82">
            <v>2047.3000000000002</v>
          </cell>
          <cell r="H82">
            <v>2336.85</v>
          </cell>
          <cell r="I82">
            <v>2080.578</v>
          </cell>
          <cell r="J82">
            <v>1723.1</v>
          </cell>
          <cell r="K82">
            <v>1951.5500000000002</v>
          </cell>
          <cell r="L82">
            <v>2349</v>
          </cell>
          <cell r="M82">
            <v>2861</v>
          </cell>
          <cell r="N82">
            <v>3539.2200000000003</v>
          </cell>
          <cell r="O82">
            <v>4053</v>
          </cell>
          <cell r="P82">
            <v>2834</v>
          </cell>
          <cell r="Q82">
            <v>2841</v>
          </cell>
          <cell r="R82">
            <v>2965.5</v>
          </cell>
          <cell r="S82">
            <v>3802</v>
          </cell>
        </row>
        <row r="83">
          <cell r="A83" t="str">
            <v>% Ch</v>
          </cell>
          <cell r="C83">
            <v>8.539765319426329E-2</v>
          </cell>
          <cell r="D83">
            <v>1.1040540540540538</v>
          </cell>
          <cell r="E83">
            <v>0.24127595803896384</v>
          </cell>
          <cell r="F83">
            <v>0.13746119351500519</v>
          </cell>
          <cell r="G83">
            <v>3.4773818549406199E-2</v>
          </cell>
          <cell r="H83">
            <v>0.14143017632980004</v>
          </cell>
          <cell r="I83">
            <v>-0.10966557545413691</v>
          </cell>
          <cell r="J83">
            <v>-0.17181667786547783</v>
          </cell>
          <cell r="K83">
            <v>0.13258081364981744</v>
          </cell>
          <cell r="L83">
            <v>0.20365863031948961</v>
          </cell>
          <cell r="M83">
            <v>0.21796509152831001</v>
          </cell>
          <cell r="N83">
            <v>0.23705697308633344</v>
          </cell>
          <cell r="O83">
            <v>0.1451675792971332</v>
          </cell>
          <cell r="P83">
            <v>-0.30076486553170489</v>
          </cell>
          <cell r="Q83">
            <v>2.4700070571630484E-3</v>
          </cell>
          <cell r="R83">
            <v>4.3822597676874242E-2</v>
          </cell>
          <cell r="S83">
            <v>0.282077221379194</v>
          </cell>
        </row>
        <row r="85">
          <cell r="A85" t="str">
            <v>Completions (#)</v>
          </cell>
        </row>
        <row r="86">
          <cell r="A86" t="str">
            <v>Midsize</v>
          </cell>
          <cell r="B86">
            <v>0</v>
          </cell>
          <cell r="C86">
            <v>0</v>
          </cell>
          <cell r="D86">
            <v>0</v>
          </cell>
          <cell r="E86">
            <v>0</v>
          </cell>
          <cell r="F86">
            <v>0</v>
          </cell>
          <cell r="G86">
            <v>0</v>
          </cell>
          <cell r="H86">
            <v>0</v>
          </cell>
          <cell r="I86">
            <v>26</v>
          </cell>
          <cell r="J86">
            <v>25</v>
          </cell>
          <cell r="K86">
            <v>25</v>
          </cell>
          <cell r="L86">
            <v>24</v>
          </cell>
          <cell r="M86">
            <v>33</v>
          </cell>
          <cell r="N86">
            <v>53</v>
          </cell>
          <cell r="O86">
            <v>70</v>
          </cell>
          <cell r="P86">
            <v>20</v>
          </cell>
          <cell r="Q86">
            <v>22</v>
          </cell>
          <cell r="R86">
            <v>25</v>
          </cell>
          <cell r="S86">
            <v>52</v>
          </cell>
        </row>
        <row r="87">
          <cell r="A87" t="str">
            <v>Large cabin</v>
          </cell>
          <cell r="B87">
            <v>29</v>
          </cell>
          <cell r="C87">
            <v>27</v>
          </cell>
          <cell r="D87">
            <v>26</v>
          </cell>
          <cell r="E87">
            <v>46</v>
          </cell>
          <cell r="F87">
            <v>68</v>
          </cell>
          <cell r="G87">
            <v>77</v>
          </cell>
          <cell r="H87">
            <v>71</v>
          </cell>
          <cell r="I87">
            <v>68</v>
          </cell>
          <cell r="J87">
            <v>49</v>
          </cell>
          <cell r="K87">
            <v>52</v>
          </cell>
          <cell r="L87">
            <v>60</v>
          </cell>
          <cell r="M87">
            <v>71</v>
          </cell>
          <cell r="N87">
            <v>85</v>
          </cell>
          <cell r="O87">
            <v>88</v>
          </cell>
          <cell r="P87">
            <v>72</v>
          </cell>
          <cell r="Q87">
            <v>70</v>
          </cell>
          <cell r="R87">
            <v>70</v>
          </cell>
          <cell r="S87">
            <v>111</v>
          </cell>
        </row>
        <row r="88">
          <cell r="A88" t="str">
            <v>Total Completions</v>
          </cell>
          <cell r="B88">
            <v>29</v>
          </cell>
          <cell r="C88">
            <v>27</v>
          </cell>
          <cell r="D88">
            <v>26</v>
          </cell>
          <cell r="E88">
            <v>46</v>
          </cell>
          <cell r="F88">
            <v>68</v>
          </cell>
          <cell r="G88">
            <v>77</v>
          </cell>
          <cell r="H88">
            <v>71</v>
          </cell>
          <cell r="I88">
            <v>94</v>
          </cell>
          <cell r="J88">
            <v>74</v>
          </cell>
          <cell r="K88">
            <v>77</v>
          </cell>
          <cell r="L88">
            <v>84</v>
          </cell>
          <cell r="M88">
            <v>104</v>
          </cell>
          <cell r="N88">
            <v>138</v>
          </cell>
          <cell r="O88">
            <v>158</v>
          </cell>
          <cell r="P88">
            <v>92</v>
          </cell>
          <cell r="Q88">
            <v>92</v>
          </cell>
          <cell r="R88">
            <v>95</v>
          </cell>
          <cell r="S88">
            <v>163</v>
          </cell>
        </row>
        <row r="90">
          <cell r="A90" t="str">
            <v>ASP/Completion ($MM)</v>
          </cell>
        </row>
        <row r="91">
          <cell r="A91" t="str">
            <v>Midsize</v>
          </cell>
          <cell r="B91">
            <v>0</v>
          </cell>
          <cell r="C91">
            <v>0</v>
          </cell>
          <cell r="D91">
            <v>0</v>
          </cell>
          <cell r="E91">
            <v>0</v>
          </cell>
          <cell r="F91">
            <v>0</v>
          </cell>
          <cell r="G91">
            <v>0</v>
          </cell>
          <cell r="H91">
            <v>3</v>
          </cell>
          <cell r="I91">
            <v>2.5</v>
          </cell>
          <cell r="J91">
            <v>3</v>
          </cell>
          <cell r="K91">
            <v>3</v>
          </cell>
          <cell r="L91">
            <v>3</v>
          </cell>
          <cell r="M91">
            <v>3</v>
          </cell>
          <cell r="N91">
            <v>3</v>
          </cell>
          <cell r="O91">
            <v>3</v>
          </cell>
          <cell r="P91">
            <v>3</v>
          </cell>
          <cell r="Q91">
            <v>3</v>
          </cell>
          <cell r="R91">
            <v>4.5</v>
          </cell>
          <cell r="S91">
            <v>4.5</v>
          </cell>
        </row>
        <row r="92">
          <cell r="A92" t="str">
            <v>Large cabin</v>
          </cell>
          <cell r="B92">
            <v>2</v>
          </cell>
          <cell r="C92">
            <v>2.78</v>
          </cell>
          <cell r="D92">
            <v>3.54</v>
          </cell>
          <cell r="E92">
            <v>4.0049999999999999</v>
          </cell>
          <cell r="F92">
            <v>4.0549999999999997</v>
          </cell>
          <cell r="G92">
            <v>4</v>
          </cell>
          <cell r="H92">
            <v>5.03</v>
          </cell>
          <cell r="I92">
            <v>5.09</v>
          </cell>
          <cell r="J92">
            <v>5.52</v>
          </cell>
          <cell r="K92">
            <v>5.5</v>
          </cell>
          <cell r="L92">
            <v>5.5</v>
          </cell>
          <cell r="M92">
            <v>5.37</v>
          </cell>
          <cell r="N92">
            <v>5</v>
          </cell>
          <cell r="O92">
            <v>7</v>
          </cell>
          <cell r="P92">
            <v>8</v>
          </cell>
          <cell r="Q92">
            <v>8</v>
          </cell>
          <cell r="R92">
            <v>8</v>
          </cell>
          <cell r="S92">
            <v>8</v>
          </cell>
        </row>
        <row r="94">
          <cell r="A94" t="str">
            <v>Completion Sales ($MM)</v>
          </cell>
        </row>
        <row r="95">
          <cell r="A95" t="str">
            <v>Midsize</v>
          </cell>
          <cell r="B95">
            <v>0</v>
          </cell>
          <cell r="C95">
            <v>0</v>
          </cell>
          <cell r="D95">
            <v>0</v>
          </cell>
          <cell r="E95">
            <v>0</v>
          </cell>
          <cell r="F95">
            <v>0</v>
          </cell>
          <cell r="G95">
            <v>0</v>
          </cell>
          <cell r="H95">
            <v>0</v>
          </cell>
          <cell r="I95">
            <v>65</v>
          </cell>
          <cell r="J95">
            <v>75</v>
          </cell>
          <cell r="K95">
            <v>75</v>
          </cell>
          <cell r="L95">
            <v>72</v>
          </cell>
          <cell r="M95">
            <v>99</v>
          </cell>
          <cell r="N95">
            <v>159</v>
          </cell>
          <cell r="O95">
            <v>210</v>
          </cell>
          <cell r="P95">
            <v>60</v>
          </cell>
          <cell r="Q95">
            <v>66</v>
          </cell>
          <cell r="R95">
            <v>112.5</v>
          </cell>
          <cell r="S95">
            <v>234</v>
          </cell>
        </row>
        <row r="96">
          <cell r="A96" t="str">
            <v>Large cabin</v>
          </cell>
          <cell r="B96">
            <v>58</v>
          </cell>
          <cell r="C96">
            <v>75.059999999999988</v>
          </cell>
          <cell r="D96">
            <v>92.04</v>
          </cell>
          <cell r="E96">
            <v>184.23</v>
          </cell>
          <cell r="F96">
            <v>275.74</v>
          </cell>
          <cell r="G96">
            <v>308</v>
          </cell>
          <cell r="H96">
            <v>357.13</v>
          </cell>
          <cell r="I96">
            <v>346.12</v>
          </cell>
          <cell r="J96">
            <v>270.47999999999996</v>
          </cell>
          <cell r="K96">
            <v>286</v>
          </cell>
          <cell r="L96">
            <v>330</v>
          </cell>
          <cell r="M96">
            <v>381.27</v>
          </cell>
          <cell r="N96">
            <v>425</v>
          </cell>
          <cell r="O96">
            <v>616</v>
          </cell>
          <cell r="P96">
            <v>576</v>
          </cell>
          <cell r="Q96">
            <v>560</v>
          </cell>
          <cell r="R96">
            <v>560</v>
          </cell>
          <cell r="S96">
            <v>888</v>
          </cell>
        </row>
        <row r="97">
          <cell r="A97" t="str">
            <v>Total Completions</v>
          </cell>
          <cell r="B97">
            <v>58</v>
          </cell>
          <cell r="C97">
            <v>75.059999999999988</v>
          </cell>
          <cell r="D97">
            <v>92.04</v>
          </cell>
          <cell r="E97">
            <v>184.23</v>
          </cell>
          <cell r="F97">
            <v>275.74</v>
          </cell>
          <cell r="G97">
            <v>308</v>
          </cell>
          <cell r="H97">
            <v>357.13</v>
          </cell>
          <cell r="I97">
            <v>411.12</v>
          </cell>
          <cell r="J97">
            <v>345.47999999999996</v>
          </cell>
          <cell r="K97">
            <v>361</v>
          </cell>
          <cell r="L97">
            <v>402</v>
          </cell>
          <cell r="M97">
            <v>480.27</v>
          </cell>
          <cell r="N97">
            <v>584</v>
          </cell>
          <cell r="O97">
            <v>826</v>
          </cell>
          <cell r="P97">
            <v>636</v>
          </cell>
          <cell r="Q97">
            <v>626</v>
          </cell>
          <cell r="R97">
            <v>672.5</v>
          </cell>
          <cell r="S97">
            <v>1122</v>
          </cell>
        </row>
        <row r="98">
          <cell r="A98" t="str">
            <v>% Ch</v>
          </cell>
          <cell r="C98">
            <v>0.29413793103448249</v>
          </cell>
          <cell r="D98">
            <v>0.22621902478017608</v>
          </cell>
          <cell r="E98">
            <v>1.001629726205997</v>
          </cell>
          <cell r="F98">
            <v>0.49671606144493308</v>
          </cell>
          <cell r="G98">
            <v>0.11699426996445927</v>
          </cell>
          <cell r="H98">
            <v>0.159512987012987</v>
          </cell>
          <cell r="I98">
            <v>0.15117744238792596</v>
          </cell>
          <cell r="J98">
            <v>-0.15966141272621148</v>
          </cell>
          <cell r="K98">
            <v>4.4923005673266347E-2</v>
          </cell>
          <cell r="L98">
            <v>0.11357340720221609</v>
          </cell>
          <cell r="M98">
            <v>0.19470149253731339</v>
          </cell>
          <cell r="N98">
            <v>0.2159826764111854</v>
          </cell>
          <cell r="O98">
            <v>0.41438356164383561</v>
          </cell>
          <cell r="P98">
            <v>-0.23002421307506049</v>
          </cell>
          <cell r="Q98">
            <v>-1.5723270440251569E-2</v>
          </cell>
          <cell r="R98">
            <v>7.4281150159744458E-2</v>
          </cell>
          <cell r="S98">
            <v>0.66840148698884749</v>
          </cell>
        </row>
        <row r="100">
          <cell r="A100" t="str">
            <v>Spares/Support Sales</v>
          </cell>
          <cell r="B100">
            <v>324.5</v>
          </cell>
          <cell r="C100">
            <v>170.03800000000001</v>
          </cell>
          <cell r="D100">
            <v>200.64484000000002</v>
          </cell>
          <cell r="E100">
            <v>266.85763720000006</v>
          </cell>
          <cell r="F100">
            <v>336.50748050920009</v>
          </cell>
          <cell r="G100">
            <v>421</v>
          </cell>
          <cell r="H100">
            <v>394</v>
          </cell>
          <cell r="I100">
            <v>362</v>
          </cell>
          <cell r="J100">
            <v>408</v>
          </cell>
          <cell r="K100">
            <v>445</v>
          </cell>
          <cell r="L100">
            <v>484</v>
          </cell>
          <cell r="M100">
            <v>558</v>
          </cell>
          <cell r="N100">
            <v>625</v>
          </cell>
          <cell r="O100">
            <v>700</v>
          </cell>
          <cell r="P100">
            <v>650</v>
          </cell>
          <cell r="Q100">
            <v>663</v>
          </cell>
          <cell r="R100">
            <v>696.15</v>
          </cell>
          <cell r="S100">
            <v>730.95749999999998</v>
          </cell>
        </row>
        <row r="101">
          <cell r="A101" t="str">
            <v>% Ch</v>
          </cell>
          <cell r="C101">
            <v>-0.47599999999999998</v>
          </cell>
          <cell r="D101">
            <v>0.17999999999999994</v>
          </cell>
          <cell r="E101">
            <v>0.33000000000000007</v>
          </cell>
          <cell r="F101">
            <v>0.26100000000000012</v>
          </cell>
          <cell r="G101">
            <v>0.25108660099605085</v>
          </cell>
          <cell r="H101">
            <v>-6.4133016627078376E-2</v>
          </cell>
          <cell r="I101">
            <v>-8.1218274111675148E-2</v>
          </cell>
          <cell r="J101">
            <v>0.1270718232044199</v>
          </cell>
          <cell r="K101">
            <v>9.0686274509803821E-2</v>
          </cell>
          <cell r="L101">
            <v>8.764044943820215E-2</v>
          </cell>
          <cell r="M101">
            <v>0.15289256198347112</v>
          </cell>
          <cell r="N101">
            <v>0.12007168458781359</v>
          </cell>
          <cell r="O101">
            <v>0.12000000000000011</v>
          </cell>
          <cell r="P101">
            <v>-0.05</v>
          </cell>
          <cell r="Q101">
            <v>0.02</v>
          </cell>
          <cell r="R101">
            <v>0.05</v>
          </cell>
          <cell r="S101">
            <v>0.05</v>
          </cell>
        </row>
        <row r="103">
          <cell r="A103" t="str">
            <v>Used Aircraft Sales</v>
          </cell>
          <cell r="B103">
            <v>45</v>
          </cell>
          <cell r="C103">
            <v>153.30000000000001</v>
          </cell>
          <cell r="D103">
            <v>210.4</v>
          </cell>
          <cell r="E103">
            <v>237.2</v>
          </cell>
          <cell r="F103">
            <v>318</v>
          </cell>
          <cell r="G103">
            <v>255</v>
          </cell>
          <cell r="H103">
            <v>177</v>
          </cell>
          <cell r="I103">
            <v>435</v>
          </cell>
          <cell r="J103">
            <v>469</v>
          </cell>
          <cell r="K103">
            <v>254</v>
          </cell>
          <cell r="L103">
            <v>198</v>
          </cell>
          <cell r="M103">
            <v>217</v>
          </cell>
          <cell r="N103">
            <v>80</v>
          </cell>
          <cell r="O103">
            <v>25</v>
          </cell>
          <cell r="P103">
            <v>30</v>
          </cell>
          <cell r="Q103">
            <v>30</v>
          </cell>
          <cell r="R103">
            <v>30</v>
          </cell>
          <cell r="S103">
            <v>30</v>
          </cell>
          <cell r="V103" t="str">
            <v>- declining focus</v>
          </cell>
        </row>
        <row r="104">
          <cell r="A104" t="str">
            <v>% Ch</v>
          </cell>
          <cell r="C104">
            <v>2.4066666666666667</v>
          </cell>
          <cell r="D104">
            <v>0.37247227658186555</v>
          </cell>
          <cell r="E104">
            <v>0.12737642585551323</v>
          </cell>
          <cell r="F104">
            <v>0.34064080944350761</v>
          </cell>
          <cell r="G104">
            <v>-0.19811320754716977</v>
          </cell>
          <cell r="H104">
            <v>-0.30588235294117649</v>
          </cell>
          <cell r="I104">
            <v>1.4576271186440679</v>
          </cell>
          <cell r="J104">
            <v>7.8160919540229967E-2</v>
          </cell>
          <cell r="K104">
            <v>-0.45842217484008529</v>
          </cell>
          <cell r="L104">
            <v>-0.22047244094488194</v>
          </cell>
          <cell r="M104">
            <v>9.5959595959596022E-2</v>
          </cell>
          <cell r="N104">
            <v>-0.63133640552995396</v>
          </cell>
          <cell r="O104">
            <v>-0.6875</v>
          </cell>
          <cell r="P104">
            <v>0.19999999999999996</v>
          </cell>
          <cell r="Q104">
            <v>0</v>
          </cell>
          <cell r="R104">
            <v>0</v>
          </cell>
          <cell r="S104">
            <v>0</v>
          </cell>
        </row>
        <row r="106">
          <cell r="A106" t="str">
            <v>Jet Aviation</v>
          </cell>
          <cell r="O106">
            <v>1400</v>
          </cell>
          <cell r="P106">
            <v>1100</v>
          </cell>
          <cell r="Q106">
            <v>1300</v>
          </cell>
          <cell r="R106">
            <v>1625</v>
          </cell>
          <cell r="S106">
            <v>1700</v>
          </cell>
          <cell r="V106" t="str">
            <v>- efficiencies drive pick up in sales</v>
          </cell>
        </row>
        <row r="107">
          <cell r="A107" t="str">
            <v>% Ch</v>
          </cell>
          <cell r="P107">
            <v>-0.2142857142857143</v>
          </cell>
          <cell r="Q107">
            <v>0.18181818181818188</v>
          </cell>
          <cell r="R107">
            <v>0.25</v>
          </cell>
          <cell r="S107">
            <v>4.6153846153846212E-2</v>
          </cell>
        </row>
        <row r="109">
          <cell r="A109" t="str">
            <v>Gulfstream Total Revenue Breakdown</v>
          </cell>
        </row>
        <row r="110">
          <cell r="A110" t="str">
            <v>New Aircraft Sales (Green/Cptns)</v>
          </cell>
          <cell r="B110">
            <v>671.6</v>
          </cell>
          <cell r="C110">
            <v>741.06</v>
          </cell>
          <cell r="D110">
            <v>1493.34</v>
          </cell>
          <cell r="E110">
            <v>1923.63</v>
          </cell>
          <cell r="F110">
            <v>2254.2399999999998</v>
          </cell>
          <cell r="G110">
            <v>2355.3000000000002</v>
          </cell>
          <cell r="H110">
            <v>2693.98</v>
          </cell>
          <cell r="I110">
            <v>2491.6979999999999</v>
          </cell>
          <cell r="J110">
            <v>2068.58</v>
          </cell>
          <cell r="K110">
            <v>2312.5500000000002</v>
          </cell>
          <cell r="L110">
            <v>2751</v>
          </cell>
          <cell r="M110">
            <v>3341.27</v>
          </cell>
          <cell r="N110">
            <v>4123.22</v>
          </cell>
          <cell r="O110">
            <v>4879</v>
          </cell>
          <cell r="P110">
            <v>3470</v>
          </cell>
          <cell r="Q110">
            <v>3467</v>
          </cell>
          <cell r="R110">
            <v>3638</v>
          </cell>
          <cell r="S110">
            <v>4924</v>
          </cell>
        </row>
        <row r="111">
          <cell r="A111" t="str">
            <v>Spaces/Support</v>
          </cell>
          <cell r="B111">
            <v>324.5</v>
          </cell>
          <cell r="C111">
            <v>170.03800000000001</v>
          </cell>
          <cell r="D111">
            <v>200.64484000000002</v>
          </cell>
          <cell r="E111">
            <v>266.85763720000006</v>
          </cell>
          <cell r="F111">
            <v>336.50748050920009</v>
          </cell>
          <cell r="G111">
            <v>421</v>
          </cell>
          <cell r="H111">
            <v>394</v>
          </cell>
          <cell r="I111">
            <v>362</v>
          </cell>
          <cell r="J111">
            <v>408</v>
          </cell>
          <cell r="K111">
            <v>445</v>
          </cell>
          <cell r="L111">
            <v>484</v>
          </cell>
          <cell r="M111">
            <v>558</v>
          </cell>
          <cell r="N111">
            <v>625</v>
          </cell>
          <cell r="O111">
            <v>700</v>
          </cell>
          <cell r="P111">
            <v>650</v>
          </cell>
          <cell r="Q111">
            <v>663</v>
          </cell>
          <cell r="R111">
            <v>696.15</v>
          </cell>
          <cell r="S111">
            <v>730.95749999999998</v>
          </cell>
        </row>
        <row r="112">
          <cell r="A112" t="str">
            <v>Used</v>
          </cell>
          <cell r="B112">
            <v>45</v>
          </cell>
          <cell r="C112">
            <v>153.30000000000001</v>
          </cell>
          <cell r="D112">
            <v>210.4</v>
          </cell>
          <cell r="E112">
            <v>237.2</v>
          </cell>
          <cell r="F112">
            <v>318</v>
          </cell>
          <cell r="G112">
            <v>255</v>
          </cell>
          <cell r="H112">
            <v>177</v>
          </cell>
          <cell r="I112">
            <v>435</v>
          </cell>
          <cell r="J112">
            <v>469</v>
          </cell>
          <cell r="K112">
            <v>254</v>
          </cell>
          <cell r="L112">
            <v>198</v>
          </cell>
          <cell r="M112">
            <v>217</v>
          </cell>
          <cell r="N112">
            <v>80</v>
          </cell>
          <cell r="O112">
            <v>25</v>
          </cell>
          <cell r="P112">
            <v>30</v>
          </cell>
          <cell r="Q112">
            <v>30</v>
          </cell>
          <cell r="R112">
            <v>30</v>
          </cell>
          <cell r="S112">
            <v>30</v>
          </cell>
        </row>
        <row r="113">
          <cell r="A113" t="str">
            <v>Jet Aviation</v>
          </cell>
          <cell r="P113">
            <v>1100</v>
          </cell>
          <cell r="Q113">
            <v>1300</v>
          </cell>
          <cell r="R113">
            <v>1625</v>
          </cell>
          <cell r="S113">
            <v>1700</v>
          </cell>
        </row>
        <row r="114">
          <cell r="A114" t="str">
            <v>TOTAL</v>
          </cell>
          <cell r="B114">
            <v>1041.0999999999999</v>
          </cell>
          <cell r="C114">
            <v>1064.3979999999999</v>
          </cell>
          <cell r="D114">
            <v>1904.3848399999999</v>
          </cell>
          <cell r="E114">
            <v>2427.6876372000002</v>
          </cell>
          <cell r="F114">
            <v>2908.7474805091997</v>
          </cell>
          <cell r="G114">
            <v>3031.3</v>
          </cell>
          <cell r="H114">
            <v>3264.98</v>
          </cell>
          <cell r="I114">
            <v>3288.6979999999999</v>
          </cell>
          <cell r="J114">
            <v>2945.58</v>
          </cell>
          <cell r="K114">
            <v>3011.55</v>
          </cell>
          <cell r="L114">
            <v>3433</v>
          </cell>
          <cell r="M114">
            <v>4116.2700000000004</v>
          </cell>
          <cell r="N114">
            <v>4828.22</v>
          </cell>
          <cell r="O114">
            <v>5604</v>
          </cell>
          <cell r="P114">
            <v>5250</v>
          </cell>
          <cell r="Q114">
            <v>5460</v>
          </cell>
          <cell r="R114">
            <v>5989.15</v>
          </cell>
          <cell r="S114">
            <v>7384.9575000000004</v>
          </cell>
        </row>
        <row r="115">
          <cell r="A115" t="str">
            <v>% Ch</v>
          </cell>
          <cell r="C115">
            <v>2.2378253770050982E-2</v>
          </cell>
          <cell r="D115">
            <v>0.78916612019188315</v>
          </cell>
          <cell r="E115">
            <v>0.27478836536001849</v>
          </cell>
          <cell r="F115">
            <v>0.1981555764991394</v>
          </cell>
          <cell r="G115">
            <v>4.2132402455694384E-2</v>
          </cell>
          <cell r="H115">
            <v>7.7089037706594477E-2</v>
          </cell>
          <cell r="I115">
            <v>7.2643630282573923E-3</v>
          </cell>
          <cell r="J115">
            <v>-0.1043324744321309</v>
          </cell>
          <cell r="K115">
            <v>2.2396268307090628E-2</v>
          </cell>
          <cell r="L115">
            <v>0.13994454682804536</v>
          </cell>
          <cell r="M115">
            <v>0.1990300029129044</v>
          </cell>
          <cell r="N115">
            <v>0.17295998561804726</v>
          </cell>
          <cell r="O115">
            <v>0.16067619122575194</v>
          </cell>
          <cell r="P115">
            <v>-6.3169164882227014E-2</v>
          </cell>
          <cell r="Q115">
            <v>4.0000000000000036E-2</v>
          </cell>
          <cell r="R115">
            <v>9.6913919413919247E-2</v>
          </cell>
          <cell r="S115">
            <v>0.23305602631425182</v>
          </cell>
        </row>
        <row r="117">
          <cell r="A117" t="str">
            <v>Model check, reported</v>
          </cell>
          <cell r="B117">
            <v>0</v>
          </cell>
          <cell r="C117">
            <v>0</v>
          </cell>
          <cell r="D117">
            <v>1904</v>
          </cell>
          <cell r="E117">
            <v>2428</v>
          </cell>
          <cell r="F117">
            <v>2909</v>
          </cell>
          <cell r="G117">
            <v>3029</v>
          </cell>
          <cell r="H117">
            <v>3265</v>
          </cell>
          <cell r="I117">
            <v>3289</v>
          </cell>
          <cell r="J117">
            <v>2946</v>
          </cell>
          <cell r="K117">
            <v>3012</v>
          </cell>
          <cell r="L117">
            <v>3433</v>
          </cell>
          <cell r="M117">
            <v>4116</v>
          </cell>
          <cell r="N117">
            <v>4828</v>
          </cell>
          <cell r="O117">
            <v>5512</v>
          </cell>
          <cell r="P117">
            <v>5250</v>
          </cell>
          <cell r="Q117">
            <v>5300</v>
          </cell>
          <cell r="R117">
            <v>6100</v>
          </cell>
          <cell r="S117">
            <v>7400</v>
          </cell>
        </row>
        <row r="119">
          <cell r="A119" t="str">
            <v>Gulfstream Est. Margins</v>
          </cell>
        </row>
        <row r="120">
          <cell r="A120" t="str">
            <v>New Aircraft Sales (Green/Cptns)</v>
          </cell>
          <cell r="B120">
            <v>0</v>
          </cell>
          <cell r="C120">
            <v>0.26165222788977954</v>
          </cell>
          <cell r="D120">
            <v>0.19935669771493669</v>
          </cell>
          <cell r="E120">
            <v>0.24149999999999999</v>
          </cell>
          <cell r="F120">
            <v>0.23781001819069167</v>
          </cell>
          <cell r="G120">
            <v>0.23988451577293762</v>
          </cell>
          <cell r="H120">
            <v>0.21959999999999999</v>
          </cell>
          <cell r="I120">
            <v>0.20219999999999999</v>
          </cell>
          <cell r="J120">
            <v>0.11899999999999999</v>
          </cell>
          <cell r="K120">
            <v>0.14649999999999999</v>
          </cell>
          <cell r="L120">
            <v>0.15759999999999999</v>
          </cell>
          <cell r="M120">
            <v>0.17150000000000001</v>
          </cell>
          <cell r="N120">
            <v>0.17610000000000001</v>
          </cell>
          <cell r="O120">
            <v>0.191</v>
          </cell>
          <cell r="P120">
            <v>0.19600000000000001</v>
          </cell>
          <cell r="Q120">
            <v>0.19</v>
          </cell>
          <cell r="R120">
            <v>0.19</v>
          </cell>
          <cell r="S120">
            <v>0.19</v>
          </cell>
        </row>
        <row r="121">
          <cell r="A121" t="str">
            <v>Spaces/Support</v>
          </cell>
          <cell r="B121">
            <v>0</v>
          </cell>
          <cell r="C121">
            <v>0.21465789999882379</v>
          </cell>
          <cell r="D121">
            <v>0.22427688646266705</v>
          </cell>
          <cell r="E121">
            <v>0.20123089061061353</v>
          </cell>
          <cell r="F121">
            <v>0.20207574552905336</v>
          </cell>
          <cell r="G121">
            <v>0.19110624695389955</v>
          </cell>
          <cell r="H121">
            <v>0.19</v>
          </cell>
          <cell r="I121">
            <v>0.19</v>
          </cell>
          <cell r="J121">
            <v>0.19</v>
          </cell>
          <cell r="K121">
            <v>0.19</v>
          </cell>
          <cell r="L121">
            <v>0.19</v>
          </cell>
          <cell r="M121">
            <v>0.19</v>
          </cell>
          <cell r="N121">
            <v>0.19</v>
          </cell>
          <cell r="O121">
            <v>0.18</v>
          </cell>
          <cell r="P121">
            <v>0.19</v>
          </cell>
          <cell r="Q121">
            <v>0.185</v>
          </cell>
          <cell r="R121">
            <v>0.19</v>
          </cell>
          <cell r="S121">
            <v>0.19</v>
          </cell>
          <cell r="V121" t="str">
            <v>- not a margin expansion story</v>
          </cell>
        </row>
        <row r="122">
          <cell r="A122" t="str">
            <v>Jet Aviation</v>
          </cell>
          <cell r="P122">
            <v>0.09</v>
          </cell>
          <cell r="Q122">
            <v>9.5000000000000001E-2</v>
          </cell>
          <cell r="R122">
            <v>0.12</v>
          </cell>
          <cell r="S122">
            <v>0.13</v>
          </cell>
          <cell r="V122" t="str">
            <v>- lean drives margins up</v>
          </cell>
        </row>
        <row r="123">
          <cell r="A123" t="str">
            <v>Used</v>
          </cell>
          <cell r="B123">
            <v>0</v>
          </cell>
          <cell r="C123">
            <v>-1.1089367253750815E-2</v>
          </cell>
          <cell r="D123">
            <v>3.8973384030418244E-2</v>
          </cell>
          <cell r="E123">
            <v>4.8060708263069143E-2</v>
          </cell>
          <cell r="F123">
            <v>-2.5157232704402517E-2</v>
          </cell>
          <cell r="G123">
            <v>0</v>
          </cell>
          <cell r="H123">
            <v>0</v>
          </cell>
          <cell r="I123">
            <v>-0.18620689655172415</v>
          </cell>
          <cell r="J123">
            <v>-0.13943355119825707</v>
          </cell>
          <cell r="K123">
            <v>0</v>
          </cell>
          <cell r="L123">
            <v>0</v>
          </cell>
          <cell r="M123">
            <v>0</v>
          </cell>
          <cell r="N123">
            <v>0</v>
          </cell>
          <cell r="O123">
            <v>0</v>
          </cell>
          <cell r="P123">
            <v>0</v>
          </cell>
          <cell r="Q123">
            <v>0</v>
          </cell>
          <cell r="R123">
            <v>0</v>
          </cell>
          <cell r="S123">
            <v>0</v>
          </cell>
        </row>
        <row r="124">
          <cell r="A124" t="str">
            <v>Total GAC Margins</v>
          </cell>
          <cell r="B124">
            <v>0</v>
          </cell>
          <cell r="C124">
            <v>4.7632558497855144E-2</v>
          </cell>
          <cell r="D124">
            <v>0.12020014345715099</v>
          </cell>
          <cell r="E124">
            <v>0.15350271562523077</v>
          </cell>
          <cell r="F124">
            <v>0.14476363391038369</v>
          </cell>
          <cell r="G124">
            <v>0.1954460891259828</v>
          </cell>
          <cell r="H124">
            <v>0.19156564756905095</v>
          </cell>
          <cell r="I124">
            <v>0.13579882847254446</v>
          </cell>
          <cell r="J124">
            <v>7.4106520443517898E-2</v>
          </cell>
          <cell r="K124">
            <v>0.13061000979562018</v>
          </cell>
          <cell r="L124">
            <v>0.14404823769297992</v>
          </cell>
          <cell r="M124">
            <v>0.15646393579624271</v>
          </cell>
          <cell r="N124">
            <v>0.16773242354325196</v>
          </cell>
          <cell r="O124">
            <v>0.18252837259100643</v>
          </cell>
          <cell r="P124">
            <v>0.16526095238095237</v>
          </cell>
          <cell r="Q124">
            <v>0.15931959706959706</v>
          </cell>
          <cell r="R124">
            <v>0.16504654249768333</v>
          </cell>
          <cell r="S124">
            <v>0.17108316804802196</v>
          </cell>
        </row>
        <row r="126">
          <cell r="A126" t="str">
            <v>Gulfstream Profits</v>
          </cell>
        </row>
        <row r="127">
          <cell r="A127" t="str">
            <v>New Aircraft Sales (Green/Cptns)</v>
          </cell>
          <cell r="B127">
            <v>0</v>
          </cell>
          <cell r="C127">
            <v>193.9</v>
          </cell>
          <cell r="D127">
            <v>297.70733096562356</v>
          </cell>
          <cell r="E127">
            <v>464.556645</v>
          </cell>
          <cell r="F127">
            <v>536.0808554061847</v>
          </cell>
          <cell r="G127">
            <v>565</v>
          </cell>
          <cell r="H127">
            <v>591.59800799999994</v>
          </cell>
          <cell r="I127">
            <v>503.82133559999994</v>
          </cell>
          <cell r="J127">
            <v>246.16101999999998</v>
          </cell>
          <cell r="K127">
            <v>338.78857499999998</v>
          </cell>
          <cell r="L127">
            <v>433.55759999999998</v>
          </cell>
          <cell r="M127">
            <v>573.02780500000006</v>
          </cell>
          <cell r="N127">
            <v>726.09904200000005</v>
          </cell>
          <cell r="O127">
            <v>931.88900000000001</v>
          </cell>
          <cell r="P127">
            <v>680.12</v>
          </cell>
          <cell r="Q127">
            <v>658.73</v>
          </cell>
          <cell r="R127">
            <v>691.22</v>
          </cell>
          <cell r="S127">
            <v>935.56000000000006</v>
          </cell>
        </row>
        <row r="128">
          <cell r="A128" t="str">
            <v>Spaces/Support</v>
          </cell>
          <cell r="B128">
            <v>0</v>
          </cell>
          <cell r="C128">
            <v>36.5</v>
          </cell>
          <cell r="D128">
            <v>45</v>
          </cell>
          <cell r="E128">
            <v>53.7</v>
          </cell>
          <cell r="F128">
            <v>68</v>
          </cell>
          <cell r="G128">
            <v>80.455729967591708</v>
          </cell>
          <cell r="H128">
            <v>74.86</v>
          </cell>
          <cell r="I128">
            <v>68.78</v>
          </cell>
          <cell r="J128">
            <v>77.52</v>
          </cell>
          <cell r="K128">
            <v>84.55</v>
          </cell>
          <cell r="L128">
            <v>91.960000000000008</v>
          </cell>
          <cell r="M128">
            <v>106.02</v>
          </cell>
          <cell r="N128">
            <v>118.75</v>
          </cell>
          <cell r="O128">
            <v>126</v>
          </cell>
          <cell r="P128">
            <v>123.5</v>
          </cell>
          <cell r="Q128">
            <v>122.655</v>
          </cell>
          <cell r="R128">
            <v>132.26849999999999</v>
          </cell>
          <cell r="S128">
            <v>138.881925</v>
          </cell>
        </row>
        <row r="129">
          <cell r="A129" t="str">
            <v xml:space="preserve">Jet Aviation </v>
          </cell>
          <cell r="P129">
            <v>99</v>
          </cell>
          <cell r="Q129">
            <v>123.5</v>
          </cell>
          <cell r="R129">
            <v>195</v>
          </cell>
          <cell r="S129">
            <v>221</v>
          </cell>
        </row>
        <row r="130">
          <cell r="A130" t="str">
            <v>Used</v>
          </cell>
          <cell r="B130">
            <v>0</v>
          </cell>
          <cell r="C130">
            <v>-1.7</v>
          </cell>
          <cell r="D130">
            <v>8.1999999999999993</v>
          </cell>
          <cell r="E130">
            <v>11.4</v>
          </cell>
          <cell r="F130">
            <v>-8</v>
          </cell>
          <cell r="G130">
            <v>0</v>
          </cell>
          <cell r="H130">
            <v>0</v>
          </cell>
          <cell r="I130">
            <v>-81</v>
          </cell>
          <cell r="J130">
            <v>-65.394335511982561</v>
          </cell>
          <cell r="K130">
            <v>0</v>
          </cell>
          <cell r="L130">
            <v>0</v>
          </cell>
          <cell r="M130">
            <v>0</v>
          </cell>
          <cell r="N130">
            <v>0</v>
          </cell>
          <cell r="O130">
            <v>0</v>
          </cell>
          <cell r="P130">
            <v>0</v>
          </cell>
          <cell r="Q130">
            <v>0</v>
          </cell>
          <cell r="R130">
            <v>0</v>
          </cell>
          <cell r="S130">
            <v>0</v>
          </cell>
          <cell r="V130" t="str">
            <v>- P&amp;L resp = no more losses</v>
          </cell>
        </row>
        <row r="131">
          <cell r="A131" t="str">
            <v>Unallocated</v>
          </cell>
          <cell r="C131">
            <v>-178</v>
          </cell>
          <cell r="D131">
            <v>-122</v>
          </cell>
          <cell r="E131">
            <v>-157</v>
          </cell>
          <cell r="F131">
            <v>-175</v>
          </cell>
          <cell r="G131">
            <v>-53</v>
          </cell>
          <cell r="H131">
            <v>-41</v>
          </cell>
          <cell r="I131">
            <v>-45</v>
          </cell>
          <cell r="J131">
            <v>-40</v>
          </cell>
          <cell r="K131">
            <v>-30</v>
          </cell>
          <cell r="L131">
            <v>-31</v>
          </cell>
          <cell r="M131">
            <v>-35</v>
          </cell>
          <cell r="N131">
            <v>-35</v>
          </cell>
          <cell r="O131">
            <v>-35</v>
          </cell>
          <cell r="P131">
            <v>-35</v>
          </cell>
          <cell r="Q131">
            <v>-35</v>
          </cell>
          <cell r="R131">
            <v>-30</v>
          </cell>
          <cell r="S131">
            <v>-32</v>
          </cell>
          <cell r="V131" t="str">
            <v>- use as a plug if needed</v>
          </cell>
        </row>
        <row r="132">
          <cell r="A132" t="str">
            <v>Total</v>
          </cell>
          <cell r="B132">
            <v>0</v>
          </cell>
          <cell r="C132">
            <v>50.700000000000017</v>
          </cell>
          <cell r="D132">
            <v>228.90733096562354</v>
          </cell>
          <cell r="E132">
            <v>372.65664500000003</v>
          </cell>
          <cell r="F132">
            <v>421.0808554061847</v>
          </cell>
          <cell r="G132">
            <v>592.45572996759165</v>
          </cell>
          <cell r="H132">
            <v>625.45800799999995</v>
          </cell>
          <cell r="I132">
            <v>446.60133559999997</v>
          </cell>
          <cell r="J132">
            <v>218.28668448801744</v>
          </cell>
          <cell r="K132">
            <v>393.33857499999999</v>
          </cell>
          <cell r="L132">
            <v>494.51760000000002</v>
          </cell>
          <cell r="M132">
            <v>644.04780500000004</v>
          </cell>
          <cell r="N132">
            <v>809.84904200000005</v>
          </cell>
          <cell r="O132">
            <v>1022.8890000000001</v>
          </cell>
          <cell r="P132">
            <v>867.62</v>
          </cell>
          <cell r="Q132">
            <v>869.88499999999999</v>
          </cell>
          <cell r="R132">
            <v>988.48850000000004</v>
          </cell>
          <cell r="S132">
            <v>1263.4419250000001</v>
          </cell>
        </row>
        <row r="134">
          <cell r="A134" t="str">
            <v>Model check, reported</v>
          </cell>
          <cell r="B134">
            <v>0</v>
          </cell>
          <cell r="C134">
            <v>0</v>
          </cell>
          <cell r="D134">
            <v>229</v>
          </cell>
          <cell r="E134">
            <v>228.39999999999998</v>
          </cell>
          <cell r="F134">
            <v>482</v>
          </cell>
          <cell r="G134">
            <v>592</v>
          </cell>
          <cell r="H134">
            <v>625</v>
          </cell>
          <cell r="I134">
            <v>447</v>
          </cell>
          <cell r="J134">
            <v>218</v>
          </cell>
          <cell r="K134">
            <v>393</v>
          </cell>
          <cell r="L134">
            <v>495</v>
          </cell>
          <cell r="M134">
            <v>644</v>
          </cell>
          <cell r="N134">
            <v>810</v>
          </cell>
          <cell r="O134">
            <v>1021</v>
          </cell>
          <cell r="P134">
            <v>708.75</v>
          </cell>
          <cell r="Q134">
            <v>742.00000000000011</v>
          </cell>
          <cell r="R134">
            <v>0</v>
          </cell>
          <cell r="S134">
            <v>0.2577639751552796</v>
          </cell>
        </row>
        <row r="140">
          <cell r="B140">
            <v>1995</v>
          </cell>
          <cell r="C140">
            <v>1996</v>
          </cell>
          <cell r="D140">
            <v>1997</v>
          </cell>
          <cell r="E140">
            <v>1998</v>
          </cell>
          <cell r="F140">
            <v>1999</v>
          </cell>
          <cell r="G140">
            <v>2000</v>
          </cell>
          <cell r="H140">
            <v>2001</v>
          </cell>
          <cell r="I140">
            <v>2002</v>
          </cell>
          <cell r="J140">
            <v>2003</v>
          </cell>
          <cell r="K140">
            <v>2004</v>
          </cell>
          <cell r="L140">
            <v>2005</v>
          </cell>
          <cell r="M140">
            <v>2006</v>
          </cell>
          <cell r="N140" t="str">
            <v>2007A</v>
          </cell>
          <cell r="O140" t="str">
            <v>2008E</v>
          </cell>
          <cell r="P140" t="str">
            <v>2009E</v>
          </cell>
          <cell r="Q140" t="str">
            <v>2010E</v>
          </cell>
          <cell r="R140" t="str">
            <v>2011E</v>
          </cell>
          <cell r="S140" t="str">
            <v>2012E</v>
          </cell>
        </row>
        <row r="141">
          <cell r="A141" t="str">
            <v>Midsize</v>
          </cell>
          <cell r="B141">
            <v>0</v>
          </cell>
          <cell r="C141">
            <v>0</v>
          </cell>
          <cell r="D141">
            <v>0</v>
          </cell>
          <cell r="E141">
            <v>0</v>
          </cell>
          <cell r="F141">
            <v>0</v>
          </cell>
          <cell r="G141">
            <v>0</v>
          </cell>
          <cell r="H141">
            <v>13</v>
          </cell>
          <cell r="I141">
            <v>24</v>
          </cell>
          <cell r="J141">
            <v>24</v>
          </cell>
          <cell r="K141">
            <v>22</v>
          </cell>
          <cell r="L141">
            <v>26</v>
          </cell>
          <cell r="M141">
            <v>42</v>
          </cell>
          <cell r="N141">
            <v>56</v>
          </cell>
          <cell r="O141">
            <v>70</v>
          </cell>
          <cell r="P141">
            <v>20</v>
          </cell>
          <cell r="Q141">
            <v>22</v>
          </cell>
          <cell r="R141">
            <v>25</v>
          </cell>
          <cell r="S141">
            <v>52</v>
          </cell>
        </row>
        <row r="142">
          <cell r="A142" t="str">
            <v>Large Cabin</v>
          </cell>
          <cell r="B142">
            <v>26</v>
          </cell>
          <cell r="C142">
            <v>27</v>
          </cell>
          <cell r="D142">
            <v>51</v>
          </cell>
          <cell r="E142">
            <v>61</v>
          </cell>
          <cell r="F142">
            <v>70</v>
          </cell>
          <cell r="G142">
            <v>71</v>
          </cell>
          <cell r="H142">
            <v>71</v>
          </cell>
          <cell r="I142">
            <v>61</v>
          </cell>
          <cell r="J142">
            <v>50</v>
          </cell>
          <cell r="K142">
            <v>56</v>
          </cell>
          <cell r="L142">
            <v>63</v>
          </cell>
          <cell r="M142">
            <v>71</v>
          </cell>
          <cell r="N142">
            <v>82</v>
          </cell>
          <cell r="O142">
            <v>88</v>
          </cell>
          <cell r="P142">
            <v>72</v>
          </cell>
          <cell r="Q142">
            <v>70</v>
          </cell>
          <cell r="R142">
            <v>70</v>
          </cell>
          <cell r="S142">
            <v>111</v>
          </cell>
        </row>
        <row r="143">
          <cell r="A143" t="str">
            <v>Total</v>
          </cell>
          <cell r="B143">
            <v>26</v>
          </cell>
          <cell r="C143">
            <v>27</v>
          </cell>
          <cell r="D143">
            <v>51</v>
          </cell>
          <cell r="E143">
            <v>61</v>
          </cell>
          <cell r="F143">
            <v>70</v>
          </cell>
          <cell r="G143">
            <v>71</v>
          </cell>
          <cell r="H143">
            <v>84</v>
          </cell>
          <cell r="I143">
            <v>85</v>
          </cell>
          <cell r="J143">
            <v>74</v>
          </cell>
          <cell r="K143">
            <v>78</v>
          </cell>
          <cell r="L143">
            <v>89</v>
          </cell>
          <cell r="M143">
            <v>113</v>
          </cell>
          <cell r="N143">
            <v>138</v>
          </cell>
          <cell r="O143">
            <v>158</v>
          </cell>
          <cell r="P143">
            <v>92</v>
          </cell>
          <cell r="Q143">
            <v>92</v>
          </cell>
          <cell r="R143">
            <v>95</v>
          </cell>
          <cell r="S143">
            <v>163</v>
          </cell>
        </row>
      </sheetData>
      <sheetData sheetId="7"/>
      <sheetData sheetId="8">
        <row r="6">
          <cell r="B6" t="str">
            <v>GD Combat Systems P&amp;L ($MM)</v>
          </cell>
          <cell r="F6" t="str">
            <v>last updated 10/09</v>
          </cell>
        </row>
        <row r="7">
          <cell r="K7" t="str">
            <v>wrong</v>
          </cell>
        </row>
        <row r="8">
          <cell r="B8" t="str">
            <v>Sales</v>
          </cell>
          <cell r="E8">
            <v>2000</v>
          </cell>
          <cell r="F8">
            <v>2001</v>
          </cell>
          <cell r="G8">
            <v>2002</v>
          </cell>
          <cell r="H8" t="str">
            <v>2003</v>
          </cell>
          <cell r="I8" t="str">
            <v>2004</v>
          </cell>
          <cell r="J8" t="str">
            <v>2005</v>
          </cell>
          <cell r="K8" t="str">
            <v>2006</v>
          </cell>
          <cell r="L8" t="str">
            <v>2007</v>
          </cell>
          <cell r="M8" t="str">
            <v>2008A</v>
          </cell>
          <cell r="N8" t="str">
            <v>2009E</v>
          </cell>
          <cell r="O8" t="str">
            <v>2010E</v>
          </cell>
          <cell r="P8" t="str">
            <v>2011E</v>
          </cell>
          <cell r="Q8" t="str">
            <v>2012E</v>
          </cell>
          <cell r="R8" t="str">
            <v>Comments</v>
          </cell>
        </row>
        <row r="9">
          <cell r="B9" t="str">
            <v>Main battle tanks/svc&amp;support</v>
          </cell>
          <cell r="E9">
            <v>515</v>
          </cell>
          <cell r="F9">
            <v>624</v>
          </cell>
          <cell r="G9">
            <v>732</v>
          </cell>
          <cell r="H9">
            <v>780</v>
          </cell>
          <cell r="I9">
            <v>780</v>
          </cell>
          <cell r="J9">
            <v>850</v>
          </cell>
          <cell r="K9">
            <v>880</v>
          </cell>
          <cell r="L9">
            <v>920</v>
          </cell>
          <cell r="M9">
            <v>1567</v>
          </cell>
          <cell r="N9">
            <v>1600</v>
          </cell>
          <cell r="O9">
            <v>1800</v>
          </cell>
          <cell r="P9">
            <v>1800</v>
          </cell>
          <cell r="Q9">
            <v>1800</v>
          </cell>
          <cell r="R9" t="str">
            <v>- SEP ends 2004, ramps dn ex foreign sls Increases 2011-2012 on Saudi/Iraq FMS</v>
          </cell>
        </row>
        <row r="10">
          <cell r="B10" t="str">
            <v>Engin &amp; develop</v>
          </cell>
          <cell r="E10">
            <v>303</v>
          </cell>
          <cell r="F10">
            <v>406</v>
          </cell>
          <cell r="G10">
            <v>590</v>
          </cell>
          <cell r="H10">
            <v>780</v>
          </cell>
          <cell r="I10">
            <v>905</v>
          </cell>
          <cell r="J10">
            <v>1080</v>
          </cell>
          <cell r="K10">
            <v>1350</v>
          </cell>
          <cell r="L10">
            <v>1700</v>
          </cell>
          <cell r="M10">
            <v>676</v>
          </cell>
          <cell r="N10">
            <v>700</v>
          </cell>
          <cell r="O10">
            <v>725</v>
          </cell>
          <cell r="P10">
            <v>725</v>
          </cell>
          <cell r="Q10">
            <v>750</v>
          </cell>
          <cell r="R10" t="str">
            <v>- FCS, AAAV/EFE</v>
          </cell>
        </row>
        <row r="11">
          <cell r="B11" t="str">
            <v>Medium armored vehls/related</v>
          </cell>
          <cell r="E11">
            <v>108</v>
          </cell>
          <cell r="F11">
            <v>336</v>
          </cell>
          <cell r="G11">
            <v>519</v>
          </cell>
          <cell r="H11">
            <v>1200</v>
          </cell>
          <cell r="I11">
            <v>1400</v>
          </cell>
          <cell r="J11">
            <v>1595</v>
          </cell>
          <cell r="K11">
            <v>2000</v>
          </cell>
          <cell r="L11">
            <v>2790</v>
          </cell>
          <cell r="M11">
            <v>2650</v>
          </cell>
          <cell r="N11">
            <v>4080</v>
          </cell>
          <cell r="O11">
            <v>4000</v>
          </cell>
          <cell r="P11">
            <v>4000</v>
          </cell>
          <cell r="Q11">
            <v>4000</v>
          </cell>
          <cell r="R11" t="str">
            <v>- Stryker thru '07, LRIP AAAV 06, full prodn 07</v>
          </cell>
        </row>
        <row r="12">
          <cell r="B12" t="str">
            <v>Canadian LAV</v>
          </cell>
          <cell r="N12">
            <v>0</v>
          </cell>
          <cell r="O12">
            <v>50</v>
          </cell>
          <cell r="P12">
            <v>350</v>
          </cell>
          <cell r="Q12">
            <v>350</v>
          </cell>
          <cell r="R12" t="str">
            <v>- upgrading 500 Cda vehs, $900MM</v>
          </cell>
        </row>
        <row r="13">
          <cell r="B13" t="str">
            <v>Munitions &amp; propellant (OTS)</v>
          </cell>
          <cell r="E13">
            <v>28</v>
          </cell>
          <cell r="F13">
            <v>339</v>
          </cell>
          <cell r="G13">
            <v>383</v>
          </cell>
          <cell r="H13">
            <v>410</v>
          </cell>
          <cell r="I13">
            <v>450</v>
          </cell>
          <cell r="J13">
            <v>510</v>
          </cell>
          <cell r="K13">
            <v>806</v>
          </cell>
          <cell r="L13">
            <v>1276</v>
          </cell>
          <cell r="M13">
            <v>1278</v>
          </cell>
          <cell r="N13">
            <v>1325</v>
          </cell>
          <cell r="O13">
            <v>1200</v>
          </cell>
          <cell r="P13">
            <v>1200</v>
          </cell>
          <cell r="Q13">
            <v>1200</v>
          </cell>
          <cell r="R13" t="str">
            <v>- live fire training, non std ammo etc</v>
          </cell>
        </row>
        <row r="14">
          <cell r="B14" t="str">
            <v>Rockets &amp; missile components</v>
          </cell>
          <cell r="E14">
            <v>144</v>
          </cell>
          <cell r="F14">
            <v>278</v>
          </cell>
          <cell r="G14">
            <v>254</v>
          </cell>
          <cell r="H14">
            <v>330</v>
          </cell>
          <cell r="I14">
            <v>330</v>
          </cell>
          <cell r="J14">
            <v>410</v>
          </cell>
          <cell r="K14">
            <v>470</v>
          </cell>
          <cell r="L14">
            <v>500</v>
          </cell>
          <cell r="M14">
            <v>394</v>
          </cell>
          <cell r="N14">
            <v>450</v>
          </cell>
          <cell r="O14">
            <v>450</v>
          </cell>
          <cell r="P14">
            <v>450</v>
          </cell>
          <cell r="Q14">
            <v>450</v>
          </cell>
          <cell r="R14" t="str">
            <v>- stable biz</v>
          </cell>
        </row>
        <row r="15">
          <cell r="B15" t="str">
            <v>Armament systems</v>
          </cell>
          <cell r="E15">
            <v>75</v>
          </cell>
          <cell r="F15">
            <v>97</v>
          </cell>
          <cell r="G15">
            <v>103</v>
          </cell>
          <cell r="H15">
            <v>135</v>
          </cell>
          <cell r="I15">
            <v>140</v>
          </cell>
          <cell r="J15">
            <v>155</v>
          </cell>
          <cell r="K15">
            <v>160</v>
          </cell>
          <cell r="L15">
            <v>161</v>
          </cell>
          <cell r="M15">
            <v>160</v>
          </cell>
          <cell r="N15">
            <v>160</v>
          </cell>
          <cell r="O15">
            <v>160</v>
          </cell>
          <cell r="P15">
            <v>160</v>
          </cell>
          <cell r="Q15">
            <v>160</v>
          </cell>
        </row>
        <row r="16">
          <cell r="B16" t="str">
            <v>Axel</v>
          </cell>
          <cell r="N16">
            <v>500</v>
          </cell>
          <cell r="O16">
            <v>575</v>
          </cell>
          <cell r="P16">
            <v>600</v>
          </cell>
          <cell r="Q16">
            <v>620</v>
          </cell>
          <cell r="R16" t="str">
            <v>- 50% comml, mil flat</v>
          </cell>
        </row>
        <row r="17">
          <cell r="B17" t="str">
            <v>ATP</v>
          </cell>
          <cell r="L17">
            <v>200</v>
          </cell>
          <cell r="M17">
            <v>190</v>
          </cell>
          <cell r="N17">
            <v>200</v>
          </cell>
          <cell r="O17">
            <v>200</v>
          </cell>
          <cell r="P17">
            <v>200</v>
          </cell>
          <cell r="Q17">
            <v>200</v>
          </cell>
        </row>
        <row r="18">
          <cell r="B18" t="str">
            <v>Chameleon</v>
          </cell>
          <cell r="L18">
            <v>400</v>
          </cell>
          <cell r="M18">
            <v>200</v>
          </cell>
          <cell r="N18">
            <v>100</v>
          </cell>
          <cell r="O18">
            <v>100</v>
          </cell>
          <cell r="P18">
            <v>50</v>
          </cell>
          <cell r="Q18">
            <v>50</v>
          </cell>
          <cell r="R18" t="str">
            <v>- jams roadside bombs</v>
          </cell>
        </row>
        <row r="19">
          <cell r="B19" t="str">
            <v>MRAP/MRAP Lite</v>
          </cell>
          <cell r="L19">
            <v>475</v>
          </cell>
          <cell r="M19">
            <v>950</v>
          </cell>
          <cell r="N19">
            <v>750</v>
          </cell>
          <cell r="O19">
            <v>200</v>
          </cell>
          <cell r="P19">
            <v>200</v>
          </cell>
          <cell r="Q19">
            <v>200</v>
          </cell>
          <cell r="R19" t="str">
            <v xml:space="preserve">- sustainment - CLS/spares </v>
          </cell>
        </row>
        <row r="20">
          <cell r="B20" t="str">
            <v>Aerospace comps/other</v>
          </cell>
          <cell r="E20">
            <v>100</v>
          </cell>
          <cell r="F20">
            <v>130</v>
          </cell>
          <cell r="G20">
            <v>205</v>
          </cell>
          <cell r="H20">
            <v>372</v>
          </cell>
          <cell r="I20">
            <v>402</v>
          </cell>
          <cell r="J20">
            <v>421</v>
          </cell>
          <cell r="K20">
            <v>402</v>
          </cell>
          <cell r="L20">
            <v>173</v>
          </cell>
          <cell r="M20">
            <v>129</v>
          </cell>
          <cell r="N20">
            <v>135</v>
          </cell>
          <cell r="O20">
            <v>135</v>
          </cell>
          <cell r="P20">
            <v>135</v>
          </cell>
          <cell r="Q20">
            <v>150</v>
          </cell>
          <cell r="R20" t="str">
            <v>- adv'd comps F16/18/22/C17/F35/UAVs</v>
          </cell>
        </row>
        <row r="21">
          <cell r="B21" t="str">
            <v>Combat Vehicles Total</v>
          </cell>
          <cell r="E21">
            <v>1273</v>
          </cell>
          <cell r="F21">
            <v>2210</v>
          </cell>
          <cell r="G21">
            <v>2786</v>
          </cell>
          <cell r="H21">
            <v>4007</v>
          </cell>
          <cell r="I21">
            <v>4407</v>
          </cell>
          <cell r="J21">
            <v>5021</v>
          </cell>
          <cell r="K21">
            <v>6068</v>
          </cell>
          <cell r="L21">
            <v>8595</v>
          </cell>
          <cell r="M21">
            <v>8194</v>
          </cell>
          <cell r="N21">
            <v>10000</v>
          </cell>
          <cell r="O21">
            <v>9595</v>
          </cell>
          <cell r="P21">
            <v>9870</v>
          </cell>
          <cell r="Q21">
            <v>9930</v>
          </cell>
        </row>
        <row r="22">
          <cell r="B22" t="str">
            <v>per main</v>
          </cell>
          <cell r="E22">
            <v>1273</v>
          </cell>
          <cell r="F22">
            <v>2210</v>
          </cell>
          <cell r="G22">
            <v>2786</v>
          </cell>
          <cell r="H22">
            <v>4007</v>
          </cell>
          <cell r="I22">
            <v>4407</v>
          </cell>
          <cell r="J22">
            <v>5021</v>
          </cell>
          <cell r="K22">
            <v>5983</v>
          </cell>
          <cell r="L22">
            <v>7797</v>
          </cell>
          <cell r="M22">
            <v>8194</v>
          </cell>
          <cell r="N22">
            <v>10000</v>
          </cell>
          <cell r="O22">
            <v>9950</v>
          </cell>
          <cell r="P22">
            <v>10100</v>
          </cell>
          <cell r="Q22">
            <v>10150</v>
          </cell>
          <cell r="R22" t="str">
            <v xml:space="preserve"> 12/28/09 -- where does Axel go?</v>
          </cell>
        </row>
        <row r="24">
          <cell r="B24" t="str">
            <v>% Ch. Y/Y</v>
          </cell>
        </row>
        <row r="25">
          <cell r="B25" t="str">
            <v>Main battle tanks/related</v>
          </cell>
          <cell r="F25">
            <v>0.21165048543689324</v>
          </cell>
          <cell r="G25">
            <v>0.17307692307692313</v>
          </cell>
          <cell r="H25">
            <v>6.5573770491803351E-2</v>
          </cell>
          <cell r="I25">
            <v>0</v>
          </cell>
          <cell r="J25">
            <v>8.9743589743589647E-2</v>
          </cell>
          <cell r="K25">
            <v>3.529411764705892E-2</v>
          </cell>
          <cell r="L25">
            <v>4.5454545454545414E-2</v>
          </cell>
          <cell r="M25">
            <v>0.70326086956521738</v>
          </cell>
          <cell r="N25">
            <v>2.105934907466489E-2</v>
          </cell>
          <cell r="O25">
            <v>0.125</v>
          </cell>
          <cell r="P25">
            <v>0</v>
          </cell>
          <cell r="Q25">
            <v>0</v>
          </cell>
        </row>
        <row r="26">
          <cell r="B26" t="str">
            <v>Engin &amp; develop</v>
          </cell>
          <cell r="F26">
            <v>0.33993399339933994</v>
          </cell>
          <cell r="G26">
            <v>0.45320197044334964</v>
          </cell>
          <cell r="H26">
            <v>0.32203389830508478</v>
          </cell>
          <cell r="I26">
            <v>0.16025641025641035</v>
          </cell>
          <cell r="J26">
            <v>0.19337016574585641</v>
          </cell>
          <cell r="K26">
            <v>0.25</v>
          </cell>
          <cell r="L26">
            <v>0.2592592592592593</v>
          </cell>
          <cell r="M26">
            <v>-0.60235294117647054</v>
          </cell>
          <cell r="N26">
            <v>3.5502958579881616E-2</v>
          </cell>
          <cell r="O26">
            <v>3.5714285714285809E-2</v>
          </cell>
          <cell r="P26">
            <v>0</v>
          </cell>
          <cell r="Q26">
            <v>3.4482758620689724E-2</v>
          </cell>
        </row>
        <row r="27">
          <cell r="B27" t="str">
            <v>Medium armored vehls/related</v>
          </cell>
          <cell r="F27">
            <v>2.1111111111111112</v>
          </cell>
          <cell r="G27">
            <v>0.54464285714285721</v>
          </cell>
          <cell r="H27">
            <v>1.3121387283236996</v>
          </cell>
          <cell r="I27">
            <v>0.16666666666666674</v>
          </cell>
          <cell r="J27">
            <v>0.13928571428571423</v>
          </cell>
          <cell r="K27">
            <v>0.25391849529780575</v>
          </cell>
          <cell r="L27">
            <v>0.39500000000000002</v>
          </cell>
          <cell r="M27">
            <v>-5.017921146953408E-2</v>
          </cell>
          <cell r="N27">
            <v>0.53962264150943406</v>
          </cell>
          <cell r="O27">
            <v>-1.9607843137254943E-2</v>
          </cell>
          <cell r="P27">
            <v>0</v>
          </cell>
          <cell r="Q27">
            <v>0</v>
          </cell>
        </row>
        <row r="28">
          <cell r="B28" t="str">
            <v>Munitions &amp; propellant</v>
          </cell>
          <cell r="F28">
            <v>11.107142857142858</v>
          </cell>
          <cell r="G28">
            <v>0.12979351032448383</v>
          </cell>
          <cell r="H28">
            <v>7.0496083550913857E-2</v>
          </cell>
          <cell r="I28">
            <v>9.7560975609756184E-2</v>
          </cell>
          <cell r="J28">
            <v>0.1333333333333333</v>
          </cell>
          <cell r="K28">
            <v>0.58039215686274503</v>
          </cell>
          <cell r="L28">
            <v>0.58312655086848642</v>
          </cell>
          <cell r="M28">
            <v>1.5673981191222097E-3</v>
          </cell>
          <cell r="N28">
            <v>3.6776212832550836E-2</v>
          </cell>
          <cell r="O28">
            <v>-9.4339622641509413E-2</v>
          </cell>
          <cell r="P28">
            <v>0</v>
          </cell>
          <cell r="Q28">
            <v>0</v>
          </cell>
        </row>
        <row r="29">
          <cell r="B29" t="str">
            <v>Rockets &amp; missile components</v>
          </cell>
          <cell r="F29">
            <v>0.93055555555555558</v>
          </cell>
          <cell r="G29">
            <v>-8.633093525179858E-2</v>
          </cell>
          <cell r="H29">
            <v>0.29921259842519676</v>
          </cell>
          <cell r="I29">
            <v>0</v>
          </cell>
          <cell r="J29">
            <v>0.24242424242424243</v>
          </cell>
          <cell r="K29">
            <v>0.14634146341463405</v>
          </cell>
          <cell r="L29">
            <v>6.3829787234042534E-2</v>
          </cell>
          <cell r="M29">
            <v>-0.21199999999999997</v>
          </cell>
          <cell r="N29">
            <v>0.14213197969543145</v>
          </cell>
          <cell r="O29">
            <v>0</v>
          </cell>
          <cell r="P29">
            <v>0</v>
          </cell>
          <cell r="Q29">
            <v>0</v>
          </cell>
        </row>
        <row r="30">
          <cell r="B30" t="str">
            <v>Armament systems</v>
          </cell>
          <cell r="F30">
            <v>0.29333333333333322</v>
          </cell>
          <cell r="G30">
            <v>6.1855670103092786E-2</v>
          </cell>
          <cell r="H30">
            <v>0.31067961165048552</v>
          </cell>
          <cell r="I30">
            <v>3.7037037037036979E-2</v>
          </cell>
          <cell r="J30">
            <v>0.10714285714285721</v>
          </cell>
          <cell r="K30">
            <v>3.2258064516129004E-2</v>
          </cell>
          <cell r="L30">
            <v>6.2500000000000888E-3</v>
          </cell>
          <cell r="M30">
            <v>-6.2111801242236142E-3</v>
          </cell>
          <cell r="N30">
            <v>0</v>
          </cell>
          <cell r="O30">
            <v>0</v>
          </cell>
          <cell r="P30">
            <v>0</v>
          </cell>
          <cell r="Q30">
            <v>0</v>
          </cell>
        </row>
        <row r="31">
          <cell r="B31" t="str">
            <v>MRAP/MRAP Lite</v>
          </cell>
          <cell r="M31">
            <v>1</v>
          </cell>
          <cell r="N31">
            <v>-0.21052631578947367</v>
          </cell>
          <cell r="O31">
            <v>-0.73333333333333339</v>
          </cell>
          <cell r="P31">
            <v>0</v>
          </cell>
          <cell r="Q31">
            <v>0</v>
          </cell>
        </row>
        <row r="32">
          <cell r="B32" t="str">
            <v>Aerospace comps/other</v>
          </cell>
          <cell r="F32">
            <v>0.30000000000000004</v>
          </cell>
          <cell r="G32">
            <v>0.57692307692307687</v>
          </cell>
          <cell r="H32">
            <v>0.81463414634146347</v>
          </cell>
          <cell r="I32">
            <v>8.0645161290322509E-2</v>
          </cell>
          <cell r="J32">
            <v>4.7263681592039752E-2</v>
          </cell>
          <cell r="K32">
            <v>-4.513064133016631E-2</v>
          </cell>
          <cell r="L32">
            <v>-0.56965174129353235</v>
          </cell>
          <cell r="M32">
            <v>-0.25433526011560692</v>
          </cell>
          <cell r="N32">
            <v>4.6511627906976827E-2</v>
          </cell>
          <cell r="O32">
            <v>0</v>
          </cell>
          <cell r="P32">
            <v>0</v>
          </cell>
          <cell r="Q32">
            <v>0.11111111111111116</v>
          </cell>
        </row>
        <row r="33">
          <cell r="B33" t="str">
            <v>Combat Vehicles Total</v>
          </cell>
          <cell r="F33">
            <v>0.7360565593087196</v>
          </cell>
          <cell r="G33">
            <v>0.26063348416289589</v>
          </cell>
          <cell r="H33">
            <v>0.43826274228284268</v>
          </cell>
          <cell r="I33">
            <v>9.9825305714998702E-2</v>
          </cell>
          <cell r="J33">
            <v>0.1393238030406172</v>
          </cell>
          <cell r="K33">
            <v>0.20852419836685909</v>
          </cell>
          <cell r="L33">
            <v>0.41644693473961758</v>
          </cell>
          <cell r="M33">
            <v>-4.6655031995346152E-2</v>
          </cell>
          <cell r="N33">
            <v>0.22040517451794006</v>
          </cell>
          <cell r="O33">
            <v>-4.049999999999998E-2</v>
          </cell>
          <cell r="P33">
            <v>2.8660760812923458E-2</v>
          </cell>
          <cell r="Q33">
            <v>6.0790273556230456E-3</v>
          </cell>
        </row>
        <row r="35">
          <cell r="B35" t="str">
            <v>Op Profit Margins</v>
          </cell>
        </row>
        <row r="36">
          <cell r="B36" t="str">
            <v>Main battle tanks/svc&amp;support</v>
          </cell>
          <cell r="E36">
            <v>0.16500000000000001</v>
          </cell>
          <cell r="F36">
            <v>0.14699999999999999</v>
          </cell>
          <cell r="G36">
            <v>0.152</v>
          </cell>
          <cell r="H36">
            <v>0.155</v>
          </cell>
          <cell r="I36">
            <v>0.14399999999999999</v>
          </cell>
          <cell r="J36">
            <v>0.14599999999999999</v>
          </cell>
          <cell r="K36">
            <v>0.15</v>
          </cell>
          <cell r="L36">
            <v>0.14599999999999999</v>
          </cell>
          <cell r="M36">
            <v>0.14699999999999999</v>
          </cell>
          <cell r="N36">
            <v>0.14699999999999999</v>
          </cell>
          <cell r="O36">
            <v>0.14699999999999999</v>
          </cell>
          <cell r="P36">
            <v>0.14699999999999999</v>
          </cell>
          <cell r="Q36">
            <v>0.14699999999999999</v>
          </cell>
          <cell r="R36" t="str">
            <v>- no more foreign work, Ks reneg'd</v>
          </cell>
        </row>
        <row r="37">
          <cell r="B37" t="str">
            <v>Engin &amp; develop</v>
          </cell>
          <cell r="E37">
            <v>0.08</v>
          </cell>
          <cell r="F37">
            <v>0.06</v>
          </cell>
          <cell r="G37">
            <v>6.8000000000000005E-2</v>
          </cell>
          <cell r="H37">
            <v>7.0000000000000007E-2</v>
          </cell>
          <cell r="I37">
            <v>8.1000000000000003E-2</v>
          </cell>
          <cell r="J37">
            <v>0.09</v>
          </cell>
          <cell r="K37">
            <v>9.1499999999999998E-2</v>
          </cell>
          <cell r="L37">
            <v>9.5000000000000001E-2</v>
          </cell>
          <cell r="M37">
            <v>0.1</v>
          </cell>
          <cell r="N37">
            <v>0.1</v>
          </cell>
          <cell r="O37">
            <v>0.1</v>
          </cell>
          <cell r="P37">
            <v>0.1</v>
          </cell>
          <cell r="Q37">
            <v>0.1</v>
          </cell>
          <cell r="R37" t="str">
            <v>- FCS matures</v>
          </cell>
        </row>
        <row r="38">
          <cell r="B38" t="str">
            <v>Medium armored vehls/related</v>
          </cell>
          <cell r="E38">
            <v>0.111</v>
          </cell>
          <cell r="F38">
            <v>0.1</v>
          </cell>
          <cell r="G38">
            <v>0.105</v>
          </cell>
          <cell r="H38">
            <v>0.115</v>
          </cell>
          <cell r="I38">
            <v>0.115</v>
          </cell>
          <cell r="J38">
            <v>0.115</v>
          </cell>
          <cell r="K38">
            <v>0.125</v>
          </cell>
          <cell r="L38">
            <v>0.12</v>
          </cell>
          <cell r="M38">
            <v>0.12</v>
          </cell>
          <cell r="N38">
            <v>0.12</v>
          </cell>
          <cell r="O38">
            <v>0.12</v>
          </cell>
          <cell r="P38">
            <v>0.12</v>
          </cell>
          <cell r="Q38">
            <v>0.12</v>
          </cell>
          <cell r="R38" t="str">
            <v>- Stryker acceleration = hi mgns</v>
          </cell>
        </row>
        <row r="39">
          <cell r="B39" t="str">
            <v>Munitions &amp; propellant</v>
          </cell>
          <cell r="E39">
            <v>0.12</v>
          </cell>
          <cell r="F39">
            <v>0.12</v>
          </cell>
          <cell r="G39">
            <v>0.12</v>
          </cell>
          <cell r="H39">
            <v>0.12</v>
          </cell>
          <cell r="I39">
            <v>0.12</v>
          </cell>
          <cell r="J39">
            <v>0.115</v>
          </cell>
          <cell r="K39">
            <v>0.12</v>
          </cell>
          <cell r="L39">
            <v>0.12</v>
          </cell>
          <cell r="M39">
            <v>0.12</v>
          </cell>
          <cell r="N39">
            <v>0.12</v>
          </cell>
          <cell r="O39">
            <v>0.12</v>
          </cell>
          <cell r="P39">
            <v>0.12</v>
          </cell>
          <cell r="Q39">
            <v>0.12</v>
          </cell>
        </row>
        <row r="40">
          <cell r="B40" t="str">
            <v>Rockets &amp; missile components</v>
          </cell>
          <cell r="E40">
            <v>0.08</v>
          </cell>
          <cell r="F40">
            <v>0.08</v>
          </cell>
          <cell r="G40">
            <v>0.08</v>
          </cell>
          <cell r="H40">
            <v>0.08</v>
          </cell>
          <cell r="I40">
            <v>0.08</v>
          </cell>
          <cell r="J40">
            <v>8.7999999999999995E-2</v>
          </cell>
          <cell r="K40">
            <v>0.09</v>
          </cell>
          <cell r="L40">
            <v>0.09</v>
          </cell>
          <cell r="M40">
            <v>0.09</v>
          </cell>
          <cell r="N40">
            <v>0.09</v>
          </cell>
          <cell r="O40">
            <v>0.09</v>
          </cell>
          <cell r="P40">
            <v>0.09</v>
          </cell>
          <cell r="Q40">
            <v>0.09</v>
          </cell>
        </row>
        <row r="41">
          <cell r="B41" t="str">
            <v>Armament systems</v>
          </cell>
          <cell r="E41">
            <v>0.1</v>
          </cell>
          <cell r="F41">
            <v>0.1</v>
          </cell>
          <cell r="G41">
            <v>0.1</v>
          </cell>
          <cell r="H41">
            <v>0.1</v>
          </cell>
          <cell r="I41">
            <v>0.1</v>
          </cell>
          <cell r="J41">
            <v>0.11</v>
          </cell>
          <cell r="K41">
            <v>0.11</v>
          </cell>
          <cell r="L41">
            <v>0.11</v>
          </cell>
          <cell r="M41">
            <v>0.11</v>
          </cell>
          <cell r="N41">
            <v>0.11</v>
          </cell>
          <cell r="O41">
            <v>0.11</v>
          </cell>
          <cell r="P41">
            <v>0.11</v>
          </cell>
          <cell r="Q41">
            <v>0.11</v>
          </cell>
        </row>
        <row r="42">
          <cell r="B42" t="str">
            <v>MRAP/MRAP Lite</v>
          </cell>
          <cell r="L42">
            <v>0.15</v>
          </cell>
          <cell r="M42">
            <v>0.15</v>
          </cell>
          <cell r="N42">
            <v>0.15</v>
          </cell>
          <cell r="O42">
            <v>0.15</v>
          </cell>
          <cell r="P42">
            <v>0.15</v>
          </cell>
          <cell r="Q42">
            <v>0.15</v>
          </cell>
        </row>
        <row r="43">
          <cell r="B43" t="str">
            <v>Aerospace comps/other</v>
          </cell>
          <cell r="E43">
            <v>0.12</v>
          </cell>
          <cell r="F43">
            <v>0.12</v>
          </cell>
          <cell r="G43">
            <v>0.12</v>
          </cell>
          <cell r="H43">
            <v>0.12</v>
          </cell>
          <cell r="I43">
            <v>0.12</v>
          </cell>
          <cell r="J43">
            <v>0.122</v>
          </cell>
          <cell r="K43">
            <v>0.121</v>
          </cell>
          <cell r="L43">
            <v>0.121</v>
          </cell>
          <cell r="M43">
            <v>0.12</v>
          </cell>
          <cell r="N43">
            <v>0.12</v>
          </cell>
          <cell r="O43">
            <v>0.12</v>
          </cell>
          <cell r="P43">
            <v>0.12</v>
          </cell>
          <cell r="Q43">
            <v>0.12</v>
          </cell>
        </row>
        <row r="44">
          <cell r="B44" t="str">
            <v>Combat Vehicles Total</v>
          </cell>
          <cell r="E44">
            <v>0.12221759622937942</v>
          </cell>
          <cell r="F44">
            <v>0.10765067873303166</v>
          </cell>
          <cell r="G44">
            <v>0.11021500358937548</v>
          </cell>
          <cell r="H44">
            <v>0.1116146743199401</v>
          </cell>
          <cell r="I44">
            <v>0.11101996823235762</v>
          </cell>
          <cell r="J44">
            <v>0.11309838677554271</v>
          </cell>
          <cell r="K44">
            <v>0.1171369479235333</v>
          </cell>
          <cell r="L44">
            <v>0.10920686445607912</v>
          </cell>
          <cell r="M44">
            <v>0.11964229924334881</v>
          </cell>
          <cell r="N44">
            <v>0.11406000000000001</v>
          </cell>
          <cell r="O44">
            <v>0.11103699843668575</v>
          </cell>
          <cell r="P44">
            <v>0.10794326241134751</v>
          </cell>
          <cell r="Q44">
            <v>0.10772406847935546</v>
          </cell>
        </row>
        <row r="46">
          <cell r="B46" t="str">
            <v xml:space="preserve">Op Profit </v>
          </cell>
        </row>
        <row r="47">
          <cell r="B47" t="str">
            <v>Main battle tanks/svc&amp;support</v>
          </cell>
          <cell r="E47">
            <v>84.975000000000009</v>
          </cell>
          <cell r="F47">
            <v>91.727999999999994</v>
          </cell>
          <cell r="G47">
            <v>111.264</v>
          </cell>
          <cell r="H47">
            <v>120.9</v>
          </cell>
          <cell r="I47">
            <v>112.32</v>
          </cell>
          <cell r="J47">
            <v>124.1</v>
          </cell>
          <cell r="K47">
            <v>132</v>
          </cell>
          <cell r="L47">
            <v>134.32</v>
          </cell>
          <cell r="M47">
            <v>230.34899999999999</v>
          </cell>
          <cell r="N47">
            <v>235.2</v>
          </cell>
          <cell r="O47">
            <v>264.59999999999997</v>
          </cell>
          <cell r="P47">
            <v>264.59999999999997</v>
          </cell>
          <cell r="Q47">
            <v>264.59999999999997</v>
          </cell>
        </row>
        <row r="48">
          <cell r="B48" t="str">
            <v>Engin &amp; develop</v>
          </cell>
          <cell r="E48">
            <v>24.240000000000002</v>
          </cell>
          <cell r="F48">
            <v>24.36</v>
          </cell>
          <cell r="G48">
            <v>40.120000000000005</v>
          </cell>
          <cell r="H48">
            <v>54.600000000000009</v>
          </cell>
          <cell r="I48">
            <v>73.305000000000007</v>
          </cell>
          <cell r="J48">
            <v>97.2</v>
          </cell>
          <cell r="K48">
            <v>123.52499999999999</v>
          </cell>
          <cell r="L48">
            <v>161.5</v>
          </cell>
          <cell r="M48">
            <v>67.600000000000009</v>
          </cell>
          <cell r="N48">
            <v>70</v>
          </cell>
          <cell r="O48">
            <v>72.5</v>
          </cell>
          <cell r="P48">
            <v>72.5</v>
          </cell>
          <cell r="Q48">
            <v>75</v>
          </cell>
        </row>
        <row r="49">
          <cell r="B49" t="str">
            <v>Medium armored vehls/related</v>
          </cell>
          <cell r="E49">
            <v>11.988</v>
          </cell>
          <cell r="F49">
            <v>33.6</v>
          </cell>
          <cell r="G49">
            <v>54.494999999999997</v>
          </cell>
          <cell r="H49">
            <v>138</v>
          </cell>
          <cell r="I49">
            <v>161</v>
          </cell>
          <cell r="J49">
            <v>183.42500000000001</v>
          </cell>
          <cell r="K49">
            <v>250</v>
          </cell>
          <cell r="L49">
            <v>334.8</v>
          </cell>
          <cell r="M49">
            <v>318</v>
          </cell>
          <cell r="N49">
            <v>489.59999999999997</v>
          </cell>
          <cell r="O49">
            <v>480</v>
          </cell>
          <cell r="P49">
            <v>480</v>
          </cell>
          <cell r="Q49">
            <v>480</v>
          </cell>
        </row>
        <row r="50">
          <cell r="B50" t="str">
            <v>Munitions &amp; propellant</v>
          </cell>
          <cell r="E50">
            <v>3.36</v>
          </cell>
          <cell r="F50">
            <v>40.68</v>
          </cell>
          <cell r="G50">
            <v>45.96</v>
          </cell>
          <cell r="H50">
            <v>49.199999999999996</v>
          </cell>
          <cell r="I50">
            <v>54</v>
          </cell>
          <cell r="J50">
            <v>58.650000000000006</v>
          </cell>
          <cell r="K50">
            <v>96.72</v>
          </cell>
          <cell r="L50">
            <v>153.12</v>
          </cell>
          <cell r="M50">
            <v>153.35999999999999</v>
          </cell>
          <cell r="N50">
            <v>159</v>
          </cell>
          <cell r="O50">
            <v>144</v>
          </cell>
          <cell r="P50">
            <v>144</v>
          </cell>
          <cell r="Q50">
            <v>144</v>
          </cell>
        </row>
        <row r="51">
          <cell r="B51" t="str">
            <v>Rockets &amp; missile components</v>
          </cell>
          <cell r="E51">
            <v>11.52</v>
          </cell>
          <cell r="F51">
            <v>22.240000000000002</v>
          </cell>
          <cell r="G51">
            <v>20.32</v>
          </cell>
          <cell r="H51">
            <v>26.400000000000002</v>
          </cell>
          <cell r="I51">
            <v>26.400000000000002</v>
          </cell>
          <cell r="J51">
            <v>36.08</v>
          </cell>
          <cell r="K51">
            <v>42.3</v>
          </cell>
          <cell r="L51">
            <v>45</v>
          </cell>
          <cell r="M51">
            <v>35.46</v>
          </cell>
          <cell r="N51">
            <v>40.5</v>
          </cell>
          <cell r="O51">
            <v>40.5</v>
          </cell>
          <cell r="P51">
            <v>40.5</v>
          </cell>
          <cell r="Q51">
            <v>40.5</v>
          </cell>
        </row>
        <row r="52">
          <cell r="B52" t="str">
            <v>Armament systems</v>
          </cell>
          <cell r="E52">
            <v>7.5</v>
          </cell>
          <cell r="F52">
            <v>9.7000000000000011</v>
          </cell>
          <cell r="G52">
            <v>10.3</v>
          </cell>
          <cell r="H52">
            <v>13.5</v>
          </cell>
          <cell r="I52">
            <v>14</v>
          </cell>
          <cell r="J52">
            <v>17.05</v>
          </cell>
          <cell r="K52">
            <v>17.600000000000001</v>
          </cell>
          <cell r="L52">
            <v>17.71</v>
          </cell>
          <cell r="M52">
            <v>17.600000000000001</v>
          </cell>
          <cell r="N52">
            <v>17.600000000000001</v>
          </cell>
          <cell r="O52">
            <v>17.600000000000001</v>
          </cell>
          <cell r="P52">
            <v>17.600000000000001</v>
          </cell>
          <cell r="Q52">
            <v>17.600000000000001</v>
          </cell>
        </row>
        <row r="53">
          <cell r="B53" t="str">
            <v>MRAP/MRAP Lite</v>
          </cell>
          <cell r="L53">
            <v>71.25</v>
          </cell>
          <cell r="M53">
            <v>142.5</v>
          </cell>
          <cell r="N53">
            <v>112.5</v>
          </cell>
          <cell r="O53">
            <v>30</v>
          </cell>
          <cell r="P53">
            <v>30</v>
          </cell>
          <cell r="Q53">
            <v>30</v>
          </cell>
        </row>
        <row r="54">
          <cell r="B54" t="str">
            <v>Aerospace comps/other</v>
          </cell>
          <cell r="E54">
            <v>12</v>
          </cell>
          <cell r="F54">
            <v>15.6</v>
          </cell>
          <cell r="G54">
            <v>24.599999999999998</v>
          </cell>
          <cell r="H54">
            <v>44.64</v>
          </cell>
          <cell r="I54">
            <v>48.239999999999995</v>
          </cell>
          <cell r="J54">
            <v>51.362000000000002</v>
          </cell>
          <cell r="K54">
            <v>48.641999999999996</v>
          </cell>
          <cell r="L54">
            <v>20.933</v>
          </cell>
          <cell r="M54">
            <v>15.479999999999999</v>
          </cell>
          <cell r="N54">
            <v>16.2</v>
          </cell>
          <cell r="O54">
            <v>16.2</v>
          </cell>
          <cell r="P54">
            <v>16.2</v>
          </cell>
          <cell r="Q54">
            <v>18</v>
          </cell>
        </row>
        <row r="55">
          <cell r="B55" t="str">
            <v>Combat Vehicles Total</v>
          </cell>
          <cell r="E55">
            <v>155.583</v>
          </cell>
          <cell r="F55">
            <v>237.90799999999999</v>
          </cell>
          <cell r="G55">
            <v>307.05900000000008</v>
          </cell>
          <cell r="H55">
            <v>447.23999999999995</v>
          </cell>
          <cell r="I55">
            <v>489.26499999999999</v>
          </cell>
          <cell r="J55">
            <v>567.86699999999996</v>
          </cell>
          <cell r="K55">
            <v>710.78700000000003</v>
          </cell>
          <cell r="L55">
            <v>938.63300000000004</v>
          </cell>
          <cell r="M55">
            <v>980.34900000000016</v>
          </cell>
          <cell r="N55">
            <v>1140.6000000000001</v>
          </cell>
          <cell r="O55">
            <v>1065.3999999999999</v>
          </cell>
          <cell r="P55">
            <v>1065.3999999999999</v>
          </cell>
          <cell r="Q55">
            <v>1069.6999999999998</v>
          </cell>
        </row>
        <row r="57">
          <cell r="B57" t="str">
            <v>per main</v>
          </cell>
          <cell r="E57">
            <v>156</v>
          </cell>
          <cell r="F57">
            <v>238</v>
          </cell>
          <cell r="G57">
            <v>309</v>
          </cell>
          <cell r="H57">
            <v>443</v>
          </cell>
          <cell r="I57">
            <v>522</v>
          </cell>
          <cell r="J57">
            <v>576</v>
          </cell>
          <cell r="K57">
            <v>677</v>
          </cell>
          <cell r="L57">
            <v>916</v>
          </cell>
          <cell r="M57">
            <v>1111</v>
          </cell>
          <cell r="N57">
            <v>1225</v>
          </cell>
          <cell r="O57">
            <v>1194</v>
          </cell>
          <cell r="P57">
            <v>1161.5</v>
          </cell>
          <cell r="Q57">
            <v>1116.5</v>
          </cell>
        </row>
      </sheetData>
      <sheetData sheetId="9">
        <row r="1">
          <cell r="E1" t="str">
            <v>Objective force warrior ---- tech feeder to land warrior</v>
          </cell>
        </row>
        <row r="2">
          <cell r="B2" t="str">
            <v>Info Systems &amp; Technology</v>
          </cell>
          <cell r="F2" t="str">
            <v>last update 7/05</v>
          </cell>
        </row>
        <row r="3">
          <cell r="U3" t="str">
            <v>old way of break-out (3/03)</v>
          </cell>
          <cell r="AB3" t="str">
            <v>Q1:99</v>
          </cell>
          <cell r="AC3" t="str">
            <v>1997</v>
          </cell>
          <cell r="AD3">
            <v>1998</v>
          </cell>
        </row>
        <row r="4">
          <cell r="A4" t="str">
            <v>Sales</v>
          </cell>
          <cell r="D4">
            <v>2000</v>
          </cell>
          <cell r="E4">
            <v>2001</v>
          </cell>
          <cell r="F4">
            <v>2002</v>
          </cell>
          <cell r="G4" t="str">
            <v>2003</v>
          </cell>
          <cell r="H4" t="str">
            <v>2004</v>
          </cell>
          <cell r="I4" t="str">
            <v>2005</v>
          </cell>
          <cell r="J4" t="str">
            <v>2006A</v>
          </cell>
          <cell r="K4" t="str">
            <v>2007E</v>
          </cell>
          <cell r="L4" t="str">
            <v>2008E</v>
          </cell>
          <cell r="M4" t="str">
            <v>2009E</v>
          </cell>
          <cell r="N4" t="str">
            <v>Comments</v>
          </cell>
          <cell r="U4">
            <v>2000</v>
          </cell>
          <cell r="V4">
            <v>2003</v>
          </cell>
          <cell r="Z4" t="str">
            <v>Communications systems</v>
          </cell>
          <cell r="AD4">
            <v>214</v>
          </cell>
        </row>
        <row r="5">
          <cell r="A5" t="str">
            <v>Communications systems</v>
          </cell>
          <cell r="D5">
            <v>659</v>
          </cell>
          <cell r="E5">
            <v>725</v>
          </cell>
          <cell r="F5">
            <v>1235</v>
          </cell>
          <cell r="G5">
            <v>1500</v>
          </cell>
          <cell r="H5">
            <v>1850</v>
          </cell>
          <cell r="I5">
            <v>2250</v>
          </cell>
          <cell r="J5">
            <v>2300</v>
          </cell>
          <cell r="K5">
            <v>2550</v>
          </cell>
          <cell r="L5">
            <v>2800</v>
          </cell>
          <cell r="M5">
            <v>2800</v>
          </cell>
          <cell r="N5" t="str">
            <v>-C4 with GD UK</v>
          </cell>
          <cell r="T5" t="str">
            <v xml:space="preserve">ATS </v>
          </cell>
          <cell r="U5">
            <v>440</v>
          </cell>
          <cell r="V5">
            <v>700</v>
          </cell>
          <cell r="Z5" t="str">
            <v>Avionics</v>
          </cell>
          <cell r="AD5">
            <v>204</v>
          </cell>
        </row>
        <row r="6">
          <cell r="A6" t="str">
            <v>Command, control &amp; Intel sys</v>
          </cell>
          <cell r="D6">
            <v>622</v>
          </cell>
          <cell r="E6">
            <v>740</v>
          </cell>
          <cell r="F6">
            <v>943</v>
          </cell>
          <cell r="G6">
            <v>1500</v>
          </cell>
          <cell r="H6">
            <v>2100</v>
          </cell>
          <cell r="I6">
            <v>2300</v>
          </cell>
          <cell r="J6">
            <v>2350</v>
          </cell>
          <cell r="K6">
            <v>2500</v>
          </cell>
          <cell r="L6">
            <v>2675</v>
          </cell>
          <cell r="M6">
            <v>2675</v>
          </cell>
          <cell r="N6" t="str">
            <v>-Mostly AIS, little bit C4, DS</v>
          </cell>
          <cell r="T6" t="str">
            <v>Def. Systems</v>
          </cell>
          <cell r="U6">
            <v>150</v>
          </cell>
          <cell r="V6">
            <v>150</v>
          </cell>
          <cell r="Z6" t="str">
            <v>Commercial</v>
          </cell>
          <cell r="AD6">
            <v>132</v>
          </cell>
        </row>
        <row r="7">
          <cell r="A7" t="str">
            <v>Special purpose computing/surveillance &amp; recon systems</v>
          </cell>
          <cell r="D7">
            <v>659</v>
          </cell>
          <cell r="E7">
            <v>750</v>
          </cell>
          <cell r="F7">
            <v>822</v>
          </cell>
          <cell r="G7">
            <v>1100</v>
          </cell>
          <cell r="H7">
            <v>1550</v>
          </cell>
          <cell r="I7">
            <v>1750</v>
          </cell>
          <cell r="J7">
            <v>1785</v>
          </cell>
          <cell r="K7">
            <v>1900</v>
          </cell>
          <cell r="L7">
            <v>1975</v>
          </cell>
          <cell r="M7">
            <v>1975</v>
          </cell>
          <cell r="N7" t="str">
            <v>-Mostly AIS</v>
          </cell>
          <cell r="T7" t="str">
            <v>Info sys</v>
          </cell>
          <cell r="U7">
            <v>200</v>
          </cell>
          <cell r="V7">
            <v>350</v>
          </cell>
          <cell r="Z7" t="str">
            <v>Maritime</v>
          </cell>
          <cell r="AD7">
            <v>110</v>
          </cell>
          <cell r="AI7" t="str">
            <v>"Available" Market for GD's IS&amp;T Division ($B)</v>
          </cell>
        </row>
        <row r="8">
          <cell r="A8" t="str">
            <v>Network infrastructure</v>
          </cell>
          <cell r="D8">
            <v>398</v>
          </cell>
          <cell r="E8">
            <v>585</v>
          </cell>
          <cell r="F8">
            <v>681</v>
          </cell>
          <cell r="G8">
            <v>878</v>
          </cell>
          <cell r="H8">
            <v>1200</v>
          </cell>
          <cell r="I8">
            <v>1500</v>
          </cell>
          <cell r="J8">
            <v>1365</v>
          </cell>
          <cell r="K8">
            <v>1450</v>
          </cell>
          <cell r="L8">
            <v>1550</v>
          </cell>
          <cell r="M8">
            <v>1550</v>
          </cell>
          <cell r="N8" t="str">
            <v>-Network system and Little bit DS</v>
          </cell>
          <cell r="T8" t="str">
            <v>CD Canda</v>
          </cell>
          <cell r="U8">
            <v>200</v>
          </cell>
          <cell r="V8">
            <v>200</v>
          </cell>
          <cell r="Z8" t="str">
            <v>Other</v>
          </cell>
          <cell r="AD8">
            <v>136</v>
          </cell>
        </row>
        <row r="9">
          <cell r="A9" t="str">
            <v>Total IST</v>
          </cell>
          <cell r="D9">
            <v>2338</v>
          </cell>
          <cell r="E9">
            <v>2800</v>
          </cell>
          <cell r="F9">
            <v>3681</v>
          </cell>
          <cell r="G9">
            <v>4978</v>
          </cell>
          <cell r="H9">
            <v>6700</v>
          </cell>
          <cell r="I9">
            <v>7800</v>
          </cell>
          <cell r="J9">
            <v>7800</v>
          </cell>
          <cell r="K9">
            <v>8400</v>
          </cell>
          <cell r="L9">
            <v>9000</v>
          </cell>
          <cell r="M9">
            <v>9000</v>
          </cell>
          <cell r="N9" t="str">
            <v>- cable biz = exit (02), b/e (01), $4MM pr (00)</v>
          </cell>
          <cell r="T9" t="str">
            <v>UK</v>
          </cell>
          <cell r="U9">
            <v>70</v>
          </cell>
          <cell r="V9">
            <v>120</v>
          </cell>
          <cell r="Z9" t="str">
            <v>Total</v>
          </cell>
          <cell r="AB9">
            <v>233</v>
          </cell>
          <cell r="AD9">
            <v>796</v>
          </cell>
          <cell r="AJ9" t="str">
            <v>2007E</v>
          </cell>
          <cell r="AK9" t="str">
            <v>2007-2010</v>
          </cell>
          <cell r="AL9" t="str">
            <v>Implied CAGR</v>
          </cell>
        </row>
        <row r="10">
          <cell r="A10" t="str">
            <v>per main</v>
          </cell>
          <cell r="D10">
            <v>2337</v>
          </cell>
          <cell r="E10">
            <v>2691</v>
          </cell>
          <cell r="F10">
            <v>3669</v>
          </cell>
          <cell r="G10">
            <v>4848</v>
          </cell>
          <cell r="H10">
            <v>6722</v>
          </cell>
          <cell r="I10">
            <v>7826</v>
          </cell>
          <cell r="J10">
            <v>9024</v>
          </cell>
          <cell r="K10">
            <v>9622</v>
          </cell>
          <cell r="L10">
            <v>10038</v>
          </cell>
          <cell r="M10">
            <v>10800</v>
          </cell>
          <cell r="N10" t="str">
            <v>-MOT IS added in 9/01--830MM in revs/yr</v>
          </cell>
          <cell r="T10" t="str">
            <v>CSCC</v>
          </cell>
          <cell r="U10">
            <v>30</v>
          </cell>
          <cell r="V10">
            <v>70</v>
          </cell>
          <cell r="W10" t="str">
            <v>- NATO intranet</v>
          </cell>
          <cell r="Z10" t="str">
            <v>B-L</v>
          </cell>
          <cell r="AC10">
            <v>938</v>
          </cell>
          <cell r="AD10">
            <v>892</v>
          </cell>
          <cell r="AI10" t="str">
            <v>Federal IT</v>
          </cell>
          <cell r="AJ10">
            <v>25</v>
          </cell>
          <cell r="AK10">
            <v>117</v>
          </cell>
          <cell r="AL10">
            <v>0.67268932147383875</v>
          </cell>
        </row>
        <row r="11">
          <cell r="T11" t="str">
            <v>Comm sys</v>
          </cell>
          <cell r="U11">
            <v>450</v>
          </cell>
          <cell r="V11">
            <v>600</v>
          </cell>
          <cell r="W11" t="str">
            <v>- GTE comm biz</v>
          </cell>
          <cell r="Z11" t="str">
            <v>% Ch. B-L</v>
          </cell>
          <cell r="AD11">
            <v>-4.9040511727078906E-2</v>
          </cell>
          <cell r="AI11" t="str">
            <v>US Space</v>
          </cell>
          <cell r="AJ11">
            <v>4.4000000000000004</v>
          </cell>
          <cell r="AK11">
            <v>18.899999999999999</v>
          </cell>
          <cell r="AL11">
            <v>0.62556014399274051</v>
          </cell>
        </row>
        <row r="12">
          <cell r="A12" t="str">
            <v>% Ch. Y/Y</v>
          </cell>
          <cell r="T12" t="str">
            <v>Elec sys</v>
          </cell>
          <cell r="U12">
            <v>290</v>
          </cell>
          <cell r="V12">
            <v>370</v>
          </cell>
          <cell r="W12" t="str">
            <v>- CA classified stuff</v>
          </cell>
          <cell r="Z12" t="str">
            <v>Funded B-L</v>
          </cell>
          <cell r="AC12">
            <v>831</v>
          </cell>
          <cell r="AD12">
            <v>816</v>
          </cell>
          <cell r="AI12" t="str">
            <v>US C4ISR</v>
          </cell>
          <cell r="AJ12">
            <v>6</v>
          </cell>
          <cell r="AK12">
            <v>31.9</v>
          </cell>
          <cell r="AL12">
            <v>0.74533907108194808</v>
          </cell>
        </row>
        <row r="13">
          <cell r="A13" t="str">
            <v>Communications systems</v>
          </cell>
          <cell r="E13">
            <v>0.10015174506828539</v>
          </cell>
          <cell r="F13">
            <v>0.70344827586206904</v>
          </cell>
          <cell r="G13">
            <v>0.21457489878542502</v>
          </cell>
          <cell r="H13">
            <v>0.23333333333333339</v>
          </cell>
          <cell r="I13">
            <v>0.21621621621621623</v>
          </cell>
          <cell r="J13">
            <v>2.2222222222222143E-2</v>
          </cell>
          <cell r="K13">
            <v>0.10869565217391308</v>
          </cell>
          <cell r="L13">
            <v>9.8039215686274606E-2</v>
          </cell>
          <cell r="M13">
            <v>0</v>
          </cell>
          <cell r="T13" t="str">
            <v>WW Tel/com</v>
          </cell>
          <cell r="U13">
            <v>550</v>
          </cell>
          <cell r="V13">
            <v>700</v>
          </cell>
          <cell r="W13" t="str">
            <v xml:space="preserve">- GTE telecomm </v>
          </cell>
          <cell r="Z13" t="str">
            <v>% Ch. Fund</v>
          </cell>
          <cell r="AD13">
            <v>-1.8050541516245522E-2</v>
          </cell>
          <cell r="AI13" t="str">
            <v>International C4ISR</v>
          </cell>
          <cell r="AJ13">
            <v>2.9</v>
          </cell>
          <cell r="AK13">
            <v>18.3</v>
          </cell>
          <cell r="AL13">
            <v>0.84792509788701187</v>
          </cell>
        </row>
        <row r="14">
          <cell r="A14" t="str">
            <v>Command, control &amp; Intel sys</v>
          </cell>
          <cell r="E14">
            <v>0.18971061093247599</v>
          </cell>
          <cell r="F14">
            <v>0.2743243243243243</v>
          </cell>
          <cell r="G14">
            <v>0.59066808059384934</v>
          </cell>
          <cell r="H14">
            <v>0.39999999999999991</v>
          </cell>
          <cell r="I14">
            <v>9.5238095238095344E-2</v>
          </cell>
          <cell r="J14">
            <v>2.1739130434782705E-2</v>
          </cell>
          <cell r="K14">
            <v>6.3829787234042534E-2</v>
          </cell>
          <cell r="L14">
            <v>7.0000000000000062E-2</v>
          </cell>
          <cell r="M14">
            <v>0</v>
          </cell>
          <cell r="T14" t="str">
            <v>Interco elims</v>
          </cell>
          <cell r="Z14" t="str">
            <v>DDA</v>
          </cell>
          <cell r="AB14">
            <v>10</v>
          </cell>
          <cell r="AD14">
            <v>40</v>
          </cell>
          <cell r="AI14" t="str">
            <v>Total ($Billions)</v>
          </cell>
          <cell r="AJ14">
            <v>38.299999999999997</v>
          </cell>
          <cell r="AK14">
            <v>186.10000000000002</v>
          </cell>
          <cell r="AL14">
            <v>0.69374957685838479</v>
          </cell>
        </row>
        <row r="15">
          <cell r="A15" t="str">
            <v>Special purpose computing/surveillance &amp; recon systems</v>
          </cell>
          <cell r="E15">
            <v>0.13808801213960553</v>
          </cell>
          <cell r="F15">
            <v>9.6000000000000085E-2</v>
          </cell>
          <cell r="G15">
            <v>0.33819951338199505</v>
          </cell>
          <cell r="H15">
            <v>0.40909090909090917</v>
          </cell>
          <cell r="I15">
            <v>0.12903225806451624</v>
          </cell>
          <cell r="J15">
            <v>2.0000000000000018E-2</v>
          </cell>
          <cell r="K15">
            <v>6.4425770308123242E-2</v>
          </cell>
          <cell r="L15">
            <v>3.9473684210526327E-2</v>
          </cell>
          <cell r="M15">
            <v>0</v>
          </cell>
          <cell r="U15">
            <v>2300</v>
          </cell>
          <cell r="V15">
            <v>3300</v>
          </cell>
          <cell r="Z15" t="str">
            <v>Capex</v>
          </cell>
          <cell r="AB15">
            <v>2</v>
          </cell>
          <cell r="AD15">
            <v>15</v>
          </cell>
        </row>
        <row r="16">
          <cell r="A16" t="str">
            <v>Network infrastructure</v>
          </cell>
          <cell r="E16">
            <v>0.46984924623115587</v>
          </cell>
          <cell r="F16">
            <v>0.16410256410256419</v>
          </cell>
          <cell r="G16">
            <v>0.28928046989721001</v>
          </cell>
          <cell r="H16">
            <v>0.36674259681093391</v>
          </cell>
          <cell r="I16">
            <v>0.25</v>
          </cell>
          <cell r="J16">
            <v>-8.9999999999999969E-2</v>
          </cell>
          <cell r="K16">
            <v>6.2271062271062272E-2</v>
          </cell>
          <cell r="L16">
            <v>6.8965517241379226E-2</v>
          </cell>
          <cell r="M16">
            <v>0</v>
          </cell>
          <cell r="Z16" t="str">
            <v>Assets</v>
          </cell>
          <cell r="AB16">
            <v>1221</v>
          </cell>
          <cell r="AD16">
            <v>1095</v>
          </cell>
        </row>
        <row r="17">
          <cell r="A17" t="str">
            <v>Total IST</v>
          </cell>
          <cell r="E17">
            <v>0.19760479041916157</v>
          </cell>
          <cell r="F17">
            <v>0.31464285714285722</v>
          </cell>
          <cell r="G17">
            <v>0.35234990491714213</v>
          </cell>
          <cell r="H17">
            <v>0.34592205705102441</v>
          </cell>
          <cell r="I17">
            <v>0.16417910447761197</v>
          </cell>
          <cell r="J17">
            <v>0</v>
          </cell>
          <cell r="K17">
            <v>7.6923076923076872E-2</v>
          </cell>
          <cell r="L17">
            <v>7.1428571428571397E-2</v>
          </cell>
          <cell r="M17">
            <v>0</v>
          </cell>
          <cell r="Z17" t="str">
            <v>ROA</v>
          </cell>
          <cell r="AB17">
            <v>0.19082719082719082</v>
          </cell>
          <cell r="AD17">
            <v>0.72694063926940644</v>
          </cell>
        </row>
        <row r="18">
          <cell r="AN18" t="str">
            <v>Major IS&amp;T Opportunities</v>
          </cell>
        </row>
        <row r="19">
          <cell r="A19" t="str">
            <v>Op Profit</v>
          </cell>
        </row>
        <row r="20">
          <cell r="A20" t="str">
            <v>Communications systems</v>
          </cell>
          <cell r="D20">
            <v>65.241</v>
          </cell>
          <cell r="E20">
            <v>70</v>
          </cell>
          <cell r="F20">
            <v>155.61000000000001</v>
          </cell>
          <cell r="G20">
            <v>175.5</v>
          </cell>
          <cell r="H20">
            <v>199.8</v>
          </cell>
          <cell r="I20">
            <v>235.125</v>
          </cell>
          <cell r="J20">
            <v>241.5</v>
          </cell>
          <cell r="K20">
            <v>270.3</v>
          </cell>
          <cell r="L20">
            <v>299.59999999999997</v>
          </cell>
          <cell r="M20">
            <v>299.59999999999997</v>
          </cell>
          <cell r="O20">
            <v>65</v>
          </cell>
          <cell r="P20">
            <v>70</v>
          </cell>
          <cell r="Q20">
            <v>110</v>
          </cell>
          <cell r="R20">
            <v>120</v>
          </cell>
          <cell r="S20">
            <v>140</v>
          </cell>
          <cell r="T20">
            <v>150</v>
          </cell>
          <cell r="U20">
            <v>151</v>
          </cell>
          <cell r="V20">
            <v>152</v>
          </cell>
          <cell r="W20">
            <v>153</v>
          </cell>
          <cell r="AP20" t="str">
            <v>C4 Systems</v>
          </cell>
          <cell r="AQ20" t="str">
            <v>GD UK</v>
          </cell>
          <cell r="AR20" t="str">
            <v>Adv Info Sys</v>
          </cell>
          <cell r="AS20" t="str">
            <v>Info Technology</v>
          </cell>
          <cell r="AT20" t="str">
            <v>IS&amp;T</v>
          </cell>
        </row>
        <row r="21">
          <cell r="A21" t="str">
            <v>Command, control &amp; Intel sys</v>
          </cell>
          <cell r="D21">
            <v>59.712000000000003</v>
          </cell>
          <cell r="E21">
            <v>71</v>
          </cell>
          <cell r="F21">
            <v>120.70400000000001</v>
          </cell>
          <cell r="G21">
            <v>169.5</v>
          </cell>
          <cell r="H21">
            <v>222.6</v>
          </cell>
          <cell r="I21">
            <v>236.89999999999998</v>
          </cell>
          <cell r="J21">
            <v>242.04999999999998</v>
          </cell>
          <cell r="K21">
            <v>260</v>
          </cell>
          <cell r="L21">
            <v>280.875</v>
          </cell>
          <cell r="M21">
            <v>280.875</v>
          </cell>
          <cell r="O21">
            <v>60</v>
          </cell>
          <cell r="P21">
            <v>71</v>
          </cell>
          <cell r="Q21">
            <v>95</v>
          </cell>
          <cell r="R21">
            <v>100</v>
          </cell>
          <cell r="S21">
            <v>110</v>
          </cell>
          <cell r="T21">
            <v>120</v>
          </cell>
          <cell r="U21">
            <v>120</v>
          </cell>
          <cell r="V21">
            <v>120</v>
          </cell>
          <cell r="W21">
            <v>120</v>
          </cell>
          <cell r="AN21" t="str">
            <v>Assessment</v>
          </cell>
          <cell r="AP21" t="str">
            <v>Cmd. 2010, JP 2008, NAIS, NCES, TSAT, MAGTF-C2, DSS-prod., Land 125 &amp; 75, NECC, SBI-Net</v>
          </cell>
          <cell r="AQ21" t="str">
            <v>BCIP Growth, Army support various, Logistics Info Sys, European NEC, Urban ISTAR, Typhoon</v>
          </cell>
          <cell r="AR21" t="str">
            <v>LCS Int'l</v>
          </cell>
          <cell r="AS21" t="str">
            <v>USAF Combat Info Sys, BRAC</v>
          </cell>
          <cell r="AT21" t="str">
            <v>Sales Funnel &gt; $128B Opportunities</v>
          </cell>
        </row>
        <row r="22">
          <cell r="A22" t="str">
            <v>Special purpose computing/surveillance &amp; recon systems</v>
          </cell>
          <cell r="D22">
            <v>64.582000000000008</v>
          </cell>
          <cell r="E22">
            <v>70</v>
          </cell>
          <cell r="F22">
            <v>92.064000000000007</v>
          </cell>
          <cell r="G22">
            <v>112.19999999999999</v>
          </cell>
          <cell r="H22">
            <v>145.69999999999999</v>
          </cell>
          <cell r="I22">
            <v>162.75</v>
          </cell>
          <cell r="J22">
            <v>166.005</v>
          </cell>
          <cell r="K22">
            <v>183.35</v>
          </cell>
          <cell r="L22">
            <v>186.63749999999999</v>
          </cell>
          <cell r="M22">
            <v>186.63749999999999</v>
          </cell>
          <cell r="O22">
            <v>65</v>
          </cell>
          <cell r="P22">
            <v>70</v>
          </cell>
          <cell r="Q22">
            <v>80</v>
          </cell>
          <cell r="R22">
            <v>80</v>
          </cell>
          <cell r="S22">
            <v>90</v>
          </cell>
          <cell r="T22">
            <v>95</v>
          </cell>
          <cell r="U22">
            <v>95</v>
          </cell>
          <cell r="V22">
            <v>95</v>
          </cell>
          <cell r="W22">
            <v>95</v>
          </cell>
          <cell r="AN22" t="str">
            <v>Strategy</v>
          </cell>
          <cell r="AP22" t="str">
            <v>MBCOTM, JNTC 9-10, JSS, Crypto Mod, JP 2072 PH2, HC3 TACP-M, GPS OCX, VIS-X</v>
          </cell>
          <cell r="AQ22" t="str">
            <v>DABINETT, FRES, G2ISTAR, Romania C4I, Radiate, Various Int'l</v>
          </cell>
          <cell r="AR22" t="str">
            <v>Next Gen Sys, I-Assure IDIQ, DC3, NOVA</v>
          </cell>
          <cell r="AS22" t="str">
            <v>GAS Alliant, USAF Space Command UNI-COMM, HSPD-12 Card Enrollment</v>
          </cell>
          <cell r="AT22" t="str">
            <v>FRES-PSI, Alliant IDIQ, CITS 07 Bases, NAIS, FORCENET, LSC Int'l</v>
          </cell>
        </row>
        <row r="23">
          <cell r="A23" t="str">
            <v>Network infrastructure</v>
          </cell>
          <cell r="D23">
            <v>31.044</v>
          </cell>
          <cell r="E23">
            <v>48.999999999999993</v>
          </cell>
          <cell r="F23">
            <v>67.418999999999997</v>
          </cell>
          <cell r="G23">
            <v>80.775999999999996</v>
          </cell>
          <cell r="H23">
            <v>102.00000000000001</v>
          </cell>
          <cell r="I23">
            <v>127.50000000000001</v>
          </cell>
          <cell r="J23">
            <v>115.3425</v>
          </cell>
          <cell r="K23">
            <v>136.30000000000001</v>
          </cell>
          <cell r="L23">
            <v>142.6</v>
          </cell>
          <cell r="M23">
            <v>142.6</v>
          </cell>
          <cell r="O23">
            <v>31</v>
          </cell>
          <cell r="P23">
            <v>49</v>
          </cell>
          <cell r="Q23">
            <v>60</v>
          </cell>
          <cell r="R23">
            <v>70</v>
          </cell>
          <cell r="S23">
            <v>80</v>
          </cell>
          <cell r="T23">
            <v>85</v>
          </cell>
          <cell r="U23">
            <v>85</v>
          </cell>
          <cell r="V23">
            <v>85</v>
          </cell>
          <cell r="W23">
            <v>85</v>
          </cell>
          <cell r="AN23" t="str">
            <v>Pre-Proposal</v>
          </cell>
          <cell r="AP23" t="str">
            <v>GSS</v>
          </cell>
          <cell r="AQ23" t="str">
            <v>BCIP5 Support, TIEC, Listener, Future Lynx</v>
          </cell>
          <cell r="AR23" t="str">
            <v>Pole Vault, LCS</v>
          </cell>
          <cell r="AS23" t="str">
            <v>Army Warfighter Focus, USAF Air  Combat Command CASSIII</v>
          </cell>
          <cell r="AT23" t="str">
            <v>JNN 9+, LCS Prod, NCES, SNRC-1, MBCOTM, AF UNICOM, Army Warfighter Focus</v>
          </cell>
        </row>
        <row r="24">
          <cell r="A24" t="str">
            <v>Total IST</v>
          </cell>
          <cell r="D24">
            <v>220.57900000000004</v>
          </cell>
          <cell r="E24">
            <v>260</v>
          </cell>
          <cell r="F24">
            <v>435.79700000000003</v>
          </cell>
          <cell r="G24">
            <v>537.976</v>
          </cell>
          <cell r="H24">
            <v>670.09999999999991</v>
          </cell>
          <cell r="I24">
            <v>762.27499999999998</v>
          </cell>
          <cell r="J24">
            <v>764.89749999999992</v>
          </cell>
          <cell r="K24">
            <v>849.95</v>
          </cell>
          <cell r="L24">
            <v>909.71249999999998</v>
          </cell>
          <cell r="M24">
            <v>909.71249999999998</v>
          </cell>
          <cell r="O24">
            <v>221</v>
          </cell>
          <cell r="P24">
            <v>260</v>
          </cell>
          <cell r="Q24">
            <v>345</v>
          </cell>
          <cell r="R24">
            <v>370</v>
          </cell>
          <cell r="S24">
            <v>420</v>
          </cell>
          <cell r="T24">
            <v>450</v>
          </cell>
          <cell r="U24">
            <v>451</v>
          </cell>
          <cell r="V24">
            <v>452</v>
          </cell>
          <cell r="W24">
            <v>453</v>
          </cell>
          <cell r="AN24" t="str">
            <v>Proposal</v>
          </cell>
          <cell r="AP24" t="str">
            <v>ADNS III, KMI LSI, FCS-LDMS</v>
          </cell>
          <cell r="AQ24" t="str">
            <v>Bowman Support Brigades, Sea King, Pilatus, WLIP</v>
          </cell>
          <cell r="AR24" t="str">
            <v>Paladin</v>
          </cell>
          <cell r="AS24" t="str">
            <v>Army Fort Indiantown Gap (I3MP), Army Fort Monmouth DOIM</v>
          </cell>
          <cell r="AT24" t="str">
            <v>KMI LSI, GPS MSR, Monmouth DOIM, Bowman F/O</v>
          </cell>
        </row>
        <row r="25">
          <cell r="A25" t="str">
            <v>per main</v>
          </cell>
          <cell r="D25">
            <v>217</v>
          </cell>
          <cell r="E25">
            <v>261</v>
          </cell>
          <cell r="F25">
            <v>435</v>
          </cell>
          <cell r="G25">
            <v>533</v>
          </cell>
          <cell r="H25">
            <v>718</v>
          </cell>
          <cell r="I25">
            <v>865</v>
          </cell>
          <cell r="J25">
            <v>976</v>
          </cell>
          <cell r="K25">
            <v>1027</v>
          </cell>
          <cell r="L25">
            <v>1075</v>
          </cell>
          <cell r="M25">
            <v>1112.3999999999999</v>
          </cell>
          <cell r="AN25" t="str">
            <v>Post-Submittal</v>
          </cell>
          <cell r="AP25" t="str">
            <v>AOC WSI, DDS-R, WWSS</v>
          </cell>
          <cell r="AQ25" t="str">
            <v>Bowman BCIP5/6, Typhoon CAMU, MBDS, Daffodil, Romanian Mortars</v>
          </cell>
          <cell r="AR25" t="str">
            <v>Storm, Shasta</v>
          </cell>
          <cell r="AS25" t="str">
            <v>DHS CBP SBInet, DHS E-recruitment sys, Navy NADEP North Island</v>
          </cell>
          <cell r="AT25" t="str">
            <v xml:space="preserve">AOC WSI, DISA JHITS, FEMA HQ ITSS, WWSS </v>
          </cell>
        </row>
        <row r="26">
          <cell r="AN26" t="str">
            <v>Awarded</v>
          </cell>
          <cell r="AP26" t="str">
            <v>IWN, POET, DIRECT</v>
          </cell>
          <cell r="AQ26" t="str">
            <v>BCIP Recast, Eurofighter various, JSIB RFIPs, Future Lynx</v>
          </cell>
          <cell r="AR26" t="str">
            <v>Classified Production, DHS Eagle IDIQ</v>
          </cell>
          <cell r="AS26" t="str">
            <v>US Army ITES-2 IDIQ, US Army IMOD IDIQ, DHS Eagle IDIQ, DHS IWN, Navy ERP Support</v>
          </cell>
          <cell r="AT26" t="str">
            <v>IWN Ph 3, Army TEIS, DHS Eagle IDIQ, IMOD IDIQ, Classified Prod.</v>
          </cell>
        </row>
        <row r="27">
          <cell r="A27" t="str">
            <v>Op Profit Margin</v>
          </cell>
        </row>
        <row r="28">
          <cell r="A28" t="str">
            <v>Communications systems</v>
          </cell>
          <cell r="D28">
            <v>9.9000000000000005E-2</v>
          </cell>
          <cell r="E28">
            <v>9.6551724137931033E-2</v>
          </cell>
          <cell r="F28">
            <v>0.126</v>
          </cell>
          <cell r="G28">
            <v>0.11700000000000001</v>
          </cell>
          <cell r="H28">
            <v>0.108</v>
          </cell>
          <cell r="I28">
            <v>0.1045</v>
          </cell>
          <cell r="J28">
            <v>0.105</v>
          </cell>
          <cell r="K28">
            <v>0.106</v>
          </cell>
          <cell r="L28">
            <v>0.107</v>
          </cell>
          <cell r="M28">
            <v>0.107</v>
          </cell>
        </row>
        <row r="29">
          <cell r="A29" t="str">
            <v>Command, control &amp; Intel sys</v>
          </cell>
          <cell r="D29">
            <v>9.6000000000000002E-2</v>
          </cell>
          <cell r="E29">
            <v>9.5945945945945951E-2</v>
          </cell>
          <cell r="F29">
            <v>0.128</v>
          </cell>
          <cell r="G29">
            <v>0.113</v>
          </cell>
          <cell r="H29">
            <v>0.106</v>
          </cell>
          <cell r="I29">
            <v>0.10299999999999999</v>
          </cell>
          <cell r="J29">
            <v>0.10299999999999999</v>
          </cell>
          <cell r="K29">
            <v>0.104</v>
          </cell>
          <cell r="L29">
            <v>0.105</v>
          </cell>
          <cell r="M29">
            <v>0.105</v>
          </cell>
        </row>
        <row r="30">
          <cell r="A30" t="str">
            <v>Special purpose computing/surveillance &amp; recon systems</v>
          </cell>
          <cell r="D30">
            <v>9.8000000000000004E-2</v>
          </cell>
          <cell r="E30">
            <v>9.3333333333333338E-2</v>
          </cell>
          <cell r="F30">
            <v>0.112</v>
          </cell>
          <cell r="G30">
            <v>0.10199999999999999</v>
          </cell>
          <cell r="H30">
            <v>9.4E-2</v>
          </cell>
          <cell r="I30">
            <v>9.2999999999999999E-2</v>
          </cell>
          <cell r="J30">
            <v>9.2999999999999999E-2</v>
          </cell>
          <cell r="K30">
            <v>9.6500000000000002E-2</v>
          </cell>
          <cell r="L30">
            <v>9.4500000000000001E-2</v>
          </cell>
          <cell r="M30">
            <v>9.4500000000000001E-2</v>
          </cell>
        </row>
        <row r="31">
          <cell r="A31" t="str">
            <v>Network infrastructure</v>
          </cell>
          <cell r="D31">
            <v>7.8E-2</v>
          </cell>
          <cell r="E31">
            <v>8.3760683760683755E-2</v>
          </cell>
          <cell r="F31">
            <v>9.9000000000000005E-2</v>
          </cell>
          <cell r="G31">
            <v>9.1999999999999998E-2</v>
          </cell>
          <cell r="H31">
            <v>8.5000000000000006E-2</v>
          </cell>
          <cell r="I31">
            <v>8.5000000000000006E-2</v>
          </cell>
          <cell r="J31">
            <v>8.4500000000000006E-2</v>
          </cell>
          <cell r="K31">
            <v>9.4E-2</v>
          </cell>
          <cell r="L31">
            <v>9.1999999999999998E-2</v>
          </cell>
          <cell r="M31">
            <v>9.1999999999999998E-2</v>
          </cell>
        </row>
        <row r="32">
          <cell r="A32" t="str">
            <v>Total IST</v>
          </cell>
          <cell r="D32">
            <v>9.4345166809238684E-2</v>
          </cell>
          <cell r="E32">
            <v>9.285714285714286E-2</v>
          </cell>
          <cell r="F32">
            <v>0.11839092637870145</v>
          </cell>
          <cell r="G32">
            <v>0.10807071112896746</v>
          </cell>
          <cell r="H32">
            <v>0.10001492537313432</v>
          </cell>
          <cell r="I32">
            <v>9.7727564102564099E-2</v>
          </cell>
          <cell r="J32">
            <v>9.8063782051282036E-2</v>
          </cell>
          <cell r="K32">
            <v>0.10118452380952382</v>
          </cell>
          <cell r="L32">
            <v>0.10107916666666666</v>
          </cell>
          <cell r="M32">
            <v>0.10107916666666666</v>
          </cell>
        </row>
        <row r="33">
          <cell r="A33" t="str">
            <v>per main</v>
          </cell>
          <cell r="D33">
            <v>9.2854086435601196E-2</v>
          </cell>
          <cell r="E33">
            <v>9.6989966555183951E-2</v>
          </cell>
          <cell r="F33">
            <v>0.11856091578086672</v>
          </cell>
          <cell r="G33">
            <v>0.10994224422442245</v>
          </cell>
          <cell r="H33">
            <v>0.1068134483784588</v>
          </cell>
          <cell r="I33">
            <v>0.11052900587784309</v>
          </cell>
          <cell r="J33">
            <v>0.10815602836879433</v>
          </cell>
          <cell r="K33">
            <v>0.1067345666181667</v>
          </cell>
          <cell r="L33">
            <v>0.10709304642359035</v>
          </cell>
          <cell r="M33">
            <v>0.10299999999999999</v>
          </cell>
        </row>
        <row r="37">
          <cell r="A37" t="str">
            <v>intrastructure and systems integration req'd to process, comm and manage info. Wireline &amp; wireless voice and data networks, C4ISR systems</v>
          </cell>
        </row>
        <row r="38">
          <cell r="A38" t="str">
            <v>encryption, ruggedized computing, adv'd sw &amp; electronics systems development, lifecycle mgmt &amp; support</v>
          </cell>
        </row>
        <row r="40">
          <cell r="A40" t="str">
            <v>advanced info systems</v>
          </cell>
        </row>
        <row r="41">
          <cell r="A41" t="str">
            <v>C4 systems</v>
          </cell>
        </row>
        <row r="42">
          <cell r="A42" t="str">
            <v>Decision systems</v>
          </cell>
        </row>
        <row r="43">
          <cell r="A43" t="str">
            <v>Network systems</v>
          </cell>
        </row>
        <row r="44">
          <cell r="A44" t="str">
            <v>GD UK</v>
          </cell>
          <cell r="B44" t="str">
            <v>this is where uk bowman is?</v>
          </cell>
        </row>
        <row r="45">
          <cell r="A45" t="str">
            <v>Bowman= 10% if IST 2002 revs, $2.4B contract with CIP adding $450MM to it</v>
          </cell>
        </row>
        <row r="46">
          <cell r="A46" t="str">
            <v>USMC IDIQ $522MM for digital combat opns centres</v>
          </cell>
        </row>
        <row r="47">
          <cell r="A47" t="str">
            <v>Land warrior soldier modernization K for US Army potential val $790MM - personal electronics, global nav, integrated w/ Stryker &amp; FCS</v>
          </cell>
        </row>
        <row r="48">
          <cell r="A48" t="str">
            <v>USCG pot value $611MM for Rescue 21</v>
          </cell>
        </row>
        <row r="49">
          <cell r="A49" t="str">
            <v>USAF K pot value $260MM theater deployable comm integ comm access pkgs (TDC ICAP) -- what is this??</v>
          </cell>
        </row>
        <row r="50">
          <cell r="A50" t="str">
            <v>WIN-T - first award potential val= $6B</v>
          </cell>
        </row>
        <row r="51">
          <cell r="A51" t="str">
            <v>Land Warrior is in Info Tech (Dceision Systems</v>
          </cell>
        </row>
        <row r="56">
          <cell r="G56" t="str">
            <v>IST Team</v>
          </cell>
          <cell r="H56" t="str">
            <v>Prez</v>
          </cell>
          <cell r="I56" t="str">
            <v>Gerard DeMuro</v>
          </cell>
        </row>
        <row r="57">
          <cell r="H57" t="str">
            <v>Network Sys</v>
          </cell>
          <cell r="I57" t="str">
            <v>Mike Chandler</v>
          </cell>
        </row>
        <row r="58">
          <cell r="H58" t="str">
            <v>C4 Sys</v>
          </cell>
          <cell r="I58" t="str">
            <v>Mark Fried</v>
          </cell>
        </row>
        <row r="59">
          <cell r="H59" t="str">
            <v>GD UK</v>
          </cell>
          <cell r="I59" t="str">
            <v>Lawrence Johnson</v>
          </cell>
        </row>
        <row r="60">
          <cell r="H60" t="str">
            <v>Adv'd Info</v>
          </cell>
          <cell r="I60" t="str">
            <v>John Stewart</v>
          </cell>
        </row>
        <row r="61">
          <cell r="B61" t="str">
            <v>GD's IS&amp;T Revenues By Program  ($MM)</v>
          </cell>
        </row>
        <row r="64">
          <cell r="D64">
            <v>2000</v>
          </cell>
          <cell r="E64">
            <v>2001</v>
          </cell>
          <cell r="F64">
            <v>2002</v>
          </cell>
          <cell r="G64">
            <v>2003</v>
          </cell>
          <cell r="H64">
            <v>2004</v>
          </cell>
          <cell r="I64">
            <v>2005</v>
          </cell>
          <cell r="J64" t="str">
            <v>2006A</v>
          </cell>
          <cell r="K64" t="str">
            <v>2007E</v>
          </cell>
          <cell r="L64" t="str">
            <v>2008E</v>
          </cell>
          <cell r="M64" t="str">
            <v>2009E</v>
          </cell>
        </row>
        <row r="65">
          <cell r="A65" t="str">
            <v>Advanced Info Systems</v>
          </cell>
        </row>
        <row r="66">
          <cell r="A66" t="str">
            <v xml:space="preserve">   Airborne Electronic Systems</v>
          </cell>
        </row>
        <row r="67">
          <cell r="A67" t="str">
            <v xml:space="preserve"> Airborne Power Control</v>
          </cell>
          <cell r="D67">
            <v>10</v>
          </cell>
          <cell r="E67">
            <v>10</v>
          </cell>
          <cell r="F67">
            <v>10</v>
          </cell>
          <cell r="G67">
            <v>10</v>
          </cell>
          <cell r="H67">
            <v>10</v>
          </cell>
          <cell r="I67">
            <v>10</v>
          </cell>
          <cell r="J67">
            <v>12</v>
          </cell>
          <cell r="K67">
            <v>12</v>
          </cell>
          <cell r="L67">
            <v>15</v>
          </cell>
          <cell r="M67">
            <v>15</v>
          </cell>
        </row>
        <row r="68">
          <cell r="A68" t="str">
            <v>Cabin Electronics</v>
          </cell>
          <cell r="D68">
            <v>10</v>
          </cell>
          <cell r="E68">
            <v>10</v>
          </cell>
          <cell r="F68">
            <v>10</v>
          </cell>
          <cell r="G68">
            <v>10</v>
          </cell>
          <cell r="H68">
            <v>10</v>
          </cell>
          <cell r="I68">
            <v>10</v>
          </cell>
          <cell r="J68">
            <v>12</v>
          </cell>
          <cell r="K68">
            <v>12</v>
          </cell>
          <cell r="L68">
            <v>15</v>
          </cell>
          <cell r="M68">
            <v>15</v>
          </cell>
        </row>
        <row r="69">
          <cell r="A69" t="str">
            <v xml:space="preserve"> -subtotal Airborne Electronics Systems</v>
          </cell>
          <cell r="D69">
            <v>20</v>
          </cell>
          <cell r="E69">
            <v>20</v>
          </cell>
          <cell r="F69">
            <v>20</v>
          </cell>
          <cell r="G69">
            <v>20</v>
          </cell>
          <cell r="H69">
            <v>20</v>
          </cell>
          <cell r="I69">
            <v>20</v>
          </cell>
          <cell r="J69">
            <v>24</v>
          </cell>
          <cell r="K69">
            <v>24</v>
          </cell>
          <cell r="L69">
            <v>30</v>
          </cell>
          <cell r="M69">
            <v>30</v>
          </cell>
        </row>
        <row r="70">
          <cell r="A70" t="str">
            <v>Command &amp; Control Systems</v>
          </cell>
        </row>
        <row r="71">
          <cell r="A71" t="str">
            <v>AADC</v>
          </cell>
        </row>
        <row r="72">
          <cell r="A72" t="str">
            <v>Integrated Marine Solutions</v>
          </cell>
        </row>
        <row r="73">
          <cell r="A73" t="str">
            <v>Information Transmission Solutions</v>
          </cell>
          <cell r="G73">
            <v>10</v>
          </cell>
          <cell r="H73">
            <v>15</v>
          </cell>
          <cell r="I73">
            <v>15</v>
          </cell>
          <cell r="J73">
            <v>50</v>
          </cell>
          <cell r="K73">
            <v>75</v>
          </cell>
          <cell r="L73">
            <v>75</v>
          </cell>
          <cell r="M73">
            <v>75</v>
          </cell>
        </row>
        <row r="74">
          <cell r="A74" t="str">
            <v>Other Command Decision Solutions</v>
          </cell>
          <cell r="D74">
            <v>170</v>
          </cell>
          <cell r="E74">
            <v>170</v>
          </cell>
          <cell r="F74">
            <v>170</v>
          </cell>
          <cell r="G74">
            <v>170</v>
          </cell>
          <cell r="H74">
            <v>170</v>
          </cell>
          <cell r="I74">
            <v>170</v>
          </cell>
          <cell r="J74">
            <v>180</v>
          </cell>
          <cell r="K74">
            <v>180</v>
          </cell>
          <cell r="L74">
            <v>185</v>
          </cell>
          <cell r="M74">
            <v>185</v>
          </cell>
        </row>
        <row r="75">
          <cell r="A75" t="str">
            <v xml:space="preserve">  -subtotal C&amp;C Systems</v>
          </cell>
          <cell r="D75">
            <v>170</v>
          </cell>
          <cell r="E75">
            <v>170</v>
          </cell>
          <cell r="F75">
            <v>170</v>
          </cell>
          <cell r="G75">
            <v>180</v>
          </cell>
          <cell r="H75">
            <v>185</v>
          </cell>
          <cell r="I75">
            <v>185</v>
          </cell>
          <cell r="J75">
            <v>230</v>
          </cell>
          <cell r="K75">
            <v>255</v>
          </cell>
          <cell r="L75">
            <v>260</v>
          </cell>
          <cell r="M75">
            <v>260</v>
          </cell>
        </row>
        <row r="76">
          <cell r="A76" t="str">
            <v>Intelligence Systems</v>
          </cell>
        </row>
        <row r="77">
          <cell r="A77" t="str">
            <v>MIS</v>
          </cell>
          <cell r="G77">
            <v>5</v>
          </cell>
          <cell r="H77">
            <v>10</v>
          </cell>
          <cell r="I77">
            <v>10</v>
          </cell>
          <cell r="J77">
            <v>15</v>
          </cell>
          <cell r="K77">
            <v>15</v>
          </cell>
          <cell r="L77">
            <v>15</v>
          </cell>
          <cell r="M77">
            <v>15</v>
          </cell>
        </row>
        <row r="78">
          <cell r="A78" t="str">
            <v>SigINT</v>
          </cell>
        </row>
        <row r="79">
          <cell r="A79" t="str">
            <v>Mission Solutions</v>
          </cell>
          <cell r="D79">
            <v>250</v>
          </cell>
          <cell r="E79">
            <v>250</v>
          </cell>
          <cell r="F79">
            <v>250</v>
          </cell>
          <cell r="G79">
            <v>250</v>
          </cell>
          <cell r="H79">
            <v>250</v>
          </cell>
          <cell r="I79">
            <v>250</v>
          </cell>
          <cell r="J79">
            <v>275</v>
          </cell>
          <cell r="K79">
            <v>275</v>
          </cell>
          <cell r="L79">
            <v>300</v>
          </cell>
          <cell r="M79">
            <v>300</v>
          </cell>
        </row>
        <row r="80">
          <cell r="A80" t="str">
            <v xml:space="preserve"> -subtotal Intelligence Solutions</v>
          </cell>
          <cell r="D80">
            <v>250</v>
          </cell>
          <cell r="E80">
            <v>250</v>
          </cell>
          <cell r="F80">
            <v>250</v>
          </cell>
          <cell r="G80">
            <v>255</v>
          </cell>
          <cell r="H80">
            <v>260</v>
          </cell>
          <cell r="I80">
            <v>260</v>
          </cell>
          <cell r="J80">
            <v>290</v>
          </cell>
          <cell r="K80">
            <v>290</v>
          </cell>
          <cell r="L80">
            <v>315</v>
          </cell>
          <cell r="M80">
            <v>315</v>
          </cell>
        </row>
        <row r="81">
          <cell r="A81" t="str">
            <v>Surveillance &amp; Recon Systems</v>
          </cell>
        </row>
        <row r="82">
          <cell r="A82" t="str">
            <v>Mission Comp/Displays</v>
          </cell>
        </row>
        <row r="83">
          <cell r="A83" t="str">
            <v>Processing Systems</v>
          </cell>
        </row>
        <row r="84">
          <cell r="A84" t="str">
            <v>Stores &amp; Memory Systems</v>
          </cell>
        </row>
        <row r="85">
          <cell r="A85" t="str">
            <v>Other Surveillance Systems</v>
          </cell>
          <cell r="D85">
            <v>180</v>
          </cell>
          <cell r="E85">
            <v>200</v>
          </cell>
          <cell r="F85">
            <v>225</v>
          </cell>
          <cell r="G85">
            <v>275</v>
          </cell>
          <cell r="H85">
            <v>300</v>
          </cell>
          <cell r="I85">
            <v>325</v>
          </cell>
          <cell r="J85">
            <v>350</v>
          </cell>
          <cell r="K85">
            <v>400</v>
          </cell>
          <cell r="L85">
            <v>425</v>
          </cell>
          <cell r="M85">
            <v>425</v>
          </cell>
        </row>
        <row r="86">
          <cell r="A86" t="str">
            <v xml:space="preserve"> -subtotal Surv/Recon  Sys</v>
          </cell>
          <cell r="D86">
            <v>180</v>
          </cell>
          <cell r="E86">
            <v>200</v>
          </cell>
          <cell r="F86">
            <v>225</v>
          </cell>
          <cell r="G86">
            <v>275</v>
          </cell>
          <cell r="H86">
            <v>300</v>
          </cell>
          <cell r="I86">
            <v>325</v>
          </cell>
          <cell r="J86">
            <v>350</v>
          </cell>
          <cell r="K86">
            <v>400</v>
          </cell>
          <cell r="L86">
            <v>425</v>
          </cell>
          <cell r="M86">
            <v>425</v>
          </cell>
        </row>
        <row r="87">
          <cell r="A87" t="str">
            <v>Information Operations</v>
          </cell>
        </row>
        <row r="88">
          <cell r="A88" t="str">
            <v>AS&amp;T</v>
          </cell>
        </row>
        <row r="89">
          <cell r="A89" t="str">
            <v>Info Ops Systems</v>
          </cell>
        </row>
        <row r="90">
          <cell r="A90" t="str">
            <v>Prime Integrations Contractor</v>
          </cell>
        </row>
        <row r="91">
          <cell r="A91" t="str">
            <v>Exploitation Systems</v>
          </cell>
        </row>
        <row r="92">
          <cell r="A92" t="str">
            <v>Space Systems</v>
          </cell>
        </row>
        <row r="93">
          <cell r="A93" t="str">
            <v>Other Info Ops</v>
          </cell>
          <cell r="D93">
            <v>230</v>
          </cell>
          <cell r="E93">
            <v>260</v>
          </cell>
          <cell r="F93">
            <v>275</v>
          </cell>
          <cell r="G93">
            <v>300</v>
          </cell>
          <cell r="H93">
            <v>300</v>
          </cell>
          <cell r="I93">
            <v>325</v>
          </cell>
          <cell r="J93">
            <v>400</v>
          </cell>
          <cell r="K93">
            <v>400</v>
          </cell>
          <cell r="L93">
            <v>425</v>
          </cell>
          <cell r="M93">
            <v>425</v>
          </cell>
        </row>
        <row r="94">
          <cell r="A94" t="str">
            <v>-subtotal Information Operations</v>
          </cell>
          <cell r="D94">
            <v>230</v>
          </cell>
          <cell r="E94">
            <v>260</v>
          </cell>
          <cell r="F94">
            <v>275</v>
          </cell>
          <cell r="G94">
            <v>300</v>
          </cell>
          <cell r="H94">
            <v>300</v>
          </cell>
          <cell r="I94">
            <v>325</v>
          </cell>
          <cell r="J94">
            <v>400</v>
          </cell>
          <cell r="K94">
            <v>400</v>
          </cell>
          <cell r="L94">
            <v>425</v>
          </cell>
          <cell r="M94">
            <v>425</v>
          </cell>
        </row>
        <row r="95">
          <cell r="A95" t="str">
            <v>DSR</v>
          </cell>
        </row>
        <row r="96">
          <cell r="A96" t="str">
            <v>Common Network Interface</v>
          </cell>
          <cell r="G96">
            <v>4</v>
          </cell>
          <cell r="H96">
            <v>12</v>
          </cell>
          <cell r="I96">
            <v>12</v>
          </cell>
          <cell r="J96">
            <v>12</v>
          </cell>
          <cell r="K96">
            <v>12</v>
          </cell>
          <cell r="L96">
            <v>10</v>
          </cell>
          <cell r="M96">
            <v>10</v>
          </cell>
        </row>
        <row r="97">
          <cell r="A97" t="str">
            <v>-total DSR</v>
          </cell>
          <cell r="G97">
            <v>31.25</v>
          </cell>
          <cell r="H97">
            <v>125</v>
          </cell>
          <cell r="I97">
            <v>130</v>
          </cell>
          <cell r="J97">
            <v>130</v>
          </cell>
          <cell r="K97">
            <v>130</v>
          </cell>
          <cell r="L97">
            <v>130</v>
          </cell>
          <cell r="M97">
            <v>130</v>
          </cell>
        </row>
        <row r="98">
          <cell r="A98" t="str">
            <v>TOTAL  AIS</v>
          </cell>
          <cell r="D98">
            <v>850</v>
          </cell>
          <cell r="E98">
            <v>900</v>
          </cell>
          <cell r="F98">
            <v>940</v>
          </cell>
          <cell r="G98">
            <v>1061.25</v>
          </cell>
          <cell r="H98">
            <v>1190</v>
          </cell>
          <cell r="I98">
            <v>1245</v>
          </cell>
          <cell r="J98">
            <v>1424</v>
          </cell>
          <cell r="K98">
            <v>1499</v>
          </cell>
          <cell r="L98">
            <v>1585</v>
          </cell>
          <cell r="M98">
            <v>1585</v>
          </cell>
        </row>
        <row r="99">
          <cell r="A99" t="str">
            <v>Est AIS Op Prof</v>
          </cell>
          <cell r="D99">
            <v>75</v>
          </cell>
          <cell r="E99">
            <v>79</v>
          </cell>
          <cell r="F99">
            <v>88</v>
          </cell>
          <cell r="G99">
            <v>97</v>
          </cell>
          <cell r="H99">
            <v>100</v>
          </cell>
          <cell r="I99">
            <v>100</v>
          </cell>
          <cell r="J99">
            <v>110</v>
          </cell>
          <cell r="K99">
            <v>110</v>
          </cell>
          <cell r="L99">
            <v>110</v>
          </cell>
          <cell r="M99">
            <v>110</v>
          </cell>
        </row>
        <row r="100">
          <cell r="A100" t="str">
            <v>% Sls</v>
          </cell>
          <cell r="D100">
            <v>8.8235294117647065E-2</v>
          </cell>
          <cell r="E100">
            <v>8.7777777777777774E-2</v>
          </cell>
          <cell r="F100">
            <v>9.3617021276595741E-2</v>
          </cell>
          <cell r="G100">
            <v>9.1401648998822138E-2</v>
          </cell>
          <cell r="H100">
            <v>8.4033613445378158E-2</v>
          </cell>
          <cell r="I100">
            <v>8.0321285140562249E-2</v>
          </cell>
          <cell r="J100">
            <v>7.7247191011235949E-2</v>
          </cell>
          <cell r="K100">
            <v>7.3382254836557706E-2</v>
          </cell>
          <cell r="L100">
            <v>6.9400630914826497E-2</v>
          </cell>
          <cell r="M100">
            <v>6.9400630914826497E-2</v>
          </cell>
        </row>
        <row r="102">
          <cell r="A102" t="str">
            <v>C4 Systems Heritage (Now C4 Systems with Decision Systems)</v>
          </cell>
        </row>
        <row r="103">
          <cell r="A103" t="str">
            <v>Command &amp; Control</v>
          </cell>
        </row>
        <row r="104">
          <cell r="A104" t="str">
            <v>ADOCS</v>
          </cell>
          <cell r="G104">
            <v>10</v>
          </cell>
          <cell r="H104">
            <v>10</v>
          </cell>
          <cell r="I104">
            <v>10</v>
          </cell>
          <cell r="J104">
            <v>10</v>
          </cell>
          <cell r="K104">
            <v>10</v>
          </cell>
          <cell r="L104">
            <v>10</v>
          </cell>
          <cell r="M104">
            <v>10</v>
          </cell>
        </row>
        <row r="105">
          <cell r="A105" t="str">
            <v>Other C&amp;C</v>
          </cell>
          <cell r="D105">
            <v>125</v>
          </cell>
          <cell r="E105">
            <v>150</v>
          </cell>
          <cell r="F105">
            <v>150</v>
          </cell>
          <cell r="G105">
            <v>150</v>
          </cell>
          <cell r="H105">
            <v>150</v>
          </cell>
          <cell r="I105">
            <v>160</v>
          </cell>
          <cell r="J105">
            <v>175</v>
          </cell>
          <cell r="K105">
            <v>180</v>
          </cell>
          <cell r="L105">
            <v>180</v>
          </cell>
          <cell r="M105">
            <v>180</v>
          </cell>
        </row>
        <row r="106">
          <cell r="A106" t="str">
            <v>-total C&amp;C</v>
          </cell>
          <cell r="D106">
            <v>125</v>
          </cell>
          <cell r="E106">
            <v>150</v>
          </cell>
          <cell r="F106">
            <v>150</v>
          </cell>
          <cell r="G106">
            <v>160</v>
          </cell>
          <cell r="H106">
            <v>160</v>
          </cell>
          <cell r="I106">
            <v>170</v>
          </cell>
          <cell r="J106">
            <v>185</v>
          </cell>
          <cell r="K106">
            <v>190</v>
          </cell>
          <cell r="L106">
            <v>190</v>
          </cell>
          <cell r="M106">
            <v>190</v>
          </cell>
        </row>
        <row r="107">
          <cell r="A107" t="str">
            <v>Ruggedized Products</v>
          </cell>
        </row>
        <row r="108">
          <cell r="A108" t="str">
            <v>CHS-2/3</v>
          </cell>
          <cell r="D108">
            <v>75</v>
          </cell>
          <cell r="E108">
            <v>75</v>
          </cell>
          <cell r="F108">
            <v>75</v>
          </cell>
          <cell r="G108">
            <v>75</v>
          </cell>
          <cell r="H108">
            <v>75</v>
          </cell>
          <cell r="I108">
            <v>75</v>
          </cell>
          <cell r="J108">
            <v>80</v>
          </cell>
          <cell r="K108">
            <v>85</v>
          </cell>
          <cell r="L108">
            <v>85</v>
          </cell>
          <cell r="M108">
            <v>85</v>
          </cell>
        </row>
        <row r="109">
          <cell r="A109" t="str">
            <v>Other Ruggedized</v>
          </cell>
          <cell r="D109">
            <v>50</v>
          </cell>
          <cell r="E109">
            <v>50</v>
          </cell>
          <cell r="F109">
            <v>50</v>
          </cell>
          <cell r="G109">
            <v>50</v>
          </cell>
          <cell r="H109">
            <v>50</v>
          </cell>
          <cell r="I109">
            <v>55</v>
          </cell>
          <cell r="J109">
            <v>55</v>
          </cell>
          <cell r="K109">
            <v>60</v>
          </cell>
          <cell r="L109">
            <v>60</v>
          </cell>
          <cell r="M109">
            <v>60</v>
          </cell>
        </row>
        <row r="110">
          <cell r="A110" t="str">
            <v>-total Rugged Prod</v>
          </cell>
          <cell r="D110">
            <v>125</v>
          </cell>
          <cell r="E110">
            <v>125</v>
          </cell>
          <cell r="F110">
            <v>125</v>
          </cell>
          <cell r="G110">
            <v>125</v>
          </cell>
          <cell r="H110">
            <v>125</v>
          </cell>
          <cell r="I110">
            <v>130</v>
          </cell>
          <cell r="J110">
            <v>135</v>
          </cell>
          <cell r="K110">
            <v>145</v>
          </cell>
          <cell r="L110">
            <v>145</v>
          </cell>
          <cell r="M110">
            <v>145</v>
          </cell>
        </row>
        <row r="111">
          <cell r="A111" t="str">
            <v>Information Assurance/Security</v>
          </cell>
        </row>
        <row r="112">
          <cell r="A112" t="str">
            <v>TACLANE Encyrptor</v>
          </cell>
          <cell r="D112">
            <v>40</v>
          </cell>
          <cell r="E112">
            <v>42</v>
          </cell>
          <cell r="F112">
            <v>80</v>
          </cell>
          <cell r="G112">
            <v>75</v>
          </cell>
          <cell r="H112">
            <v>75</v>
          </cell>
          <cell r="I112">
            <v>75</v>
          </cell>
          <cell r="J112">
            <v>75</v>
          </cell>
          <cell r="K112">
            <v>75</v>
          </cell>
          <cell r="L112">
            <v>75</v>
          </cell>
          <cell r="M112">
            <v>75</v>
          </cell>
        </row>
        <row r="113">
          <cell r="A113" t="str">
            <v>Other Info Assurance</v>
          </cell>
          <cell r="D113">
            <v>75</v>
          </cell>
          <cell r="E113">
            <v>75</v>
          </cell>
          <cell r="F113">
            <v>75</v>
          </cell>
          <cell r="G113">
            <v>75</v>
          </cell>
          <cell r="H113">
            <v>75</v>
          </cell>
          <cell r="I113">
            <v>80</v>
          </cell>
          <cell r="J113">
            <v>85</v>
          </cell>
          <cell r="K113">
            <v>85</v>
          </cell>
          <cell r="L113">
            <v>90</v>
          </cell>
          <cell r="M113">
            <v>90</v>
          </cell>
        </row>
        <row r="114">
          <cell r="A114" t="str">
            <v>-total Info Assur</v>
          </cell>
          <cell r="D114">
            <v>115</v>
          </cell>
          <cell r="E114">
            <v>117</v>
          </cell>
          <cell r="F114">
            <v>155</v>
          </cell>
          <cell r="G114">
            <v>150</v>
          </cell>
          <cell r="H114">
            <v>150</v>
          </cell>
          <cell r="I114">
            <v>155</v>
          </cell>
          <cell r="J114">
            <v>160</v>
          </cell>
          <cell r="K114">
            <v>160</v>
          </cell>
          <cell r="L114">
            <v>165</v>
          </cell>
          <cell r="M114">
            <v>165</v>
          </cell>
        </row>
        <row r="115">
          <cell r="A115" t="str">
            <v>Training/Distance Learning</v>
          </cell>
        </row>
        <row r="116">
          <cell r="A116" t="str">
            <v>Other Train/Dist Learn</v>
          </cell>
          <cell r="D116">
            <v>60</v>
          </cell>
          <cell r="E116">
            <v>60</v>
          </cell>
          <cell r="F116">
            <v>60</v>
          </cell>
          <cell r="G116">
            <v>60</v>
          </cell>
          <cell r="H116">
            <v>60</v>
          </cell>
          <cell r="I116">
            <v>60</v>
          </cell>
          <cell r="J116">
            <v>60</v>
          </cell>
          <cell r="K116">
            <v>60</v>
          </cell>
          <cell r="L116">
            <v>60</v>
          </cell>
          <cell r="M116">
            <v>60</v>
          </cell>
        </row>
        <row r="117">
          <cell r="A117" t="str">
            <v>-total Train/Dist Learn</v>
          </cell>
          <cell r="D117">
            <v>60</v>
          </cell>
          <cell r="E117">
            <v>60</v>
          </cell>
          <cell r="F117">
            <v>60</v>
          </cell>
          <cell r="G117">
            <v>60</v>
          </cell>
          <cell r="H117">
            <v>60</v>
          </cell>
          <cell r="I117">
            <v>60</v>
          </cell>
          <cell r="J117">
            <v>60</v>
          </cell>
          <cell r="K117">
            <v>60</v>
          </cell>
          <cell r="L117">
            <v>60</v>
          </cell>
          <cell r="M117">
            <v>60</v>
          </cell>
        </row>
        <row r="118">
          <cell r="A118" t="str">
            <v>Tactical Communications</v>
          </cell>
        </row>
        <row r="119">
          <cell r="A119" t="str">
            <v>Tactical Data Network</v>
          </cell>
          <cell r="D119">
            <v>25</v>
          </cell>
          <cell r="E119">
            <v>25</v>
          </cell>
          <cell r="F119">
            <v>25</v>
          </cell>
          <cell r="G119">
            <v>25</v>
          </cell>
          <cell r="H119">
            <v>25</v>
          </cell>
          <cell r="I119">
            <v>25</v>
          </cell>
          <cell r="J119">
            <v>25</v>
          </cell>
          <cell r="K119">
            <v>25</v>
          </cell>
          <cell r="L119">
            <v>25</v>
          </cell>
          <cell r="M119">
            <v>25</v>
          </cell>
        </row>
        <row r="120">
          <cell r="A120" t="str">
            <v>WIN-T</v>
          </cell>
          <cell r="F120">
            <v>10</v>
          </cell>
          <cell r="G120">
            <v>25</v>
          </cell>
          <cell r="H120">
            <v>25</v>
          </cell>
          <cell r="I120">
            <v>45</v>
          </cell>
          <cell r="J120">
            <v>50</v>
          </cell>
          <cell r="K120">
            <v>75</v>
          </cell>
          <cell r="L120">
            <v>75</v>
          </cell>
          <cell r="M120">
            <v>75</v>
          </cell>
        </row>
        <row r="121">
          <cell r="A121" t="str">
            <v>Defense Messaging</v>
          </cell>
          <cell r="D121">
            <v>11</v>
          </cell>
          <cell r="E121">
            <v>15</v>
          </cell>
          <cell r="F121">
            <v>15</v>
          </cell>
          <cell r="G121">
            <v>15</v>
          </cell>
        </row>
        <row r="122">
          <cell r="A122" t="str">
            <v>Tactical Switches</v>
          </cell>
          <cell r="D122">
            <v>10</v>
          </cell>
          <cell r="E122">
            <v>10</v>
          </cell>
          <cell r="F122">
            <v>10</v>
          </cell>
          <cell r="G122">
            <v>10</v>
          </cell>
          <cell r="H122">
            <v>10</v>
          </cell>
          <cell r="I122">
            <v>10</v>
          </cell>
          <cell r="J122">
            <v>10</v>
          </cell>
          <cell r="K122">
            <v>10</v>
          </cell>
          <cell r="L122">
            <v>10</v>
          </cell>
          <cell r="M122">
            <v>10</v>
          </cell>
        </row>
        <row r="123">
          <cell r="A123" t="str">
            <v>Other Tact Comm</v>
          </cell>
          <cell r="D123">
            <v>100</v>
          </cell>
          <cell r="E123">
            <v>100</v>
          </cell>
          <cell r="F123">
            <v>100</v>
          </cell>
          <cell r="G123">
            <v>100</v>
          </cell>
          <cell r="H123">
            <v>125</v>
          </cell>
          <cell r="I123">
            <v>150</v>
          </cell>
          <cell r="J123">
            <v>175</v>
          </cell>
          <cell r="K123">
            <v>175</v>
          </cell>
          <cell r="L123">
            <v>200</v>
          </cell>
          <cell r="M123">
            <v>200</v>
          </cell>
        </row>
        <row r="124">
          <cell r="A124" t="str">
            <v>-total Tact Comm</v>
          </cell>
          <cell r="D124">
            <v>146</v>
          </cell>
          <cell r="E124">
            <v>150</v>
          </cell>
          <cell r="F124">
            <v>160</v>
          </cell>
          <cell r="G124">
            <v>175</v>
          </cell>
          <cell r="H124">
            <v>185</v>
          </cell>
          <cell r="I124">
            <v>230</v>
          </cell>
          <cell r="J124">
            <v>260</v>
          </cell>
          <cell r="K124">
            <v>285</v>
          </cell>
          <cell r="L124">
            <v>310</v>
          </cell>
          <cell r="M124">
            <v>310</v>
          </cell>
        </row>
        <row r="125">
          <cell r="A125" t="str">
            <v>GD Canada</v>
          </cell>
        </row>
        <row r="126">
          <cell r="A126" t="str">
            <v>IRIS</v>
          </cell>
          <cell r="D126">
            <v>70</v>
          </cell>
          <cell r="E126">
            <v>65</v>
          </cell>
          <cell r="F126">
            <v>60</v>
          </cell>
          <cell r="G126">
            <v>50</v>
          </cell>
          <cell r="H126">
            <v>50</v>
          </cell>
          <cell r="I126">
            <v>50</v>
          </cell>
          <cell r="J126">
            <v>50</v>
          </cell>
          <cell r="K126">
            <v>50</v>
          </cell>
          <cell r="L126">
            <v>50</v>
          </cell>
          <cell r="M126">
            <v>50</v>
          </cell>
        </row>
        <row r="127">
          <cell r="A127" t="str">
            <v>CP-140</v>
          </cell>
          <cell r="D127">
            <v>10</v>
          </cell>
          <cell r="E127">
            <v>10</v>
          </cell>
          <cell r="F127">
            <v>20</v>
          </cell>
          <cell r="G127">
            <v>20</v>
          </cell>
          <cell r="H127">
            <v>20</v>
          </cell>
          <cell r="I127">
            <v>20</v>
          </cell>
          <cell r="J127">
            <v>20</v>
          </cell>
          <cell r="K127">
            <v>20</v>
          </cell>
          <cell r="L127">
            <v>20</v>
          </cell>
          <cell r="M127">
            <v>20</v>
          </cell>
        </row>
        <row r="128">
          <cell r="A128" t="str">
            <v>Other GD Can</v>
          </cell>
          <cell r="D128">
            <v>120</v>
          </cell>
          <cell r="E128">
            <v>125</v>
          </cell>
          <cell r="F128">
            <v>120</v>
          </cell>
          <cell r="G128">
            <v>130</v>
          </cell>
          <cell r="H128">
            <v>130</v>
          </cell>
          <cell r="I128">
            <v>140</v>
          </cell>
          <cell r="J128">
            <v>145</v>
          </cell>
          <cell r="K128">
            <v>145</v>
          </cell>
          <cell r="L128">
            <v>150</v>
          </cell>
          <cell r="M128">
            <v>150</v>
          </cell>
        </row>
        <row r="129">
          <cell r="A129" t="str">
            <v>-total GD Canada</v>
          </cell>
          <cell r="D129">
            <v>200</v>
          </cell>
          <cell r="E129">
            <v>200</v>
          </cell>
          <cell r="F129">
            <v>200</v>
          </cell>
          <cell r="G129">
            <v>200</v>
          </cell>
          <cell r="H129">
            <v>200</v>
          </cell>
          <cell r="I129">
            <v>210</v>
          </cell>
          <cell r="J129">
            <v>215</v>
          </cell>
          <cell r="K129">
            <v>215</v>
          </cell>
          <cell r="L129">
            <v>220</v>
          </cell>
          <cell r="M129">
            <v>220</v>
          </cell>
        </row>
        <row r="130">
          <cell r="A130" t="str">
            <v>-TOTAL  C4S</v>
          </cell>
          <cell r="D130">
            <v>771</v>
          </cell>
          <cell r="E130">
            <v>802</v>
          </cell>
          <cell r="F130">
            <v>850</v>
          </cell>
          <cell r="G130">
            <v>870</v>
          </cell>
          <cell r="H130">
            <v>880</v>
          </cell>
          <cell r="I130">
            <v>955</v>
          </cell>
          <cell r="J130">
            <v>1015</v>
          </cell>
          <cell r="K130">
            <v>1055</v>
          </cell>
          <cell r="L130">
            <v>1090</v>
          </cell>
          <cell r="M130">
            <v>1090</v>
          </cell>
        </row>
        <row r="131">
          <cell r="A131" t="str">
            <v>Est C4S Op Prof</v>
          </cell>
          <cell r="D131">
            <v>70</v>
          </cell>
          <cell r="E131">
            <v>80</v>
          </cell>
          <cell r="F131">
            <v>85</v>
          </cell>
          <cell r="G131">
            <v>87</v>
          </cell>
          <cell r="H131">
            <v>88</v>
          </cell>
          <cell r="I131">
            <v>90</v>
          </cell>
          <cell r="J131">
            <v>95</v>
          </cell>
          <cell r="K131">
            <v>98</v>
          </cell>
          <cell r="L131">
            <v>100</v>
          </cell>
          <cell r="M131">
            <v>100</v>
          </cell>
        </row>
        <row r="132">
          <cell r="A132" t="str">
            <v>% sls</v>
          </cell>
          <cell r="D132">
            <v>9.0791180285343706E-2</v>
          </cell>
          <cell r="E132">
            <v>9.9750623441396513E-2</v>
          </cell>
          <cell r="F132">
            <v>0.1</v>
          </cell>
          <cell r="G132">
            <v>0.1</v>
          </cell>
          <cell r="H132">
            <v>0.1</v>
          </cell>
          <cell r="I132">
            <v>9.4240837696335081E-2</v>
          </cell>
          <cell r="J132">
            <v>9.3596059113300489E-2</v>
          </cell>
          <cell r="K132">
            <v>9.2890995260663509E-2</v>
          </cell>
          <cell r="L132">
            <v>9.1743119266055051E-2</v>
          </cell>
          <cell r="M132">
            <v>9.1743119266055051E-2</v>
          </cell>
        </row>
        <row r="134">
          <cell r="A134" t="str">
            <v>Decision Systems Heritage (Now C4 Systems with C4 Heritage)</v>
          </cell>
        </row>
        <row r="135">
          <cell r="A135" t="str">
            <v>Land Warrior</v>
          </cell>
          <cell r="F135">
            <v>10</v>
          </cell>
          <cell r="G135">
            <v>30</v>
          </cell>
          <cell r="H135">
            <v>50</v>
          </cell>
          <cell r="I135">
            <v>60</v>
          </cell>
          <cell r="J135">
            <v>70</v>
          </cell>
          <cell r="K135">
            <v>75</v>
          </cell>
          <cell r="L135">
            <v>80</v>
          </cell>
          <cell r="M135">
            <v>80</v>
          </cell>
        </row>
        <row r="136">
          <cell r="A136" t="str">
            <v>Rescue21</v>
          </cell>
          <cell r="F136">
            <v>20</v>
          </cell>
          <cell r="G136">
            <v>25</v>
          </cell>
          <cell r="H136">
            <v>45</v>
          </cell>
          <cell r="I136">
            <v>70</v>
          </cell>
          <cell r="J136">
            <v>75</v>
          </cell>
          <cell r="K136">
            <v>110</v>
          </cell>
          <cell r="L136">
            <v>125</v>
          </cell>
          <cell r="M136">
            <v>125</v>
          </cell>
        </row>
        <row r="137">
          <cell r="A137" t="str">
            <v>ICIDS</v>
          </cell>
        </row>
        <row r="138">
          <cell r="A138" t="str">
            <v>SM-3 Targeting</v>
          </cell>
          <cell r="F138">
            <v>5</v>
          </cell>
          <cell r="G138">
            <v>30</v>
          </cell>
          <cell r="H138">
            <v>40</v>
          </cell>
          <cell r="I138">
            <v>40</v>
          </cell>
          <cell r="J138">
            <v>40</v>
          </cell>
          <cell r="K138">
            <v>30</v>
          </cell>
          <cell r="L138">
            <v>30</v>
          </cell>
          <cell r="M138">
            <v>30</v>
          </cell>
        </row>
        <row r="139">
          <cell r="A139" t="str">
            <v>Marine UOCs</v>
          </cell>
          <cell r="F139">
            <v>5</v>
          </cell>
          <cell r="G139">
            <v>20</v>
          </cell>
          <cell r="H139">
            <v>40</v>
          </cell>
          <cell r="I139">
            <v>45</v>
          </cell>
          <cell r="J139">
            <v>50</v>
          </cell>
          <cell r="K139">
            <v>50</v>
          </cell>
          <cell r="L139">
            <v>50</v>
          </cell>
          <cell r="M139">
            <v>50</v>
          </cell>
        </row>
        <row r="140">
          <cell r="A140" t="str">
            <v>C4ISR</v>
          </cell>
        </row>
        <row r="141">
          <cell r="A141" t="str">
            <v>WIN-T</v>
          </cell>
        </row>
        <row r="142">
          <cell r="A142" t="str">
            <v>FCS</v>
          </cell>
          <cell r="H142">
            <v>10</v>
          </cell>
          <cell r="I142">
            <v>20</v>
          </cell>
          <cell r="J142">
            <v>25</v>
          </cell>
          <cell r="K142">
            <v>25</v>
          </cell>
          <cell r="L142">
            <v>10</v>
          </cell>
          <cell r="M142">
            <v>10</v>
          </cell>
        </row>
        <row r="143">
          <cell r="A143" t="str">
            <v>High Assurance Information and Security</v>
          </cell>
        </row>
        <row r="144">
          <cell r="A144" t="str">
            <v>AIM Software</v>
          </cell>
          <cell r="H144">
            <v>8</v>
          </cell>
          <cell r="I144">
            <v>10</v>
          </cell>
          <cell r="J144">
            <v>10</v>
          </cell>
          <cell r="K144">
            <v>10</v>
          </cell>
          <cell r="L144">
            <v>10</v>
          </cell>
          <cell r="M144">
            <v>10</v>
          </cell>
        </row>
        <row r="145">
          <cell r="A145" t="str">
            <v>Radio Products</v>
          </cell>
        </row>
        <row r="146">
          <cell r="A146" t="str">
            <v>Radio Systems</v>
          </cell>
        </row>
        <row r="147">
          <cell r="A147" t="str">
            <v>JTRS</v>
          </cell>
        </row>
        <row r="148">
          <cell r="A148" t="str">
            <v>DMR</v>
          </cell>
        </row>
        <row r="149">
          <cell r="A149" t="str">
            <v>SDR</v>
          </cell>
        </row>
        <row r="150">
          <cell r="A150" t="str">
            <v>Simulation &amp; Modeling</v>
          </cell>
        </row>
        <row r="151">
          <cell r="A151" t="str">
            <v>Space Systems &amp; Services</v>
          </cell>
          <cell r="E151">
            <v>10</v>
          </cell>
          <cell r="F151">
            <v>20</v>
          </cell>
        </row>
        <row r="152">
          <cell r="A152" t="str">
            <v>Tactical &amp; Remote Switching Systems</v>
          </cell>
        </row>
        <row r="153">
          <cell r="A153" t="str">
            <v>Common Ground Stations</v>
          </cell>
        </row>
        <row r="154">
          <cell r="A154" t="str">
            <v>Terrestrial Comm Products</v>
          </cell>
          <cell r="F154">
            <v>5</v>
          </cell>
          <cell r="G154">
            <v>15</v>
          </cell>
          <cell r="H154">
            <v>15</v>
          </cell>
          <cell r="I154">
            <v>15</v>
          </cell>
        </row>
        <row r="155">
          <cell r="A155" t="str">
            <v>Test Equipment</v>
          </cell>
        </row>
        <row r="156">
          <cell r="A156" t="str">
            <v>Info Security</v>
          </cell>
        </row>
        <row r="157">
          <cell r="A157" t="str">
            <v>Other DS</v>
          </cell>
          <cell r="E157">
            <v>180</v>
          </cell>
          <cell r="F157">
            <v>655</v>
          </cell>
          <cell r="G157">
            <v>685</v>
          </cell>
          <cell r="H157">
            <v>665</v>
          </cell>
          <cell r="I157">
            <v>700</v>
          </cell>
          <cell r="J157">
            <v>725</v>
          </cell>
          <cell r="K157">
            <v>750</v>
          </cell>
          <cell r="L157">
            <v>775</v>
          </cell>
          <cell r="M157">
            <v>775</v>
          </cell>
        </row>
        <row r="158">
          <cell r="A158" t="str">
            <v>-total DS</v>
          </cell>
          <cell r="E158">
            <v>190</v>
          </cell>
          <cell r="F158">
            <v>720</v>
          </cell>
          <cell r="G158">
            <v>805</v>
          </cell>
          <cell r="H158">
            <v>873</v>
          </cell>
          <cell r="I158">
            <v>960</v>
          </cell>
          <cell r="J158">
            <v>995</v>
          </cell>
          <cell r="K158">
            <v>1050</v>
          </cell>
          <cell r="L158">
            <v>1080</v>
          </cell>
          <cell r="M158">
            <v>1080</v>
          </cell>
        </row>
        <row r="159">
          <cell r="A159" t="str">
            <v>Est DS Op Prof</v>
          </cell>
          <cell r="E159">
            <v>22</v>
          </cell>
          <cell r="F159">
            <v>90</v>
          </cell>
          <cell r="G159">
            <v>100</v>
          </cell>
          <cell r="H159">
            <v>104</v>
          </cell>
          <cell r="I159">
            <v>108</v>
          </cell>
          <cell r="J159">
            <v>110</v>
          </cell>
          <cell r="K159">
            <v>112</v>
          </cell>
          <cell r="L159">
            <v>115</v>
          </cell>
          <cell r="M159">
            <v>115</v>
          </cell>
        </row>
        <row r="160">
          <cell r="A160" t="str">
            <v>% sls</v>
          </cell>
          <cell r="E160">
            <v>0.11578947368421053</v>
          </cell>
          <cell r="F160">
            <v>0.125</v>
          </cell>
          <cell r="G160">
            <v>0.12422360248447205</v>
          </cell>
          <cell r="H160">
            <v>0.11912943871706758</v>
          </cell>
          <cell r="I160">
            <v>0.1125</v>
          </cell>
          <cell r="J160">
            <v>0.11055276381909548</v>
          </cell>
          <cell r="K160">
            <v>0.10666666666666667</v>
          </cell>
          <cell r="L160">
            <v>0.10648148148148148</v>
          </cell>
          <cell r="M160">
            <v>0.10648148148148148</v>
          </cell>
        </row>
        <row r="162">
          <cell r="A162" t="str">
            <v>Network Systems</v>
          </cell>
        </row>
        <row r="163">
          <cell r="A163" t="str">
            <v>ADCS</v>
          </cell>
          <cell r="D163">
            <v>10</v>
          </cell>
          <cell r="E163">
            <v>20</v>
          </cell>
          <cell r="F163">
            <v>20</v>
          </cell>
          <cell r="G163">
            <v>70</v>
          </cell>
          <cell r="H163">
            <v>70</v>
          </cell>
          <cell r="I163">
            <v>70</v>
          </cell>
        </row>
        <row r="164">
          <cell r="A164" t="str">
            <v>BLII OCONUS</v>
          </cell>
          <cell r="D164">
            <v>5</v>
          </cell>
          <cell r="E164">
            <v>20</v>
          </cell>
          <cell r="F164">
            <v>50</v>
          </cell>
          <cell r="G164">
            <v>45</v>
          </cell>
        </row>
        <row r="165">
          <cell r="A165" t="str">
            <v>NMCI</v>
          </cell>
          <cell r="D165" t="str">
            <v>Find out these two</v>
          </cell>
        </row>
        <row r="166">
          <cell r="A166" t="str">
            <v>Pentagon Renov</v>
          </cell>
          <cell r="D166" t="str">
            <v>Find out these two</v>
          </cell>
        </row>
        <row r="167">
          <cell r="A167" t="str">
            <v xml:space="preserve">CIO-SP2i </v>
          </cell>
        </row>
        <row r="168">
          <cell r="A168" t="str">
            <v>JIATF</v>
          </cell>
          <cell r="D168">
            <v>2</v>
          </cell>
          <cell r="E168">
            <v>2</v>
          </cell>
          <cell r="F168">
            <v>2</v>
          </cell>
          <cell r="G168">
            <v>5</v>
          </cell>
          <cell r="H168">
            <v>5</v>
          </cell>
          <cell r="I168">
            <v>5</v>
          </cell>
          <cell r="J168">
            <v>5</v>
          </cell>
          <cell r="K168">
            <v>5</v>
          </cell>
          <cell r="L168">
            <v>5</v>
          </cell>
          <cell r="M168">
            <v>5</v>
          </cell>
        </row>
        <row r="169">
          <cell r="A169" t="str">
            <v>DSSMP</v>
          </cell>
          <cell r="F169">
            <v>2</v>
          </cell>
          <cell r="G169">
            <v>3</v>
          </cell>
          <cell r="H169">
            <v>3</v>
          </cell>
          <cell r="I169">
            <v>3</v>
          </cell>
          <cell r="J169">
            <v>3</v>
          </cell>
          <cell r="K169">
            <v>3</v>
          </cell>
          <cell r="L169">
            <v>3</v>
          </cell>
          <cell r="M169">
            <v>3</v>
          </cell>
        </row>
        <row r="170">
          <cell r="A170" t="str">
            <v>ICE2</v>
          </cell>
          <cell r="D170">
            <v>5</v>
          </cell>
          <cell r="E170">
            <v>5</v>
          </cell>
          <cell r="F170">
            <v>10</v>
          </cell>
          <cell r="G170">
            <v>20</v>
          </cell>
          <cell r="H170">
            <v>40</v>
          </cell>
          <cell r="I170">
            <v>40</v>
          </cell>
          <cell r="J170">
            <v>40</v>
          </cell>
          <cell r="K170">
            <v>40</v>
          </cell>
          <cell r="L170">
            <v>40</v>
          </cell>
          <cell r="M170">
            <v>40</v>
          </cell>
        </row>
        <row r="171">
          <cell r="A171" t="str">
            <v>ITS</v>
          </cell>
          <cell r="D171">
            <v>20</v>
          </cell>
          <cell r="E171">
            <v>35</v>
          </cell>
          <cell r="F171">
            <v>35</v>
          </cell>
          <cell r="G171">
            <v>50</v>
          </cell>
          <cell r="H171">
            <v>50</v>
          </cell>
          <cell r="I171">
            <v>50</v>
          </cell>
          <cell r="J171">
            <v>50</v>
          </cell>
          <cell r="K171">
            <v>50</v>
          </cell>
          <cell r="L171">
            <v>50</v>
          </cell>
          <cell r="M171">
            <v>50</v>
          </cell>
        </row>
        <row r="172">
          <cell r="A172" t="str">
            <v>Groundbreaker</v>
          </cell>
          <cell r="D172">
            <v>5</v>
          </cell>
          <cell r="E172">
            <v>10</v>
          </cell>
          <cell r="F172">
            <v>20</v>
          </cell>
          <cell r="G172">
            <v>20</v>
          </cell>
          <cell r="H172">
            <v>20</v>
          </cell>
          <cell r="I172">
            <v>20</v>
          </cell>
          <cell r="J172">
            <v>20</v>
          </cell>
          <cell r="K172">
            <v>20</v>
          </cell>
          <cell r="L172">
            <v>20</v>
          </cell>
          <cell r="M172">
            <v>20</v>
          </cell>
        </row>
        <row r="173">
          <cell r="A173" t="str">
            <v>WIDTS</v>
          </cell>
        </row>
        <row r="174">
          <cell r="A174" t="str">
            <v>ViViD</v>
          </cell>
          <cell r="G174">
            <v>2</v>
          </cell>
          <cell r="H174">
            <v>2</v>
          </cell>
          <cell r="I174">
            <v>2</v>
          </cell>
          <cell r="J174">
            <v>2</v>
          </cell>
          <cell r="K174">
            <v>2</v>
          </cell>
          <cell r="L174">
            <v>2</v>
          </cell>
          <cell r="M174">
            <v>2</v>
          </cell>
        </row>
        <row r="175">
          <cell r="A175" t="str">
            <v>Saudi Aramco</v>
          </cell>
          <cell r="D175">
            <v>2</v>
          </cell>
          <cell r="E175">
            <v>33</v>
          </cell>
          <cell r="F175">
            <v>21</v>
          </cell>
          <cell r="G175">
            <v>13</v>
          </cell>
          <cell r="H175">
            <v>2</v>
          </cell>
        </row>
        <row r="176">
          <cell r="A176" t="str">
            <v>Other NS</v>
          </cell>
          <cell r="D176">
            <v>510</v>
          </cell>
          <cell r="E176">
            <v>625</v>
          </cell>
          <cell r="F176">
            <v>720</v>
          </cell>
          <cell r="G176">
            <v>800</v>
          </cell>
          <cell r="H176">
            <v>1300</v>
          </cell>
          <cell r="I176">
            <v>1450</v>
          </cell>
          <cell r="J176">
            <v>1550</v>
          </cell>
          <cell r="K176">
            <v>1650</v>
          </cell>
          <cell r="L176">
            <v>1700</v>
          </cell>
          <cell r="M176">
            <v>1700</v>
          </cell>
        </row>
        <row r="177">
          <cell r="A177" t="str">
            <v>-total NS</v>
          </cell>
          <cell r="D177">
            <v>559</v>
          </cell>
          <cell r="E177">
            <v>750</v>
          </cell>
          <cell r="F177">
            <v>880</v>
          </cell>
          <cell r="G177">
            <v>1028</v>
          </cell>
          <cell r="H177">
            <v>1492</v>
          </cell>
          <cell r="I177">
            <v>1640</v>
          </cell>
          <cell r="J177">
            <v>1670</v>
          </cell>
          <cell r="K177">
            <v>1770</v>
          </cell>
          <cell r="L177">
            <v>1820</v>
          </cell>
          <cell r="M177">
            <v>1820</v>
          </cell>
        </row>
        <row r="178">
          <cell r="A178" t="str">
            <v>Est NS Op Prof</v>
          </cell>
          <cell r="D178">
            <v>54</v>
          </cell>
          <cell r="E178">
            <v>71</v>
          </cell>
          <cell r="F178">
            <v>90</v>
          </cell>
          <cell r="G178">
            <v>105</v>
          </cell>
          <cell r="H178">
            <v>155</v>
          </cell>
          <cell r="I178">
            <v>180</v>
          </cell>
          <cell r="J178">
            <v>185</v>
          </cell>
          <cell r="K178">
            <v>195</v>
          </cell>
          <cell r="L178">
            <v>200</v>
          </cell>
          <cell r="M178">
            <v>200</v>
          </cell>
        </row>
        <row r="179">
          <cell r="A179" t="str">
            <v>% sls</v>
          </cell>
          <cell r="D179">
            <v>9.6601073345259386E-2</v>
          </cell>
          <cell r="E179">
            <v>9.4666666666666663E-2</v>
          </cell>
          <cell r="F179">
            <v>0.10227272727272728</v>
          </cell>
          <cell r="G179">
            <v>0.10214007782101167</v>
          </cell>
          <cell r="H179">
            <v>0.10388739946380697</v>
          </cell>
          <cell r="I179">
            <v>0.10975609756097561</v>
          </cell>
          <cell r="J179">
            <v>0.11077844311377245</v>
          </cell>
          <cell r="K179">
            <v>0.11016949152542373</v>
          </cell>
          <cell r="L179">
            <v>0.10989010989010989</v>
          </cell>
          <cell r="M179">
            <v>0.10989010989010989</v>
          </cell>
        </row>
        <row r="181">
          <cell r="A181" t="str">
            <v>GD UK</v>
          </cell>
        </row>
        <row r="182">
          <cell r="A182" t="str">
            <v>Bowman</v>
          </cell>
          <cell r="E182">
            <v>50</v>
          </cell>
          <cell r="F182">
            <v>368</v>
          </cell>
          <cell r="G182">
            <v>360</v>
          </cell>
          <cell r="H182">
            <v>450</v>
          </cell>
          <cell r="I182">
            <v>700</v>
          </cell>
          <cell r="J182">
            <v>700</v>
          </cell>
          <cell r="K182">
            <v>500</v>
          </cell>
          <cell r="L182">
            <v>400</v>
          </cell>
          <cell r="M182">
            <v>400</v>
          </cell>
        </row>
        <row r="183">
          <cell r="A183" t="str">
            <v>Digitization</v>
          </cell>
          <cell r="F183">
            <v>5</v>
          </cell>
          <cell r="G183">
            <v>50</v>
          </cell>
          <cell r="H183">
            <v>80</v>
          </cell>
          <cell r="I183">
            <v>80</v>
          </cell>
          <cell r="J183">
            <v>80</v>
          </cell>
          <cell r="K183">
            <v>80</v>
          </cell>
          <cell r="L183">
            <v>80</v>
          </cell>
          <cell r="M183">
            <v>80</v>
          </cell>
        </row>
        <row r="184">
          <cell r="A184" t="str">
            <v>Mission Systems</v>
          </cell>
          <cell r="G184">
            <v>10</v>
          </cell>
          <cell r="H184">
            <v>10</v>
          </cell>
          <cell r="I184">
            <v>10</v>
          </cell>
          <cell r="J184">
            <v>10</v>
          </cell>
          <cell r="K184">
            <v>10</v>
          </cell>
          <cell r="L184">
            <v>10</v>
          </cell>
          <cell r="M184">
            <v>10</v>
          </cell>
        </row>
        <row r="185">
          <cell r="A185" t="str">
            <v>Other GD UK</v>
          </cell>
          <cell r="D185">
            <v>80</v>
          </cell>
          <cell r="E185">
            <v>80</v>
          </cell>
          <cell r="F185">
            <v>20</v>
          </cell>
          <cell r="G185">
            <v>50</v>
          </cell>
          <cell r="H185">
            <v>40</v>
          </cell>
          <cell r="I185">
            <v>40</v>
          </cell>
          <cell r="J185">
            <v>40</v>
          </cell>
          <cell r="K185">
            <v>45</v>
          </cell>
          <cell r="L185">
            <v>50</v>
          </cell>
          <cell r="M185">
            <v>50</v>
          </cell>
        </row>
        <row r="186">
          <cell r="A186" t="str">
            <v>-total GD UK</v>
          </cell>
          <cell r="D186">
            <v>80</v>
          </cell>
          <cell r="E186">
            <v>130</v>
          </cell>
          <cell r="F186">
            <v>393</v>
          </cell>
          <cell r="G186">
            <v>470</v>
          </cell>
          <cell r="H186">
            <v>580</v>
          </cell>
          <cell r="I186">
            <v>830</v>
          </cell>
          <cell r="J186">
            <v>830</v>
          </cell>
          <cell r="K186">
            <v>635</v>
          </cell>
          <cell r="L186">
            <v>540</v>
          </cell>
          <cell r="M186">
            <v>540</v>
          </cell>
        </row>
        <row r="187">
          <cell r="A187" t="str">
            <v>Est GD UK Op Prof</v>
          </cell>
          <cell r="D187">
            <v>6</v>
          </cell>
          <cell r="E187">
            <v>8</v>
          </cell>
          <cell r="F187">
            <v>34</v>
          </cell>
          <cell r="G187">
            <v>38</v>
          </cell>
          <cell r="H187">
            <v>48</v>
          </cell>
          <cell r="I187">
            <v>68</v>
          </cell>
          <cell r="J187">
            <v>68</v>
          </cell>
          <cell r="K187">
            <v>52</v>
          </cell>
          <cell r="L187">
            <v>54</v>
          </cell>
          <cell r="M187">
            <v>54</v>
          </cell>
        </row>
        <row r="188">
          <cell r="A188" t="str">
            <v>% sls</v>
          </cell>
          <cell r="D188">
            <v>7.4999999999999997E-2</v>
          </cell>
          <cell r="E188">
            <v>6.1538461538461542E-2</v>
          </cell>
          <cell r="F188">
            <v>8.6513994910941472E-2</v>
          </cell>
          <cell r="G188">
            <v>8.085106382978724E-2</v>
          </cell>
          <cell r="H188">
            <v>8.2758620689655171E-2</v>
          </cell>
          <cell r="I188">
            <v>8.1927710843373497E-2</v>
          </cell>
          <cell r="J188">
            <v>8.1927710843373497E-2</v>
          </cell>
          <cell r="K188">
            <v>8.1889763779527558E-2</v>
          </cell>
          <cell r="L188">
            <v>0.1</v>
          </cell>
          <cell r="M188">
            <v>0.1</v>
          </cell>
        </row>
        <row r="190">
          <cell r="A190" t="str">
            <v>Veridian</v>
          </cell>
        </row>
        <row r="191">
          <cell r="A191" t="str">
            <v>-total VNX</v>
          </cell>
          <cell r="G191">
            <v>300</v>
          </cell>
          <cell r="H191">
            <v>1400</v>
          </cell>
          <cell r="I191">
            <v>1350</v>
          </cell>
          <cell r="J191">
            <v>1475</v>
          </cell>
          <cell r="K191">
            <v>1575</v>
          </cell>
          <cell r="L191">
            <v>1650</v>
          </cell>
          <cell r="M191">
            <v>1650</v>
          </cell>
        </row>
        <row r="192">
          <cell r="A192" t="str">
            <v>Est VNX Op Prof</v>
          </cell>
          <cell r="G192">
            <v>23</v>
          </cell>
          <cell r="H192">
            <v>105</v>
          </cell>
          <cell r="I192">
            <v>115</v>
          </cell>
          <cell r="J192">
            <v>120</v>
          </cell>
          <cell r="K192">
            <v>125</v>
          </cell>
          <cell r="L192">
            <v>130</v>
          </cell>
          <cell r="M192">
            <v>130</v>
          </cell>
        </row>
        <row r="193">
          <cell r="A193" t="str">
            <v>% sls</v>
          </cell>
          <cell r="G193">
            <v>7.6666666666666661E-2</v>
          </cell>
          <cell r="H193">
            <v>7.4999999999999997E-2</v>
          </cell>
          <cell r="I193">
            <v>8.5185185185185183E-2</v>
          </cell>
          <cell r="J193">
            <v>8.1355932203389825E-2</v>
          </cell>
          <cell r="K193">
            <v>7.9365079365079361E-2</v>
          </cell>
          <cell r="L193">
            <v>7.8787878787878782E-2</v>
          </cell>
          <cell r="M193">
            <v>7.8787878787878782E-2</v>
          </cell>
        </row>
        <row r="195">
          <cell r="A195" t="str">
            <v>Total IST</v>
          </cell>
          <cell r="D195">
            <v>2260</v>
          </cell>
          <cell r="E195">
            <v>2772</v>
          </cell>
          <cell r="F195">
            <v>3783</v>
          </cell>
          <cell r="G195">
            <v>4534.25</v>
          </cell>
          <cell r="H195">
            <v>6415</v>
          </cell>
          <cell r="I195">
            <v>6980</v>
          </cell>
          <cell r="J195">
            <v>7409</v>
          </cell>
          <cell r="K195">
            <v>7584</v>
          </cell>
          <cell r="L195">
            <v>7765</v>
          </cell>
          <cell r="M195">
            <v>7765</v>
          </cell>
        </row>
        <row r="196">
          <cell r="A196" t="str">
            <v>cushion</v>
          </cell>
          <cell r="D196">
            <v>77</v>
          </cell>
          <cell r="E196">
            <v>-81</v>
          </cell>
          <cell r="F196">
            <v>-114</v>
          </cell>
          <cell r="G196">
            <v>313.75</v>
          </cell>
          <cell r="H196">
            <v>307</v>
          </cell>
          <cell r="I196">
            <v>846</v>
          </cell>
          <cell r="J196">
            <v>1615</v>
          </cell>
          <cell r="K196">
            <v>2038</v>
          </cell>
          <cell r="L196">
            <v>2273</v>
          </cell>
          <cell r="M196">
            <v>3035</v>
          </cell>
        </row>
        <row r="197">
          <cell r="A197" t="str">
            <v>vs. Main</v>
          </cell>
          <cell r="D197">
            <v>2337</v>
          </cell>
          <cell r="E197">
            <v>2691</v>
          </cell>
          <cell r="F197">
            <v>3669</v>
          </cell>
          <cell r="G197">
            <v>4848</v>
          </cell>
          <cell r="H197">
            <v>6722</v>
          </cell>
          <cell r="I197">
            <v>7826</v>
          </cell>
          <cell r="J197">
            <v>9024</v>
          </cell>
          <cell r="K197">
            <v>9622</v>
          </cell>
          <cell r="L197">
            <v>10038</v>
          </cell>
          <cell r="M197">
            <v>10800</v>
          </cell>
        </row>
        <row r="199">
          <cell r="A199" t="str">
            <v>Total IST Op Prof</v>
          </cell>
          <cell r="D199">
            <v>205</v>
          </cell>
          <cell r="E199">
            <v>260</v>
          </cell>
          <cell r="F199">
            <v>387</v>
          </cell>
          <cell r="G199">
            <v>450</v>
          </cell>
          <cell r="H199">
            <v>600</v>
          </cell>
          <cell r="I199">
            <v>661</v>
          </cell>
          <cell r="J199">
            <v>688</v>
          </cell>
          <cell r="K199">
            <v>692</v>
          </cell>
          <cell r="L199">
            <v>709</v>
          </cell>
          <cell r="M199">
            <v>709</v>
          </cell>
        </row>
        <row r="200">
          <cell r="A200" t="str">
            <v>cushion</v>
          </cell>
          <cell r="G200">
            <v>83</v>
          </cell>
          <cell r="H200">
            <v>118</v>
          </cell>
          <cell r="I200">
            <v>204</v>
          </cell>
          <cell r="J200">
            <v>288</v>
          </cell>
          <cell r="K200">
            <v>335</v>
          </cell>
          <cell r="L200">
            <v>366</v>
          </cell>
          <cell r="M200">
            <v>403.39999999999986</v>
          </cell>
        </row>
        <row r="201">
          <cell r="A201" t="str">
            <v>vs. Main</v>
          </cell>
          <cell r="D201">
            <v>217</v>
          </cell>
          <cell r="E201">
            <v>261</v>
          </cell>
          <cell r="F201">
            <v>435</v>
          </cell>
          <cell r="G201">
            <v>533</v>
          </cell>
          <cell r="H201">
            <v>718</v>
          </cell>
          <cell r="I201">
            <v>865</v>
          </cell>
          <cell r="J201">
            <v>976</v>
          </cell>
          <cell r="K201">
            <v>1027</v>
          </cell>
          <cell r="L201">
            <v>1075</v>
          </cell>
          <cell r="M201">
            <v>1112.3999999999999</v>
          </cell>
        </row>
        <row r="203">
          <cell r="A203" t="str">
            <v>% Sales</v>
          </cell>
          <cell r="D203">
            <v>9.0707964601769914E-2</v>
          </cell>
          <cell r="E203">
            <v>9.3795093795093792E-2</v>
          </cell>
          <cell r="F203">
            <v>0.10229976209357652</v>
          </cell>
          <cell r="G203">
            <v>9.9244638032750729E-2</v>
          </cell>
          <cell r="H203">
            <v>9.3530787217459083E-2</v>
          </cell>
          <cell r="I203">
            <v>9.4699140401146131E-2</v>
          </cell>
          <cell r="J203">
            <v>9.286003509245512E-2</v>
          </cell>
          <cell r="K203">
            <v>9.124472573839662E-2</v>
          </cell>
          <cell r="L203">
            <v>9.1307147456535731E-2</v>
          </cell>
          <cell r="M203">
            <v>9.1307147456535731E-2</v>
          </cell>
        </row>
        <row r="204">
          <cell r="A204" t="str">
            <v>vs Main</v>
          </cell>
          <cell r="D204">
            <v>9.2854086435601196E-2</v>
          </cell>
          <cell r="E204">
            <v>9.6989966555183951E-2</v>
          </cell>
          <cell r="F204">
            <v>0.11856091578086672</v>
          </cell>
          <cell r="G204">
            <v>0.10994224422442245</v>
          </cell>
          <cell r="H204">
            <v>0.1068134483784588</v>
          </cell>
          <cell r="I204">
            <v>0.11052900587784309</v>
          </cell>
          <cell r="J204">
            <v>0.10815602836879433</v>
          </cell>
          <cell r="K204">
            <v>0.1067345666181667</v>
          </cell>
          <cell r="L204">
            <v>0.10709304642359035</v>
          </cell>
          <cell r="M204">
            <v>0.10299999999999999</v>
          </cell>
        </row>
        <row r="206">
          <cell r="A206" t="str">
            <v>Contract Types</v>
          </cell>
        </row>
        <row r="207">
          <cell r="A207" t="str">
            <v>Fixed Price</v>
          </cell>
          <cell r="F207">
            <v>0.67</v>
          </cell>
        </row>
        <row r="208">
          <cell r="A208" t="str">
            <v>Cost-Plus</v>
          </cell>
          <cell r="F208">
            <v>0.33</v>
          </cell>
        </row>
        <row r="210">
          <cell r="A210" t="str">
            <v>Customers</v>
          </cell>
        </row>
        <row r="211">
          <cell r="A211" t="str">
            <v>International</v>
          </cell>
          <cell r="F211">
            <v>0.19</v>
          </cell>
        </row>
        <row r="212">
          <cell r="A212" t="str">
            <v>Classified/Other</v>
          </cell>
          <cell r="F212">
            <v>0.26</v>
          </cell>
        </row>
        <row r="213">
          <cell r="A213" t="str">
            <v>Army</v>
          </cell>
          <cell r="F213">
            <v>0.18</v>
          </cell>
        </row>
        <row r="214">
          <cell r="A214" t="str">
            <v>Navy</v>
          </cell>
          <cell r="F214">
            <v>0.16</v>
          </cell>
        </row>
        <row r="215">
          <cell r="A215" t="str">
            <v>USAF</v>
          </cell>
          <cell r="F215">
            <v>0.12</v>
          </cell>
        </row>
        <row r="216">
          <cell r="A216" t="str">
            <v>USMC</v>
          </cell>
          <cell r="F216">
            <v>0.02</v>
          </cell>
        </row>
        <row r="217">
          <cell r="A217" t="str">
            <v>Commercial</v>
          </cell>
          <cell r="F217">
            <v>7.0000000000000007E-2</v>
          </cell>
        </row>
        <row r="219">
          <cell r="A219" t="str">
            <v>Types of Products</v>
          </cell>
        </row>
        <row r="220">
          <cell r="A220" t="str">
            <v>Hardware</v>
          </cell>
          <cell r="F220">
            <v>0.53</v>
          </cell>
        </row>
        <row r="221">
          <cell r="A221" t="str">
            <v>Services</v>
          </cell>
          <cell r="F221">
            <v>0.33</v>
          </cell>
        </row>
        <row r="222">
          <cell r="A222" t="str">
            <v>Software</v>
          </cell>
          <cell r="F222">
            <v>0.14000000000000001</v>
          </cell>
        </row>
      </sheetData>
      <sheetData sheetId="10">
        <row r="2">
          <cell r="AQ2" t="str">
            <v>GD Potential 2005 Earnings Power</v>
          </cell>
          <cell r="BE2" t="str">
            <v>Company Guidance History</v>
          </cell>
          <cell r="BS2" t="str">
            <v>GD Sales</v>
          </cell>
        </row>
        <row r="3">
          <cell r="BE3" t="str">
            <v>(a/o 12/03)</v>
          </cell>
          <cell r="BF3">
            <v>2004</v>
          </cell>
          <cell r="BH3">
            <v>2005</v>
          </cell>
          <cell r="BJ3">
            <v>2006</v>
          </cell>
          <cell r="BL3">
            <v>2007</v>
          </cell>
          <cell r="BU3">
            <v>2000</v>
          </cell>
          <cell r="BV3">
            <v>2001</v>
          </cell>
          <cell r="BW3">
            <v>2002</v>
          </cell>
          <cell r="BX3" t="str">
            <v>2003E</v>
          </cell>
          <cell r="BY3" t="str">
            <v>2004E</v>
          </cell>
          <cell r="BZ3" t="str">
            <v>2005E</v>
          </cell>
          <cell r="CA3" t="str">
            <v>Comments</v>
          </cell>
          <cell r="CH3">
            <v>2005</v>
          </cell>
          <cell r="CL3">
            <v>2006</v>
          </cell>
        </row>
        <row r="4">
          <cell r="BF4" t="str">
            <v>Revs</v>
          </cell>
          <cell r="BG4" t="str">
            <v>Op Prof</v>
          </cell>
          <cell r="BH4" t="str">
            <v>Revs</v>
          </cell>
          <cell r="BI4" t="str">
            <v>Op Prof</v>
          </cell>
          <cell r="BJ4" t="str">
            <v>Revs</v>
          </cell>
          <cell r="BK4" t="str">
            <v>Op Prof</v>
          </cell>
          <cell r="BL4" t="str">
            <v>Revs</v>
          </cell>
          <cell r="BM4" t="str">
            <v>Op Prof</v>
          </cell>
          <cell r="BS4" t="str">
            <v>Domestic</v>
          </cell>
          <cell r="BU4">
            <v>6056</v>
          </cell>
          <cell r="BV4">
            <v>7138</v>
          </cell>
          <cell r="BW4">
            <v>8385</v>
          </cell>
          <cell r="CH4" t="str">
            <v>1Q</v>
          </cell>
          <cell r="CI4" t="str">
            <v>2Q</v>
          </cell>
          <cell r="CJ4" t="str">
            <v>3Q</v>
          </cell>
          <cell r="CK4" t="str">
            <v>4Q</v>
          </cell>
          <cell r="CL4" t="str">
            <v>1Q</v>
          </cell>
          <cell r="CM4" t="str">
            <v>2Q</v>
          </cell>
          <cell r="CN4" t="str">
            <v>3Q</v>
          </cell>
          <cell r="CO4" t="str">
            <v>4Q</v>
          </cell>
        </row>
        <row r="5">
          <cell r="AR5" t="str">
            <v>2003E</v>
          </cell>
          <cell r="AU5" t="str">
            <v>2005E</v>
          </cell>
          <cell r="BE5" t="str">
            <v>Marine Group</v>
          </cell>
          <cell r="BF5">
            <v>4550</v>
          </cell>
          <cell r="BG5">
            <v>310</v>
          </cell>
          <cell r="BH5">
            <v>4400</v>
          </cell>
          <cell r="BI5">
            <v>300</v>
          </cell>
          <cell r="BJ5">
            <v>4200</v>
          </cell>
          <cell r="BK5">
            <v>296</v>
          </cell>
          <cell r="BL5">
            <v>4050</v>
          </cell>
          <cell r="BM5">
            <v>282</v>
          </cell>
          <cell r="BS5" t="str">
            <v>FMS</v>
          </cell>
          <cell r="BU5">
            <v>124</v>
          </cell>
          <cell r="BV5">
            <v>181</v>
          </cell>
          <cell r="BW5">
            <v>421</v>
          </cell>
          <cell r="BX5" t="str">
            <v>- Ordinance, ATP, C4 Systems, GAC - Spyplanes</v>
          </cell>
          <cell r="CG5" t="str">
            <v>2006 MS Est.</v>
          </cell>
          <cell r="CH5">
            <v>3.85</v>
          </cell>
          <cell r="CI5">
            <v>3.9</v>
          </cell>
          <cell r="CJ5">
            <v>4.18</v>
          </cell>
          <cell r="CK5">
            <v>3.98</v>
          </cell>
          <cell r="CL5">
            <v>4.05</v>
          </cell>
          <cell r="CM5">
            <v>4.2</v>
          </cell>
          <cell r="CN5">
            <v>4.2</v>
          </cell>
          <cell r="CO5">
            <v>4.2</v>
          </cell>
        </row>
        <row r="6">
          <cell r="D6" t="str">
            <v xml:space="preserve">Shares </v>
          </cell>
          <cell r="F6" t="str">
            <v>Cost/</v>
          </cell>
          <cell r="G6" t="str">
            <v>Bgn. Shrs</v>
          </cell>
          <cell r="H6" t="str">
            <v>Repo as %</v>
          </cell>
          <cell r="L6" t="str">
            <v>GD 2Q08 Estimate Adjustments</v>
          </cell>
          <cell r="AQ6" t="str">
            <v>Sls</v>
          </cell>
          <cell r="AR6" t="str">
            <v>Op Pr</v>
          </cell>
          <cell r="AS6" t="str">
            <v>% Sales</v>
          </cell>
          <cell r="AT6" t="str">
            <v>Sls</v>
          </cell>
          <cell r="AU6" t="str">
            <v>Op Pr</v>
          </cell>
          <cell r="AV6" t="str">
            <v>% Sales</v>
          </cell>
          <cell r="AW6" t="str">
            <v>Assumptions/Factors</v>
          </cell>
          <cell r="BE6" t="str">
            <v>Combat Sys</v>
          </cell>
          <cell r="BF6">
            <v>4750</v>
          </cell>
          <cell r="BG6">
            <v>532</v>
          </cell>
          <cell r="BH6">
            <v>5600</v>
          </cell>
          <cell r="BI6">
            <v>604</v>
          </cell>
          <cell r="BJ6">
            <v>6000</v>
          </cell>
          <cell r="BK6">
            <v>655</v>
          </cell>
          <cell r="BL6">
            <v>6400</v>
          </cell>
          <cell r="BM6">
            <v>707</v>
          </cell>
          <cell r="BS6" t="str">
            <v>Total USG</v>
          </cell>
          <cell r="BU6">
            <v>6180</v>
          </cell>
          <cell r="BV6">
            <v>7319</v>
          </cell>
          <cell r="BW6">
            <v>8806</v>
          </cell>
          <cell r="CG6" t="str">
            <v>Consensus</v>
          </cell>
          <cell r="CH6">
            <v>3.77</v>
          </cell>
          <cell r="CI6">
            <v>3.84</v>
          </cell>
          <cell r="CJ6">
            <v>3.98</v>
          </cell>
          <cell r="CK6">
            <v>4.01</v>
          </cell>
          <cell r="CL6">
            <v>4.01</v>
          </cell>
          <cell r="CM6">
            <v>4.16</v>
          </cell>
          <cell r="CN6">
            <v>4.1900000000000004</v>
          </cell>
          <cell r="CO6">
            <v>4.1900000000000004</v>
          </cell>
        </row>
        <row r="7">
          <cell r="C7" t="str">
            <v>Quarter</v>
          </cell>
          <cell r="D7" t="str">
            <v>Repoed</v>
          </cell>
          <cell r="E7" t="str">
            <v>Cost</v>
          </cell>
          <cell r="F7" t="str">
            <v>Share</v>
          </cell>
          <cell r="G7" t="str">
            <v>Outstanding</v>
          </cell>
          <cell r="H7" t="str">
            <v>Shrs Out</v>
          </cell>
          <cell r="L7" t="str">
            <v>Metric</v>
          </cell>
          <cell r="M7" t="str">
            <v>Previous</v>
          </cell>
          <cell r="N7" t="str">
            <v>Now</v>
          </cell>
          <cell r="O7" t="str">
            <v>Change</v>
          </cell>
          <cell r="P7" t="str">
            <v>Rationale</v>
          </cell>
          <cell r="W7" t="str">
            <v>Gulfstream Abbrev. Sales, EBIT, Delivs Table ($MM)</v>
          </cell>
          <cell r="AP7" t="str">
            <v>Marine</v>
          </cell>
          <cell r="AQ7">
            <v>4271</v>
          </cell>
          <cell r="AR7">
            <v>216</v>
          </cell>
          <cell r="AS7">
            <v>5.0573636150784362E-2</v>
          </cell>
          <cell r="AT7">
            <v>4695</v>
          </cell>
          <cell r="AU7">
            <v>249</v>
          </cell>
          <cell r="AV7">
            <v>5.3035143769968054E-2</v>
          </cell>
          <cell r="AW7" t="str">
            <v>- '03 depressed, sub MY a plus</v>
          </cell>
          <cell r="BE7" t="str">
            <v>Info Sys &amp; Tech</v>
          </cell>
          <cell r="BF7">
            <v>6400</v>
          </cell>
          <cell r="BG7">
            <v>610</v>
          </cell>
          <cell r="BH7">
            <v>7000</v>
          </cell>
          <cell r="BI7">
            <v>660</v>
          </cell>
          <cell r="BJ7">
            <v>7600</v>
          </cell>
          <cell r="BK7">
            <v>745</v>
          </cell>
          <cell r="BL7">
            <v>8100</v>
          </cell>
          <cell r="BM7">
            <v>825</v>
          </cell>
          <cell r="BS7" t="str">
            <v>% Sales</v>
          </cell>
          <cell r="BU7">
            <v>0.59970887918486171</v>
          </cell>
          <cell r="BV7">
            <v>0.60718433714949394</v>
          </cell>
          <cell r="BW7">
            <v>0.64371345029239768</v>
          </cell>
          <cell r="CG7" t="str">
            <v>Guidance</v>
          </cell>
          <cell r="CK7" t="str">
            <v>$3.90-3.93</v>
          </cell>
          <cell r="CL7" t="str">
            <v>$3.90-3.93</v>
          </cell>
          <cell r="CM7">
            <v>4.1500000000000004</v>
          </cell>
          <cell r="CN7">
            <v>4.1500000000000004</v>
          </cell>
          <cell r="CO7">
            <v>4.2</v>
          </cell>
        </row>
        <row r="8">
          <cell r="L8" t="str">
            <v>Margins- Combat Sys.</v>
          </cell>
          <cell r="M8">
            <v>0.126</v>
          </cell>
          <cell r="N8">
            <v>0.13</v>
          </cell>
          <cell r="O8" t="str">
            <v>40bps</v>
          </cell>
          <cell r="P8" t="str">
            <v>Continued efficiencies, possibility for further MRAP work in 4Q08</v>
          </cell>
        </row>
        <row r="9">
          <cell r="C9" t="str">
            <v>1Q04</v>
          </cell>
          <cell r="D9">
            <v>0</v>
          </cell>
          <cell r="E9">
            <v>0</v>
          </cell>
          <cell r="F9" t="str">
            <v>NA</v>
          </cell>
          <cell r="G9">
            <v>396</v>
          </cell>
          <cell r="L9" t="str">
            <v>Margins- Aerospace</v>
          </cell>
          <cell r="M9">
            <v>0.185</v>
          </cell>
          <cell r="N9">
            <v>0.186</v>
          </cell>
          <cell r="O9" t="str">
            <v>10bps</v>
          </cell>
          <cell r="P9" t="str">
            <v>Continued efficiencies, better pricing, better mix</v>
          </cell>
          <cell r="Z9" t="str">
            <v>peak delivs</v>
          </cell>
          <cell r="AP9" t="str">
            <v>Combat Sys</v>
          </cell>
          <cell r="AQ9">
            <v>4007</v>
          </cell>
          <cell r="AR9">
            <v>443</v>
          </cell>
          <cell r="AS9">
            <v>0.11055652607936112</v>
          </cell>
          <cell r="AT9">
            <v>5021</v>
          </cell>
          <cell r="AU9">
            <v>576</v>
          </cell>
          <cell r="AV9">
            <v>0.11471818362875921</v>
          </cell>
          <cell r="AW9" t="str">
            <v>- revs likely conserv, no mgn expand</v>
          </cell>
          <cell r="BE9" t="str">
            <v>Aerospace</v>
          </cell>
          <cell r="BF9">
            <v>3000</v>
          </cell>
          <cell r="BG9">
            <v>350</v>
          </cell>
          <cell r="BH9">
            <v>3100</v>
          </cell>
          <cell r="BI9">
            <v>380</v>
          </cell>
          <cell r="BJ9">
            <v>3300</v>
          </cell>
          <cell r="BK9">
            <v>420</v>
          </cell>
          <cell r="BL9">
            <v>3400</v>
          </cell>
          <cell r="BM9">
            <v>445</v>
          </cell>
          <cell r="BS9" t="str">
            <v>Comml/Intl</v>
          </cell>
          <cell r="BU9">
            <v>4125</v>
          </cell>
          <cell r="BV9">
            <v>4735</v>
          </cell>
          <cell r="BW9">
            <v>4874</v>
          </cell>
        </row>
        <row r="10">
          <cell r="C10" t="str">
            <v>2Q04</v>
          </cell>
          <cell r="D10">
            <v>0</v>
          </cell>
          <cell r="E10">
            <v>0</v>
          </cell>
          <cell r="F10" t="str">
            <v>NA</v>
          </cell>
          <cell r="G10">
            <v>398.10671600000001</v>
          </cell>
          <cell r="L10" t="str">
            <v>Avg. Dil. Shares</v>
          </cell>
          <cell r="M10" t="str">
            <v>402.2MM</v>
          </cell>
          <cell r="N10" t="str">
            <v>399.5MM</v>
          </cell>
          <cell r="O10" t="str">
            <v>2.7MM</v>
          </cell>
          <cell r="P10" t="str">
            <v>Strong 1H08 buyback, indications of possible further 2H08 share repurchases</v>
          </cell>
          <cell r="W10" t="str">
            <v>Deliveries, green</v>
          </cell>
          <cell r="Y10" t="str">
            <v>2007</v>
          </cell>
          <cell r="Z10" t="str">
            <v>2008E</v>
          </cell>
          <cell r="AA10" t="str">
            <v>2009E</v>
          </cell>
          <cell r="AB10" t="str">
            <v>2010E</v>
          </cell>
          <cell r="AC10" t="str">
            <v>Comments/Assumptions</v>
          </cell>
          <cell r="AP10" t="str">
            <v>Info Sys &amp; Tech</v>
          </cell>
          <cell r="AQ10">
            <v>4848</v>
          </cell>
          <cell r="AR10">
            <v>533</v>
          </cell>
          <cell r="AS10">
            <v>0.10994224422442245</v>
          </cell>
          <cell r="AT10">
            <v>7826</v>
          </cell>
          <cell r="AU10">
            <v>865</v>
          </cell>
          <cell r="AV10">
            <v>0.11052900587784309</v>
          </cell>
          <cell r="AW10" t="str">
            <v>- VNX deal, revs SD growth; mgns down</v>
          </cell>
          <cell r="BE10" t="str">
            <v>Total</v>
          </cell>
          <cell r="BF10">
            <v>18800</v>
          </cell>
          <cell r="BG10">
            <v>1800</v>
          </cell>
          <cell r="BH10">
            <v>20100</v>
          </cell>
          <cell r="BI10">
            <v>1960</v>
          </cell>
          <cell r="BJ10">
            <v>21400</v>
          </cell>
          <cell r="BK10">
            <v>2140</v>
          </cell>
          <cell r="BL10">
            <v>22300</v>
          </cell>
          <cell r="BM10">
            <v>2300</v>
          </cell>
          <cell r="BS10" t="str">
            <v>% Sales</v>
          </cell>
          <cell r="BU10">
            <v>0.40029112081513829</v>
          </cell>
          <cell r="BV10">
            <v>0.39281566285050606</v>
          </cell>
          <cell r="BW10">
            <v>0.35628654970760232</v>
          </cell>
          <cell r="CH10" t="str">
            <v>2007E</v>
          </cell>
          <cell r="CI10" t="str">
            <v>2008E</v>
          </cell>
        </row>
        <row r="11">
          <cell r="C11" t="str">
            <v>3Q04</v>
          </cell>
          <cell r="D11">
            <v>0</v>
          </cell>
          <cell r="E11">
            <v>0</v>
          </cell>
          <cell r="F11" t="str">
            <v>NA</v>
          </cell>
          <cell r="G11">
            <v>399.84066999999999</v>
          </cell>
          <cell r="L11" t="str">
            <v>Full-Year EPS</v>
          </cell>
          <cell r="M11">
            <v>5.95</v>
          </cell>
          <cell r="N11">
            <v>6.05</v>
          </cell>
          <cell r="O11">
            <v>0.1</v>
          </cell>
          <cell r="P11" t="str">
            <v>See above</v>
          </cell>
          <cell r="W11" t="str">
            <v>Midsized</v>
          </cell>
          <cell r="Y11">
            <v>56</v>
          </cell>
          <cell r="Z11">
            <v>70</v>
          </cell>
          <cell r="AA11">
            <v>20</v>
          </cell>
          <cell r="AB11">
            <v>22</v>
          </cell>
          <cell r="AC11" t="str">
            <v>- big drops next year</v>
          </cell>
          <cell r="AP11" t="str">
            <v xml:space="preserve">Aerospace </v>
          </cell>
          <cell r="AQ11">
            <v>2946</v>
          </cell>
          <cell r="AR11">
            <v>218</v>
          </cell>
          <cell r="AS11">
            <v>7.3998642226748138E-2</v>
          </cell>
          <cell r="AT11">
            <v>3433</v>
          </cell>
          <cell r="AU11">
            <v>495</v>
          </cell>
          <cell r="AV11">
            <v>0.14418875618992136</v>
          </cell>
          <cell r="AW11" t="str">
            <v>- 5% g in '04, 13% in '05, del uptick</v>
          </cell>
          <cell r="BS11" t="str">
            <v>Defense sales</v>
          </cell>
          <cell r="CG11" t="str">
            <v>MS Est.</v>
          </cell>
          <cell r="CH11">
            <v>5.0962280562055158</v>
          </cell>
          <cell r="CI11">
            <v>6.1274140958113872</v>
          </cell>
        </row>
        <row r="12">
          <cell r="C12" t="str">
            <v>4Q04</v>
          </cell>
          <cell r="D12">
            <v>0</v>
          </cell>
          <cell r="E12">
            <v>0</v>
          </cell>
          <cell r="F12" t="str">
            <v>NA</v>
          </cell>
          <cell r="G12">
            <v>400.57525600000002</v>
          </cell>
          <cell r="W12" t="str">
            <v>Large cabin</v>
          </cell>
          <cell r="Y12">
            <v>82</v>
          </cell>
          <cell r="Z12">
            <v>88</v>
          </cell>
          <cell r="AA12">
            <v>72</v>
          </cell>
          <cell r="AB12">
            <v>70</v>
          </cell>
          <cell r="AC12" t="str">
            <v>- secure, most not financed</v>
          </cell>
          <cell r="AP12" t="str">
            <v xml:space="preserve">Other </v>
          </cell>
          <cell r="AQ12">
            <v>256</v>
          </cell>
          <cell r="AR12">
            <v>32</v>
          </cell>
          <cell r="AS12">
            <v>0.125</v>
          </cell>
          <cell r="AT12">
            <v>0</v>
          </cell>
          <cell r="AU12">
            <v>-6</v>
          </cell>
          <cell r="AV12" t="str">
            <v>NA</v>
          </cell>
          <cell r="AW12" t="str">
            <v>- flat</v>
          </cell>
          <cell r="BK12" t="str">
            <v>Alvis Evolution</v>
          </cell>
          <cell r="BS12" t="str">
            <v>Cost type=46% USG sls</v>
          </cell>
          <cell r="BW12">
            <v>4050.76</v>
          </cell>
          <cell r="CG12" t="str">
            <v>Consensus</v>
          </cell>
          <cell r="CH12">
            <v>4.76</v>
          </cell>
          <cell r="CI12">
            <v>5.29</v>
          </cell>
        </row>
        <row r="13">
          <cell r="C13" t="str">
            <v>1Q05</v>
          </cell>
          <cell r="D13">
            <v>2</v>
          </cell>
          <cell r="E13">
            <v>100</v>
          </cell>
          <cell r="F13">
            <v>50</v>
          </cell>
          <cell r="G13">
            <v>402</v>
          </cell>
          <cell r="W13" t="str">
            <v>Total, Green</v>
          </cell>
          <cell r="Y13">
            <v>138</v>
          </cell>
          <cell r="Z13">
            <v>158</v>
          </cell>
          <cell r="AA13">
            <v>92</v>
          </cell>
          <cell r="AB13">
            <v>92</v>
          </cell>
          <cell r="AP13" t="str">
            <v>Total</v>
          </cell>
          <cell r="AQ13">
            <v>16328</v>
          </cell>
          <cell r="AR13">
            <v>1442</v>
          </cell>
          <cell r="AS13">
            <v>8.8314551690347867E-2</v>
          </cell>
          <cell r="AT13">
            <v>20975</v>
          </cell>
          <cell r="AU13">
            <v>2179</v>
          </cell>
          <cell r="AV13">
            <v>0.10388557806912992</v>
          </cell>
          <cell r="BS13" t="str">
            <v>Fixed price = 54% USG sls</v>
          </cell>
          <cell r="BW13">
            <v>4755.2400000000007</v>
          </cell>
          <cell r="CG13" t="str">
            <v>Guidance</v>
          </cell>
          <cell r="CH13">
            <v>4.5999999999999996</v>
          </cell>
          <cell r="CI13" t="str">
            <v>NA</v>
          </cell>
        </row>
        <row r="14">
          <cell r="C14" t="str">
            <v>2Q05</v>
          </cell>
          <cell r="D14">
            <v>1.9</v>
          </cell>
          <cell r="E14">
            <v>100</v>
          </cell>
          <cell r="F14">
            <v>52.631578947368425</v>
          </cell>
          <cell r="G14">
            <v>400.75093199999998</v>
          </cell>
          <cell r="W14" t="str">
            <v>Sales</v>
          </cell>
          <cell r="AP14" t="str">
            <v>Interest, net</v>
          </cell>
          <cell r="AR14">
            <v>-98</v>
          </cell>
          <cell r="AU14">
            <v>-118</v>
          </cell>
          <cell r="AW14" t="str">
            <v>- post VNX deal</v>
          </cell>
          <cell r="BJ14" t="str">
            <v>Gloverweb (1994)</v>
          </cell>
        </row>
        <row r="15">
          <cell r="C15" t="str">
            <v>3Q05</v>
          </cell>
          <cell r="D15">
            <v>0</v>
          </cell>
          <cell r="E15">
            <v>0</v>
          </cell>
          <cell r="F15" t="str">
            <v>NA</v>
          </cell>
          <cell r="G15">
            <v>402.03942000000001</v>
          </cell>
          <cell r="L15">
            <v>39777</v>
          </cell>
          <cell r="W15" t="str">
            <v>Green Aircraft</v>
          </cell>
          <cell r="Y15">
            <v>3539.2200000000003</v>
          </cell>
          <cell r="Z15">
            <v>4053</v>
          </cell>
          <cell r="AA15">
            <v>2834</v>
          </cell>
          <cell r="AB15">
            <v>2841</v>
          </cell>
          <cell r="AP15" t="str">
            <v>Other</v>
          </cell>
          <cell r="AR15">
            <v>3</v>
          </cell>
          <cell r="AU15">
            <v>8</v>
          </cell>
          <cell r="BS15" t="str">
            <v>Commercial sales</v>
          </cell>
        </row>
        <row r="16">
          <cell r="C16" t="str">
            <v>4Q05</v>
          </cell>
          <cell r="D16">
            <v>2.7</v>
          </cell>
          <cell r="E16">
            <v>158</v>
          </cell>
          <cell r="F16">
            <v>58.518518518518512</v>
          </cell>
          <cell r="G16">
            <v>402.60542600000002</v>
          </cell>
          <cell r="H16">
            <v>4.9751243781094526E-3</v>
          </cell>
          <cell r="L16" t="str">
            <v>GD Possible Catalysts FY08-FY09</v>
          </cell>
          <cell r="W16" t="str">
            <v>Completions</v>
          </cell>
          <cell r="Y16">
            <v>584</v>
          </cell>
          <cell r="Z16">
            <v>826</v>
          </cell>
          <cell r="AA16">
            <v>636</v>
          </cell>
          <cell r="AB16">
            <v>626</v>
          </cell>
          <cell r="AP16" t="str">
            <v>Pretax Inc</v>
          </cell>
          <cell r="AR16">
            <v>1347</v>
          </cell>
          <cell r="AU16">
            <v>20865</v>
          </cell>
          <cell r="BJ16" t="str">
            <v>GKN</v>
          </cell>
          <cell r="BL16" t="str">
            <v>GKN (1998)</v>
          </cell>
          <cell r="BS16" t="str">
            <v>Netjets</v>
          </cell>
          <cell r="BU16">
            <v>272.61</v>
          </cell>
          <cell r="BV16">
            <v>293.84999999999997</v>
          </cell>
          <cell r="BW16">
            <v>197.34</v>
          </cell>
        </row>
        <row r="17">
          <cell r="C17" t="str">
            <v>1Q06</v>
          </cell>
          <cell r="D17">
            <v>0.14599999999999999</v>
          </cell>
          <cell r="E17">
            <v>8.3219999999999992</v>
          </cell>
          <cell r="F17">
            <v>57</v>
          </cell>
          <cell r="G17">
            <v>400.4</v>
          </cell>
          <cell r="L17" t="str">
            <v>Item</v>
          </cell>
          <cell r="M17" t="str">
            <v>Est. Timing</v>
          </cell>
          <cell r="N17" t="str">
            <v>Est. Amt.</v>
          </cell>
          <cell r="W17" t="str">
            <v>Service/Support</v>
          </cell>
          <cell r="Y17">
            <v>625</v>
          </cell>
          <cell r="Z17">
            <v>700</v>
          </cell>
          <cell r="AA17">
            <v>650</v>
          </cell>
          <cell r="AB17">
            <v>663</v>
          </cell>
          <cell r="AC17" t="str">
            <v>- decline in activity '09</v>
          </cell>
          <cell r="AP17" t="str">
            <v>Eff Tax Rate</v>
          </cell>
          <cell r="AR17">
            <v>0.27319970304380103</v>
          </cell>
          <cell r="AU17">
            <v>0.3001449975833736</v>
          </cell>
          <cell r="AW17" t="str">
            <v>- higher 05 tax rate</v>
          </cell>
          <cell r="BH17" t="str">
            <v>Thompson Def (1995)</v>
          </cell>
          <cell r="BS17" t="str">
            <v>other</v>
          </cell>
          <cell r="BU17">
            <v>2885.39</v>
          </cell>
          <cell r="BV17">
            <v>3261.15</v>
          </cell>
          <cell r="BW17">
            <v>3037.66</v>
          </cell>
        </row>
        <row r="18">
          <cell r="C18" t="str">
            <v>2Q06</v>
          </cell>
          <cell r="D18">
            <v>1.054</v>
          </cell>
          <cell r="E18">
            <v>67.277999999999992</v>
          </cell>
          <cell r="F18">
            <v>63.831119544592021</v>
          </cell>
          <cell r="G18">
            <v>403.68079</v>
          </cell>
          <cell r="L18" t="str">
            <v>Saudi light armor vehicle</v>
          </cell>
          <cell r="M18" t="str">
            <v>FY09</v>
          </cell>
          <cell r="N18" t="str">
            <v>Multi-billion</v>
          </cell>
          <cell r="W18" t="str">
            <v>Used</v>
          </cell>
          <cell r="Y18">
            <v>80</v>
          </cell>
          <cell r="Z18">
            <v>25</v>
          </cell>
          <cell r="AA18">
            <v>30</v>
          </cell>
          <cell r="AB18">
            <v>30</v>
          </cell>
          <cell r="AC18" t="str">
            <v>- change in policy</v>
          </cell>
          <cell r="AP18" t="str">
            <v>Pretax Margin</v>
          </cell>
          <cell r="AR18">
            <v>8.2496325330720238E-2</v>
          </cell>
          <cell r="AU18">
            <v>9.8641239570917763E-2</v>
          </cell>
          <cell r="BS18" t="str">
            <v>domestic</v>
          </cell>
          <cell r="BU18">
            <v>3158</v>
          </cell>
          <cell r="BV18">
            <v>3555</v>
          </cell>
          <cell r="BW18">
            <v>3235</v>
          </cell>
          <cell r="CB18" t="str">
            <v>tote ships cost growth, if occurs, happens in 1Q or 2Q</v>
          </cell>
        </row>
        <row r="19">
          <cell r="C19" t="str">
            <v>3Q06</v>
          </cell>
          <cell r="D19">
            <v>0</v>
          </cell>
          <cell r="E19">
            <v>0</v>
          </cell>
          <cell r="F19" t="str">
            <v>NA</v>
          </cell>
          <cell r="G19">
            <v>403.40710899999999</v>
          </cell>
          <cell r="L19" t="str">
            <v>Saudi Abrams refurbishment</v>
          </cell>
          <cell r="M19" t="str">
            <v>FY09</v>
          </cell>
          <cell r="N19" t="str">
            <v>Multi-billion</v>
          </cell>
          <cell r="W19" t="str">
            <v>Total, Revs</v>
          </cell>
          <cell r="Y19">
            <v>4828.22</v>
          </cell>
          <cell r="Z19">
            <v>5604</v>
          </cell>
          <cell r="AA19">
            <v>4150</v>
          </cell>
          <cell r="AB19">
            <v>4160</v>
          </cell>
          <cell r="BH19" t="str">
            <v>Vickers</v>
          </cell>
          <cell r="BJ19" t="str">
            <v>Vickers</v>
          </cell>
          <cell r="BL19" t="str">
            <v>Vickers (2002)</v>
          </cell>
          <cell r="BN19" t="str">
            <v>Alvis</v>
          </cell>
          <cell r="BS19" t="str">
            <v>Comml Intl</v>
          </cell>
          <cell r="BU19">
            <v>967</v>
          </cell>
          <cell r="BV19">
            <v>1180</v>
          </cell>
          <cell r="BW19">
            <v>1639</v>
          </cell>
          <cell r="CB19" t="str">
            <v>Stryker could be signed for 3rd brigade shortly might help CV b'l in 1Q03</v>
          </cell>
        </row>
        <row r="20">
          <cell r="C20" t="str">
            <v>4Q06</v>
          </cell>
          <cell r="D20">
            <v>0</v>
          </cell>
          <cell r="E20">
            <v>0</v>
          </cell>
          <cell r="F20" t="str">
            <v>NA</v>
          </cell>
          <cell r="G20">
            <v>404.64431000000002</v>
          </cell>
          <cell r="H20">
            <v>3.6463536463536464E-4</v>
          </cell>
          <cell r="L20" t="str">
            <v>MRAP-Light Competition</v>
          </cell>
          <cell r="M20" t="str">
            <v>FY09</v>
          </cell>
          <cell r="N20" t="str">
            <v>Multi-billion</v>
          </cell>
          <cell r="AP20" t="str">
            <v>Net Income</v>
          </cell>
          <cell r="AR20">
            <v>979</v>
          </cell>
          <cell r="AU20">
            <v>1448</v>
          </cell>
          <cell r="BS20" t="str">
            <v>Total Comml</v>
          </cell>
          <cell r="BU20">
            <v>4125</v>
          </cell>
          <cell r="BV20">
            <v>4735</v>
          </cell>
          <cell r="BW20">
            <v>4874</v>
          </cell>
          <cell r="CB20" t="str">
            <v>purchase price for Galaxy ain't all that bad if there is a downcycle</v>
          </cell>
        </row>
        <row r="21">
          <cell r="C21" t="str">
            <v>1Q07</v>
          </cell>
          <cell r="D21">
            <v>2</v>
          </cell>
          <cell r="E21">
            <v>152</v>
          </cell>
          <cell r="F21">
            <v>76</v>
          </cell>
          <cell r="G21">
            <v>405.8</v>
          </cell>
          <cell r="H21">
            <v>2.6109738835974833E-3</v>
          </cell>
          <cell r="W21" t="str">
            <v>EBIT, Total</v>
          </cell>
          <cell r="Y21">
            <v>810</v>
          </cell>
          <cell r="Z21">
            <v>1021</v>
          </cell>
          <cell r="AA21">
            <v>708.75</v>
          </cell>
          <cell r="AB21">
            <v>742.00000000000011</v>
          </cell>
          <cell r="AP21" t="str">
            <v>Net Margin</v>
          </cell>
          <cell r="AR21">
            <v>5.9958353748162663E-2</v>
          </cell>
          <cell r="AU21">
            <v>6.9034564958283667E-2</v>
          </cell>
          <cell r="AW21" t="str">
            <v>- 30bp increase</v>
          </cell>
          <cell r="BJ21" t="str">
            <v>Reumech OMC (1999)</v>
          </cell>
          <cell r="BS21" t="str">
            <v>% of Total</v>
          </cell>
        </row>
        <row r="22">
          <cell r="C22" t="str">
            <v>2Q07</v>
          </cell>
          <cell r="D22">
            <v>0</v>
          </cell>
          <cell r="E22">
            <v>0</v>
          </cell>
          <cell r="F22" t="str">
            <v>NA</v>
          </cell>
          <cell r="G22">
            <v>404.7</v>
          </cell>
          <cell r="W22" t="str">
            <v>Margins, Total</v>
          </cell>
          <cell r="Y22">
            <v>0.16776368930993202</v>
          </cell>
          <cell r="Z22">
            <v>0.18219129193433262</v>
          </cell>
          <cell r="AA22">
            <v>0.17078313253012048</v>
          </cell>
          <cell r="AB22">
            <v>0.17836538461538465</v>
          </cell>
          <cell r="AC22" t="str">
            <v>- efficiency moves for '09</v>
          </cell>
          <cell r="BL22" t="str">
            <v>Haglund (1997)</v>
          </cell>
          <cell r="BS22" t="str">
            <v>Netjets</v>
          </cell>
          <cell r="BU22">
            <v>2.6454148471615722E-2</v>
          </cell>
          <cell r="BV22">
            <v>2.4377799900447982E-2</v>
          </cell>
          <cell r="BW22">
            <v>1.4425438596491228E-2</v>
          </cell>
          <cell r="CA22" t="str">
            <v>- 9% 2000-01, 6% of GAC in 2002</v>
          </cell>
        </row>
        <row r="23">
          <cell r="C23" t="str">
            <v>3Q07</v>
          </cell>
          <cell r="D23">
            <v>4</v>
          </cell>
          <cell r="E23">
            <v>310</v>
          </cell>
          <cell r="F23">
            <v>77.5</v>
          </cell>
          <cell r="G23">
            <v>405.6</v>
          </cell>
          <cell r="AP23" t="str">
            <v>EPS</v>
          </cell>
          <cell r="AR23">
            <v>2.457921587531132</v>
          </cell>
          <cell r="AU23">
            <v>3.5766509900011854</v>
          </cell>
          <cell r="BS23" t="str">
            <v>other</v>
          </cell>
          <cell r="BU23">
            <v>0.27999902959728284</v>
          </cell>
          <cell r="BV23">
            <v>0.27054504728720757</v>
          </cell>
          <cell r="BW23">
            <v>0.22205116959064328</v>
          </cell>
        </row>
        <row r="24">
          <cell r="C24" t="str">
            <v>4Q07</v>
          </cell>
          <cell r="D24">
            <v>0.5</v>
          </cell>
          <cell r="E24">
            <v>44</v>
          </cell>
          <cell r="F24">
            <v>88</v>
          </cell>
          <cell r="G24">
            <v>402.3</v>
          </cell>
          <cell r="AP24" t="str">
            <v>% ch. y/y</v>
          </cell>
          <cell r="AR24">
            <v>-4.1164788704105337E-2</v>
          </cell>
          <cell r="AU24">
            <v>0.20699689280162303</v>
          </cell>
          <cell r="AW24" t="str">
            <v>- modest, looks doable</v>
          </cell>
          <cell r="BS24" t="str">
            <v>domestic</v>
          </cell>
          <cell r="BU24">
            <v>0.3064531780688986</v>
          </cell>
          <cell r="BV24">
            <v>0.29492284718765555</v>
          </cell>
          <cell r="BW24">
            <v>0.23647660818713451</v>
          </cell>
        </row>
        <row r="25">
          <cell r="C25" t="str">
            <v>1Q08</v>
          </cell>
          <cell r="D25">
            <v>6.3</v>
          </cell>
          <cell r="E25">
            <v>523</v>
          </cell>
          <cell r="F25">
            <v>83.015873015873012</v>
          </cell>
          <cell r="G25">
            <v>404</v>
          </cell>
          <cell r="L25" t="str">
            <v>Funding for additional T-AKE ships</v>
          </cell>
          <cell r="M25" t="str">
            <v>4Q08-FY09</v>
          </cell>
          <cell r="N25" t="str">
            <v>NM</v>
          </cell>
          <cell r="O25" t="str">
            <v>Awarded $940MM for ships 11 and 12 on 12/15/08</v>
          </cell>
          <cell r="AG25" t="str">
            <v>Key Defense Contractor's Operating Margins</v>
          </cell>
          <cell r="BS25" t="str">
            <v>Comml Intl</v>
          </cell>
          <cell r="BU25">
            <v>9.3837942746239689E-2</v>
          </cell>
          <cell r="BV25">
            <v>9.7892815662850505E-2</v>
          </cell>
          <cell r="BW25">
            <v>0.11980994152046784</v>
          </cell>
        </row>
        <row r="26">
          <cell r="C26" t="str">
            <v>2Q08</v>
          </cell>
          <cell r="D26">
            <v>2.1</v>
          </cell>
          <cell r="E26">
            <v>176</v>
          </cell>
          <cell r="F26">
            <v>83.80952380952381</v>
          </cell>
          <cell r="G26">
            <v>398.5</v>
          </cell>
          <cell r="L26" t="str">
            <v>Decision re: additional Stryker brigades</v>
          </cell>
          <cell r="M26" t="str">
            <v>2H08-1H09</v>
          </cell>
          <cell r="N26" t="str">
            <v>Multi-billion</v>
          </cell>
          <cell r="O26" t="str">
            <v>M113 replacement, Army reviewing in light of budgets</v>
          </cell>
          <cell r="AG26" t="str">
            <v>Platform Primes</v>
          </cell>
          <cell r="AH26" t="str">
            <v>2001A</v>
          </cell>
          <cell r="AI26" t="str">
            <v>2005E</v>
          </cell>
          <cell r="AJ26" t="str">
            <v>% Ch</v>
          </cell>
          <cell r="BS26" t="str">
            <v>Total Comml</v>
          </cell>
          <cell r="BU26">
            <v>0.40029112081513829</v>
          </cell>
          <cell r="BV26">
            <v>0.39281566285050606</v>
          </cell>
          <cell r="BW26">
            <v>0.35628654970760232</v>
          </cell>
        </row>
        <row r="27">
          <cell r="C27" t="str">
            <v>3Q08</v>
          </cell>
          <cell r="D27">
            <v>6.1</v>
          </cell>
          <cell r="E27">
            <v>500</v>
          </cell>
          <cell r="F27">
            <v>81.967213114754102</v>
          </cell>
          <cell r="G27">
            <v>397.3</v>
          </cell>
          <cell r="L27" t="str">
            <v>Virginia Class Blk. III Order</v>
          </cell>
          <cell r="M27" t="str">
            <v>1Q09</v>
          </cell>
          <cell r="N27" t="str">
            <v>$4-5B</v>
          </cell>
          <cell r="O27" t="str">
            <v>$14B Awarded 12/22/08</v>
          </cell>
          <cell r="AG27" t="str">
            <v>BA*</v>
          </cell>
          <cell r="AH27">
            <v>8.7999999999999995E-2</v>
          </cell>
          <cell r="AI27">
            <v>0.105</v>
          </cell>
          <cell r="AJ27">
            <v>0.19318181818181812</v>
          </cell>
          <cell r="BJ27" t="str">
            <v>GD European Land Combat Systems</v>
          </cell>
        </row>
        <row r="28">
          <cell r="C28" t="str">
            <v>4Q08</v>
          </cell>
          <cell r="D28">
            <v>5.6</v>
          </cell>
          <cell r="E28">
            <v>355</v>
          </cell>
          <cell r="F28">
            <v>63.392857142857146</v>
          </cell>
          <cell r="G28">
            <v>389.8</v>
          </cell>
          <cell r="L28" t="str">
            <v>Decision re: 2 subs/yr</v>
          </cell>
          <cell r="M28" t="str">
            <v>FY08</v>
          </cell>
          <cell r="N28" t="str">
            <v>N/A</v>
          </cell>
          <cell r="W28" t="str">
            <v>Bookings</v>
          </cell>
          <cell r="AG28" t="str">
            <v>GD*</v>
          </cell>
          <cell r="AH28">
            <v>0.122</v>
          </cell>
          <cell r="AI28">
            <v>0.13200000000000001</v>
          </cell>
          <cell r="AJ28">
            <v>8.1967213114754189E-2</v>
          </cell>
          <cell r="BU28">
            <v>2000</v>
          </cell>
          <cell r="BV28">
            <v>2001</v>
          </cell>
          <cell r="BW28">
            <v>2002</v>
          </cell>
          <cell r="BX28" t="str">
            <v>2003E</v>
          </cell>
          <cell r="BY28" t="str">
            <v>2004E</v>
          </cell>
          <cell r="BZ28" t="str">
            <v>2005E</v>
          </cell>
          <cell r="CA28" t="str">
            <v>Comments</v>
          </cell>
        </row>
        <row r="29">
          <cell r="C29" t="str">
            <v>1Q09</v>
          </cell>
          <cell r="D29">
            <v>2.1</v>
          </cell>
          <cell r="E29">
            <v>109</v>
          </cell>
          <cell r="F29">
            <v>51.904761904761905</v>
          </cell>
          <cell r="G29">
            <v>386.7</v>
          </cell>
          <cell r="L29" t="str">
            <v>Decision re: M1-13 --&gt; Stryker</v>
          </cell>
          <cell r="M29" t="str">
            <v>FY08</v>
          </cell>
          <cell r="N29" t="str">
            <v>Multi-billion</v>
          </cell>
          <cell r="W29" t="str">
            <v>Book:Bill</v>
          </cell>
          <cell r="AG29" t="str">
            <v>LMT</v>
          </cell>
          <cell r="AH29">
            <v>8.6999999999999994E-2</v>
          </cell>
          <cell r="AI29">
            <v>9.8000000000000004E-2</v>
          </cell>
          <cell r="AJ29">
            <v>0.12643678160919558</v>
          </cell>
          <cell r="BS29" t="str">
            <v>R&amp;D</v>
          </cell>
        </row>
        <row r="30">
          <cell r="L30" t="str">
            <v>Gulfstream G650 orders hit backlog</v>
          </cell>
          <cell r="M30" t="str">
            <v>2Q08</v>
          </cell>
          <cell r="N30" t="str">
            <v>N/A</v>
          </cell>
          <cell r="W30" t="str">
            <v>Backlog ($B)</v>
          </cell>
          <cell r="Y30">
            <v>11.590999999999999</v>
          </cell>
          <cell r="AG30" t="str">
            <v>NOC</v>
          </cell>
          <cell r="AH30">
            <v>5.7000000000000002E-2</v>
          </cell>
          <cell r="AI30">
            <v>8.6999999999999994E-2</v>
          </cell>
          <cell r="AJ30">
            <v>0.52631578947368407</v>
          </cell>
          <cell r="AP30" t="str">
            <v>GD Possible 2005 EPS Scenario Analysis</v>
          </cell>
          <cell r="BS30" t="str">
            <v>IRAD</v>
          </cell>
          <cell r="BU30">
            <v>143</v>
          </cell>
          <cell r="BV30">
            <v>203</v>
          </cell>
          <cell r="BW30">
            <v>253</v>
          </cell>
        </row>
        <row r="31">
          <cell r="W31" t="str">
            <v>Backlog (Yrs)</v>
          </cell>
          <cell r="AG31" t="str">
            <v>Average P-form builders</v>
          </cell>
          <cell r="AH31">
            <v>8.8499999999999995E-2</v>
          </cell>
          <cell r="AI31">
            <v>0.10549999999999998</v>
          </cell>
          <cell r="AJ31">
            <v>0.19209039548022577</v>
          </cell>
          <cell r="BE31" t="str">
            <v>Santa Barbara (2000)</v>
          </cell>
          <cell r="BH31" t="str">
            <v>MOWAG AG (2003)</v>
          </cell>
          <cell r="BK31" t="str">
            <v>Steyr (2003)</v>
          </cell>
          <cell r="BN31" t="str">
            <v>Alvis, PLC (Pending)</v>
          </cell>
          <cell r="BS31" t="str">
            <v>Customer</v>
          </cell>
          <cell r="BU31">
            <v>87</v>
          </cell>
          <cell r="BV31">
            <v>83</v>
          </cell>
          <cell r="BW31">
            <v>134</v>
          </cell>
        </row>
        <row r="32">
          <cell r="AG32" t="str">
            <v>Defense Elec Primes/Suppliers</v>
          </cell>
          <cell r="BE32" t="str">
            <v>Spain</v>
          </cell>
          <cell r="BH32" t="str">
            <v>Switzerland</v>
          </cell>
          <cell r="BK32" t="str">
            <v>Austria</v>
          </cell>
          <cell r="BO32" t="str">
            <v>UK, Sweden, South Africa</v>
          </cell>
          <cell r="BS32" t="str">
            <v>total R&amp;D</v>
          </cell>
          <cell r="BU32">
            <v>230</v>
          </cell>
          <cell r="BV32">
            <v>286</v>
          </cell>
          <cell r="BW32">
            <v>387</v>
          </cell>
        </row>
        <row r="33">
          <cell r="AG33" t="str">
            <v>RTN</v>
          </cell>
          <cell r="AH33">
            <v>0.112</v>
          </cell>
          <cell r="AI33">
            <v>0.122</v>
          </cell>
          <cell r="AJ33">
            <v>8.9285714285714191E-2</v>
          </cell>
          <cell r="AP33" t="str">
            <v>Op Profit</v>
          </cell>
          <cell r="AQ33" t="str">
            <v>Low</v>
          </cell>
          <cell r="AR33" t="str">
            <v>Mid-Point</v>
          </cell>
          <cell r="AS33" t="str">
            <v>High</v>
          </cell>
          <cell r="AT33" t="str">
            <v>Assumptions/Factors</v>
          </cell>
          <cell r="BS33" t="str">
            <v>IR&amp;D/Sales</v>
          </cell>
          <cell r="BU33">
            <v>1.3876758854924794E-2</v>
          </cell>
          <cell r="BV33">
            <v>1.6840882694541232E-2</v>
          </cell>
          <cell r="BW33">
            <v>1.8494152046783625E-2</v>
          </cell>
        </row>
        <row r="34">
          <cell r="AG34" t="str">
            <v>COL*</v>
          </cell>
          <cell r="AH34">
            <v>0.159</v>
          </cell>
          <cell r="AI34">
            <v>0.16600000000000001</v>
          </cell>
          <cell r="AJ34">
            <v>4.4025157232704393E-2</v>
          </cell>
          <cell r="AP34" t="str">
            <v>Marine</v>
          </cell>
          <cell r="AQ34">
            <v>300</v>
          </cell>
          <cell r="AR34">
            <v>340</v>
          </cell>
          <cell r="AS34">
            <v>380</v>
          </cell>
          <cell r="AT34" t="str">
            <v>- low=tanker problems persist</v>
          </cell>
          <cell r="BN34" t="str">
            <v>- subsequently Bae Systems overbid for Alvis</v>
          </cell>
        </row>
        <row r="35">
          <cell r="AG35" t="str">
            <v>LLL</v>
          </cell>
          <cell r="AH35">
            <v>0.11700000000000001</v>
          </cell>
          <cell r="AI35">
            <v>0.125</v>
          </cell>
          <cell r="AJ35">
            <v>6.8376068376068355E-2</v>
          </cell>
          <cell r="AP35" t="str">
            <v>Combat Sys</v>
          </cell>
          <cell r="AQ35">
            <v>465</v>
          </cell>
          <cell r="AR35">
            <v>510</v>
          </cell>
          <cell r="AS35">
            <v>580</v>
          </cell>
          <cell r="AT35" t="str">
            <v>- 10%-12.5% margins</v>
          </cell>
        </row>
        <row r="36">
          <cell r="AG36" t="str">
            <v>Average DefElec players</v>
          </cell>
          <cell r="AH36">
            <v>0.12933333333333333</v>
          </cell>
          <cell r="AI36">
            <v>0.13766666666666669</v>
          </cell>
          <cell r="AJ36">
            <v>6.4432989690721865E-2</v>
          </cell>
          <cell r="AP36" t="str">
            <v>Info Sys &amp; Tech</v>
          </cell>
          <cell r="AQ36">
            <v>580</v>
          </cell>
          <cell r="AR36">
            <v>640</v>
          </cell>
          <cell r="AS36">
            <v>705</v>
          </cell>
          <cell r="AT36" t="str">
            <v>- 9.2%-11.2% margins</v>
          </cell>
        </row>
        <row r="37">
          <cell r="AP37" t="str">
            <v xml:space="preserve">Aerospace </v>
          </cell>
          <cell r="AQ37">
            <v>300</v>
          </cell>
          <cell r="AR37">
            <v>475</v>
          </cell>
          <cell r="AS37">
            <v>515</v>
          </cell>
          <cell r="AT37" t="str">
            <v>- low=8.5% to  high of 15%</v>
          </cell>
        </row>
        <row r="38">
          <cell r="AG38" t="str">
            <v>* Defense only</v>
          </cell>
          <cell r="AP38" t="str">
            <v xml:space="preserve">Other </v>
          </cell>
          <cell r="AQ38">
            <v>50</v>
          </cell>
          <cell r="AR38">
            <v>60</v>
          </cell>
          <cell r="AS38">
            <v>65</v>
          </cell>
          <cell r="AT38" t="str">
            <v>- low volatility</v>
          </cell>
        </row>
        <row r="39">
          <cell r="M39" t="str">
            <v xml:space="preserve"> GD Ship/Tank  Firm &amp; Potential Delivery Outlook</v>
          </cell>
          <cell r="T39" t="str">
            <v>old</v>
          </cell>
          <cell r="AP39" t="str">
            <v>Total</v>
          </cell>
          <cell r="AQ39">
            <v>1695</v>
          </cell>
          <cell r="AR39">
            <v>2025</v>
          </cell>
          <cell r="AS39">
            <v>2245</v>
          </cell>
          <cell r="BC39" t="str">
            <v>GD EPS</v>
          </cell>
          <cell r="BO39" t="str">
            <v>Potential Impact of Primex Acquisition</v>
          </cell>
          <cell r="BW39" t="str">
            <v>Potential Impact of Adv. Tech. Prod. Acquisition</v>
          </cell>
        </row>
        <row r="40">
          <cell r="BR40" t="str">
            <v>2001E</v>
          </cell>
          <cell r="BS40" t="str">
            <v>Comments/Assumptions</v>
          </cell>
          <cell r="BZ40" t="str">
            <v>2002E</v>
          </cell>
          <cell r="CA40" t="str">
            <v>Comments/Assumptions</v>
          </cell>
        </row>
        <row r="41">
          <cell r="L41" t="str">
            <v>Marine Dels</v>
          </cell>
          <cell r="M41" t="str">
            <v>1997</v>
          </cell>
          <cell r="N41" t="str">
            <v>1998</v>
          </cell>
          <cell r="O41" t="str">
            <v>1999</v>
          </cell>
          <cell r="P41" t="str">
            <v>2000</v>
          </cell>
          <cell r="Q41" t="str">
            <v>2001</v>
          </cell>
          <cell r="R41" t="str">
            <v>2002</v>
          </cell>
          <cell r="S41" t="str">
            <v>2003</v>
          </cell>
          <cell r="T41" t="str">
            <v>2004</v>
          </cell>
          <cell r="U41" t="str">
            <v>2005</v>
          </cell>
          <cell r="V41" t="str">
            <v>2006</v>
          </cell>
          <cell r="W41" t="str">
            <v>2007</v>
          </cell>
          <cell r="X41" t="str">
            <v>2008</v>
          </cell>
          <cell r="Y41" t="str">
            <v>2009</v>
          </cell>
          <cell r="Z41" t="str">
            <v>Program Total</v>
          </cell>
          <cell r="AP41" t="str">
            <v>Int/Other</v>
          </cell>
          <cell r="AQ41">
            <v>-135</v>
          </cell>
          <cell r="AR41">
            <v>-125</v>
          </cell>
          <cell r="AS41">
            <v>-95</v>
          </cell>
          <cell r="BD41">
            <v>2009</v>
          </cell>
          <cell r="BE41">
            <v>2010</v>
          </cell>
          <cell r="BF41" t="str">
            <v>Comments/Assumptions</v>
          </cell>
          <cell r="BO41" t="str">
            <v>Revenues Impact</v>
          </cell>
          <cell r="BR41">
            <v>580</v>
          </cell>
          <cell r="BW41" t="str">
            <v>Revenues Impact</v>
          </cell>
          <cell r="BZ41">
            <v>235</v>
          </cell>
          <cell r="CA41" t="str">
            <v>Management Guidance</v>
          </cell>
        </row>
        <row r="42">
          <cell r="L42" t="str">
            <v>Trident</v>
          </cell>
          <cell r="M42">
            <v>1</v>
          </cell>
          <cell r="AA42" t="str">
            <v>- 18 total</v>
          </cell>
          <cell r="AP42" t="str">
            <v>Pretax</v>
          </cell>
          <cell r="AQ42">
            <v>1560</v>
          </cell>
          <cell r="AR42">
            <v>1900</v>
          </cell>
          <cell r="AS42">
            <v>2150</v>
          </cell>
          <cell r="BC42" t="str">
            <v>Revised</v>
          </cell>
          <cell r="BD42">
            <v>6.1189391025198736</v>
          </cell>
          <cell r="BE42">
            <v>6.3955993666716093</v>
          </cell>
          <cell r="BO42" t="str">
            <v>EBIT Impact</v>
          </cell>
          <cell r="BR42">
            <v>60</v>
          </cell>
          <cell r="BW42" t="str">
            <v>EBIT Impact</v>
          </cell>
          <cell r="BZ42">
            <v>26</v>
          </cell>
        </row>
        <row r="43">
          <cell r="L43" t="str">
            <v>Seawolf</v>
          </cell>
          <cell r="M43">
            <v>1</v>
          </cell>
          <cell r="N43">
            <v>1</v>
          </cell>
          <cell r="S43">
            <v>1</v>
          </cell>
          <cell r="Z43">
            <v>3</v>
          </cell>
          <cell r="AA43" t="str">
            <v>- 3 total</v>
          </cell>
          <cell r="AG43" t="str">
            <v>Gulfstream Engines</v>
          </cell>
          <cell r="AP43" t="str">
            <v>Tax Rate</v>
          </cell>
          <cell r="AQ43">
            <v>0.34499999999999997</v>
          </cell>
          <cell r="AR43">
            <v>0.34499999999999997</v>
          </cell>
          <cell r="AS43">
            <v>0.34499999999999997</v>
          </cell>
          <cell r="BC43" t="str">
            <v>Prior</v>
          </cell>
          <cell r="BD43">
            <v>6.55</v>
          </cell>
          <cell r="BE43">
            <v>7</v>
          </cell>
          <cell r="BO43" t="str">
            <v>% of Revenues</v>
          </cell>
          <cell r="BR43">
            <v>0.10344827586206896</v>
          </cell>
          <cell r="BW43" t="str">
            <v>% of Revenues</v>
          </cell>
          <cell r="BZ43">
            <v>0.11063829787234042</v>
          </cell>
          <cell r="CA43" t="str">
            <v>2001 Margin</v>
          </cell>
        </row>
        <row r="44">
          <cell r="L44" t="str">
            <v>NAS</v>
          </cell>
          <cell r="N44" t="str">
            <v>design</v>
          </cell>
          <cell r="P44" t="str">
            <v>construction</v>
          </cell>
          <cell r="T44">
            <v>1</v>
          </cell>
          <cell r="U44">
            <v>1</v>
          </cell>
          <cell r="V44">
            <v>1</v>
          </cell>
          <cell r="W44">
            <v>1</v>
          </cell>
          <cell r="X44" t="str">
            <v>poss f/o</v>
          </cell>
          <cell r="Z44">
            <v>4</v>
          </cell>
          <cell r="AA44" t="str">
            <v>- 30 planned</v>
          </cell>
          <cell r="AG44" t="str">
            <v>as of 9/19/2006</v>
          </cell>
          <cell r="AP44" t="str">
            <v>Net Income</v>
          </cell>
          <cell r="AQ44">
            <v>1021.8000000000001</v>
          </cell>
          <cell r="AR44">
            <v>1244.5</v>
          </cell>
          <cell r="AS44">
            <v>1408.25</v>
          </cell>
          <cell r="BC44" t="str">
            <v>Change</v>
          </cell>
          <cell r="BD44">
            <v>-0.43106089748012621</v>
          </cell>
          <cell r="BE44">
            <v>-0.60440063332839067</v>
          </cell>
          <cell r="BF44" t="str">
            <v>- better defense could drive 2010 up</v>
          </cell>
          <cell r="BO44" t="str">
            <v>Goodwill</v>
          </cell>
          <cell r="BR44">
            <v>-15</v>
          </cell>
          <cell r="BS44" t="str">
            <v>??</v>
          </cell>
          <cell r="DI44" t="str">
            <v>Jet Aviation Acquisition</v>
          </cell>
        </row>
        <row r="45">
          <cell r="L45" t="str">
            <v>DDG51</v>
          </cell>
          <cell r="M45">
            <v>2</v>
          </cell>
          <cell r="N45">
            <v>2</v>
          </cell>
          <cell r="O45">
            <v>2</v>
          </cell>
          <cell r="P45">
            <v>2</v>
          </cell>
          <cell r="Q45">
            <v>2</v>
          </cell>
          <cell r="R45">
            <v>2</v>
          </cell>
          <cell r="S45">
            <v>1</v>
          </cell>
          <cell r="T45">
            <v>1</v>
          </cell>
          <cell r="U45">
            <v>1</v>
          </cell>
          <cell r="V45">
            <v>1</v>
          </cell>
          <cell r="W45">
            <v>1</v>
          </cell>
          <cell r="X45">
            <v>2</v>
          </cell>
          <cell r="Y45">
            <v>1</v>
          </cell>
          <cell r="Z45">
            <v>20</v>
          </cell>
          <cell r="AP45" t="str">
            <v>EPS</v>
          </cell>
          <cell r="AQ45">
            <v>5.0088235294117647</v>
          </cell>
          <cell r="AR45">
            <v>6.1004901960784315</v>
          </cell>
          <cell r="AS45">
            <v>6.903186274509804</v>
          </cell>
          <cell r="BC45" t="str">
            <v>EPS Growth</v>
          </cell>
          <cell r="BD45">
            <v>-1.3831272309973164E-3</v>
          </cell>
          <cell r="BE45">
            <v>4.5213763287463182E-2</v>
          </cell>
          <cell r="BO45" t="str">
            <v>Interest expense</v>
          </cell>
          <cell r="BR45">
            <v>-36.400000000000006</v>
          </cell>
          <cell r="BW45" t="str">
            <v>Interest expense</v>
          </cell>
          <cell r="BZ45">
            <v>17.5</v>
          </cell>
          <cell r="CA45" t="str">
            <v>$214MM + $36MM</v>
          </cell>
          <cell r="CC45" t="str">
            <v>@ 7%</v>
          </cell>
          <cell r="DI45" t="str">
            <v>Jet Aviation</v>
          </cell>
          <cell r="DL45" t="str">
            <v>2009E</v>
          </cell>
        </row>
        <row r="46">
          <cell r="L46" t="str">
            <v>LPD17</v>
          </cell>
          <cell r="N46" t="str">
            <v>design</v>
          </cell>
          <cell r="P46" t="str">
            <v>construction</v>
          </cell>
          <cell r="S46">
            <v>1</v>
          </cell>
          <cell r="V46">
            <v>1</v>
          </cell>
          <cell r="W46">
            <v>1</v>
          </cell>
          <cell r="Y46">
            <v>1</v>
          </cell>
          <cell r="Z46">
            <v>4</v>
          </cell>
          <cell r="AA46" t="str">
            <v>- GD gets 4 of 12 planned</v>
          </cell>
          <cell r="AG46" t="str">
            <v>Aircraft</v>
          </cell>
          <cell r="AH46" t="str">
            <v>Engines (2)</v>
          </cell>
          <cell r="AP46" t="str">
            <v>% ch Y/Y</v>
          </cell>
          <cell r="AQ46">
            <v>-8.9304812834224645E-2</v>
          </cell>
          <cell r="AR46">
            <v>0.10918003565062384</v>
          </cell>
          <cell r="AS46">
            <v>0.25512477718360071</v>
          </cell>
          <cell r="BC46" t="str">
            <v>Street Ests</v>
          </cell>
          <cell r="BD46">
            <v>6.75</v>
          </cell>
          <cell r="BE46">
            <v>7.1</v>
          </cell>
          <cell r="BF46" t="str">
            <v>- ests too high for downcycle</v>
          </cell>
          <cell r="BO46" t="str">
            <v>Pretax Earnings Impact</v>
          </cell>
          <cell r="BR46">
            <v>8.5999999999999943</v>
          </cell>
          <cell r="BW46" t="str">
            <v>Pretax Earnings Impact</v>
          </cell>
          <cell r="BZ46">
            <v>8.5</v>
          </cell>
          <cell r="DI46" t="str">
            <v xml:space="preserve">Sales </v>
          </cell>
          <cell r="DL46">
            <v>1500</v>
          </cell>
        </row>
        <row r="47">
          <cell r="L47" t="str">
            <v>DD21</v>
          </cell>
          <cell r="N47" t="str">
            <v>design</v>
          </cell>
          <cell r="S47" t="str">
            <v>construction 1st boat</v>
          </cell>
          <cell r="Z47">
            <v>0</v>
          </cell>
          <cell r="AA47" t="str">
            <v>- 30 planned/GD builds 15</v>
          </cell>
          <cell r="AG47" t="str">
            <v>G150</v>
          </cell>
          <cell r="AH47" t="str">
            <v>Honeywell TFE 731-40AR-200G</v>
          </cell>
          <cell r="AP47" t="str">
            <v>share count</v>
          </cell>
          <cell r="AQ47">
            <v>204</v>
          </cell>
          <cell r="AR47">
            <v>204</v>
          </cell>
          <cell r="AS47">
            <v>204</v>
          </cell>
          <cell r="AT47" t="str">
            <v>- up from 199 in 2003</v>
          </cell>
          <cell r="BO47" t="str">
            <v>Net Income Impact</v>
          </cell>
          <cell r="BR47">
            <v>5.5039999999999969</v>
          </cell>
          <cell r="BW47" t="str">
            <v>Net Income Impact</v>
          </cell>
          <cell r="BZ47">
            <v>5.5674999999999999</v>
          </cell>
          <cell r="DI47" t="str">
            <v xml:space="preserve">EBITDA </v>
          </cell>
          <cell r="DL47">
            <v>230</v>
          </cell>
        </row>
        <row r="48">
          <cell r="L48" t="str">
            <v>Frigate retrofit</v>
          </cell>
          <cell r="O48" t="str">
            <v>poss 4 ship retrofit</v>
          </cell>
          <cell r="Z48">
            <v>0</v>
          </cell>
          <cell r="AA48" t="str">
            <v>- 4 of 18 coming out of svc</v>
          </cell>
          <cell r="AG48" t="str">
            <v>G200</v>
          </cell>
          <cell r="AH48" t="str">
            <v>Pratt &amp; Whitney Canada 306A</v>
          </cell>
          <cell r="BC48" t="str">
            <v>Gulfstream Deliveries</v>
          </cell>
          <cell r="BO48" t="str">
            <v>EPS Impact</v>
          </cell>
          <cell r="BR48">
            <v>2.7519999999999985E-2</v>
          </cell>
          <cell r="BW48" t="str">
            <v>EPS Impact</v>
          </cell>
          <cell r="BZ48">
            <v>1.3723059176148127E-2</v>
          </cell>
          <cell r="DI48" t="str">
            <v xml:space="preserve">EBITDA margin </v>
          </cell>
          <cell r="DL48">
            <v>0.15333333333333332</v>
          </cell>
        </row>
        <row r="49">
          <cell r="L49" t="str">
            <v>Land Veh Dels</v>
          </cell>
          <cell r="AG49" t="str">
            <v>G350</v>
          </cell>
          <cell r="AH49" t="str">
            <v>Rolls-Royce Tay Mk 611-8C</v>
          </cell>
          <cell r="BD49" t="str">
            <v>2008E</v>
          </cell>
          <cell r="BE49" t="str">
            <v>2009E</v>
          </cell>
          <cell r="BF49" t="str">
            <v>2010E</v>
          </cell>
          <cell r="BG49" t="str">
            <v>Comments/Assumptions</v>
          </cell>
          <cell r="BO49" t="str">
            <v>Shares</v>
          </cell>
          <cell r="BR49">
            <v>200</v>
          </cell>
          <cell r="BW49" t="str">
            <v>Shares</v>
          </cell>
          <cell r="BZ49">
            <v>405.70400000000001</v>
          </cell>
          <cell r="DY49" t="str">
            <v>Jet Aviation Acquisition</v>
          </cell>
        </row>
        <row r="50">
          <cell r="L50" t="str">
            <v>M1A2 u/gs</v>
          </cell>
          <cell r="M50">
            <v>120</v>
          </cell>
          <cell r="N50">
            <v>120</v>
          </cell>
          <cell r="O50">
            <v>120</v>
          </cell>
          <cell r="P50">
            <v>120</v>
          </cell>
          <cell r="Q50">
            <v>72</v>
          </cell>
          <cell r="R50">
            <v>80</v>
          </cell>
          <cell r="S50">
            <v>80</v>
          </cell>
          <cell r="T50">
            <v>80</v>
          </cell>
          <cell r="U50">
            <v>80</v>
          </cell>
          <cell r="V50">
            <v>80</v>
          </cell>
          <cell r="W50">
            <v>60</v>
          </cell>
          <cell r="X50">
            <v>60</v>
          </cell>
          <cell r="Y50">
            <v>60</v>
          </cell>
          <cell r="Z50">
            <v>1132</v>
          </cell>
          <cell r="AA50" t="str">
            <v>- 1200 assumed</v>
          </cell>
          <cell r="AG50" t="str">
            <v>G450</v>
          </cell>
          <cell r="AH50" t="str">
            <v>Rolls-Royce Tay Mk 611-8C</v>
          </cell>
          <cell r="BC50" t="str">
            <v>Prior</v>
          </cell>
          <cell r="DL50" t="str">
            <v xml:space="preserve">GD Base  </v>
          </cell>
          <cell r="DO50" t="str">
            <v xml:space="preserve">        Jet Aviation Impact </v>
          </cell>
          <cell r="DT50" t="str">
            <v xml:space="preserve">        Pro Forma </v>
          </cell>
          <cell r="EA50" t="str">
            <v>Base GD</v>
          </cell>
          <cell r="EE50" t="str">
            <v xml:space="preserve">        Jet Aviation Impact </v>
          </cell>
          <cell r="EJ50" t="str">
            <v>New Est.</v>
          </cell>
        </row>
        <row r="51">
          <cell r="L51" t="str">
            <v>HAB</v>
          </cell>
          <cell r="O51">
            <v>5</v>
          </cell>
          <cell r="P51">
            <v>12</v>
          </cell>
          <cell r="Q51">
            <v>12</v>
          </cell>
          <cell r="R51">
            <v>24</v>
          </cell>
          <cell r="S51">
            <v>24</v>
          </cell>
          <cell r="T51">
            <v>25</v>
          </cell>
          <cell r="U51">
            <v>38</v>
          </cell>
          <cell r="V51">
            <v>38</v>
          </cell>
          <cell r="W51">
            <v>38</v>
          </cell>
          <cell r="X51">
            <v>38</v>
          </cell>
          <cell r="Y51">
            <v>38</v>
          </cell>
          <cell r="Z51">
            <v>292</v>
          </cell>
          <cell r="AG51" t="str">
            <v>G500</v>
          </cell>
          <cell r="AH51" t="str">
            <v>Rolls-Royce BR710</v>
          </cell>
          <cell r="BC51" t="str">
            <v>Small Cabin</v>
          </cell>
          <cell r="BE51">
            <v>20</v>
          </cell>
          <cell r="BF51">
            <v>42</v>
          </cell>
          <cell r="BG51" t="str">
            <v>- expected recovery…</v>
          </cell>
          <cell r="BO51" t="str">
            <v>Valuation</v>
          </cell>
          <cell r="BW51" t="str">
            <v>Valuation</v>
          </cell>
          <cell r="DK51" t="str">
            <v>2008E</v>
          </cell>
          <cell r="DL51" t="str">
            <v>2009E</v>
          </cell>
          <cell r="DM51" t="str">
            <v>2010E</v>
          </cell>
          <cell r="DO51" t="str">
            <v>2008E</v>
          </cell>
          <cell r="DP51" t="str">
            <v>2009E</v>
          </cell>
          <cell r="DQ51" t="str">
            <v>2010E</v>
          </cell>
          <cell r="DT51" t="str">
            <v>2009E</v>
          </cell>
          <cell r="DU51" t="str">
            <v>2010E</v>
          </cell>
          <cell r="EA51" t="str">
            <v>2008E</v>
          </cell>
          <cell r="EB51" t="str">
            <v>2009E</v>
          </cell>
          <cell r="EC51" t="str">
            <v>2010E</v>
          </cell>
          <cell r="EE51" t="str">
            <v>2008E</v>
          </cell>
          <cell r="EF51" t="str">
            <v>2009E</v>
          </cell>
          <cell r="EG51" t="str">
            <v>2010E</v>
          </cell>
          <cell r="EJ51" t="str">
            <v>2008E</v>
          </cell>
          <cell r="EK51" t="str">
            <v>2009E</v>
          </cell>
          <cell r="EL51" t="str">
            <v>2010E</v>
          </cell>
        </row>
        <row r="52">
          <cell r="L52" t="str">
            <v>M1A2 Sept r/f</v>
          </cell>
          <cell r="R52">
            <v>25</v>
          </cell>
          <cell r="S52">
            <v>45</v>
          </cell>
          <cell r="T52">
            <v>65</v>
          </cell>
          <cell r="U52">
            <v>95</v>
          </cell>
          <cell r="V52">
            <v>105</v>
          </cell>
          <cell r="W52">
            <v>105</v>
          </cell>
          <cell r="X52">
            <v>70</v>
          </cell>
          <cell r="Z52">
            <v>510</v>
          </cell>
          <cell r="AG52" t="str">
            <v>G550</v>
          </cell>
          <cell r="AH52" t="str">
            <v>Rolls-Royce BR710</v>
          </cell>
          <cell r="BC52" t="str">
            <v>Large Cabin</v>
          </cell>
          <cell r="BE52">
            <v>90</v>
          </cell>
          <cell r="BF52">
            <v>91</v>
          </cell>
          <cell r="BO52" t="str">
            <v>Price/2001E Revenues</v>
          </cell>
          <cell r="BR52">
            <v>0.89655172413793105</v>
          </cell>
          <cell r="BW52" t="str">
            <v>Price/2002E Revenues</v>
          </cell>
          <cell r="BZ52">
            <v>1.0621889340425532</v>
          </cell>
          <cell r="DI52" t="str">
            <v>Revenues</v>
          </cell>
          <cell r="DY52" t="str">
            <v>Revenues</v>
          </cell>
        </row>
        <row r="53">
          <cell r="L53" t="str">
            <v>M1A1 AIM XX1</v>
          </cell>
          <cell r="O53">
            <v>24</v>
          </cell>
          <cell r="P53">
            <v>66</v>
          </cell>
          <cell r="Q53">
            <v>90</v>
          </cell>
          <cell r="R53">
            <v>90</v>
          </cell>
          <cell r="S53">
            <v>90</v>
          </cell>
          <cell r="T53">
            <v>90</v>
          </cell>
          <cell r="U53">
            <v>90</v>
          </cell>
          <cell r="V53">
            <v>90</v>
          </cell>
          <cell r="W53">
            <v>90</v>
          </cell>
          <cell r="X53">
            <v>90</v>
          </cell>
          <cell r="Y53">
            <v>90</v>
          </cell>
          <cell r="Z53">
            <v>900</v>
          </cell>
          <cell r="BC53" t="str">
            <v>total a/c delivs</v>
          </cell>
          <cell r="BE53">
            <v>110</v>
          </cell>
          <cell r="BF53">
            <v>133</v>
          </cell>
          <cell r="BO53" t="str">
            <v>Price/2001E EBIT</v>
          </cell>
          <cell r="BR53">
            <v>8.6666666666666661</v>
          </cell>
          <cell r="BW53" t="str">
            <v>Price/2002E EBIT</v>
          </cell>
          <cell r="BZ53">
            <v>9.6005538269230772</v>
          </cell>
          <cell r="DI53" t="str">
            <v>Marine Systems</v>
          </cell>
          <cell r="DK53">
            <v>5556</v>
          </cell>
          <cell r="DL53">
            <v>6450</v>
          </cell>
          <cell r="DM53">
            <v>6630</v>
          </cell>
          <cell r="DT53">
            <v>6450</v>
          </cell>
          <cell r="DU53">
            <v>6630</v>
          </cell>
          <cell r="DY53" t="str">
            <v>Marine Systems</v>
          </cell>
          <cell r="EA53">
            <v>5400</v>
          </cell>
          <cell r="EB53">
            <v>5730</v>
          </cell>
          <cell r="EC53">
            <v>6280</v>
          </cell>
          <cell r="EJ53">
            <v>5400</v>
          </cell>
          <cell r="EK53">
            <v>5730</v>
          </cell>
          <cell r="EL53">
            <v>6280</v>
          </cell>
        </row>
        <row r="54">
          <cell r="L54" t="str">
            <v>Fox</v>
          </cell>
          <cell r="N54">
            <v>17</v>
          </cell>
          <cell r="O54">
            <v>23</v>
          </cell>
          <cell r="P54">
            <v>22</v>
          </cell>
          <cell r="BC54" t="str">
            <v>Revised</v>
          </cell>
          <cell r="DI54" t="str">
            <v>Combat Systems</v>
          </cell>
          <cell r="DK54">
            <v>8194</v>
          </cell>
          <cell r="DL54">
            <v>10000</v>
          </cell>
          <cell r="DM54">
            <v>9950</v>
          </cell>
          <cell r="DT54">
            <v>10000</v>
          </cell>
          <cell r="DU54">
            <v>9950</v>
          </cell>
          <cell r="DY54" t="str">
            <v>Combat Systems</v>
          </cell>
          <cell r="EA54">
            <v>8250</v>
          </cell>
          <cell r="EB54">
            <v>8825</v>
          </cell>
          <cell r="EC54">
            <v>8850</v>
          </cell>
          <cell r="EJ54">
            <v>8250</v>
          </cell>
          <cell r="EK54">
            <v>8825</v>
          </cell>
          <cell r="EL54">
            <v>8850</v>
          </cell>
        </row>
        <row r="55">
          <cell r="L55" t="str">
            <v>AAAV</v>
          </cell>
          <cell r="N55" t="str">
            <v>design</v>
          </cell>
          <cell r="P55" t="str">
            <v>EMD</v>
          </cell>
          <cell r="U55">
            <v>18</v>
          </cell>
          <cell r="V55">
            <v>30</v>
          </cell>
          <cell r="W55">
            <v>93</v>
          </cell>
          <cell r="X55">
            <v>160</v>
          </cell>
          <cell r="Y55">
            <v>160</v>
          </cell>
          <cell r="BC55" t="str">
            <v>Small Cabin</v>
          </cell>
          <cell r="BD55">
            <v>70</v>
          </cell>
          <cell r="BE55">
            <v>20</v>
          </cell>
          <cell r="BF55">
            <v>22</v>
          </cell>
          <cell r="BG55" t="str">
            <v>- ...not gonna happen.</v>
          </cell>
          <cell r="BO55" t="str">
            <v>Capital Structure - 2001E</v>
          </cell>
          <cell r="BW55" t="str">
            <v>Transaction Structure</v>
          </cell>
          <cell r="DI55" t="str">
            <v>Info. Systems &amp; Tech.</v>
          </cell>
          <cell r="DK55">
            <v>10038</v>
          </cell>
          <cell r="DL55">
            <v>10800</v>
          </cell>
          <cell r="DM55">
            <v>11100</v>
          </cell>
          <cell r="DT55">
            <v>10800</v>
          </cell>
          <cell r="DU55">
            <v>11100</v>
          </cell>
          <cell r="DY55" t="str">
            <v>Info. Systems &amp; Tech.</v>
          </cell>
          <cell r="EA55">
            <v>10000</v>
          </cell>
          <cell r="EB55">
            <v>10600</v>
          </cell>
          <cell r="EC55">
            <v>11100</v>
          </cell>
          <cell r="EJ55">
            <v>10000</v>
          </cell>
          <cell r="EK55">
            <v>10600</v>
          </cell>
          <cell r="EL55">
            <v>11100</v>
          </cell>
        </row>
        <row r="56">
          <cell r="L56" t="str">
            <v>Crusader</v>
          </cell>
          <cell r="N56" t="str">
            <v>design</v>
          </cell>
          <cell r="P56" t="str">
            <v>EMD</v>
          </cell>
          <cell r="T56">
            <v>3</v>
          </cell>
          <cell r="U56">
            <v>41</v>
          </cell>
          <cell r="V56">
            <v>99</v>
          </cell>
          <cell r="W56">
            <v>120</v>
          </cell>
          <cell r="X56">
            <v>120</v>
          </cell>
          <cell r="Y56">
            <v>120</v>
          </cell>
          <cell r="BC56" t="str">
            <v>Large Cabin</v>
          </cell>
          <cell r="BD56">
            <v>88</v>
          </cell>
          <cell r="BE56">
            <v>72</v>
          </cell>
          <cell r="BF56">
            <v>70</v>
          </cell>
          <cell r="BG56" t="str">
            <v>- vs. 50 in 2003</v>
          </cell>
          <cell r="BO56" t="str">
            <v>Net Debt</v>
          </cell>
          <cell r="BR56">
            <v>2016</v>
          </cell>
          <cell r="BW56" t="str">
            <v>Price Per Share</v>
          </cell>
          <cell r="BZ56">
            <v>33.5</v>
          </cell>
          <cell r="DI56" t="str">
            <v>Aerospace</v>
          </cell>
          <cell r="DK56">
            <v>5512</v>
          </cell>
          <cell r="DL56">
            <v>5250</v>
          </cell>
          <cell r="DM56">
            <v>5300</v>
          </cell>
          <cell r="DO56">
            <v>1400</v>
          </cell>
          <cell r="DP56">
            <v>1500</v>
          </cell>
          <cell r="DQ56">
            <v>1590</v>
          </cell>
          <cell r="DT56">
            <v>6750</v>
          </cell>
          <cell r="DU56">
            <v>6890</v>
          </cell>
          <cell r="DY56" t="str">
            <v>Aerospace</v>
          </cell>
          <cell r="EA56">
            <v>5500</v>
          </cell>
          <cell r="EB56">
            <v>5400</v>
          </cell>
          <cell r="EC56">
            <v>5555</v>
          </cell>
          <cell r="EE56">
            <v>150</v>
          </cell>
          <cell r="EF56">
            <v>1500</v>
          </cell>
          <cell r="EG56">
            <v>1590</v>
          </cell>
          <cell r="EJ56">
            <v>5650</v>
          </cell>
          <cell r="EK56">
            <v>6900</v>
          </cell>
          <cell r="EL56">
            <v>7145</v>
          </cell>
        </row>
        <row r="57">
          <cell r="L57" t="str">
            <v>FSCS</v>
          </cell>
          <cell r="O57" t="str">
            <v>design</v>
          </cell>
          <cell r="Q57" t="str">
            <v>EMD</v>
          </cell>
          <cell r="T57">
            <v>40</v>
          </cell>
          <cell r="U57">
            <v>150</v>
          </cell>
          <cell r="V57">
            <v>300</v>
          </cell>
          <cell r="W57">
            <v>300</v>
          </cell>
          <cell r="X57">
            <v>300</v>
          </cell>
          <cell r="Y57">
            <v>300</v>
          </cell>
          <cell r="BC57" t="str">
            <v>total a/c delivs</v>
          </cell>
          <cell r="BD57">
            <v>158</v>
          </cell>
          <cell r="BE57">
            <v>92</v>
          </cell>
          <cell r="BF57">
            <v>92</v>
          </cell>
          <cell r="BG57" t="str">
            <v>- vs. 74 in 2003, prior trough</v>
          </cell>
          <cell r="BO57" t="str">
            <v>Equity</v>
          </cell>
          <cell r="BR57">
            <v>4533.5039999999999</v>
          </cell>
          <cell r="BW57" t="str">
            <v>Shares Outstanding</v>
          </cell>
          <cell r="BZ57">
            <v>5.886997</v>
          </cell>
          <cell r="DI57" t="str">
            <v>Total Revenues</v>
          </cell>
          <cell r="DK57">
            <v>29300</v>
          </cell>
          <cell r="DL57">
            <v>32500</v>
          </cell>
          <cell r="DM57">
            <v>32980</v>
          </cell>
          <cell r="DO57">
            <v>1400</v>
          </cell>
          <cell r="DP57">
            <v>1500</v>
          </cell>
          <cell r="DQ57">
            <v>1590</v>
          </cell>
          <cell r="DT57">
            <v>34000</v>
          </cell>
          <cell r="DU57">
            <v>34570</v>
          </cell>
          <cell r="DY57" t="str">
            <v>Total Revenues</v>
          </cell>
          <cell r="EA57">
            <v>29150</v>
          </cell>
          <cell r="EB57">
            <v>30555</v>
          </cell>
          <cell r="EC57">
            <v>31785</v>
          </cell>
          <cell r="EE57">
            <v>150</v>
          </cell>
          <cell r="EF57">
            <v>1500</v>
          </cell>
          <cell r="EG57">
            <v>1590</v>
          </cell>
          <cell r="EJ57">
            <v>29300</v>
          </cell>
          <cell r="EK57">
            <v>32055</v>
          </cell>
          <cell r="EL57">
            <v>33375</v>
          </cell>
        </row>
        <row r="58">
          <cell r="L58" t="str">
            <v>Foreign Tank Potentials</v>
          </cell>
          <cell r="BE58">
            <v>-18</v>
          </cell>
          <cell r="BF58">
            <v>-41</v>
          </cell>
          <cell r="BO58" t="str">
            <v>Net Debt/Capital</v>
          </cell>
          <cell r="BR58">
            <v>0.30780956848030017</v>
          </cell>
          <cell r="BW58" t="str">
            <v>Equity Value</v>
          </cell>
          <cell r="BZ58">
            <v>197.21439950000001</v>
          </cell>
        </row>
        <row r="59">
          <cell r="L59" t="str">
            <v>M1A2 Saudi</v>
          </cell>
          <cell r="N59" t="str">
            <v>assumes order by '00</v>
          </cell>
          <cell r="Q59">
            <v>48</v>
          </cell>
          <cell r="R59">
            <v>48</v>
          </cell>
          <cell r="S59">
            <v>48</v>
          </cell>
          <cell r="T59">
            <v>6</v>
          </cell>
          <cell r="Z59">
            <v>150</v>
          </cell>
          <cell r="BW59" t="str">
            <v>Options</v>
          </cell>
          <cell r="BZ59">
            <v>16.2</v>
          </cell>
          <cell r="DI59" t="str">
            <v>Operating Profit</v>
          </cell>
          <cell r="DY59" t="str">
            <v>Operating Profit</v>
          </cell>
        </row>
        <row r="60">
          <cell r="L60" t="str">
            <v>M1A2 Turkey</v>
          </cell>
          <cell r="N60" t="str">
            <v>assumes order by '02</v>
          </cell>
          <cell r="S60">
            <v>48</v>
          </cell>
          <cell r="T60">
            <v>96</v>
          </cell>
          <cell r="U60">
            <v>96</v>
          </cell>
          <cell r="V60">
            <v>108</v>
          </cell>
          <cell r="W60">
            <v>120</v>
          </cell>
          <cell r="X60">
            <v>120</v>
          </cell>
          <cell r="Y60">
            <v>120</v>
          </cell>
          <cell r="Z60">
            <v>708</v>
          </cell>
          <cell r="BO60" t="str">
            <v>Variables - 2001E</v>
          </cell>
          <cell r="BW60" t="str">
            <v>Total Equity Value</v>
          </cell>
          <cell r="BZ60">
            <v>213.4143995</v>
          </cell>
          <cell r="DI60" t="str">
            <v>Marine Systems</v>
          </cell>
          <cell r="DK60">
            <v>521</v>
          </cell>
          <cell r="DL60">
            <v>628.875</v>
          </cell>
          <cell r="DM60">
            <v>643.11</v>
          </cell>
          <cell r="DT60">
            <v>628.875</v>
          </cell>
          <cell r="DU60">
            <v>643.11</v>
          </cell>
          <cell r="DY60" t="str">
            <v>Marine Systems</v>
          </cell>
          <cell r="EA60">
            <v>502</v>
          </cell>
          <cell r="EB60">
            <v>550</v>
          </cell>
          <cell r="EC60">
            <v>628</v>
          </cell>
          <cell r="EJ60">
            <v>502</v>
          </cell>
          <cell r="EK60">
            <v>550</v>
          </cell>
          <cell r="EL60">
            <v>628</v>
          </cell>
        </row>
        <row r="61">
          <cell r="L61" t="str">
            <v>M1A2 Egypt</v>
          </cell>
          <cell r="N61" t="str">
            <v>assumes order by '00</v>
          </cell>
          <cell r="Q61">
            <v>12</v>
          </cell>
          <cell r="R61">
            <v>48</v>
          </cell>
          <cell r="S61">
            <v>48</v>
          </cell>
          <cell r="T61">
            <v>48</v>
          </cell>
          <cell r="U61">
            <v>44</v>
          </cell>
          <cell r="Z61">
            <v>200</v>
          </cell>
          <cell r="BO61" t="str">
            <v>Operating Margin</v>
          </cell>
          <cell r="BR61">
            <v>0.10344827586206896</v>
          </cell>
          <cell r="BW61" t="str">
            <v>Net Debt</v>
          </cell>
          <cell r="BZ61">
            <v>36.200000000000003</v>
          </cell>
          <cell r="DI61" t="str">
            <v>Combat Systems</v>
          </cell>
          <cell r="DK61">
            <v>1111</v>
          </cell>
          <cell r="DL61">
            <v>1225</v>
          </cell>
          <cell r="DM61">
            <v>1194</v>
          </cell>
          <cell r="DT61">
            <v>1225</v>
          </cell>
          <cell r="DU61">
            <v>1194</v>
          </cell>
          <cell r="DY61" t="str">
            <v>Combat Systems</v>
          </cell>
          <cell r="EA61">
            <v>1089</v>
          </cell>
          <cell r="EB61">
            <v>1147</v>
          </cell>
          <cell r="EC61">
            <v>1115</v>
          </cell>
          <cell r="EJ61">
            <v>1089</v>
          </cell>
          <cell r="EK61">
            <v>1147</v>
          </cell>
          <cell r="EL61">
            <v>1115</v>
          </cell>
        </row>
        <row r="62">
          <cell r="L62" t="str">
            <v>M1A2 Qatar</v>
          </cell>
          <cell r="N62" t="str">
            <v>assumes order by '00</v>
          </cell>
          <cell r="Q62">
            <v>9</v>
          </cell>
          <cell r="R62">
            <v>21</v>
          </cell>
          <cell r="Z62">
            <v>30</v>
          </cell>
          <cell r="BO62" t="str">
            <v>Interest Rate - Bank Debt</v>
          </cell>
          <cell r="BR62">
            <v>7.0000000000000007E-2</v>
          </cell>
          <cell r="BS62" t="str">
            <v>??</v>
          </cell>
          <cell r="BW62" t="str">
            <v>Transaction Value</v>
          </cell>
          <cell r="BZ62">
            <v>249.61439949999999</v>
          </cell>
          <cell r="CA62" t="str">
            <v>??</v>
          </cell>
          <cell r="DI62" t="str">
            <v>Info. Systems &amp; Tech.</v>
          </cell>
          <cell r="DK62">
            <v>1075</v>
          </cell>
          <cell r="DL62">
            <v>1112.3999999999999</v>
          </cell>
          <cell r="DM62">
            <v>1143.3</v>
          </cell>
          <cell r="DT62">
            <v>1112.3999999999999</v>
          </cell>
          <cell r="DU62">
            <v>1143.3</v>
          </cell>
          <cell r="DY62" t="str">
            <v>Info. Systems &amp; Tech.</v>
          </cell>
          <cell r="EA62">
            <v>1070</v>
          </cell>
          <cell r="EB62">
            <v>1113</v>
          </cell>
          <cell r="EC62">
            <v>1199</v>
          </cell>
          <cell r="EJ62">
            <v>1070</v>
          </cell>
          <cell r="EK62">
            <v>1113</v>
          </cell>
          <cell r="EL62">
            <v>1199</v>
          </cell>
        </row>
        <row r="63">
          <cell r="L63" t="str">
            <v>M1A2 Greece</v>
          </cell>
          <cell r="N63" t="str">
            <v>assumes order by '01</v>
          </cell>
          <cell r="R63">
            <v>27</v>
          </cell>
          <cell r="S63">
            <v>78</v>
          </cell>
          <cell r="T63">
            <v>84</v>
          </cell>
          <cell r="U63">
            <v>57</v>
          </cell>
          <cell r="Z63">
            <v>246</v>
          </cell>
          <cell r="BO63" t="str">
            <v>Income Tax Rate</v>
          </cell>
          <cell r="BR63">
            <v>0.36</v>
          </cell>
          <cell r="DI63" t="str">
            <v>Aerospace</v>
          </cell>
          <cell r="DK63">
            <v>1021</v>
          </cell>
          <cell r="DL63">
            <v>708.75</v>
          </cell>
          <cell r="DM63">
            <v>742.00000000000011</v>
          </cell>
          <cell r="DO63">
            <v>186.66666666666666</v>
          </cell>
          <cell r="DP63">
            <v>200</v>
          </cell>
          <cell r="DQ63">
            <v>212</v>
          </cell>
          <cell r="DT63">
            <v>908.75</v>
          </cell>
          <cell r="DU63">
            <v>954.00000000000011</v>
          </cell>
          <cell r="DY63" t="str">
            <v>Aerospace</v>
          </cell>
          <cell r="EA63">
            <v>1023</v>
          </cell>
          <cell r="EB63">
            <v>972</v>
          </cell>
          <cell r="EC63">
            <v>1011</v>
          </cell>
          <cell r="EE63">
            <v>19</v>
          </cell>
          <cell r="EF63">
            <v>200</v>
          </cell>
          <cell r="EG63">
            <v>212</v>
          </cell>
          <cell r="EJ63">
            <v>1042</v>
          </cell>
          <cell r="EK63">
            <v>1172</v>
          </cell>
          <cell r="EL63">
            <v>1223</v>
          </cell>
        </row>
        <row r="64">
          <cell r="BW64" t="str">
            <v>Variables - 2002E</v>
          </cell>
          <cell r="DI64" t="str">
            <v>Resources/Corporate</v>
          </cell>
          <cell r="DK64">
            <v>-75</v>
          </cell>
          <cell r="DL64">
            <v>-90</v>
          </cell>
          <cell r="DM64">
            <v>-70</v>
          </cell>
          <cell r="DT64">
            <v>-90</v>
          </cell>
          <cell r="DU64">
            <v>-70</v>
          </cell>
          <cell r="DY64" t="str">
            <v>Resources/Corporate</v>
          </cell>
          <cell r="EA64">
            <v>-80</v>
          </cell>
          <cell r="EB64">
            <v>-65</v>
          </cell>
          <cell r="EC64">
            <v>-60</v>
          </cell>
          <cell r="EJ64">
            <v>-80</v>
          </cell>
          <cell r="EK64">
            <v>-65</v>
          </cell>
          <cell r="EL64">
            <v>-60</v>
          </cell>
        </row>
        <row r="65">
          <cell r="BW65" t="str">
            <v>Operating Margin</v>
          </cell>
          <cell r="BZ65">
            <v>0.11063829787234042</v>
          </cell>
          <cell r="DI65" t="str">
            <v>Total Operating Profit</v>
          </cell>
          <cell r="DK65">
            <v>3653</v>
          </cell>
          <cell r="DL65">
            <v>3585.0249999999996</v>
          </cell>
          <cell r="DM65">
            <v>3652.41</v>
          </cell>
          <cell r="DO65">
            <v>186.66666666666666</v>
          </cell>
          <cell r="DP65">
            <v>200</v>
          </cell>
          <cell r="DQ65">
            <v>212</v>
          </cell>
          <cell r="DT65">
            <v>3785.0249999999996</v>
          </cell>
          <cell r="DU65">
            <v>3864.41</v>
          </cell>
          <cell r="DY65" t="str">
            <v>Total Operating Profit</v>
          </cell>
          <cell r="EA65">
            <v>3604</v>
          </cell>
          <cell r="EB65">
            <v>3717</v>
          </cell>
          <cell r="EC65">
            <v>3893</v>
          </cell>
          <cell r="EE65">
            <v>19</v>
          </cell>
          <cell r="EF65">
            <v>200</v>
          </cell>
          <cell r="EG65">
            <v>212</v>
          </cell>
          <cell r="EJ65">
            <v>3623</v>
          </cell>
          <cell r="EK65">
            <v>3917</v>
          </cell>
          <cell r="EL65">
            <v>4105</v>
          </cell>
        </row>
        <row r="66">
          <cell r="M66" t="str">
            <v>GD U.S. Gov't Sales Breakdown</v>
          </cell>
          <cell r="T66" t="str">
            <v>GD New Orders 1Q00</v>
          </cell>
          <cell r="Y66" t="str">
            <v>GD New Contract Potential</v>
          </cell>
          <cell r="BO66" t="str">
            <v>Purchase Price</v>
          </cell>
          <cell r="BR66">
            <v>520</v>
          </cell>
          <cell r="BW66" t="str">
            <v>Interest Rate - Bank Debt</v>
          </cell>
          <cell r="BZ66">
            <v>0.1</v>
          </cell>
          <cell r="DI66" t="str">
            <v>Interest, net</v>
          </cell>
          <cell r="DK66">
            <v>-66</v>
          </cell>
          <cell r="DL66">
            <v>-149.71440000000001</v>
          </cell>
          <cell r="DM66">
            <v>-127.88593463454089</v>
          </cell>
          <cell r="DP66">
            <v>-63.6</v>
          </cell>
          <cell r="DQ66">
            <v>-67.5</v>
          </cell>
          <cell r="DT66">
            <v>-213.31440000000001</v>
          </cell>
          <cell r="DU66">
            <v>-195.38593463454089</v>
          </cell>
          <cell r="DY66" t="str">
            <v>Interest, net</v>
          </cell>
          <cell r="EA66">
            <v>-55</v>
          </cell>
          <cell r="EB66">
            <v>-26</v>
          </cell>
          <cell r="EC66">
            <v>-21</v>
          </cell>
          <cell r="EE66">
            <v>-6</v>
          </cell>
          <cell r="EF66">
            <v>-88</v>
          </cell>
          <cell r="EG66">
            <v>-71</v>
          </cell>
          <cell r="EJ66">
            <v>-61</v>
          </cell>
          <cell r="EK66">
            <v>-114</v>
          </cell>
          <cell r="EL66">
            <v>-92</v>
          </cell>
        </row>
        <row r="67">
          <cell r="AB67" t="str">
            <v>Est. Sales</v>
          </cell>
          <cell r="AC67" t="str">
            <v>Est. Initial</v>
          </cell>
          <cell r="AD67" t="str">
            <v>Est. Add</v>
          </cell>
          <cell r="AE67" t="str">
            <v>Est. Decision</v>
          </cell>
          <cell r="BW67" t="str">
            <v>Income Tax Rate</v>
          </cell>
          <cell r="BZ67">
            <v>0.34499999999999997</v>
          </cell>
          <cell r="DI67" t="str">
            <v>Other, net</v>
          </cell>
          <cell r="DK67">
            <v>17</v>
          </cell>
          <cell r="DL67">
            <v>3</v>
          </cell>
          <cell r="DM67">
            <v>0</v>
          </cell>
          <cell r="DT67">
            <v>3</v>
          </cell>
          <cell r="DU67">
            <v>0</v>
          </cell>
          <cell r="DY67" t="str">
            <v>Other, net</v>
          </cell>
          <cell r="EA67">
            <v>3</v>
          </cell>
          <cell r="EB67">
            <v>0</v>
          </cell>
          <cell r="EC67">
            <v>0</v>
          </cell>
          <cell r="EE67">
            <v>0</v>
          </cell>
          <cell r="EJ67">
            <v>3</v>
          </cell>
          <cell r="EK67">
            <v>0</v>
          </cell>
          <cell r="EL67">
            <v>0</v>
          </cell>
        </row>
        <row r="68">
          <cell r="M68" t="str">
            <v>Sales</v>
          </cell>
          <cell r="O68" t="str">
            <v>1995</v>
          </cell>
          <cell r="P68" t="str">
            <v>1996</v>
          </cell>
          <cell r="Q68" t="str">
            <v>1997</v>
          </cell>
          <cell r="V68" t="str">
            <v>$MM</v>
          </cell>
          <cell r="Y68" t="str">
            <v>Contract</v>
          </cell>
          <cell r="Z68" t="str">
            <v>Size</v>
          </cell>
          <cell r="AA68" t="str">
            <v>Period (Yrs)</v>
          </cell>
          <cell r="AB68" t="str">
            <v>Year 1</v>
          </cell>
          <cell r="AC68" t="str">
            <v>Margins</v>
          </cell>
          <cell r="AD68" t="str">
            <v>To EPS</v>
          </cell>
          <cell r="AE68" t="str">
            <v>Date</v>
          </cell>
          <cell r="AF68" t="str">
            <v>Comments</v>
          </cell>
          <cell r="DI68" t="str">
            <v>Pretax Income</v>
          </cell>
          <cell r="DK68">
            <v>3604</v>
          </cell>
          <cell r="DL68">
            <v>3438.3105999999998</v>
          </cell>
          <cell r="DM68">
            <v>3524.5240653654591</v>
          </cell>
          <cell r="DP68">
            <v>136.4</v>
          </cell>
          <cell r="DQ68">
            <v>144.5</v>
          </cell>
          <cell r="DT68">
            <v>3574.7105999999994</v>
          </cell>
          <cell r="DU68">
            <v>3669.0240653654591</v>
          </cell>
          <cell r="DY68" t="str">
            <v>Pretax Income</v>
          </cell>
          <cell r="EA68">
            <v>3552</v>
          </cell>
          <cell r="EB68">
            <v>3691</v>
          </cell>
          <cell r="EC68">
            <v>3872</v>
          </cell>
          <cell r="EE68">
            <v>13</v>
          </cell>
          <cell r="EF68">
            <v>112</v>
          </cell>
          <cell r="EG68">
            <v>141</v>
          </cell>
          <cell r="EJ68">
            <v>3565</v>
          </cell>
          <cell r="EK68">
            <v>3803</v>
          </cell>
          <cell r="EL68">
            <v>4013</v>
          </cell>
        </row>
        <row r="69">
          <cell r="M69" t="str">
            <v>DoD</v>
          </cell>
          <cell r="O69">
            <v>2422</v>
          </cell>
          <cell r="P69">
            <v>3051</v>
          </cell>
          <cell r="Q69">
            <v>3485</v>
          </cell>
          <cell r="T69" t="str">
            <v>M.E. tank</v>
          </cell>
          <cell r="V69">
            <v>250</v>
          </cell>
          <cell r="Y69" t="str">
            <v>IAV</v>
          </cell>
          <cell r="Z69">
            <v>6000</v>
          </cell>
          <cell r="AA69">
            <v>5</v>
          </cell>
          <cell r="AB69">
            <v>1000</v>
          </cell>
          <cell r="AC69">
            <v>6.5000000000000002E-2</v>
          </cell>
          <cell r="AD69" t="str">
            <v>15-20¢</v>
          </cell>
          <cell r="AE69" t="str">
            <v>Oct. 11th</v>
          </cell>
          <cell r="AF69" t="str">
            <v>- UDLP major competition</v>
          </cell>
          <cell r="AL69" t="str">
            <v>General Dynamics P&amp;L ($MM)</v>
          </cell>
          <cell r="DI69" t="str">
            <v>Taxes</v>
          </cell>
          <cell r="DK69">
            <v>1161</v>
          </cell>
          <cell r="DL69">
            <v>1082.3801768799999</v>
          </cell>
          <cell r="DM69">
            <v>1113.7496046554852</v>
          </cell>
          <cell r="DT69">
            <v>1125.31889688</v>
          </cell>
          <cell r="DU69">
            <v>1159.411604655485</v>
          </cell>
          <cell r="DY69" t="str">
            <v>Taxes</v>
          </cell>
          <cell r="EA69">
            <v>-1136.6400000000001</v>
          </cell>
          <cell r="EB69">
            <v>-1181.1200000000001</v>
          </cell>
          <cell r="EC69">
            <v>-1239.04</v>
          </cell>
          <cell r="EE69">
            <v>-4.16</v>
          </cell>
          <cell r="EF69">
            <v>-35.840000000000003</v>
          </cell>
          <cell r="EG69">
            <v>-45.12</v>
          </cell>
          <cell r="EJ69">
            <v>-1140.8000000000002</v>
          </cell>
          <cell r="EK69">
            <v>-1216.96</v>
          </cell>
          <cell r="EL69">
            <v>-1284.1599999999999</v>
          </cell>
        </row>
        <row r="70">
          <cell r="M70" t="str">
            <v>FMS</v>
          </cell>
          <cell r="O70">
            <v>476</v>
          </cell>
          <cell r="P70">
            <v>261</v>
          </cell>
          <cell r="Q70">
            <v>166</v>
          </cell>
          <cell r="T70" t="str">
            <v>Jones Act</v>
          </cell>
          <cell r="V70">
            <v>300</v>
          </cell>
          <cell r="Y70" t="str">
            <v>NMCI</v>
          </cell>
          <cell r="Z70">
            <v>6000</v>
          </cell>
          <cell r="AA70">
            <v>5</v>
          </cell>
          <cell r="AB70">
            <v>1000</v>
          </cell>
          <cell r="AC70">
            <v>7.4999999999999997E-2</v>
          </cell>
          <cell r="AD70" t="str">
            <v>20-25¢</v>
          </cell>
          <cell r="AE70" t="str">
            <v>Sept-Oct</v>
          </cell>
          <cell r="AF70" t="str">
            <v>- Improved odds vs. CSC</v>
          </cell>
          <cell r="BC70" t="str">
            <v>Possible GD 2003 Earnings Power</v>
          </cell>
          <cell r="DI70" t="str">
            <v>Tax rate</v>
          </cell>
          <cell r="DK70">
            <v>0.32214206437291898</v>
          </cell>
          <cell r="DL70">
            <v>0.31480000000000002</v>
          </cell>
          <cell r="DM70">
            <v>0.316</v>
          </cell>
          <cell r="DT70">
            <v>0.31480000000000002</v>
          </cell>
          <cell r="DU70">
            <v>0.316</v>
          </cell>
          <cell r="DY70" t="str">
            <v>Tax rate</v>
          </cell>
          <cell r="EA70">
            <v>0.32</v>
          </cell>
          <cell r="EB70">
            <v>0.32</v>
          </cell>
          <cell r="EC70">
            <v>0.32</v>
          </cell>
          <cell r="EE70">
            <v>0.32</v>
          </cell>
          <cell r="EF70">
            <v>0.32</v>
          </cell>
          <cell r="EG70">
            <v>0.32</v>
          </cell>
          <cell r="EJ70">
            <v>0.32000000000000006</v>
          </cell>
          <cell r="EK70">
            <v>0.32</v>
          </cell>
          <cell r="EL70">
            <v>0.31999999999999995</v>
          </cell>
        </row>
        <row r="71">
          <cell r="M71" t="str">
            <v>Total</v>
          </cell>
          <cell r="O71">
            <v>2898</v>
          </cell>
          <cell r="P71">
            <v>3312</v>
          </cell>
          <cell r="Q71">
            <v>3651</v>
          </cell>
          <cell r="T71" t="str">
            <v>Seawolf mod</v>
          </cell>
          <cell r="V71">
            <v>887</v>
          </cell>
          <cell r="Y71" t="str">
            <v>Greek Tank</v>
          </cell>
          <cell r="Z71" t="str">
            <v>600-800</v>
          </cell>
          <cell r="AA71">
            <v>3</v>
          </cell>
          <cell r="AB71">
            <v>250</v>
          </cell>
          <cell r="AC71">
            <v>0.125</v>
          </cell>
          <cell r="AD71" t="str">
            <v>10¢</v>
          </cell>
          <cell r="AE71" t="str">
            <v>4Q00</v>
          </cell>
          <cell r="AF71" t="str">
            <v>- Lead contender vs. Germans/French</v>
          </cell>
          <cell r="AL71" t="str">
            <v>1997A</v>
          </cell>
          <cell r="AO71" t="str">
            <v>1998E</v>
          </cell>
          <cell r="AQ71" t="str">
            <v>1999E</v>
          </cell>
          <cell r="AT71" t="str">
            <v>2000E</v>
          </cell>
          <cell r="AW71" t="str">
            <v>2003E</v>
          </cell>
          <cell r="BB71">
            <v>3275</v>
          </cell>
          <cell r="BD71">
            <v>395</v>
          </cell>
          <cell r="BE71">
            <v>0.12061068702290076</v>
          </cell>
          <cell r="DI71" t="str">
            <v>Net Income</v>
          </cell>
          <cell r="DK71">
            <v>2443</v>
          </cell>
          <cell r="DL71">
            <v>2355.9304231199999</v>
          </cell>
          <cell r="DM71">
            <v>2410.7744607099739</v>
          </cell>
          <cell r="DP71">
            <v>93.461279999999533</v>
          </cell>
          <cell r="DQ71">
            <v>98.838000000000193</v>
          </cell>
          <cell r="DT71">
            <v>2449.3917031199994</v>
          </cell>
          <cell r="DU71">
            <v>2509.6124607099741</v>
          </cell>
          <cell r="DY71" t="str">
            <v>Net Income, Cont.</v>
          </cell>
          <cell r="EA71">
            <v>2415.3599999999997</v>
          </cell>
          <cell r="EB71">
            <v>2509.88</v>
          </cell>
          <cell r="EC71">
            <v>2632.96</v>
          </cell>
          <cell r="EE71">
            <v>8.84</v>
          </cell>
          <cell r="EF71">
            <v>76.16</v>
          </cell>
          <cell r="EG71">
            <v>95.88</v>
          </cell>
          <cell r="EJ71">
            <v>2424.1999999999998</v>
          </cell>
          <cell r="EK71">
            <v>2586.04</v>
          </cell>
          <cell r="EL71">
            <v>2728.84</v>
          </cell>
        </row>
        <row r="72">
          <cell r="M72" t="str">
            <v>% Sales</v>
          </cell>
          <cell r="T72" t="str">
            <v>Egypt GIVSPs</v>
          </cell>
          <cell r="V72">
            <v>74.3</v>
          </cell>
          <cell r="AK72" t="str">
            <v>Revs</v>
          </cell>
          <cell r="AL72" t="str">
            <v>OpPr</v>
          </cell>
          <cell r="AM72" t="str">
            <v>% Sls</v>
          </cell>
          <cell r="AN72" t="str">
            <v>Revs</v>
          </cell>
          <cell r="AO72" t="str">
            <v>OpPr</v>
          </cell>
          <cell r="AP72" t="str">
            <v>% Sls</v>
          </cell>
          <cell r="AQ72" t="str">
            <v>Revs</v>
          </cell>
          <cell r="AR72" t="str">
            <v>OpPr</v>
          </cell>
          <cell r="AS72" t="str">
            <v>% Sls</v>
          </cell>
          <cell r="AT72" t="str">
            <v>Revs</v>
          </cell>
          <cell r="AU72" t="str">
            <v>OpPr</v>
          </cell>
          <cell r="AV72" t="str">
            <v>% Sls</v>
          </cell>
          <cell r="AW72" t="str">
            <v>Revs</v>
          </cell>
          <cell r="AX72" t="str">
            <v>OpPr</v>
          </cell>
          <cell r="AY72" t="str">
            <v>% Sls</v>
          </cell>
          <cell r="BB72">
            <v>2003</v>
          </cell>
          <cell r="BC72" t="str">
            <v>00-03</v>
          </cell>
          <cell r="BD72">
            <v>2003</v>
          </cell>
          <cell r="BE72" t="str">
            <v>% Sales</v>
          </cell>
        </row>
        <row r="73">
          <cell r="M73" t="str">
            <v>DoD</v>
          </cell>
          <cell r="O73">
            <v>0.83574879227053145</v>
          </cell>
          <cell r="P73">
            <v>0.92119565217391308</v>
          </cell>
          <cell r="Q73">
            <v>0.95453300465625857</v>
          </cell>
          <cell r="T73" t="str">
            <v>LPD17</v>
          </cell>
          <cell r="V73">
            <v>492</v>
          </cell>
          <cell r="AI73" t="str">
            <v>Marine Group</v>
          </cell>
          <cell r="AN73">
            <v>2625.5833333333335</v>
          </cell>
          <cell r="AO73">
            <v>285</v>
          </cell>
          <cell r="AP73">
            <v>0.10854730694766242</v>
          </cell>
          <cell r="AQ73">
            <v>2603</v>
          </cell>
          <cell r="AR73">
            <v>291</v>
          </cell>
          <cell r="AS73">
            <v>0.11179408374951978</v>
          </cell>
          <cell r="AT73">
            <v>2883</v>
          </cell>
          <cell r="AU73">
            <v>282</v>
          </cell>
          <cell r="AV73">
            <v>9.7814776274713841E-2</v>
          </cell>
          <cell r="AW73">
            <v>3275</v>
          </cell>
          <cell r="AX73">
            <v>380</v>
          </cell>
          <cell r="AY73">
            <v>0.11603053435114503</v>
          </cell>
          <cell r="BB73" t="str">
            <v>Revs.</v>
          </cell>
          <cell r="BC73" t="str">
            <v>CGR</v>
          </cell>
          <cell r="BD73" t="str">
            <v>Op Pr.</v>
          </cell>
          <cell r="BE73" t="str">
            <v>'03</v>
          </cell>
          <cell r="BF73" t="str">
            <v>'01</v>
          </cell>
          <cell r="BG73" t="str">
            <v>Assumptions</v>
          </cell>
          <cell r="BW73" t="str">
            <v>Purchase Price</v>
          </cell>
          <cell r="BZ73">
            <v>249.61439949999999</v>
          </cell>
          <cell r="DI73" t="str">
            <v>EPS, Reported</v>
          </cell>
          <cell r="DK73">
            <v>6.1274140958113872</v>
          </cell>
          <cell r="DL73">
            <v>6.1189391025198736</v>
          </cell>
          <cell r="DM73">
            <v>6.3955993666716093</v>
          </cell>
          <cell r="DP73">
            <v>0.24274226231443663</v>
          </cell>
          <cell r="DQ73">
            <v>0.26220961790715513</v>
          </cell>
          <cell r="DT73">
            <v>6.3616813648343102</v>
          </cell>
          <cell r="DU73">
            <v>6.6578089845787645</v>
          </cell>
          <cell r="DY73" t="str">
            <v>EPS, Cont.</v>
          </cell>
          <cell r="EA73">
            <v>6.0383999999999993</v>
          </cell>
          <cell r="EB73">
            <v>6.3541265822784814</v>
          </cell>
          <cell r="EC73">
            <v>6.7511794871794875</v>
          </cell>
          <cell r="EE73">
            <v>2.2099999999999998E-2</v>
          </cell>
          <cell r="EF73">
            <v>0.19281012658227847</v>
          </cell>
          <cell r="EG73">
            <v>0.24584615384615383</v>
          </cell>
          <cell r="EJ73">
            <v>6.0604999999999993</v>
          </cell>
          <cell r="EK73">
            <v>6.5469367088607591</v>
          </cell>
          <cell r="EL73">
            <v>6.9970256410256413</v>
          </cell>
        </row>
        <row r="74">
          <cell r="DY74" t="str">
            <v>Other</v>
          </cell>
          <cell r="EA74">
            <v>0.09</v>
          </cell>
          <cell r="EJ74">
            <v>0.09</v>
          </cell>
          <cell r="EK74">
            <v>0</v>
          </cell>
          <cell r="EL74">
            <v>0</v>
          </cell>
        </row>
        <row r="75">
          <cell r="DY75" t="str">
            <v>EPS, Reported</v>
          </cell>
          <cell r="EA75">
            <v>6.1283999999999992</v>
          </cell>
          <cell r="EB75">
            <v>6.3541265822784814</v>
          </cell>
          <cell r="EC75">
            <v>6.7511794871794875</v>
          </cell>
          <cell r="EE75">
            <v>2.2099999999999998E-2</v>
          </cell>
          <cell r="EF75">
            <v>0.19281012658227847</v>
          </cell>
          <cell r="EG75">
            <v>0.24584615384615383</v>
          </cell>
          <cell r="EJ75">
            <v>6.1504999999999992</v>
          </cell>
          <cell r="EK75">
            <v>6.5469367088607591</v>
          </cell>
          <cell r="EL75">
            <v>6.9970256410256413</v>
          </cell>
        </row>
        <row r="76">
          <cell r="M76" t="str">
            <v>FMS</v>
          </cell>
          <cell r="O76">
            <v>0.16425120772946861</v>
          </cell>
          <cell r="P76">
            <v>7.880434782608696E-2</v>
          </cell>
          <cell r="Q76">
            <v>4.5466995343741441E-2</v>
          </cell>
          <cell r="AI76" t="str">
            <v>NASSCO</v>
          </cell>
          <cell r="AN76">
            <v>40.416666666666664</v>
          </cell>
          <cell r="AO76">
            <v>2.2500000000000004</v>
          </cell>
          <cell r="AP76">
            <v>5.5670103092783522E-2</v>
          </cell>
          <cell r="AQ76">
            <v>485</v>
          </cell>
          <cell r="AR76">
            <v>37</v>
          </cell>
          <cell r="AS76">
            <v>7.628865979381444E-2</v>
          </cell>
          <cell r="AT76">
            <v>530</v>
          </cell>
          <cell r="AU76">
            <v>42</v>
          </cell>
          <cell r="AV76">
            <v>7.9245283018867921E-2</v>
          </cell>
          <cell r="AW76">
            <v>925</v>
          </cell>
          <cell r="AX76">
            <v>0</v>
          </cell>
          <cell r="AY76">
            <v>0</v>
          </cell>
          <cell r="BA76" t="str">
            <v>Marine</v>
          </cell>
          <cell r="BB76">
            <v>4200</v>
          </cell>
          <cell r="BC76">
            <v>7.1612244636113154E-2</v>
          </cell>
          <cell r="BD76">
            <v>380</v>
          </cell>
          <cell r="BE76">
            <v>9.0476190476190474E-2</v>
          </cell>
          <cell r="BF76">
            <v>8.58250276854928E-2</v>
          </cell>
          <cell r="BG76" t="str">
            <v>- Mix a margin drag</v>
          </cell>
          <cell r="DI76" t="str">
            <v>Avg. Diluted Shares</v>
          </cell>
          <cell r="DK76">
            <v>398.7</v>
          </cell>
          <cell r="DL76">
            <v>385.02269489000003</v>
          </cell>
          <cell r="DM76">
            <v>376.94269489000004</v>
          </cell>
          <cell r="DT76">
            <v>385.02269489000003</v>
          </cell>
          <cell r="DU76">
            <v>376.94269489000004</v>
          </cell>
          <cell r="DY76" t="str">
            <v>Avg. Diluted Shares</v>
          </cell>
          <cell r="EA76">
            <v>400</v>
          </cell>
          <cell r="EB76">
            <v>395</v>
          </cell>
          <cell r="EC76">
            <v>390</v>
          </cell>
          <cell r="EE76">
            <v>400</v>
          </cell>
          <cell r="EF76">
            <v>395</v>
          </cell>
          <cell r="EG76">
            <v>390</v>
          </cell>
          <cell r="EJ76">
            <v>400</v>
          </cell>
          <cell r="EK76">
            <v>395</v>
          </cell>
          <cell r="EL76">
            <v>390</v>
          </cell>
        </row>
        <row r="77">
          <cell r="M77" t="str">
            <v>% of Total Sls</v>
          </cell>
          <cell r="AI77" t="str">
            <v>Combat Sys</v>
          </cell>
          <cell r="AN77">
            <v>1272</v>
          </cell>
          <cell r="AO77">
            <v>235</v>
          </cell>
          <cell r="AP77">
            <v>0.18474842767295596</v>
          </cell>
          <cell r="AQ77">
            <v>1290</v>
          </cell>
          <cell r="AR77">
            <v>155</v>
          </cell>
          <cell r="AS77">
            <v>0.12015503875968993</v>
          </cell>
          <cell r="AT77">
            <v>1273</v>
          </cell>
          <cell r="AU77">
            <v>156</v>
          </cell>
          <cell r="AV77">
            <v>0.12254516889238021</v>
          </cell>
          <cell r="AW77">
            <v>1700</v>
          </cell>
          <cell r="AX77">
            <v>229.50000000000003</v>
          </cell>
          <cell r="AY77">
            <v>0.1076923076923077</v>
          </cell>
          <cell r="BA77" t="str">
            <v>Combat Vehicle</v>
          </cell>
          <cell r="BB77">
            <v>1700</v>
          </cell>
          <cell r="BC77">
            <v>0.10064241629820767</v>
          </cell>
          <cell r="BD77">
            <v>229.50000000000003</v>
          </cell>
          <cell r="BE77">
            <v>0.13500000000000001</v>
          </cell>
          <cell r="BF77">
            <v>0.1076923076923077</v>
          </cell>
          <cell r="BG77" t="str">
            <v>- Holds steady, small foreign buys</v>
          </cell>
        </row>
        <row r="78">
          <cell r="AI78" t="str">
            <v>Info Tech</v>
          </cell>
          <cell r="AN78">
            <v>933</v>
          </cell>
          <cell r="AO78">
            <v>69</v>
          </cell>
          <cell r="AP78">
            <v>7.3954983922829579E-2</v>
          </cell>
          <cell r="AQ78">
            <v>1422</v>
          </cell>
          <cell r="AR78">
            <v>127</v>
          </cell>
          <cell r="AS78">
            <v>8.9310829817158932E-2</v>
          </cell>
          <cell r="AT78">
            <v>2337</v>
          </cell>
          <cell r="AU78">
            <v>217</v>
          </cell>
          <cell r="AV78">
            <v>9.2854086435601196E-2</v>
          </cell>
          <cell r="AW78">
            <v>1650</v>
          </cell>
          <cell r="AX78">
            <v>173.25</v>
          </cell>
          <cell r="AY78">
            <v>9.6989966555183951E-2</v>
          </cell>
          <cell r="BA78" t="str">
            <v>Info Systems</v>
          </cell>
          <cell r="BB78">
            <v>1650</v>
          </cell>
          <cell r="BC78">
            <v>-0.10955231203969538</v>
          </cell>
          <cell r="BD78">
            <v>173.25</v>
          </cell>
          <cell r="BE78">
            <v>0.105</v>
          </cell>
          <cell r="BF78">
            <v>9.6989966555183951E-2</v>
          </cell>
          <cell r="BG78" t="str">
            <v>- Solid grower</v>
          </cell>
          <cell r="DI78" t="str">
            <v>Accretion/Dilution (assuming no intangibles amortization or synergies)</v>
          </cell>
          <cell r="DT78">
            <v>3.9670645229084256E-2</v>
          </cell>
          <cell r="DU78">
            <v>4.0998443284857355E-2</v>
          </cell>
        </row>
        <row r="79">
          <cell r="AI79" t="str">
            <v>Other</v>
          </cell>
          <cell r="AN79">
            <v>236</v>
          </cell>
          <cell r="AO79">
            <v>32</v>
          </cell>
          <cell r="AP79">
            <v>0.13559322033898305</v>
          </cell>
          <cell r="AQ79">
            <v>250</v>
          </cell>
          <cell r="AR79">
            <v>46</v>
          </cell>
          <cell r="AS79">
            <v>0.184</v>
          </cell>
          <cell r="AT79">
            <v>253</v>
          </cell>
          <cell r="AU79">
            <v>36</v>
          </cell>
          <cell r="AV79">
            <v>0.14229249011857709</v>
          </cell>
          <cell r="AW79">
            <v>0</v>
          </cell>
          <cell r="AX79">
            <v>0</v>
          </cell>
          <cell r="AY79">
            <v>0</v>
          </cell>
          <cell r="BA79" t="str">
            <v>Other</v>
          </cell>
          <cell r="BC79">
            <v>-0.99999974478297993</v>
          </cell>
          <cell r="BD79">
            <v>0</v>
          </cell>
          <cell r="BE79">
            <v>0.13600000000000001</v>
          </cell>
          <cell r="BF79">
            <v>0</v>
          </cell>
          <cell r="BG79" t="str">
            <v>- Flat contract</v>
          </cell>
          <cell r="DT79">
            <v>0.24274226231443663</v>
          </cell>
          <cell r="DU79">
            <v>0.26220961790715513</v>
          </cell>
        </row>
        <row r="80">
          <cell r="M80" t="str">
            <v xml:space="preserve">GD's Major Programs </v>
          </cell>
          <cell r="X80" t="str">
            <v>Possible IAV Winner Combinations</v>
          </cell>
          <cell r="AI80" t="str">
            <v xml:space="preserve"> Total Revs.</v>
          </cell>
          <cell r="AN80">
            <v>7535</v>
          </cell>
          <cell r="AO80">
            <v>623.25</v>
          </cell>
          <cell r="AP80">
            <v>8.2714001327140019E-2</v>
          </cell>
          <cell r="AQ80">
            <v>6050</v>
          </cell>
          <cell r="AR80">
            <v>656</v>
          </cell>
          <cell r="AS80">
            <v>0.1084297520661157</v>
          </cell>
          <cell r="AT80">
            <v>7276</v>
          </cell>
          <cell r="AU80">
            <v>733</v>
          </cell>
          <cell r="AV80">
            <v>0.10074216602528863</v>
          </cell>
          <cell r="AW80">
            <v>7550</v>
          </cell>
          <cell r="AX80">
            <v>782.75</v>
          </cell>
          <cell r="AY80">
            <v>0</v>
          </cell>
          <cell r="BA80" t="str">
            <v>Total</v>
          </cell>
          <cell r="BB80">
            <v>7550</v>
          </cell>
          <cell r="BC80">
            <v>-9.8498780589765245E-2</v>
          </cell>
          <cell r="BD80">
            <v>782.75</v>
          </cell>
          <cell r="BE80">
            <v>0.10367549668874172</v>
          </cell>
          <cell r="BG80" t="str">
            <v xml:space="preserve"> -Improved absorptiom pof G/W</v>
          </cell>
          <cell r="DI80" t="str">
            <v xml:space="preserve">Interest Calculation </v>
          </cell>
        </row>
        <row r="81">
          <cell r="Y81" t="str">
            <v>Gun System ($1B)</v>
          </cell>
          <cell r="AA81" t="str">
            <v>Vehicles ($5B)</v>
          </cell>
          <cell r="AB81" t="str">
            <v>GD Win</v>
          </cell>
          <cell r="AC81" t="str">
            <v>Comments</v>
          </cell>
          <cell r="AI81" t="str">
            <v xml:space="preserve">  % Change</v>
          </cell>
          <cell r="AO81">
            <v>0.24979266876762307</v>
          </cell>
          <cell r="AR81">
            <v>0.18898473788984749</v>
          </cell>
          <cell r="AU81">
            <v>0.15023998214086398</v>
          </cell>
          <cell r="AX81">
            <v>0.10367549668874172</v>
          </cell>
          <cell r="BA81" t="str">
            <v>Int/Other</v>
          </cell>
          <cell r="BD81">
            <v>82.5</v>
          </cell>
          <cell r="BE81" t="str">
            <v xml:space="preserve"> </v>
          </cell>
          <cell r="BG81" t="str">
            <v>- $1.5B @ 5%/ add $600MM for A-12</v>
          </cell>
          <cell r="DI81" t="str">
            <v>Interest Expense</v>
          </cell>
          <cell r="DK81">
            <v>66</v>
          </cell>
          <cell r="DL81">
            <v>182.1344</v>
          </cell>
          <cell r="DM81">
            <v>200.15</v>
          </cell>
          <cell r="DP81">
            <v>33.6</v>
          </cell>
          <cell r="DQ81">
            <v>37.5</v>
          </cell>
        </row>
        <row r="82">
          <cell r="M82" t="str">
            <v>Mature/Declining</v>
          </cell>
          <cell r="O82" t="str">
            <v>Continuing Prodn</v>
          </cell>
          <cell r="Q82" t="str">
            <v>Entering Prodn</v>
          </cell>
          <cell r="S82" t="str">
            <v>Development</v>
          </cell>
          <cell r="U82" t="str">
            <v>Early R&amp;D</v>
          </cell>
          <cell r="Y82" t="str">
            <v>UDLP</v>
          </cell>
          <cell r="AA82" t="str">
            <v>UDLP</v>
          </cell>
          <cell r="AB82">
            <v>0</v>
          </cell>
          <cell r="AC82" t="str">
            <v>- unlikely 1 co. wins both parts</v>
          </cell>
          <cell r="AI82" t="str">
            <v>Interest,net</v>
          </cell>
          <cell r="AO82">
            <v>-18</v>
          </cell>
          <cell r="AR82">
            <v>-34</v>
          </cell>
          <cell r="AU82">
            <v>-60</v>
          </cell>
          <cell r="AX82">
            <v>82.5</v>
          </cell>
          <cell r="BA82" t="str">
            <v>Pretax</v>
          </cell>
          <cell r="BD82">
            <v>865.25</v>
          </cell>
          <cell r="BE82">
            <v>0.11460264900662252</v>
          </cell>
          <cell r="DI82" t="str">
            <v>Interest rate</v>
          </cell>
          <cell r="DK82">
            <v>0.05</v>
          </cell>
          <cell r="DL82">
            <v>4.48E-2</v>
          </cell>
          <cell r="DM82">
            <v>0.05</v>
          </cell>
          <cell r="DP82">
            <v>4.48E-2</v>
          </cell>
          <cell r="DQ82">
            <v>0.05</v>
          </cell>
        </row>
        <row r="83">
          <cell r="M83" t="str">
            <v>Trident</v>
          </cell>
          <cell r="O83" t="str">
            <v>DDG51</v>
          </cell>
          <cell r="Q83" t="str">
            <v>Heavy Assault Bridge</v>
          </cell>
          <cell r="S83" t="str">
            <v>NAS</v>
          </cell>
          <cell r="U83" t="str">
            <v>DD21</v>
          </cell>
          <cell r="Y83" t="str">
            <v>UDLP</v>
          </cell>
          <cell r="AA83" t="str">
            <v>GM Can</v>
          </cell>
          <cell r="AB83">
            <v>2500</v>
          </cell>
          <cell r="AC83" t="str">
            <v>- GD gets 50% of GM Canada Vehicle</v>
          </cell>
          <cell r="AI83" t="str">
            <v>Other</v>
          </cell>
          <cell r="AO83">
            <v>3</v>
          </cell>
          <cell r="AR83">
            <v>22</v>
          </cell>
          <cell r="AU83">
            <v>-7</v>
          </cell>
          <cell r="AX83">
            <v>0</v>
          </cell>
          <cell r="BA83" t="str">
            <v>Eff. Tax Rate</v>
          </cell>
          <cell r="BD83">
            <v>0.34</v>
          </cell>
          <cell r="BE83" t="str">
            <v xml:space="preserve"> </v>
          </cell>
          <cell r="DI83" t="str">
            <v xml:space="preserve">Interset Income </v>
          </cell>
          <cell r="DK83">
            <v>0</v>
          </cell>
          <cell r="DL83">
            <v>32.42</v>
          </cell>
          <cell r="DM83">
            <v>72.264065365459118</v>
          </cell>
          <cell r="DP83">
            <v>-30</v>
          </cell>
          <cell r="DQ83">
            <v>-30</v>
          </cell>
        </row>
        <row r="84">
          <cell r="M84" t="str">
            <v>Seawolf</v>
          </cell>
          <cell r="Q84" t="str">
            <v>Fox</v>
          </cell>
          <cell r="S84" t="str">
            <v>LPD17</v>
          </cell>
          <cell r="U84" t="str">
            <v>FCSC</v>
          </cell>
          <cell r="Y84" t="str">
            <v>UDLP</v>
          </cell>
          <cell r="AA84" t="str">
            <v>GD</v>
          </cell>
          <cell r="AB84">
            <v>5000</v>
          </cell>
          <cell r="AC84" t="str">
            <v>- best case scenario</v>
          </cell>
          <cell r="AI84" t="str">
            <v>Pretax Inc</v>
          </cell>
          <cell r="AO84">
            <v>766.4</v>
          </cell>
          <cell r="AR84">
            <v>622</v>
          </cell>
          <cell r="AU84">
            <v>673</v>
          </cell>
          <cell r="AX84">
            <v>865.25</v>
          </cell>
          <cell r="BA84" t="str">
            <v>Net Income</v>
          </cell>
          <cell r="BD84">
            <v>571.06499999999994</v>
          </cell>
          <cell r="BE84">
            <v>7.5637748344370856E-2</v>
          </cell>
          <cell r="DI84" t="str">
            <v xml:space="preserve">Interest rate </v>
          </cell>
          <cell r="DK84">
            <v>2.8017986855759298E-2</v>
          </cell>
          <cell r="DL84">
            <v>0.02</v>
          </cell>
          <cell r="DM84">
            <v>0.02</v>
          </cell>
          <cell r="DP84">
            <v>0.02</v>
          </cell>
          <cell r="DQ84">
            <v>0.02</v>
          </cell>
        </row>
        <row r="85">
          <cell r="M85" t="str">
            <v>M1A2 tank upgrade</v>
          </cell>
          <cell r="S85" t="str">
            <v>Crusader</v>
          </cell>
          <cell r="Y85" t="str">
            <v>UDLP</v>
          </cell>
          <cell r="AA85" t="str">
            <v>ST Enging</v>
          </cell>
          <cell r="AB85">
            <v>0</v>
          </cell>
          <cell r="AC85" t="str">
            <v>- unlikely for non US co. to win</v>
          </cell>
          <cell r="AI85" t="str">
            <v>Eff Tax Rate</v>
          </cell>
          <cell r="AO85">
            <v>0.35299999999999998</v>
          </cell>
          <cell r="AR85">
            <v>0.36499999999999999</v>
          </cell>
          <cell r="AU85">
            <v>0.34</v>
          </cell>
          <cell r="AX85">
            <v>0.34</v>
          </cell>
          <cell r="BA85" t="str">
            <v>EPS</v>
          </cell>
          <cell r="BD85">
            <v>4.5685199999999995</v>
          </cell>
          <cell r="BE85" t="str">
            <v xml:space="preserve"> </v>
          </cell>
          <cell r="BG85" t="str">
            <v>- A-12 adds pot. 15-20¢ to EPS</v>
          </cell>
          <cell r="DI85" t="str">
            <v xml:space="preserve">Net Interest expense </v>
          </cell>
          <cell r="DK85">
            <v>66</v>
          </cell>
          <cell r="DL85">
            <v>149.71440000000001</v>
          </cell>
          <cell r="DM85">
            <v>127.88593463454089</v>
          </cell>
          <cell r="DP85">
            <v>63.6</v>
          </cell>
          <cell r="DQ85">
            <v>67.5</v>
          </cell>
        </row>
        <row r="86">
          <cell r="S86" t="str">
            <v>AAAV</v>
          </cell>
          <cell r="Y86" t="str">
            <v>GM Can</v>
          </cell>
          <cell r="AA86" t="str">
            <v>UDLP</v>
          </cell>
          <cell r="AB86">
            <v>0</v>
          </cell>
          <cell r="AC86" t="str">
            <v>- worst case scenario for GD</v>
          </cell>
          <cell r="AI86" t="str">
            <v>Net Income</v>
          </cell>
          <cell r="AO86">
            <v>495.86079999999998</v>
          </cell>
          <cell r="AR86">
            <v>394.97</v>
          </cell>
          <cell r="AU86">
            <v>444.17999999999995</v>
          </cell>
          <cell r="AX86">
            <v>571.06499999999994</v>
          </cell>
          <cell r="BA86" t="str">
            <v>Avg. Shs</v>
          </cell>
          <cell r="BD86">
            <v>125</v>
          </cell>
          <cell r="BE86" t="str">
            <v xml:space="preserve"> </v>
          </cell>
          <cell r="BG86" t="str">
            <v>-FCFfor share repo.</v>
          </cell>
        </row>
        <row r="87">
          <cell r="S87" t="str">
            <v>AimXX21</v>
          </cell>
          <cell r="Y87" t="str">
            <v>GM Can</v>
          </cell>
          <cell r="AA87" t="str">
            <v>GM Can</v>
          </cell>
          <cell r="AB87">
            <v>2500</v>
          </cell>
          <cell r="AC87" t="str">
            <v>- unlikely 1 co. wins both parts</v>
          </cell>
          <cell r="AI87" t="str">
            <v>EPS</v>
          </cell>
          <cell r="AO87">
            <v>1.2261641938674579</v>
          </cell>
          <cell r="AR87">
            <v>0.9771647699158833</v>
          </cell>
          <cell r="AU87">
            <v>1.10327868852459</v>
          </cell>
          <cell r="AX87">
            <v>4.5685199999999995</v>
          </cell>
          <cell r="BA87" t="str">
            <v>00-03 CGR EPS</v>
          </cell>
          <cell r="BD87">
            <v>0.31498024667954566</v>
          </cell>
          <cell r="BE87" t="str">
            <v xml:space="preserve"> </v>
          </cell>
          <cell r="DI87" t="str">
            <v xml:space="preserve">Cash </v>
          </cell>
          <cell r="DK87">
            <v>1621</v>
          </cell>
          <cell r="DL87">
            <v>3613.2032682729555</v>
          </cell>
          <cell r="DM87">
            <v>5451.0628915562675</v>
          </cell>
          <cell r="DP87">
            <v>-1500</v>
          </cell>
          <cell r="DQ87">
            <v>-1500</v>
          </cell>
          <cell r="DS87">
            <v>121</v>
          </cell>
        </row>
        <row r="88">
          <cell r="M88" t="str">
            <v>Revs 1998</v>
          </cell>
          <cell r="N88">
            <v>910</v>
          </cell>
          <cell r="O88">
            <v>840</v>
          </cell>
          <cell r="Q88">
            <v>95</v>
          </cell>
          <cell r="S88">
            <v>870</v>
          </cell>
          <cell r="U88">
            <v>40</v>
          </cell>
          <cell r="Y88" t="str">
            <v>GM Can</v>
          </cell>
          <cell r="AA88" t="str">
            <v>GD</v>
          </cell>
          <cell r="AB88">
            <v>5000</v>
          </cell>
          <cell r="AC88" t="str">
            <v>- best case scenario</v>
          </cell>
          <cell r="AI88" t="str">
            <v>EPS Growth</v>
          </cell>
          <cell r="AO88">
            <v>-0.10274521476502552</v>
          </cell>
          <cell r="AR88">
            <v>0.44267058457306963</v>
          </cell>
          <cell r="AT88" t="str">
            <v>00-03 CGR</v>
          </cell>
          <cell r="AU88">
            <v>0.31498024667954566</v>
          </cell>
          <cell r="CD88" t="str">
            <v>GD Prior &amp; Updated EPS Projections</v>
          </cell>
          <cell r="DI88" t="str">
            <v xml:space="preserve">Total Debt </v>
          </cell>
          <cell r="DK88">
            <v>4024</v>
          </cell>
          <cell r="DL88">
            <v>4003</v>
          </cell>
          <cell r="DM88">
            <v>4003</v>
          </cell>
          <cell r="DP88">
            <v>750</v>
          </cell>
          <cell r="DQ88">
            <v>750</v>
          </cell>
          <cell r="DS88">
            <v>4774</v>
          </cell>
        </row>
        <row r="89">
          <cell r="M89" t="str">
            <v>Revs 2001</v>
          </cell>
          <cell r="N89">
            <v>737</v>
          </cell>
          <cell r="O89">
            <v>780</v>
          </cell>
          <cell r="Q89">
            <v>115</v>
          </cell>
          <cell r="S89">
            <v>1288</v>
          </cell>
          <cell r="U89">
            <v>87</v>
          </cell>
          <cell r="Y89" t="str">
            <v>GM Can</v>
          </cell>
          <cell r="AA89" t="str">
            <v>ST Enging</v>
          </cell>
          <cell r="AB89">
            <v>0</v>
          </cell>
          <cell r="AC89" t="str">
            <v>- worst case scenario for GD</v>
          </cell>
          <cell r="AI89" t="str">
            <v xml:space="preserve"> Avg. Shs.</v>
          </cell>
          <cell r="AO89">
            <v>404.4</v>
          </cell>
          <cell r="AR89">
            <v>404.2</v>
          </cell>
          <cell r="AU89">
            <v>402.6</v>
          </cell>
          <cell r="DI89" t="str">
            <v xml:space="preserve">Equity </v>
          </cell>
          <cell r="DK89">
            <v>10053</v>
          </cell>
          <cell r="DL89">
            <v>11045.995472989402</v>
          </cell>
          <cell r="DM89">
            <v>12450.729008555714</v>
          </cell>
          <cell r="DS89">
            <v>10053</v>
          </cell>
        </row>
        <row r="90">
          <cell r="DI90" t="str">
            <v xml:space="preserve">Net debt to Total Cap </v>
          </cell>
          <cell r="DK90">
            <v>0.17070398522412447</v>
          </cell>
          <cell r="DL90">
            <v>2.5901843908895369E-2</v>
          </cell>
          <cell r="DM90">
            <v>-8.8008188952382438E-2</v>
          </cell>
          <cell r="DS90">
            <v>0.31381938355702432</v>
          </cell>
        </row>
        <row r="91">
          <cell r="U91" t="str">
            <v>`</v>
          </cell>
          <cell r="Y91" t="str">
            <v>Scenario</v>
          </cell>
          <cell r="AA91" t="str">
            <v>Probability</v>
          </cell>
          <cell r="AB91" t="str">
            <v>Amount</v>
          </cell>
          <cell r="AI91" t="str">
            <v>Net cash/share</v>
          </cell>
          <cell r="AO91">
            <v>-0.79046538081107864</v>
          </cell>
          <cell r="AR91">
            <v>-2.0921677387431967</v>
          </cell>
          <cell r="AU91">
            <v>-1.0724297069051172</v>
          </cell>
          <cell r="CE91" t="str">
            <v>New/Actual</v>
          </cell>
          <cell r="CF91" t="str">
            <v>Prior</v>
          </cell>
          <cell r="CG91" t="str">
            <v>Difference</v>
          </cell>
        </row>
        <row r="92">
          <cell r="M92" t="str">
            <v>% Revs '98</v>
          </cell>
          <cell r="N92">
            <v>0.44438801422041646</v>
          </cell>
          <cell r="Q92">
            <v>0.22955687528551849</v>
          </cell>
          <cell r="Y92" t="str">
            <v xml:space="preserve"> GM Canada win on Veh</v>
          </cell>
          <cell r="AA92">
            <v>0.25</v>
          </cell>
          <cell r="AB92">
            <v>2500</v>
          </cell>
          <cell r="AE92" t="str">
            <v xml:space="preserve"> </v>
          </cell>
          <cell r="CD92" t="str">
            <v>2005 EPS</v>
          </cell>
          <cell r="CE92">
            <v>7.25</v>
          </cell>
          <cell r="CF92">
            <v>7.18</v>
          </cell>
          <cell r="CG92">
            <v>7.0000000000000284E-2</v>
          </cell>
          <cell r="DI92" t="str">
            <v xml:space="preserve">Jet aviation revenue growth </v>
          </cell>
          <cell r="DP92">
            <v>7.1428571428571397E-2</v>
          </cell>
          <cell r="DQ92">
            <v>0.06</v>
          </cell>
        </row>
        <row r="93">
          <cell r="M93" t="str">
            <v>% Revs '01</v>
          </cell>
          <cell r="N93">
            <v>0.26056338028169013</v>
          </cell>
          <cell r="Q93">
            <v>0.25592579869460669</v>
          </cell>
          <cell r="Y93" t="str">
            <v>GD win on Veh. Portion</v>
          </cell>
          <cell r="AA93">
            <v>0.25</v>
          </cell>
          <cell r="AB93">
            <v>5000</v>
          </cell>
          <cell r="CD93" t="str">
            <v>2006 EPS</v>
          </cell>
          <cell r="CE93">
            <v>7.95</v>
          </cell>
          <cell r="CF93">
            <v>8.23</v>
          </cell>
          <cell r="CG93">
            <v>-0.28000000000000025</v>
          </cell>
          <cell r="DI93" t="str">
            <v xml:space="preserve">Jet aviation EBITDA margin </v>
          </cell>
          <cell r="DO93">
            <v>0.15333333333333332</v>
          </cell>
          <cell r="DP93">
            <v>0.15333333333333332</v>
          </cell>
          <cell r="DQ93">
            <v>0.15333333333333332</v>
          </cell>
        </row>
        <row r="94">
          <cell r="Y94" t="str">
            <v>STE/UDLP Combination Win</v>
          </cell>
          <cell r="AA94">
            <v>0.5</v>
          </cell>
          <cell r="AB94">
            <v>0</v>
          </cell>
          <cell r="DI94" t="str">
            <v xml:space="preserve">Jet aviation D&amp;A margin </v>
          </cell>
          <cell r="DO94">
            <v>0.02</v>
          </cell>
          <cell r="DP94">
            <v>0.02</v>
          </cell>
          <cell r="DQ94">
            <v>0.02</v>
          </cell>
        </row>
        <row r="95">
          <cell r="AA95">
            <v>1</v>
          </cell>
          <cell r="CD95" t="str">
            <v>FAS123R</v>
          </cell>
          <cell r="CE95">
            <v>-0.18</v>
          </cell>
          <cell r="CF95">
            <v>-0.12</v>
          </cell>
          <cell r="CG95">
            <v>-0.06</v>
          </cell>
          <cell r="DI95" t="str">
            <v xml:space="preserve">Jet aviation EBIT Margin </v>
          </cell>
          <cell r="DO95">
            <v>0.13333333333333333</v>
          </cell>
          <cell r="DP95">
            <v>0.13333333333333333</v>
          </cell>
          <cell r="DQ95">
            <v>0.13333333333333333</v>
          </cell>
        </row>
        <row r="96">
          <cell r="AL96" t="str">
            <v>General Dynamics P&amp;L ($MM)</v>
          </cell>
          <cell r="CD96" t="str">
            <v>Operational Change</v>
          </cell>
          <cell r="CG96">
            <v>-0.22000000000000025</v>
          </cell>
        </row>
        <row r="97">
          <cell r="M97" t="str">
            <v xml:space="preserve"> </v>
          </cell>
          <cell r="N97" t="str">
            <v>Estimated GD EPS Build-Up</v>
          </cell>
          <cell r="Q97" t="str">
            <v xml:space="preserve"> </v>
          </cell>
          <cell r="Y97" t="str">
            <v>using our low profile turret</v>
          </cell>
          <cell r="CD97" t="str">
            <v>Difference vs. Prior Expectations</v>
          </cell>
          <cell r="DI97" t="str">
            <v xml:space="preserve">Financing </v>
          </cell>
        </row>
        <row r="98">
          <cell r="AJ98" t="str">
            <v>1996A</v>
          </cell>
          <cell r="AN98" t="str">
            <v>1997E</v>
          </cell>
          <cell r="AQ98" t="str">
            <v>1998E</v>
          </cell>
          <cell r="AS98" t="str">
            <v>1999E</v>
          </cell>
          <cell r="CD98" t="str">
            <v xml:space="preserve">Gulfstream - margin change </v>
          </cell>
          <cell r="CG98">
            <v>-0.16</v>
          </cell>
          <cell r="DI98" t="str">
            <v>Cash on hand</v>
          </cell>
          <cell r="DK98">
            <v>1500</v>
          </cell>
          <cell r="DL98">
            <v>0.66666666666666663</v>
          </cell>
        </row>
        <row r="99">
          <cell r="N99" t="str">
            <v>1998</v>
          </cell>
          <cell r="O99" t="str">
            <v>1999E</v>
          </cell>
          <cell r="P99" t="str">
            <v>2000E</v>
          </cell>
          <cell r="Q99" t="str">
            <v>2001E</v>
          </cell>
          <cell r="R99" t="str">
            <v xml:space="preserve"> Factors/Assumptions</v>
          </cell>
          <cell r="AJ99" t="str">
            <v>Revs</v>
          </cell>
          <cell r="AK99" t="str">
            <v>OpPr</v>
          </cell>
          <cell r="AL99" t="str">
            <v>% Sls</v>
          </cell>
          <cell r="AM99" t="str">
            <v>Revs</v>
          </cell>
          <cell r="AN99" t="str">
            <v>OpPr</v>
          </cell>
          <cell r="AO99" t="str">
            <v>% Sls</v>
          </cell>
          <cell r="AP99" t="str">
            <v>Revs</v>
          </cell>
          <cell r="AQ99" t="str">
            <v>OpPr</v>
          </cell>
          <cell r="AR99" t="str">
            <v>% Sls</v>
          </cell>
          <cell r="AS99" t="str">
            <v>Revs</v>
          </cell>
          <cell r="AT99" t="str">
            <v>OpPr</v>
          </cell>
          <cell r="AU99" t="str">
            <v>% Sls</v>
          </cell>
          <cell r="AV99" t="str">
            <v xml:space="preserve"> Assumptions</v>
          </cell>
          <cell r="CD99" t="str">
            <v>IST/Combat/Marine - slight mgn decrease</v>
          </cell>
          <cell r="CG99">
            <v>-0.13</v>
          </cell>
          <cell r="DI99" t="str">
            <v xml:space="preserve">Debt </v>
          </cell>
          <cell r="DK99">
            <v>750</v>
          </cell>
          <cell r="DL99">
            <v>0.33333333333333331</v>
          </cell>
        </row>
        <row r="100">
          <cell r="M100" t="str">
            <v>Marine</v>
          </cell>
          <cell r="N100">
            <v>0.45597181008902082</v>
          </cell>
          <cell r="O100">
            <v>0.51528946066303816</v>
          </cell>
          <cell r="P100">
            <v>0.51746646795827123</v>
          </cell>
          <cell r="Q100">
            <v>0.50552947178196839</v>
          </cell>
          <cell r="R100" t="str">
            <v>- NAS/LPD17 vols/mgns up</v>
          </cell>
          <cell r="Y100" t="str">
            <v>Est. GD Bottom-Up Valuation</v>
          </cell>
          <cell r="AI100" t="str">
            <v xml:space="preserve">Marine </v>
          </cell>
          <cell r="CD100" t="str">
            <v>Interest Expense lower</v>
          </cell>
          <cell r="CG100">
            <v>0.11</v>
          </cell>
          <cell r="DI100" t="str">
            <v xml:space="preserve">Total </v>
          </cell>
          <cell r="DK100">
            <v>2250</v>
          </cell>
          <cell r="DL100">
            <v>1</v>
          </cell>
        </row>
        <row r="101">
          <cell r="M101" t="str">
            <v>Combat Vehicles</v>
          </cell>
          <cell r="N101">
            <v>0.26558358061325421</v>
          </cell>
          <cell r="O101">
            <v>0.24350569025235033</v>
          </cell>
          <cell r="P101">
            <v>0.24915052160953802</v>
          </cell>
          <cell r="Q101">
            <v>0.38811617511002738</v>
          </cell>
          <cell r="R101" t="str">
            <v>- New progs come onstream</v>
          </cell>
          <cell r="Y101" t="str">
            <v>Opns</v>
          </cell>
          <cell r="Z101" t="str">
            <v>2000 EPS</v>
          </cell>
          <cell r="AA101" t="str">
            <v>P/E</v>
          </cell>
          <cell r="AB101" t="str">
            <v>$ Val</v>
          </cell>
          <cell r="AC101" t="str">
            <v>Comments</v>
          </cell>
          <cell r="AI101" t="str">
            <v>Electric Boat</v>
          </cell>
          <cell r="AJ101">
            <v>1442</v>
          </cell>
          <cell r="AK101">
            <v>148</v>
          </cell>
          <cell r="AL101">
            <v>0.10263522884882108</v>
          </cell>
          <cell r="AM101">
            <v>1306</v>
          </cell>
          <cell r="AN101">
            <v>153</v>
          </cell>
          <cell r="AO101">
            <v>0.11715160796324656</v>
          </cell>
          <cell r="AP101">
            <v>1540</v>
          </cell>
          <cell r="AQ101">
            <v>189.4</v>
          </cell>
          <cell r="AR101">
            <v>0.12298701298701299</v>
          </cell>
          <cell r="AS101" t="e">
            <v>#REF!</v>
          </cell>
          <cell r="AT101" t="e">
            <v>#REF!</v>
          </cell>
          <cell r="AU101" t="e">
            <v>#REF!</v>
          </cell>
          <cell r="AV101" t="str">
            <v>-Program transition</v>
          </cell>
          <cell r="CD101" t="str">
            <v>Redn Other</v>
          </cell>
          <cell r="CG101">
            <v>-0.03</v>
          </cell>
        </row>
        <row r="102">
          <cell r="M102" t="str">
            <v>Info Tech</v>
          </cell>
          <cell r="N102">
            <v>0.11039317507418399</v>
          </cell>
          <cell r="O102">
            <v>0.19951756556160316</v>
          </cell>
          <cell r="P102">
            <v>0.3465747640337804</v>
          </cell>
          <cell r="Q102">
            <v>0.42562320043578628</v>
          </cell>
          <cell r="Y102" t="str">
            <v>Marine</v>
          </cell>
          <cell r="Z102">
            <v>0.51746646795827123</v>
          </cell>
          <cell r="AA102">
            <v>13.9</v>
          </cell>
          <cell r="AB102">
            <v>7.1927839046199704</v>
          </cell>
          <cell r="AC102" t="str">
            <v>- LIT comparables</v>
          </cell>
          <cell r="AI102" t="str">
            <v>Bath/Amsea</v>
          </cell>
          <cell r="AJ102">
            <v>890</v>
          </cell>
          <cell r="AK102">
            <v>69</v>
          </cell>
          <cell r="AL102">
            <v>7.7528089887640456E-2</v>
          </cell>
          <cell r="AM102">
            <v>935</v>
          </cell>
          <cell r="AN102">
            <v>79</v>
          </cell>
          <cell r="AO102">
            <v>8.4491978609625665E-2</v>
          </cell>
          <cell r="AP102">
            <v>1020</v>
          </cell>
          <cell r="AQ102">
            <v>89</v>
          </cell>
          <cell r="AR102">
            <v>8.7254901960784309E-2</v>
          </cell>
          <cell r="AS102" t="e">
            <v>#REF!</v>
          </cell>
          <cell r="AT102" t="e">
            <v>#REF!</v>
          </cell>
          <cell r="AU102" t="e">
            <v>#REF!</v>
          </cell>
          <cell r="AV102" t="str">
            <v>- includes Amsea</v>
          </cell>
          <cell r="CD102" t="str">
            <v>Tax rate higher</v>
          </cell>
          <cell r="CG102">
            <v>-0.13</v>
          </cell>
          <cell r="DI102" t="str">
            <v>Retiring 173m in debt in 2H08</v>
          </cell>
        </row>
        <row r="103">
          <cell r="M103" t="str">
            <v>Other</v>
          </cell>
          <cell r="N103">
            <v>5.1196834817012864E-2</v>
          </cell>
          <cell r="O103">
            <v>7.2266204849084623E-2</v>
          </cell>
          <cell r="P103">
            <v>5.7496274217585686E-2</v>
          </cell>
          <cell r="Q103">
            <v>8.4798492040846302E-2</v>
          </cell>
          <cell r="AI103" t="str">
            <v>ATS</v>
          </cell>
          <cell r="AJ103" t="str">
            <v>--</v>
          </cell>
          <cell r="AK103" t="str">
            <v>--</v>
          </cell>
          <cell r="AL103" t="str">
            <v>--</v>
          </cell>
          <cell r="AM103">
            <v>70</v>
          </cell>
          <cell r="AN103">
            <v>2</v>
          </cell>
          <cell r="AO103">
            <v>2.8571428571428571E-2</v>
          </cell>
          <cell r="AP103">
            <v>0</v>
          </cell>
          <cell r="AQ103">
            <v>0</v>
          </cell>
          <cell r="AS103" t="e">
            <v>#REF!</v>
          </cell>
          <cell r="AT103" t="e">
            <v>#REF!</v>
          </cell>
          <cell r="CD103" t="str">
            <v>Lower share count</v>
          </cell>
          <cell r="CG103">
            <v>0.12</v>
          </cell>
          <cell r="DI103" t="str">
            <v>Avoided specifying target leverage at C conf on 5/4/08</v>
          </cell>
        </row>
        <row r="104">
          <cell r="M104" t="str">
            <v>Interest/Other</v>
          </cell>
          <cell r="N104">
            <v>-2.2398615232443127E-2</v>
          </cell>
          <cell r="O104">
            <v>-1.8852053438891639E-2</v>
          </cell>
          <cell r="P104">
            <v>-0.10700695479384004</v>
          </cell>
          <cell r="Q104">
            <v>-9.9475154124838941E-2</v>
          </cell>
          <cell r="R104" t="str">
            <v>- Assumes $650MM for A-12 YE00</v>
          </cell>
          <cell r="Y104" t="str">
            <v>Combat Sys</v>
          </cell>
          <cell r="Z104">
            <v>0.24915052160953802</v>
          </cell>
          <cell r="AA104">
            <v>12</v>
          </cell>
          <cell r="AB104">
            <v>2.9898062593144563</v>
          </cell>
          <cell r="AC104" t="str">
            <v>- discount P/E</v>
          </cell>
          <cell r="AI104" t="str">
            <v>- subtot Marine</v>
          </cell>
          <cell r="AJ104">
            <v>2332</v>
          </cell>
          <cell r="AK104">
            <v>217</v>
          </cell>
          <cell r="AL104">
            <v>9.3053173241852485E-2</v>
          </cell>
          <cell r="AM104">
            <v>2311</v>
          </cell>
          <cell r="AN104">
            <v>234</v>
          </cell>
          <cell r="AO104">
            <v>0.10125486802250108</v>
          </cell>
          <cell r="AP104">
            <v>2560</v>
          </cell>
          <cell r="AQ104">
            <v>278.39999999999998</v>
          </cell>
          <cell r="AR104">
            <v>0.10874999999999999</v>
          </cell>
          <cell r="AS104" t="e">
            <v>#REF!</v>
          </cell>
          <cell r="AT104" t="e">
            <v>#REF!</v>
          </cell>
          <cell r="AU104" t="e">
            <v>#REF!</v>
          </cell>
          <cell r="CD104" t="str">
            <v>Sum changes</v>
          </cell>
          <cell r="CG104">
            <v>-0.22000000000000008</v>
          </cell>
        </row>
        <row r="105">
          <cell r="M105" t="str">
            <v xml:space="preserve">    Total</v>
          </cell>
          <cell r="N105">
            <v>0.86074678536102878</v>
          </cell>
          <cell r="O105">
            <v>1.0117268678871847</v>
          </cell>
          <cell r="P105">
            <v>1.0636810730253354</v>
          </cell>
          <cell r="Q105">
            <v>1.3045921852437894</v>
          </cell>
          <cell r="R105" t="str">
            <v xml:space="preserve"> </v>
          </cell>
          <cell r="Y105" t="str">
            <v>Other</v>
          </cell>
          <cell r="Z105">
            <v>7.2266204849084623E-2</v>
          </cell>
          <cell r="AA105">
            <v>11</v>
          </cell>
          <cell r="AB105">
            <v>0.79492825333993089</v>
          </cell>
          <cell r="AC105" t="str">
            <v>- discount P/E</v>
          </cell>
          <cell r="AI105" t="str">
            <v>Land Systems</v>
          </cell>
        </row>
        <row r="106">
          <cell r="M106" t="str">
            <v>% Ch</v>
          </cell>
          <cell r="N106">
            <v>-0.10274521476502552</v>
          </cell>
          <cell r="O106">
            <v>0.44267058457306963</v>
          </cell>
          <cell r="P106">
            <v>0.13580045114929051</v>
          </cell>
          <cell r="Q106">
            <v>0.15659632108052524</v>
          </cell>
          <cell r="Y106" t="str">
            <v>subtotal</v>
          </cell>
          <cell r="Z106">
            <v>0.83888319441689385</v>
          </cell>
          <cell r="AA106">
            <v>13.085872372142118</v>
          </cell>
          <cell r="AB106">
            <v>10.977518417274357</v>
          </cell>
          <cell r="AI106" t="str">
            <v>Armored Veh</v>
          </cell>
          <cell r="AJ106">
            <v>1025</v>
          </cell>
          <cell r="AK106">
            <v>136</v>
          </cell>
          <cell r="AL106">
            <v>0.1326829268292683</v>
          </cell>
          <cell r="AM106">
            <v>975</v>
          </cell>
          <cell r="AN106">
            <v>138</v>
          </cell>
          <cell r="AO106">
            <v>0.14153846153846153</v>
          </cell>
          <cell r="AP106">
            <v>975</v>
          </cell>
          <cell r="AQ106">
            <v>136</v>
          </cell>
          <cell r="AR106">
            <v>0.13948717948717948</v>
          </cell>
          <cell r="AS106">
            <v>940</v>
          </cell>
          <cell r="AT106">
            <v>135</v>
          </cell>
          <cell r="AU106">
            <v>0.14361702127659576</v>
          </cell>
          <cell r="AV106" t="str">
            <v>-Margins improving</v>
          </cell>
        </row>
        <row r="107">
          <cell r="Y107" t="str">
            <v>Financial</v>
          </cell>
          <cell r="AI107" t="str">
            <v>Def/Arm Sys</v>
          </cell>
          <cell r="AJ107" t="str">
            <v>--</v>
          </cell>
          <cell r="AK107" t="str">
            <v>--</v>
          </cell>
          <cell r="AL107" t="str">
            <v>--</v>
          </cell>
          <cell r="AM107">
            <v>534</v>
          </cell>
          <cell r="AN107">
            <v>49</v>
          </cell>
          <cell r="AO107">
            <v>9.1760299625468167E-2</v>
          </cell>
          <cell r="AP107">
            <v>295</v>
          </cell>
          <cell r="AQ107">
            <v>29</v>
          </cell>
          <cell r="AR107">
            <v>9.8305084745762716E-2</v>
          </cell>
          <cell r="AS107">
            <v>360</v>
          </cell>
          <cell r="AT107">
            <v>37</v>
          </cell>
          <cell r="AU107">
            <v>0.10277777777777777</v>
          </cell>
          <cell r="AV107" t="str">
            <v>- LMT purchase</v>
          </cell>
        </row>
        <row r="108">
          <cell r="Y108" t="str">
            <v>Real Est/Tax Credit</v>
          </cell>
          <cell r="AB108">
            <v>0.33011869436201779</v>
          </cell>
          <cell r="AC108" t="str">
            <v>- avg hi/lo</v>
          </cell>
          <cell r="AI108" t="str">
            <v>CDI</v>
          </cell>
          <cell r="AJ108" t="str">
            <v>--</v>
          </cell>
          <cell r="AK108" t="str">
            <v>--</v>
          </cell>
          <cell r="AL108" t="str">
            <v>--</v>
          </cell>
          <cell r="AM108" t="str">
            <v>--</v>
          </cell>
          <cell r="AN108" t="str">
            <v>--</v>
          </cell>
          <cell r="AO108" t="str">
            <v>--</v>
          </cell>
          <cell r="AP108">
            <v>933</v>
          </cell>
          <cell r="AQ108">
            <v>69</v>
          </cell>
          <cell r="AR108">
            <v>7.3954983922829579E-2</v>
          </cell>
          <cell r="AS108">
            <v>1422</v>
          </cell>
          <cell r="AT108">
            <v>127</v>
          </cell>
          <cell r="AU108">
            <v>8.9310829817158932E-2</v>
          </cell>
          <cell r="AV108" t="str">
            <v>- post GW</v>
          </cell>
        </row>
        <row r="109">
          <cell r="Y109" t="str">
            <v>A-12</v>
          </cell>
          <cell r="AB109">
            <v>0</v>
          </cell>
          <cell r="AC109" t="str">
            <v>- avg hi/lo</v>
          </cell>
          <cell r="AI109" t="str">
            <v>- subtot Land Sys</v>
          </cell>
          <cell r="AJ109">
            <v>1025</v>
          </cell>
          <cell r="AK109">
            <v>136</v>
          </cell>
          <cell r="AL109">
            <v>0.1326829268292683</v>
          </cell>
          <cell r="AM109">
            <v>1509</v>
          </cell>
          <cell r="AN109">
            <v>187</v>
          </cell>
          <cell r="AO109">
            <v>0.12392312789927104</v>
          </cell>
          <cell r="AP109">
            <v>2203</v>
          </cell>
          <cell r="AQ109">
            <v>234</v>
          </cell>
          <cell r="AR109">
            <v>0.106218792555606</v>
          </cell>
          <cell r="AS109">
            <v>2722</v>
          </cell>
          <cell r="AT109">
            <v>299</v>
          </cell>
          <cell r="AU109">
            <v>0.10984570168993388</v>
          </cell>
        </row>
        <row r="110">
          <cell r="L110" t="str">
            <v>General Dynamics</v>
          </cell>
          <cell r="Y110" t="str">
            <v>Cash</v>
          </cell>
          <cell r="Z110">
            <v>-5.3414151410192977E-2</v>
          </cell>
          <cell r="AB110">
            <v>-0.81612586037364798</v>
          </cell>
          <cell r="AC110" t="str">
            <v>- ao 6/98</v>
          </cell>
          <cell r="AI110" t="str">
            <v>Other</v>
          </cell>
          <cell r="AP110">
            <v>236</v>
          </cell>
          <cell r="AQ110">
            <v>32</v>
          </cell>
          <cell r="AR110">
            <v>0.13559322033898305</v>
          </cell>
          <cell r="AS110">
            <v>250</v>
          </cell>
          <cell r="AT110">
            <v>46</v>
          </cell>
          <cell r="AU110">
            <v>0.184</v>
          </cell>
          <cell r="AV110" t="str">
            <v>-Coal pr. improve</v>
          </cell>
          <cell r="DI110">
            <v>2004</v>
          </cell>
          <cell r="DJ110">
            <v>2005</v>
          </cell>
          <cell r="DK110">
            <v>2006</v>
          </cell>
          <cell r="DL110" t="str">
            <v>2007A</v>
          </cell>
        </row>
        <row r="111">
          <cell r="L111" t="str">
            <v>Risk/Reward Analysis</v>
          </cell>
          <cell r="Y111" t="str">
            <v>subtotal</v>
          </cell>
          <cell r="AB111">
            <v>-0.48600716601163019</v>
          </cell>
          <cell r="AI111" t="str">
            <v xml:space="preserve"> Total Revs</v>
          </cell>
          <cell r="AP111">
            <v>7535</v>
          </cell>
          <cell r="AQ111">
            <v>780.4</v>
          </cell>
          <cell r="AR111">
            <v>0.10357000663570007</v>
          </cell>
          <cell r="AS111">
            <v>8959</v>
          </cell>
          <cell r="AT111">
            <v>1138</v>
          </cell>
          <cell r="AU111">
            <v>0.12702310525728319</v>
          </cell>
          <cell r="AV111" t="str">
            <v xml:space="preserve"> </v>
          </cell>
          <cell r="DI111">
            <v>71</v>
          </cell>
          <cell r="DJ111">
            <v>92</v>
          </cell>
          <cell r="DK111">
            <v>71</v>
          </cell>
          <cell r="DL111">
            <v>79</v>
          </cell>
        </row>
        <row r="112">
          <cell r="Y112" t="str">
            <v>Total</v>
          </cell>
          <cell r="Z112">
            <v>0.78546904300670084</v>
          </cell>
          <cell r="AB112">
            <v>10.491511251262727</v>
          </cell>
          <cell r="AD112" t="str">
            <v>vs. mkt price</v>
          </cell>
          <cell r="AI112" t="str">
            <v>Int/Other</v>
          </cell>
          <cell r="AQ112">
            <v>-17</v>
          </cell>
          <cell r="AT112">
            <v>-34</v>
          </cell>
          <cell r="DI112">
            <v>24</v>
          </cell>
          <cell r="DJ112">
            <v>32</v>
          </cell>
          <cell r="DK112">
            <v>42</v>
          </cell>
          <cell r="DL112">
            <v>59</v>
          </cell>
        </row>
        <row r="113">
          <cell r="M113" t="str">
            <v>4/25</v>
          </cell>
          <cell r="O113" t="str">
            <v>post FASB</v>
          </cell>
          <cell r="Q113" t="str">
            <v>Target</v>
          </cell>
          <cell r="AI113" t="str">
            <v>Pretax Inc</v>
          </cell>
          <cell r="AQ113">
            <v>766.4</v>
          </cell>
          <cell r="AT113">
            <v>1126</v>
          </cell>
          <cell r="AV113" t="str">
            <v xml:space="preserve"> </v>
          </cell>
          <cell r="BC113" t="str">
            <v>Est. EPS Add to GD For U.K Bowman Contract</v>
          </cell>
          <cell r="CY113" t="str">
            <v>Gulfstream Orders 2000-2007A</v>
          </cell>
          <cell r="DI113">
            <v>95</v>
          </cell>
          <cell r="DJ113">
            <v>124</v>
          </cell>
          <cell r="DK113">
            <v>113</v>
          </cell>
          <cell r="DL113">
            <v>138</v>
          </cell>
        </row>
        <row r="114">
          <cell r="M114" t="str">
            <v>Price</v>
          </cell>
          <cell r="O114" t="str">
            <v>2002 EPS</v>
          </cell>
          <cell r="P114" t="str">
            <v xml:space="preserve"> X Multiple =</v>
          </cell>
          <cell r="Q114" t="str">
            <v>Price</v>
          </cell>
          <cell r="R114" t="str">
            <v>% Ch.</v>
          </cell>
          <cell r="S114" t="str">
            <v>Probability</v>
          </cell>
          <cell r="T114" t="str">
            <v>Wtd.</v>
          </cell>
          <cell r="AI114" t="str">
            <v>Eff Tax Rate</v>
          </cell>
          <cell r="AQ114">
            <v>0.35299999999999998</v>
          </cell>
          <cell r="AT114">
            <v>0.36499999999999999</v>
          </cell>
          <cell r="AV114" t="str">
            <v xml:space="preserve"> </v>
          </cell>
          <cell r="CY114" t="str">
            <v>Orders</v>
          </cell>
          <cell r="CZ114">
            <v>1995</v>
          </cell>
          <cell r="DA114">
            <v>1996</v>
          </cell>
          <cell r="DB114">
            <v>1997</v>
          </cell>
          <cell r="DC114">
            <v>1998</v>
          </cell>
          <cell r="DD114">
            <v>1999</v>
          </cell>
          <cell r="DE114">
            <v>2000</v>
          </cell>
          <cell r="DF114">
            <v>2001</v>
          </cell>
          <cell r="DG114">
            <v>2002</v>
          </cell>
          <cell r="DH114">
            <v>2003</v>
          </cell>
        </row>
        <row r="115">
          <cell r="L115" t="str">
            <v>NNS go-ahead</v>
          </cell>
          <cell r="O115">
            <v>0.35</v>
          </cell>
          <cell r="P115">
            <v>15</v>
          </cell>
          <cell r="Q115">
            <v>5.25</v>
          </cell>
          <cell r="S115">
            <v>0.65</v>
          </cell>
          <cell r="T115">
            <v>0</v>
          </cell>
          <cell r="AI115" t="str">
            <v>Net Income</v>
          </cell>
          <cell r="AQ115">
            <v>495.86079999999998</v>
          </cell>
          <cell r="AR115">
            <v>6.5807670869276705E-2</v>
          </cell>
          <cell r="AT115">
            <v>715.01</v>
          </cell>
          <cell r="AU115">
            <v>7.9809130483312868E-2</v>
          </cell>
          <cell r="AV115" t="str">
            <v xml:space="preserve"> </v>
          </cell>
          <cell r="BD115" t="str">
            <v>Est. Revs</v>
          </cell>
          <cell r="BE115" t="str">
            <v>Est. Op Pr</v>
          </cell>
          <cell r="BF115" t="str">
            <v>%Sls</v>
          </cell>
          <cell r="BG115" t="str">
            <v>A.T. Profit</v>
          </cell>
          <cell r="BH115" t="str">
            <v>Est. EPS Add</v>
          </cell>
          <cell r="CY115" t="str">
            <v>Large</v>
          </cell>
          <cell r="CZ115">
            <v>42</v>
          </cell>
          <cell r="DA115">
            <v>65</v>
          </cell>
          <cell r="DB115">
            <v>46</v>
          </cell>
          <cell r="DC115">
            <v>90</v>
          </cell>
          <cell r="DD115">
            <v>44</v>
          </cell>
          <cell r="DE115">
            <v>82</v>
          </cell>
          <cell r="DF115">
            <v>70</v>
          </cell>
          <cell r="DG115">
            <v>62</v>
          </cell>
          <cell r="DH115">
            <v>41</v>
          </cell>
        </row>
        <row r="116">
          <cell r="L116" t="str">
            <v>NNS no-go</v>
          </cell>
          <cell r="O116">
            <v>0</v>
          </cell>
          <cell r="P116">
            <v>15</v>
          </cell>
          <cell r="Q116">
            <v>0</v>
          </cell>
          <cell r="S116">
            <v>0.2</v>
          </cell>
          <cell r="T116">
            <v>0</v>
          </cell>
          <cell r="AI116" t="str">
            <v>EPS</v>
          </cell>
          <cell r="AQ116">
            <v>1.2261641938674579</v>
          </cell>
          <cell r="AT116">
            <v>1.7689510143493321</v>
          </cell>
          <cell r="AV116" t="str">
            <v xml:space="preserve"> </v>
          </cell>
          <cell r="BC116" t="str">
            <v>2002E</v>
          </cell>
          <cell r="BD116">
            <v>200</v>
          </cell>
          <cell r="BE116">
            <v>10</v>
          </cell>
          <cell r="BF116">
            <v>0.05</v>
          </cell>
          <cell r="BG116">
            <v>6.9500000000000011</v>
          </cell>
          <cell r="BH116">
            <v>3.4750000000000003E-2</v>
          </cell>
          <cell r="CY116" t="str">
            <v>Mid sized</v>
          </cell>
          <cell r="CZ116">
            <v>0</v>
          </cell>
          <cell r="DA116">
            <v>0</v>
          </cell>
          <cell r="DB116">
            <v>0</v>
          </cell>
          <cell r="DC116">
            <v>0</v>
          </cell>
          <cell r="DD116">
            <v>0</v>
          </cell>
          <cell r="DE116">
            <v>0</v>
          </cell>
          <cell r="DF116">
            <v>53</v>
          </cell>
          <cell r="DG116">
            <v>71</v>
          </cell>
          <cell r="DH116">
            <v>18</v>
          </cell>
        </row>
        <row r="117">
          <cell r="L117" t="str">
            <v>No deal, price drops</v>
          </cell>
          <cell r="M117">
            <v>73</v>
          </cell>
          <cell r="Q117">
            <v>66</v>
          </cell>
          <cell r="R117">
            <v>-9.589041095890416E-2</v>
          </cell>
          <cell r="S117">
            <v>0.15</v>
          </cell>
          <cell r="T117">
            <v>-1.4383561643835623E-2</v>
          </cell>
          <cell r="AI117" t="str">
            <v>Avg Shs</v>
          </cell>
          <cell r="AQ117">
            <v>404.4</v>
          </cell>
          <cell r="AT117">
            <v>404.2</v>
          </cell>
          <cell r="AV117" t="str">
            <v>-Ex poss repurch.</v>
          </cell>
          <cell r="BC117" t="str">
            <v>2003E</v>
          </cell>
          <cell r="BD117">
            <v>380</v>
          </cell>
          <cell r="BE117">
            <v>24.7</v>
          </cell>
          <cell r="BF117">
            <v>6.5000000000000002E-2</v>
          </cell>
          <cell r="BG117">
            <v>17.166500000000003</v>
          </cell>
          <cell r="BH117">
            <v>8.583250000000002E-2</v>
          </cell>
          <cell r="CY117" t="str">
            <v>Total</v>
          </cell>
          <cell r="CZ117">
            <v>42</v>
          </cell>
          <cell r="DA117">
            <v>65</v>
          </cell>
          <cell r="DB117">
            <v>46</v>
          </cell>
          <cell r="DC117">
            <v>90</v>
          </cell>
          <cell r="DD117">
            <v>44</v>
          </cell>
          <cell r="DE117">
            <v>82</v>
          </cell>
          <cell r="DF117">
            <v>123</v>
          </cell>
          <cell r="DG117">
            <v>133</v>
          </cell>
          <cell r="DH117">
            <v>59</v>
          </cell>
        </row>
        <row r="118">
          <cell r="S118">
            <v>1</v>
          </cell>
          <cell r="T118">
            <v>-1.4383561643835623E-2</v>
          </cell>
          <cell r="AI118" t="str">
            <v>Free" Cash flow</v>
          </cell>
          <cell r="AK118">
            <v>-201.06000000000006</v>
          </cell>
          <cell r="AN118">
            <v>-297.52500000000009</v>
          </cell>
          <cell r="AQ118">
            <v>-338.13920000000007</v>
          </cell>
          <cell r="AT118">
            <v>-351.99</v>
          </cell>
          <cell r="AV118" t="str">
            <v>-Ex addnl divests.</v>
          </cell>
          <cell r="BC118" t="str">
            <v>2004E</v>
          </cell>
          <cell r="BD118">
            <v>430</v>
          </cell>
          <cell r="BE118">
            <v>34.4</v>
          </cell>
          <cell r="BF118">
            <v>0.08</v>
          </cell>
          <cell r="BG118">
            <v>23.908000000000001</v>
          </cell>
          <cell r="BH118">
            <v>0.11954000000000001</v>
          </cell>
        </row>
        <row r="119">
          <cell r="BC119" t="str">
            <v>2005E</v>
          </cell>
          <cell r="BD119">
            <v>440</v>
          </cell>
          <cell r="BE119">
            <v>41.8</v>
          </cell>
          <cell r="BF119">
            <v>9.5000000000000001E-2</v>
          </cell>
          <cell r="BG119">
            <v>29.051000000000002</v>
          </cell>
          <cell r="BH119">
            <v>0.14525500000000002</v>
          </cell>
          <cell r="DI119" t="str">
            <v>Est 1Q04 Backlog</v>
          </cell>
        </row>
        <row r="120">
          <cell r="BC120" t="str">
            <v>2006E</v>
          </cell>
          <cell r="BD120">
            <v>400</v>
          </cell>
          <cell r="BE120">
            <v>40</v>
          </cell>
          <cell r="BF120">
            <v>0.1</v>
          </cell>
          <cell r="BG120">
            <v>27.800000000000004</v>
          </cell>
          <cell r="BH120">
            <v>0.13900000000000001</v>
          </cell>
          <cell r="BO120" t="str">
            <v>Projected Changes In Gulfstream Backlog By Aircraft Type - 1Q03 vs. 4Q02</v>
          </cell>
          <cell r="CD120" t="str">
            <v>Projected Changes In Gulfstream Backlog By Aircraft Type - 2Q03 vs. 1Q03</v>
          </cell>
          <cell r="CY120" t="str">
            <v>Projected Changes In Gulfstream Backlog By Aircraft Type - 1Q04 vs. 4Q03</v>
          </cell>
          <cell r="DI120" t="str">
            <v>Units</v>
          </cell>
          <cell r="DJ120" t="str">
            <v>B-L $</v>
          </cell>
        </row>
        <row r="121">
          <cell r="L121" t="str">
            <v>General Dynamics</v>
          </cell>
          <cell r="AI121" t="str">
            <v>GD Q1 Flash</v>
          </cell>
          <cell r="BC121" t="str">
            <v>2007E</v>
          </cell>
          <cell r="BD121">
            <v>350</v>
          </cell>
          <cell r="BE121">
            <v>56</v>
          </cell>
          <cell r="BF121">
            <v>0.16</v>
          </cell>
          <cell r="BG121">
            <v>38.92</v>
          </cell>
          <cell r="BH121">
            <v>0.1946</v>
          </cell>
          <cell r="DI121">
            <v>87</v>
          </cell>
          <cell r="DJ121">
            <v>1653</v>
          </cell>
        </row>
        <row r="122">
          <cell r="L122" t="str">
            <v>"Economic" Valuation Analysis</v>
          </cell>
          <cell r="BC122" t="str">
            <v>2008E</v>
          </cell>
          <cell r="BD122">
            <v>200</v>
          </cell>
          <cell r="BE122">
            <v>44</v>
          </cell>
          <cell r="BF122">
            <v>0.22</v>
          </cell>
          <cell r="BG122">
            <v>30.580000000000002</v>
          </cell>
          <cell r="BH122">
            <v>0.15290000000000001</v>
          </cell>
          <cell r="BQ122" t="str">
            <v>2002YE</v>
          </cell>
          <cell r="CF122" t="str">
            <v>Est 1Q03 B/L</v>
          </cell>
          <cell r="DA122" t="str">
            <v>2003YE</v>
          </cell>
          <cell r="DI122">
            <v>71</v>
          </cell>
          <cell r="DJ122">
            <v>2272</v>
          </cell>
        </row>
        <row r="123">
          <cell r="M123" t="str">
            <v>Nominal</v>
          </cell>
          <cell r="N123" t="str">
            <v>Adjusts</v>
          </cell>
          <cell r="O123" t="str">
            <v>Econ</v>
          </cell>
          <cell r="P123" t="str">
            <v>Comment</v>
          </cell>
          <cell r="BD123">
            <v>2400</v>
          </cell>
          <cell r="BE123">
            <v>250.89999999999998</v>
          </cell>
          <cell r="BF123">
            <v>0.10454166666666666</v>
          </cell>
          <cell r="BG123">
            <v>174.37549999999999</v>
          </cell>
          <cell r="BH123">
            <v>0.87187749999999997</v>
          </cell>
          <cell r="BS123" t="str">
            <v>1Q03 A/C Dels</v>
          </cell>
          <cell r="BU123" t="str">
            <v>1Q03 Impld Ords</v>
          </cell>
          <cell r="BW123" t="str">
            <v>Est 1Q03 Cancels</v>
          </cell>
          <cell r="BY123" t="str">
            <v>Est 1Q03 Backlog</v>
          </cell>
          <cell r="CH123" t="str">
            <v>2Q03 A/C Dels</v>
          </cell>
          <cell r="CJ123" t="str">
            <v>2Q03 Impld Ords</v>
          </cell>
          <cell r="CL123" t="str">
            <v>Est 2Q03 Cancels</v>
          </cell>
          <cell r="CN123" t="str">
            <v>Est 2Q03 Backlog</v>
          </cell>
          <cell r="DC123" t="str">
            <v>1Q04 A/C Dels</v>
          </cell>
          <cell r="DE123" t="str">
            <v>1Q04Impld Ords</v>
          </cell>
          <cell r="DG123" t="str">
            <v>Est 1Q04 Cancels</v>
          </cell>
        </row>
        <row r="124">
          <cell r="L124" t="str">
            <v>GD</v>
          </cell>
          <cell r="N124">
            <v>0.65925925925925921</v>
          </cell>
          <cell r="O124">
            <v>-0.65925925925925921</v>
          </cell>
          <cell r="P124" t="str">
            <v>- net of GD's non earning assets</v>
          </cell>
          <cell r="BO124" t="str">
            <v>Model</v>
          </cell>
          <cell r="BP124" t="str">
            <v>ASP</v>
          </cell>
          <cell r="BQ124" t="str">
            <v>Units</v>
          </cell>
          <cell r="BR124" t="str">
            <v>$ B-L</v>
          </cell>
          <cell r="BS124" t="str">
            <v>Green</v>
          </cell>
          <cell r="BT124" t="str">
            <v>Sls</v>
          </cell>
          <cell r="BU124" t="str">
            <v>Units</v>
          </cell>
          <cell r="BV124" t="str">
            <v>$ Ords</v>
          </cell>
          <cell r="BW124" t="str">
            <v>Units</v>
          </cell>
          <cell r="BX124" t="str">
            <v>$ Cancels</v>
          </cell>
          <cell r="BY124" t="str">
            <v>Units</v>
          </cell>
          <cell r="BZ124" t="str">
            <v>B-L $</v>
          </cell>
          <cell r="CD124" t="str">
            <v>Model</v>
          </cell>
          <cell r="CE124" t="str">
            <v>ASP</v>
          </cell>
          <cell r="CF124" t="str">
            <v>Units</v>
          </cell>
          <cell r="CG124" t="str">
            <v>$ B-L</v>
          </cell>
          <cell r="CH124" t="str">
            <v>Green</v>
          </cell>
          <cell r="CI124" t="str">
            <v>Sls</v>
          </cell>
          <cell r="CJ124" t="str">
            <v>Units</v>
          </cell>
          <cell r="CK124" t="str">
            <v>$ Ords</v>
          </cell>
          <cell r="CL124" t="str">
            <v>Units</v>
          </cell>
          <cell r="CM124" t="str">
            <v>$ Cancels</v>
          </cell>
          <cell r="CN124" t="str">
            <v>Units</v>
          </cell>
          <cell r="CO124" t="str">
            <v>B-L $</v>
          </cell>
          <cell r="CY124" t="str">
            <v>Model</v>
          </cell>
          <cell r="CZ124" t="str">
            <v>ASP</v>
          </cell>
          <cell r="DA124" t="str">
            <v>Units</v>
          </cell>
          <cell r="DB124" t="str">
            <v>$ B-L</v>
          </cell>
          <cell r="DC124" t="str">
            <v>Green</v>
          </cell>
          <cell r="DD124" t="str">
            <v>Sls</v>
          </cell>
          <cell r="DE124" t="str">
            <v>Units</v>
          </cell>
          <cell r="DF124" t="str">
            <v>$ Ords</v>
          </cell>
          <cell r="DG124" t="str">
            <v>Units</v>
          </cell>
          <cell r="DH124" t="str">
            <v>$ Cancels</v>
          </cell>
          <cell r="DJ124">
            <v>-3925</v>
          </cell>
        </row>
        <row r="125">
          <cell r="L125" t="str">
            <v>2000 EPS</v>
          </cell>
          <cell r="M125">
            <v>2.0091753601589666</v>
          </cell>
          <cell r="N125">
            <v>0.19957774465971184</v>
          </cell>
          <cell r="O125">
            <v>2.2087531048186784</v>
          </cell>
          <cell r="Z125" t="str">
            <v>Defense Budget For GD's Programs</v>
          </cell>
          <cell r="AM125" t="str">
            <v>GD Q1 Results</v>
          </cell>
          <cell r="BO125" t="str">
            <v>G100</v>
          </cell>
          <cell r="BP125">
            <v>14</v>
          </cell>
          <cell r="BQ125">
            <v>1</v>
          </cell>
          <cell r="BR125">
            <v>14</v>
          </cell>
          <cell r="BS125">
            <v>3</v>
          </cell>
          <cell r="BT125">
            <v>36</v>
          </cell>
          <cell r="BU125">
            <v>2</v>
          </cell>
          <cell r="BV125">
            <v>28</v>
          </cell>
          <cell r="BY125">
            <v>0</v>
          </cell>
          <cell r="BZ125">
            <v>0</v>
          </cell>
          <cell r="CD125" t="str">
            <v>G100</v>
          </cell>
          <cell r="CE125">
            <v>14</v>
          </cell>
          <cell r="CF125">
            <v>0</v>
          </cell>
          <cell r="CG125">
            <v>0</v>
          </cell>
          <cell r="CH125">
            <v>3</v>
          </cell>
          <cell r="CI125">
            <v>36</v>
          </cell>
          <cell r="CJ125">
            <v>2</v>
          </cell>
          <cell r="CK125">
            <v>28</v>
          </cell>
          <cell r="CN125">
            <v>-1</v>
          </cell>
          <cell r="CO125">
            <v>-14</v>
          </cell>
          <cell r="CY125" t="str">
            <v>Mid-size Jet</v>
          </cell>
          <cell r="CZ125">
            <v>19</v>
          </cell>
          <cell r="DA125">
            <v>87</v>
          </cell>
          <cell r="DB125">
            <v>1653</v>
          </cell>
          <cell r="DD125">
            <v>0</v>
          </cell>
          <cell r="DF125">
            <v>0</v>
          </cell>
          <cell r="DH125">
            <v>0</v>
          </cell>
          <cell r="DI125">
            <v>158</v>
          </cell>
        </row>
        <row r="126">
          <cell r="L126" t="str">
            <v>P/E ratio</v>
          </cell>
          <cell r="M126">
            <v>0</v>
          </cell>
          <cell r="O126">
            <v>-0.29847575893430578</v>
          </cell>
          <cell r="AA126" t="str">
            <v>FY00R</v>
          </cell>
          <cell r="AC126" t="str">
            <v>FY99R</v>
          </cell>
          <cell r="BO126" t="str">
            <v>G150</v>
          </cell>
          <cell r="BP126">
            <v>16</v>
          </cell>
          <cell r="BQ126">
            <v>50</v>
          </cell>
          <cell r="BR126">
            <v>800</v>
          </cell>
          <cell r="BU126">
            <v>0</v>
          </cell>
          <cell r="BV126">
            <v>0</v>
          </cell>
          <cell r="BY126">
            <v>50</v>
          </cell>
          <cell r="BZ126">
            <v>800</v>
          </cell>
          <cell r="CD126" t="str">
            <v>G150</v>
          </cell>
          <cell r="CE126">
            <v>16</v>
          </cell>
          <cell r="CF126">
            <v>50</v>
          </cell>
          <cell r="CG126">
            <v>800</v>
          </cell>
          <cell r="CJ126">
            <v>0</v>
          </cell>
          <cell r="CK126">
            <v>0</v>
          </cell>
          <cell r="CN126">
            <v>50</v>
          </cell>
          <cell r="CO126">
            <v>800</v>
          </cell>
          <cell r="CY126" t="str">
            <v>Large Cabin</v>
          </cell>
          <cell r="CZ126">
            <v>32</v>
          </cell>
          <cell r="DA126">
            <v>71</v>
          </cell>
          <cell r="DB126">
            <v>2272</v>
          </cell>
          <cell r="DD126">
            <v>0</v>
          </cell>
          <cell r="DF126">
            <v>0</v>
          </cell>
          <cell r="DH126">
            <v>0</v>
          </cell>
        </row>
        <row r="127">
          <cell r="Z127" t="str">
            <v>DDG51</v>
          </cell>
          <cell r="AA127">
            <v>2928</v>
          </cell>
          <cell r="AB127" t="str">
            <v>DDG-51</v>
          </cell>
          <cell r="AC127">
            <v>2904.3</v>
          </cell>
          <cell r="AD127" t="str">
            <v>- GD is prime</v>
          </cell>
          <cell r="AK127" t="str">
            <v>Q1:00</v>
          </cell>
          <cell r="AN127" t="str">
            <v>Q4:00</v>
          </cell>
          <cell r="AR127" t="str">
            <v>Q1:01</v>
          </cell>
          <cell r="BO127" t="str">
            <v>G200</v>
          </cell>
          <cell r="BP127">
            <v>20</v>
          </cell>
          <cell r="BQ127">
            <v>50</v>
          </cell>
          <cell r="BR127">
            <v>1000</v>
          </cell>
          <cell r="BS127">
            <v>1</v>
          </cell>
          <cell r="BT127">
            <v>18</v>
          </cell>
          <cell r="BU127">
            <v>0</v>
          </cell>
          <cell r="BV127">
            <v>0</v>
          </cell>
          <cell r="BW127">
            <v>-3</v>
          </cell>
          <cell r="BX127">
            <v>-60</v>
          </cell>
          <cell r="BY127">
            <v>46</v>
          </cell>
          <cell r="BZ127">
            <v>920</v>
          </cell>
          <cell r="CD127" t="str">
            <v>G200</v>
          </cell>
          <cell r="CE127">
            <v>20</v>
          </cell>
          <cell r="CF127">
            <v>46</v>
          </cell>
          <cell r="CG127">
            <v>920</v>
          </cell>
          <cell r="CH127">
            <v>1</v>
          </cell>
          <cell r="CI127">
            <v>18</v>
          </cell>
          <cell r="CJ127">
            <v>0</v>
          </cell>
          <cell r="CK127">
            <v>0</v>
          </cell>
          <cell r="CL127">
            <v>-3</v>
          </cell>
          <cell r="CM127">
            <v>-60</v>
          </cell>
          <cell r="CN127">
            <v>42</v>
          </cell>
          <cell r="CO127">
            <v>840</v>
          </cell>
          <cell r="CY127" t="str">
            <v>Maint/Service</v>
          </cell>
          <cell r="DB127">
            <v>791</v>
          </cell>
        </row>
        <row r="128">
          <cell r="Z128" t="str">
            <v>NAS/SSN21</v>
          </cell>
          <cell r="AA128">
            <v>1172.1000000000001</v>
          </cell>
          <cell r="AB128" t="str">
            <v>NAS</v>
          </cell>
          <cell r="AC128">
            <v>2302.5</v>
          </cell>
          <cell r="AD128" t="str">
            <v>- GD is prime</v>
          </cell>
          <cell r="AJ128" t="str">
            <v>Revs</v>
          </cell>
          <cell r="AK128" t="str">
            <v>Op Pr</v>
          </cell>
          <cell r="AL128" t="str">
            <v>% Sls</v>
          </cell>
          <cell r="AM128" t="str">
            <v>Revs</v>
          </cell>
          <cell r="AN128" t="str">
            <v>Op Pr</v>
          </cell>
          <cell r="AO128" t="str">
            <v>% Sls</v>
          </cell>
          <cell r="AP128" t="str">
            <v>Revs</v>
          </cell>
          <cell r="AQ128" t="str">
            <v>% Ch.</v>
          </cell>
          <cell r="AR128" t="str">
            <v>Op Pr</v>
          </cell>
          <cell r="AS128" t="str">
            <v>% Sls</v>
          </cell>
          <cell r="BO128" t="str">
            <v>G300</v>
          </cell>
          <cell r="BP128">
            <v>24</v>
          </cell>
          <cell r="BQ128">
            <v>3</v>
          </cell>
          <cell r="BR128">
            <v>72</v>
          </cell>
          <cell r="BS128">
            <v>2</v>
          </cell>
          <cell r="BT128">
            <v>44</v>
          </cell>
          <cell r="BU128">
            <v>2</v>
          </cell>
          <cell r="BV128">
            <v>46</v>
          </cell>
          <cell r="BY128">
            <v>3</v>
          </cell>
          <cell r="BZ128">
            <v>72</v>
          </cell>
          <cell r="CD128" t="str">
            <v>G300</v>
          </cell>
          <cell r="CE128">
            <v>24</v>
          </cell>
          <cell r="CF128">
            <v>3</v>
          </cell>
          <cell r="CG128">
            <v>72</v>
          </cell>
          <cell r="CH128">
            <v>2</v>
          </cell>
          <cell r="CI128">
            <v>44</v>
          </cell>
          <cell r="CJ128">
            <v>2</v>
          </cell>
          <cell r="CK128">
            <v>46</v>
          </cell>
          <cell r="CN128">
            <v>3</v>
          </cell>
          <cell r="CO128">
            <v>72</v>
          </cell>
          <cell r="CY128" t="str">
            <v>Implied Completions</v>
          </cell>
          <cell r="DA128">
            <v>38</v>
          </cell>
          <cell r="DB128">
            <v>202</v>
          </cell>
          <cell r="DD128">
            <v>0</v>
          </cell>
        </row>
        <row r="129">
          <cell r="Z129" t="str">
            <v>LPD-17</v>
          </cell>
          <cell r="AA129">
            <v>1523.1</v>
          </cell>
          <cell r="AB129" t="str">
            <v>LPD-17</v>
          </cell>
          <cell r="AC129">
            <v>638.79999999999995</v>
          </cell>
          <cell r="AD129" t="str">
            <v>- sub to AVDL-NNS</v>
          </cell>
          <cell r="AI129" t="str">
            <v>Marine Group</v>
          </cell>
          <cell r="AJ129">
            <v>846</v>
          </cell>
          <cell r="AK129">
            <v>88</v>
          </cell>
          <cell r="AL129">
            <v>0.10401891252955082</v>
          </cell>
          <cell r="AM129">
            <v>914</v>
          </cell>
          <cell r="AN129">
            <v>77</v>
          </cell>
          <cell r="AO129">
            <v>8.4245076586433265E-2</v>
          </cell>
          <cell r="AP129">
            <v>862</v>
          </cell>
          <cell r="AQ129">
            <v>1.891252955082745E-2</v>
          </cell>
          <cell r="AR129">
            <v>80</v>
          </cell>
          <cell r="AS129">
            <v>9.2807424593967514E-2</v>
          </cell>
          <cell r="AV129" t="str">
            <v>Possible Gulfstream Order-Backlog Analysis</v>
          </cell>
          <cell r="BO129" t="str">
            <v>G400</v>
          </cell>
          <cell r="BP129">
            <v>28</v>
          </cell>
          <cell r="BQ129">
            <v>13</v>
          </cell>
          <cell r="BR129">
            <v>364</v>
          </cell>
          <cell r="BS129">
            <v>2</v>
          </cell>
          <cell r="BT129">
            <v>44</v>
          </cell>
          <cell r="BU129">
            <v>6</v>
          </cell>
          <cell r="BV129">
            <v>168</v>
          </cell>
          <cell r="BW129">
            <v>-1</v>
          </cell>
          <cell r="BX129">
            <v>-28</v>
          </cell>
          <cell r="BY129">
            <v>16</v>
          </cell>
          <cell r="BZ129">
            <v>448</v>
          </cell>
          <cell r="CA129" t="str">
            <v>-assumes 4 550s, 3 G200, 1 G400</v>
          </cell>
          <cell r="CD129" t="str">
            <v>G400</v>
          </cell>
          <cell r="CE129">
            <v>28</v>
          </cell>
          <cell r="CF129">
            <v>16</v>
          </cell>
          <cell r="CG129">
            <v>448</v>
          </cell>
          <cell r="CH129">
            <v>2</v>
          </cell>
          <cell r="CI129">
            <v>44</v>
          </cell>
          <cell r="CJ129">
            <v>6</v>
          </cell>
          <cell r="CK129">
            <v>168</v>
          </cell>
          <cell r="CL129">
            <v>-1</v>
          </cell>
          <cell r="CM129">
            <v>-28</v>
          </cell>
          <cell r="CN129">
            <v>19</v>
          </cell>
          <cell r="CO129">
            <v>532</v>
          </cell>
          <cell r="CY129" t="str">
            <v>Total</v>
          </cell>
          <cell r="DA129">
            <v>158</v>
          </cell>
          <cell r="DB129">
            <v>4918</v>
          </cell>
          <cell r="DC129">
            <v>0</v>
          </cell>
          <cell r="DD129">
            <v>0</v>
          </cell>
          <cell r="DE129">
            <v>0</v>
          </cell>
          <cell r="DF129">
            <v>0</v>
          </cell>
          <cell r="DG129">
            <v>0</v>
          </cell>
          <cell r="DH129">
            <v>0</v>
          </cell>
        </row>
        <row r="130">
          <cell r="Z130" t="str">
            <v>M1A2 u/g</v>
          </cell>
          <cell r="AA130">
            <v>658.3</v>
          </cell>
          <cell r="AB130" t="str">
            <v>M1A1 u/g</v>
          </cell>
          <cell r="AC130">
            <v>691.8</v>
          </cell>
          <cell r="AD130" t="str">
            <v>- long lead funding</v>
          </cell>
          <cell r="AI130" t="str">
            <v>Combat Sys</v>
          </cell>
          <cell r="AJ130">
            <v>315</v>
          </cell>
          <cell r="AK130">
            <v>37</v>
          </cell>
          <cell r="AL130">
            <v>0.11746031746031746</v>
          </cell>
          <cell r="AM130">
            <v>372</v>
          </cell>
          <cell r="AN130">
            <v>46</v>
          </cell>
          <cell r="AO130">
            <v>0.12365591397849462</v>
          </cell>
          <cell r="AP130">
            <v>438</v>
          </cell>
          <cell r="AQ130">
            <v>0.39047619047619042</v>
          </cell>
          <cell r="AR130">
            <v>48</v>
          </cell>
          <cell r="AS130">
            <v>0.1095890410958904</v>
          </cell>
          <cell r="BO130" t="str">
            <v>G500/550</v>
          </cell>
          <cell r="BP130">
            <v>37</v>
          </cell>
          <cell r="BQ130">
            <v>56</v>
          </cell>
          <cell r="BR130">
            <v>2072</v>
          </cell>
          <cell r="BS130">
            <v>7</v>
          </cell>
          <cell r="BT130">
            <v>217</v>
          </cell>
          <cell r="BU130">
            <v>6</v>
          </cell>
          <cell r="BV130">
            <v>222</v>
          </cell>
          <cell r="BW130">
            <v>-4</v>
          </cell>
          <cell r="BX130">
            <v>-148</v>
          </cell>
          <cell r="BY130">
            <v>51</v>
          </cell>
          <cell r="BZ130">
            <v>1887</v>
          </cell>
          <cell r="CD130" t="str">
            <v>G500/550</v>
          </cell>
          <cell r="CE130">
            <v>37</v>
          </cell>
          <cell r="CF130">
            <v>51</v>
          </cell>
          <cell r="CG130">
            <v>1887</v>
          </cell>
          <cell r="CH130">
            <v>7</v>
          </cell>
          <cell r="CI130">
            <v>217</v>
          </cell>
          <cell r="CJ130">
            <v>6</v>
          </cell>
          <cell r="CK130">
            <v>222</v>
          </cell>
          <cell r="CL130">
            <v>-4</v>
          </cell>
          <cell r="CM130">
            <v>-148</v>
          </cell>
          <cell r="CN130">
            <v>46</v>
          </cell>
          <cell r="CO130">
            <v>1702</v>
          </cell>
        </row>
        <row r="131">
          <cell r="L131" t="str">
            <v xml:space="preserve">Other Assets Breakdown </v>
          </cell>
          <cell r="Z131" t="str">
            <v>TADCX</v>
          </cell>
          <cell r="AA131">
            <v>453</v>
          </cell>
          <cell r="AB131" t="str">
            <v>subtotal</v>
          </cell>
          <cell r="AC131">
            <v>6537.4000000000005</v>
          </cell>
          <cell r="AI131" t="str">
            <v>Info Sys &amp; Tech</v>
          </cell>
          <cell r="AJ131">
            <v>606</v>
          </cell>
          <cell r="AK131">
            <v>58</v>
          </cell>
          <cell r="AL131">
            <v>9.5709570957095716E-2</v>
          </cell>
          <cell r="AM131">
            <v>545</v>
          </cell>
          <cell r="AN131">
            <v>51</v>
          </cell>
          <cell r="AO131">
            <v>9.3577981651376152E-2</v>
          </cell>
          <cell r="AP131">
            <v>612</v>
          </cell>
          <cell r="AQ131">
            <v>9.9009900990099098E-3</v>
          </cell>
          <cell r="AR131">
            <v>60</v>
          </cell>
          <cell r="AS131">
            <v>9.8039215686274508E-2</v>
          </cell>
          <cell r="AV131" t="str">
            <v>Est. Revs</v>
          </cell>
          <cell r="AX131" t="str">
            <v>1Q01</v>
          </cell>
          <cell r="BO131" t="str">
            <v>Implied Completions</v>
          </cell>
          <cell r="BR131">
            <v>176</v>
          </cell>
          <cell r="BT131">
            <v>102</v>
          </cell>
          <cell r="BZ131">
            <v>153</v>
          </cell>
          <cell r="CD131" t="str">
            <v>Implied Completions</v>
          </cell>
          <cell r="CG131">
            <v>153</v>
          </cell>
          <cell r="CI131">
            <v>102</v>
          </cell>
          <cell r="CO131">
            <v>196</v>
          </cell>
        </row>
        <row r="132">
          <cell r="O132" t="str">
            <v>Est. Total $$MM</v>
          </cell>
          <cell r="Q132" t="str">
            <v>To Be Rec'd A.T.</v>
          </cell>
          <cell r="S132" t="str">
            <v>NPV</v>
          </cell>
          <cell r="U132" t="str">
            <v>Per Share</v>
          </cell>
          <cell r="Z132" t="str">
            <v>Crusader</v>
          </cell>
          <cell r="AA132">
            <v>343.9</v>
          </cell>
          <cell r="AB132" t="str">
            <v>DoD Top 15</v>
          </cell>
          <cell r="AC132">
            <v>19400</v>
          </cell>
          <cell r="AI132" t="str">
            <v>Gulfstream</v>
          </cell>
          <cell r="AJ132">
            <v>730</v>
          </cell>
          <cell r="AK132">
            <v>131</v>
          </cell>
          <cell r="AL132">
            <v>0.17945205479452056</v>
          </cell>
          <cell r="AM132">
            <v>745</v>
          </cell>
          <cell r="AN132">
            <v>161</v>
          </cell>
          <cell r="AO132">
            <v>0.21610738255033557</v>
          </cell>
          <cell r="AP132">
            <v>712</v>
          </cell>
          <cell r="AQ132">
            <v>-2.4657534246575352E-2</v>
          </cell>
          <cell r="AR132">
            <v>144</v>
          </cell>
          <cell r="AS132">
            <v>0.20224719101123595</v>
          </cell>
          <cell r="AV132" t="str">
            <v>Green GIVSP</v>
          </cell>
          <cell r="AX132">
            <v>280</v>
          </cell>
          <cell r="BO132" t="str">
            <v>Total</v>
          </cell>
          <cell r="BQ132">
            <v>173</v>
          </cell>
          <cell r="BR132">
            <v>4498</v>
          </cell>
          <cell r="BS132">
            <v>15</v>
          </cell>
          <cell r="BT132">
            <v>461</v>
          </cell>
          <cell r="BU132">
            <v>16</v>
          </cell>
          <cell r="BV132">
            <v>464</v>
          </cell>
          <cell r="BW132">
            <v>-8</v>
          </cell>
          <cell r="BX132">
            <v>-236</v>
          </cell>
          <cell r="BY132">
            <v>166</v>
          </cell>
          <cell r="BZ132">
            <v>4280</v>
          </cell>
          <cell r="CD132" t="str">
            <v>Total</v>
          </cell>
          <cell r="CF132">
            <v>166</v>
          </cell>
          <cell r="CG132">
            <v>4280</v>
          </cell>
          <cell r="CH132">
            <v>15</v>
          </cell>
          <cell r="CI132">
            <v>461</v>
          </cell>
          <cell r="CJ132">
            <v>16</v>
          </cell>
          <cell r="CK132">
            <v>464</v>
          </cell>
          <cell r="CL132">
            <v>-8</v>
          </cell>
          <cell r="CM132">
            <v>-236</v>
          </cell>
          <cell r="CN132">
            <v>159</v>
          </cell>
          <cell r="CO132">
            <v>4128</v>
          </cell>
        </row>
        <row r="133">
          <cell r="O133" t="str">
            <v>Low</v>
          </cell>
          <cell r="P133" t="str">
            <v>High</v>
          </cell>
          <cell r="Q133" t="str">
            <v>Low</v>
          </cell>
          <cell r="R133" t="str">
            <v>High</v>
          </cell>
          <cell r="S133" t="str">
            <v>Low</v>
          </cell>
          <cell r="T133" t="str">
            <v>High</v>
          </cell>
          <cell r="U133" t="str">
            <v>Low</v>
          </cell>
          <cell r="V133" t="str">
            <v>High</v>
          </cell>
          <cell r="Z133" t="str">
            <v>subtotal</v>
          </cell>
          <cell r="AA133">
            <v>7078.4000000000005</v>
          </cell>
          <cell r="AB133" t="str">
            <v>% Top 15</v>
          </cell>
          <cell r="AC133">
            <v>0.33697938144329898</v>
          </cell>
          <cell r="AI133" t="str">
            <v>Other</v>
          </cell>
          <cell r="AJ133">
            <v>49</v>
          </cell>
          <cell r="AK133">
            <v>-8</v>
          </cell>
          <cell r="AL133">
            <v>-0.16326530612244897</v>
          </cell>
          <cell r="AM133">
            <v>64</v>
          </cell>
          <cell r="AN133">
            <v>12</v>
          </cell>
          <cell r="AO133">
            <v>0.1875</v>
          </cell>
          <cell r="AP133">
            <v>49</v>
          </cell>
          <cell r="AQ133">
            <v>0</v>
          </cell>
          <cell r="AR133">
            <v>2</v>
          </cell>
          <cell r="AS133">
            <v>4.0816326530612242E-2</v>
          </cell>
          <cell r="AV133" t="str">
            <v>Green GV</v>
          </cell>
          <cell r="AX133">
            <v>256</v>
          </cell>
        </row>
        <row r="134">
          <cell r="Z134" t="str">
            <v>DoD Top 15</v>
          </cell>
          <cell r="AA134">
            <v>24800</v>
          </cell>
          <cell r="AI134" t="str">
            <v>Total</v>
          </cell>
          <cell r="AJ134">
            <v>2546</v>
          </cell>
          <cell r="AK134">
            <v>306</v>
          </cell>
          <cell r="AL134">
            <v>0.1201885310290652</v>
          </cell>
          <cell r="AM134">
            <v>2640</v>
          </cell>
          <cell r="AN134">
            <v>347</v>
          </cell>
          <cell r="AO134">
            <v>0.13143939393939394</v>
          </cell>
          <cell r="AP134">
            <v>2673</v>
          </cell>
          <cell r="AQ134">
            <v>4.9882168106834213E-2</v>
          </cell>
          <cell r="AR134">
            <v>334</v>
          </cell>
          <cell r="AS134">
            <v>0.12495323606434718</v>
          </cell>
          <cell r="AV134" t="str">
            <v>New shipments subtot</v>
          </cell>
          <cell r="AX134">
            <v>536</v>
          </cell>
          <cell r="BO134" t="str">
            <v>* Had 4 large cabin and 15 mid-size waiting for placement at YE, sold 2 large in 1Q03</v>
          </cell>
          <cell r="CD134" t="str">
            <v>* Had 4 large cabin and 15 mid-size waiting for placement at YE, sold 2 large in 1Q03</v>
          </cell>
        </row>
        <row r="135">
          <cell r="Z135" t="str">
            <v>% Top 15</v>
          </cell>
          <cell r="AA135">
            <v>0.28541935483870973</v>
          </cell>
          <cell r="AI135" t="str">
            <v>Interest,net</v>
          </cell>
          <cell r="AK135">
            <v>-19</v>
          </cell>
          <cell r="AN135">
            <v>-8</v>
          </cell>
          <cell r="AR135">
            <v>-12</v>
          </cell>
          <cell r="AV135" t="str">
            <v>Completions</v>
          </cell>
          <cell r="AX135">
            <v>64</v>
          </cell>
        </row>
        <row r="136">
          <cell r="L136" t="str">
            <v>Calif real estate</v>
          </cell>
          <cell r="O136">
            <v>100</v>
          </cell>
          <cell r="P136">
            <v>150</v>
          </cell>
          <cell r="Q136">
            <v>117</v>
          </cell>
          <cell r="R136">
            <v>150</v>
          </cell>
          <cell r="S136">
            <v>117</v>
          </cell>
          <cell r="T136">
            <v>150</v>
          </cell>
          <cell r="U136">
            <v>0.28931750741839762</v>
          </cell>
          <cell r="V136">
            <v>0.37091988130563802</v>
          </cell>
          <cell r="AI136" t="str">
            <v>Other</v>
          </cell>
          <cell r="AK136">
            <v>-1</v>
          </cell>
          <cell r="AN136">
            <v>-2</v>
          </cell>
          <cell r="AR136">
            <v>8</v>
          </cell>
          <cell r="AV136" t="str">
            <v>Used aircraft</v>
          </cell>
          <cell r="AX136">
            <v>20</v>
          </cell>
        </row>
        <row r="137">
          <cell r="L137" t="str">
            <v>R&amp;D tax credit</v>
          </cell>
          <cell r="O137">
            <v>504</v>
          </cell>
          <cell r="P137">
            <v>527</v>
          </cell>
          <cell r="Q137">
            <v>55</v>
          </cell>
          <cell r="R137">
            <v>78</v>
          </cell>
          <cell r="U137">
            <v>0</v>
          </cell>
          <cell r="V137">
            <v>0</v>
          </cell>
          <cell r="AI137" t="str">
            <v>Pretax Inc</v>
          </cell>
          <cell r="AK137">
            <v>286</v>
          </cell>
          <cell r="AL137">
            <v>0.11233307148468186</v>
          </cell>
          <cell r="AN137">
            <v>337</v>
          </cell>
          <cell r="AO137">
            <v>0.12765151515151515</v>
          </cell>
          <cell r="AR137">
            <v>330</v>
          </cell>
          <cell r="AS137">
            <v>0.12345679012345678</v>
          </cell>
          <cell r="AV137" t="str">
            <v>Support/Services</v>
          </cell>
          <cell r="AX137">
            <v>92</v>
          </cell>
          <cell r="BO137" t="str">
            <v>GD 1Q03 Actual vs. Expectations</v>
          </cell>
          <cell r="CD137" t="str">
            <v>GD 2Q03 Actual vs. Expectations</v>
          </cell>
          <cell r="CM137" t="str">
            <v>2003 EPS Est</v>
          </cell>
          <cell r="CY137" t="str">
            <v>GD 1Q04 Actual vs. Expectations</v>
          </cell>
        </row>
        <row r="138">
          <cell r="L138" t="str">
            <v>A-12</v>
          </cell>
          <cell r="S138">
            <v>0</v>
          </cell>
          <cell r="T138">
            <v>0</v>
          </cell>
          <cell r="U138">
            <v>0</v>
          </cell>
          <cell r="V138">
            <v>0</v>
          </cell>
          <cell r="AI138" t="str">
            <v>Eff Tax Rate</v>
          </cell>
          <cell r="AK138">
            <v>0.35799999999999998</v>
          </cell>
          <cell r="AN138">
            <v>0.35699999999999998</v>
          </cell>
          <cell r="AR138">
            <v>0.35799999999999998</v>
          </cell>
          <cell r="AV138" t="str">
            <v>Total GAC Sales</v>
          </cell>
          <cell r="AX138">
            <v>712</v>
          </cell>
          <cell r="BE138" t="str">
            <v>Possible Gulfstream Order-Backlog Analysis</v>
          </cell>
          <cell r="BQ138" t="str">
            <v>EPS Share ¢</v>
          </cell>
          <cell r="CD138" t="str">
            <v>EPS Share ¢</v>
          </cell>
          <cell r="CM138" t="str">
            <v>Morgan Stanley</v>
          </cell>
          <cell r="CN138" t="str">
            <v>Consensus</v>
          </cell>
          <cell r="CO138" t="str">
            <v>Date of Record</v>
          </cell>
          <cell r="DA138" t="str">
            <v>EPS Share ¢</v>
          </cell>
        </row>
        <row r="139">
          <cell r="L139" t="str">
            <v>total</v>
          </cell>
          <cell r="O139">
            <v>604</v>
          </cell>
          <cell r="P139">
            <v>677</v>
          </cell>
          <cell r="Q139">
            <v>172</v>
          </cell>
          <cell r="R139">
            <v>228</v>
          </cell>
          <cell r="S139">
            <v>117</v>
          </cell>
          <cell r="T139">
            <v>150</v>
          </cell>
          <cell r="U139">
            <v>0.28931750741839762</v>
          </cell>
          <cell r="V139">
            <v>0.37091988130563802</v>
          </cell>
          <cell r="AI139" t="str">
            <v>Net Income</v>
          </cell>
          <cell r="AK139">
            <v>183.61199999999999</v>
          </cell>
          <cell r="AL139">
            <v>7.2117831893165743E-2</v>
          </cell>
          <cell r="AN139">
            <v>216.691</v>
          </cell>
          <cell r="AO139">
            <v>8.2079924242424246E-2</v>
          </cell>
          <cell r="AR139">
            <v>211.86</v>
          </cell>
          <cell r="AS139">
            <v>7.9259259259259265E-2</v>
          </cell>
          <cell r="BQ139" t="str">
            <v>Plus</v>
          </cell>
          <cell r="BR139" t="str">
            <v>Minus</v>
          </cell>
          <cell r="BS139" t="str">
            <v>Total</v>
          </cell>
          <cell r="CF139" t="str">
            <v>Plus</v>
          </cell>
          <cell r="CG139" t="str">
            <v>Minus</v>
          </cell>
          <cell r="CH139" t="str">
            <v>Total</v>
          </cell>
          <cell r="CL139" t="str">
            <v>2Q03</v>
          </cell>
          <cell r="CM139">
            <v>5</v>
          </cell>
          <cell r="CN139">
            <v>4.87</v>
          </cell>
          <cell r="CO139">
            <v>37802</v>
          </cell>
          <cell r="DA139" t="str">
            <v>Plus</v>
          </cell>
          <cell r="DB139" t="str">
            <v>Minus</v>
          </cell>
          <cell r="DC139" t="str">
            <v>Total</v>
          </cell>
        </row>
        <row r="140">
          <cell r="X140" t="str">
            <v>General Dynamics Valuation By Division (2000)</v>
          </cell>
          <cell r="AI140" t="str">
            <v>EPS</v>
          </cell>
          <cell r="AK140">
            <v>0.90762234305486889</v>
          </cell>
          <cell r="AN140">
            <v>1.073790882061447</v>
          </cell>
          <cell r="AR140">
            <v>1.0477744807121663</v>
          </cell>
          <cell r="AV140" t="str">
            <v>Yearend 2000 Backlog ($s)</v>
          </cell>
          <cell r="AY140" t="str">
            <v>Units</v>
          </cell>
          <cell r="AZ140" t="str">
            <v>X</v>
          </cell>
          <cell r="BA140" t="str">
            <v>Avg. $MM</v>
          </cell>
          <cell r="BE140" t="str">
            <v>Yearend 2001 Backlog ($s)</v>
          </cell>
          <cell r="BG140" t="str">
            <v>Units</v>
          </cell>
          <cell r="BH140" t="str">
            <v>X</v>
          </cell>
          <cell r="BI140" t="str">
            <v>Avg. $MM</v>
          </cell>
          <cell r="BO140" t="str">
            <v>Morgan Stanley 1Q03 Est.</v>
          </cell>
          <cell r="BS140">
            <v>1.03</v>
          </cell>
          <cell r="CD140" t="str">
            <v>Morgan Stanley 2Q03 Est.</v>
          </cell>
          <cell r="CH140">
            <v>1.2030000000000001</v>
          </cell>
          <cell r="CL140" t="str">
            <v>1Q03</v>
          </cell>
          <cell r="CM140">
            <v>5.15</v>
          </cell>
          <cell r="CN140">
            <v>5.01</v>
          </cell>
          <cell r="CO140">
            <v>37711</v>
          </cell>
          <cell r="CY140" t="str">
            <v>Morgan Stanley 1Q04 Est.</v>
          </cell>
          <cell r="DC140">
            <v>1.03</v>
          </cell>
        </row>
        <row r="141">
          <cell r="AI141" t="str">
            <v>% Change</v>
          </cell>
          <cell r="AK141">
            <v>0.15825398042764816</v>
          </cell>
          <cell r="AN141">
            <v>8.5410019526147352E-2</v>
          </cell>
          <cell r="AR141">
            <v>0.15441679981739356</v>
          </cell>
          <cell r="AV141" t="str">
            <v>GIVSP</v>
          </cell>
          <cell r="AX141">
            <v>952</v>
          </cell>
          <cell r="AY141">
            <v>34</v>
          </cell>
          <cell r="BA141">
            <v>28</v>
          </cell>
          <cell r="BE141" t="str">
            <v>GIVSP</v>
          </cell>
          <cell r="BF141">
            <v>390</v>
          </cell>
          <cell r="BG141">
            <v>13</v>
          </cell>
          <cell r="BI141">
            <v>30</v>
          </cell>
          <cell r="BO141" t="str">
            <v>Marine</v>
          </cell>
          <cell r="BR141">
            <v>-0.05</v>
          </cell>
          <cell r="BS141">
            <v>-0.05</v>
          </cell>
          <cell r="CD141" t="str">
            <v>Marine</v>
          </cell>
          <cell r="CG141">
            <v>-5.3999999999999999E-2</v>
          </cell>
          <cell r="CH141">
            <v>-5.3999999999999999E-2</v>
          </cell>
          <cell r="CL141" t="str">
            <v>4Q02</v>
          </cell>
          <cell r="CM141">
            <v>5.18</v>
          </cell>
          <cell r="CN141">
            <v>5.49</v>
          </cell>
          <cell r="CO141">
            <v>37621</v>
          </cell>
          <cell r="CY141" t="str">
            <v>Marine</v>
          </cell>
          <cell r="DC141">
            <v>0</v>
          </cell>
        </row>
        <row r="142">
          <cell r="Y142" t="str">
            <v>EPS</v>
          </cell>
          <cell r="Z142" t="str">
            <v>P/E</v>
          </cell>
          <cell r="AA142" t="str">
            <v>Price</v>
          </cell>
          <cell r="AB142" t="str">
            <v xml:space="preserve"> Comments</v>
          </cell>
          <cell r="AI142" t="str">
            <v>Avg. Shs.</v>
          </cell>
          <cell r="AK142">
            <v>202.3</v>
          </cell>
          <cell r="AN142">
            <v>201.8</v>
          </cell>
          <cell r="AR142">
            <v>202.2</v>
          </cell>
          <cell r="AV142" t="str">
            <v xml:space="preserve">GV </v>
          </cell>
          <cell r="AX142">
            <v>875</v>
          </cell>
          <cell r="AY142">
            <v>25</v>
          </cell>
          <cell r="BA142">
            <v>35</v>
          </cell>
          <cell r="BE142" t="str">
            <v xml:space="preserve">GV </v>
          </cell>
          <cell r="BF142">
            <v>350</v>
          </cell>
          <cell r="BG142">
            <v>10</v>
          </cell>
          <cell r="BI142">
            <v>35</v>
          </cell>
          <cell r="BO142" t="str">
            <v>Aerospace</v>
          </cell>
          <cell r="BR142">
            <v>-0.12</v>
          </cell>
          <cell r="BS142">
            <v>-0.12</v>
          </cell>
          <cell r="CD142" t="str">
            <v>Aerospace</v>
          </cell>
          <cell r="CG142">
            <v>-6.4000000000000001E-2</v>
          </cell>
          <cell r="CH142">
            <v>-6.4000000000000001E-2</v>
          </cell>
          <cell r="CL142" t="str">
            <v>3Q02</v>
          </cell>
          <cell r="CM142">
            <v>5.8</v>
          </cell>
          <cell r="CN142">
            <v>5.53</v>
          </cell>
          <cell r="CO142">
            <v>37529</v>
          </cell>
          <cell r="CY142" t="str">
            <v>Aerospace</v>
          </cell>
          <cell r="DC142">
            <v>0</v>
          </cell>
        </row>
        <row r="143">
          <cell r="X143" t="str">
            <v>Defense</v>
          </cell>
          <cell r="Y143">
            <v>1.1706880278191754</v>
          </cell>
          <cell r="Z143">
            <v>14.8</v>
          </cell>
          <cell r="AA143">
            <v>17.326182811723797</v>
          </cell>
          <cell r="AB143" t="str">
            <v>- 15% premium to peers</v>
          </cell>
          <cell r="AI143" t="str">
            <v>Net Debt</v>
          </cell>
          <cell r="AK143">
            <v>932</v>
          </cell>
          <cell r="AN143">
            <v>325</v>
          </cell>
          <cell r="AR143">
            <v>863</v>
          </cell>
          <cell r="AV143" t="str">
            <v xml:space="preserve">GVSP </v>
          </cell>
          <cell r="AX143">
            <v>0</v>
          </cell>
          <cell r="AY143">
            <v>0</v>
          </cell>
          <cell r="BA143">
            <v>38</v>
          </cell>
          <cell r="BE143" t="str">
            <v xml:space="preserve">GVSP </v>
          </cell>
          <cell r="BF143">
            <v>2040</v>
          </cell>
          <cell r="BG143">
            <v>51</v>
          </cell>
          <cell r="BI143">
            <v>40</v>
          </cell>
          <cell r="BO143" t="str">
            <v>Combat systems</v>
          </cell>
          <cell r="BQ143">
            <v>7.3999999999999996E-2</v>
          </cell>
          <cell r="BS143">
            <v>7.3999999999999996E-2</v>
          </cell>
          <cell r="CD143" t="str">
            <v>Combat systems</v>
          </cell>
          <cell r="CF143">
            <v>2.5000000000000001E-2</v>
          </cell>
          <cell r="CH143">
            <v>2.5000000000000001E-2</v>
          </cell>
          <cell r="CL143" t="str">
            <v>2Q02</v>
          </cell>
          <cell r="CM143">
            <v>5.95</v>
          </cell>
          <cell r="CN143">
            <v>5.86</v>
          </cell>
          <cell r="CO143">
            <v>37435</v>
          </cell>
          <cell r="CY143" t="str">
            <v>Combat systems</v>
          </cell>
          <cell r="DC143">
            <v>0</v>
          </cell>
        </row>
        <row r="144">
          <cell r="L144" t="str">
            <v xml:space="preserve">GD-GAC </v>
          </cell>
          <cell r="X144" t="str">
            <v>Comml</v>
          </cell>
          <cell r="Y144">
            <v>0.94549428713363137</v>
          </cell>
          <cell r="Z144">
            <v>17.5</v>
          </cell>
          <cell r="AA144">
            <v>16.54615002483855</v>
          </cell>
          <cell r="AB144" t="str">
            <v>- 15% discount to avg of BA &amp; Bombardier</v>
          </cell>
          <cell r="AI144" t="str">
            <v>Cash/Share</v>
          </cell>
          <cell r="AK144">
            <v>0</v>
          </cell>
          <cell r="AN144">
            <v>0</v>
          </cell>
          <cell r="AR144">
            <v>0</v>
          </cell>
          <cell r="AV144" t="str">
            <v xml:space="preserve">Total </v>
          </cell>
          <cell r="AX144">
            <v>3319.5</v>
          </cell>
          <cell r="AY144">
            <v>107</v>
          </cell>
          <cell r="BE144" t="str">
            <v>G100</v>
          </cell>
          <cell r="BF144">
            <v>28</v>
          </cell>
          <cell r="BG144">
            <v>2</v>
          </cell>
          <cell r="BI144">
            <v>14</v>
          </cell>
          <cell r="BO144" t="str">
            <v>IST</v>
          </cell>
          <cell r="BQ144">
            <v>4.3999999999999997E-2</v>
          </cell>
          <cell r="BS144">
            <v>4.3999999999999997E-2</v>
          </cell>
          <cell r="CD144" t="str">
            <v>IST</v>
          </cell>
          <cell r="CF144">
            <v>0.105</v>
          </cell>
          <cell r="CH144">
            <v>0.11</v>
          </cell>
          <cell r="CY144" t="str">
            <v>IST</v>
          </cell>
          <cell r="DC144">
            <v>0</v>
          </cell>
        </row>
        <row r="145">
          <cell r="L145" t="str">
            <v xml:space="preserve">Enterprise Value/EBITDA </v>
          </cell>
          <cell r="X145" t="str">
            <v>Non Op Assets</v>
          </cell>
          <cell r="AA145">
            <v>0</v>
          </cell>
          <cell r="AB145" t="str">
            <v xml:space="preserve">- mid point </v>
          </cell>
          <cell r="AV145" t="str">
            <v>Deliveries ($s)</v>
          </cell>
          <cell r="BE145" t="str">
            <v>G200</v>
          </cell>
          <cell r="BF145">
            <v>1045</v>
          </cell>
          <cell r="BG145">
            <v>55</v>
          </cell>
          <cell r="BI145">
            <v>19</v>
          </cell>
          <cell r="BO145" t="str">
            <v>Other</v>
          </cell>
          <cell r="BQ145">
            <v>0.02</v>
          </cell>
          <cell r="BS145">
            <v>0.02</v>
          </cell>
          <cell r="CD145" t="str">
            <v>Interest</v>
          </cell>
          <cell r="CG145">
            <v>-1.4E-2</v>
          </cell>
          <cell r="CH145">
            <v>-1.4E-2</v>
          </cell>
          <cell r="CY145" t="str">
            <v>Other</v>
          </cell>
          <cell r="DC145">
            <v>0</v>
          </cell>
        </row>
        <row r="146">
          <cell r="S146" t="str">
            <v>EBITDA</v>
          </cell>
          <cell r="U146" t="str">
            <v>Comments</v>
          </cell>
          <cell r="X146" t="str">
            <v>YE99 net debt</v>
          </cell>
          <cell r="Y146">
            <v>-9.5827123695976152E-2</v>
          </cell>
          <cell r="AA146">
            <v>0.43801738698459963</v>
          </cell>
          <cell r="AI146" t="str">
            <v>GD Reports $1.05 vs. our $0.99, +15% Y/Y</v>
          </cell>
          <cell r="AV146" t="str">
            <v>GIVSP</v>
          </cell>
          <cell r="AX146">
            <v>280</v>
          </cell>
          <cell r="AY146">
            <v>10</v>
          </cell>
          <cell r="BA146">
            <v>28</v>
          </cell>
          <cell r="BE146" t="str">
            <v>Total</v>
          </cell>
          <cell r="BF146">
            <v>3853</v>
          </cell>
          <cell r="BG146">
            <v>131</v>
          </cell>
          <cell r="BO146" t="str">
            <v>Tax rate</v>
          </cell>
          <cell r="BQ146">
            <v>0.09</v>
          </cell>
          <cell r="BS146">
            <v>0.09</v>
          </cell>
          <cell r="CD146" t="str">
            <v>Tax rate</v>
          </cell>
          <cell r="CF146">
            <v>1.4999999999999999E-2</v>
          </cell>
          <cell r="CH146">
            <v>1.4999999999999999E-2</v>
          </cell>
          <cell r="CY146" t="str">
            <v>Tax rate</v>
          </cell>
          <cell r="DC146">
            <v>0</v>
          </cell>
        </row>
        <row r="147">
          <cell r="L147" t="str">
            <v xml:space="preserve">EBITDA </v>
          </cell>
          <cell r="O147" t="str">
            <v>1999</v>
          </cell>
          <cell r="P147" t="str">
            <v>2000</v>
          </cell>
          <cell r="Q147" t="str">
            <v>2001</v>
          </cell>
          <cell r="S147" t="str">
            <v>W/GTE</v>
          </cell>
          <cell r="T147" t="str">
            <v>00</v>
          </cell>
          <cell r="X147" t="str">
            <v>Total</v>
          </cell>
          <cell r="Y147">
            <v>2.0203551912568307</v>
          </cell>
          <cell r="Z147">
            <v>16.982335765525974</v>
          </cell>
          <cell r="AA147">
            <v>34.310350223546948</v>
          </cell>
          <cell r="AB147">
            <v>14.34046055478221</v>
          </cell>
          <cell r="AC147" t="str">
            <v>current multiple</v>
          </cell>
          <cell r="AV147" t="str">
            <v xml:space="preserve">GV </v>
          </cell>
          <cell r="AX147">
            <v>256</v>
          </cell>
          <cell r="AY147">
            <v>8</v>
          </cell>
          <cell r="BA147">
            <v>32</v>
          </cell>
          <cell r="BE147" t="str">
            <v>Implied Svc/Completions</v>
          </cell>
          <cell r="BF147">
            <v>373</v>
          </cell>
          <cell r="BO147" t="str">
            <v>Shs</v>
          </cell>
          <cell r="BQ147">
            <v>0.02</v>
          </cell>
          <cell r="BS147">
            <v>0.02</v>
          </cell>
          <cell r="CE147" t="str">
            <v>subtotal Puts/Takes</v>
          </cell>
          <cell r="CH147">
            <v>1.8000000000000002E-2</v>
          </cell>
          <cell r="CY147" t="str">
            <v>Shs</v>
          </cell>
          <cell r="DC147">
            <v>0</v>
          </cell>
        </row>
        <row r="148">
          <cell r="L148" t="str">
            <v>GD</v>
          </cell>
          <cell r="N148" t="str">
            <v>EBIT</v>
          </cell>
          <cell r="O148">
            <v>625</v>
          </cell>
          <cell r="P148">
            <v>666</v>
          </cell>
          <cell r="Q148">
            <v>740</v>
          </cell>
          <cell r="S148" t="str">
            <v>GD/GAC</v>
          </cell>
          <cell r="T148">
            <v>1448</v>
          </cell>
          <cell r="X148" t="str">
            <v>sanity</v>
          </cell>
          <cell r="Y148">
            <v>2.0091753601589666</v>
          </cell>
          <cell r="AI148" t="str">
            <v>- Beat our number by 6¢ - driven by higher Combat sales and operational improvements at Gulfstream</v>
          </cell>
          <cell r="AV148" t="str">
            <v>Deliveries ($s)</v>
          </cell>
          <cell r="AX148">
            <v>536</v>
          </cell>
          <cell r="AY148">
            <v>18</v>
          </cell>
          <cell r="BE148" t="str">
            <v>Reported B-L</v>
          </cell>
          <cell r="BF148">
            <v>4.1980000000000004</v>
          </cell>
          <cell r="BP148" t="str">
            <v>subtotal Puts/Takes</v>
          </cell>
          <cell r="BS148">
            <v>7.8000000000000014E-2</v>
          </cell>
          <cell r="CD148" t="str">
            <v>GD Reported 1Q03</v>
          </cell>
          <cell r="CH148">
            <v>1.2210000000000001</v>
          </cell>
          <cell r="CZ148" t="str">
            <v>subtotal Puts/Takes</v>
          </cell>
          <cell r="DC148">
            <v>0</v>
          </cell>
        </row>
        <row r="149">
          <cell r="L149" t="str">
            <v>GAC</v>
          </cell>
          <cell r="O149">
            <v>466</v>
          </cell>
          <cell r="P149">
            <v>516</v>
          </cell>
          <cell r="Q149">
            <v>541</v>
          </cell>
          <cell r="S149" t="str">
            <v xml:space="preserve">GTE </v>
          </cell>
          <cell r="T149">
            <v>112</v>
          </cell>
          <cell r="U149" t="str">
            <v>- EBIT=100, DA=12</v>
          </cell>
          <cell r="AI149" t="str">
            <v>- Gulfstream sales a bit lighter than we'd guessed ($712MM vs. our $740MM est), but margins of 20.2% handily beat our 18.5% est.</v>
          </cell>
          <cell r="BO149" t="str">
            <v>GD Reported 1Q03</v>
          </cell>
          <cell r="BS149">
            <v>1.1080000000000001</v>
          </cell>
          <cell r="CD149" t="str">
            <v>* Numbers don't add due to rounding</v>
          </cell>
          <cell r="CY149" t="str">
            <v>GD Reported 1Q04</v>
          </cell>
          <cell r="DC149">
            <v>1.03</v>
          </cell>
        </row>
        <row r="150">
          <cell r="L150" t="str">
            <v>GD</v>
          </cell>
          <cell r="N150" t="str">
            <v>D&amp;A</v>
          </cell>
          <cell r="O150">
            <v>193</v>
          </cell>
          <cell r="P150">
            <v>226</v>
          </cell>
          <cell r="Q150">
            <v>264</v>
          </cell>
          <cell r="S150" t="str">
            <v>EBITDA</v>
          </cell>
          <cell r="T150">
            <v>1560</v>
          </cell>
          <cell r="AI150" t="str">
            <v>- Marine sales about in line, margins of 9.3% better than our 8.7% estimate</v>
          </cell>
          <cell r="AV150" t="str">
            <v>Reported 1Q Backlog</v>
          </cell>
          <cell r="AX150">
            <v>3640</v>
          </cell>
          <cell r="BE150" t="str">
            <v>Deliveries ($s)</v>
          </cell>
        </row>
        <row r="151">
          <cell r="L151" t="str">
            <v>GAC</v>
          </cell>
          <cell r="O151">
            <v>37</v>
          </cell>
          <cell r="P151">
            <v>40</v>
          </cell>
          <cell r="Q151">
            <v>40</v>
          </cell>
          <cell r="AI151" t="str">
            <v>- Combat sales up significantly mostly due to Primex acquisition, margins of 11% versus our 10.9%</v>
          </cell>
          <cell r="AV151" t="str">
            <v>YE00 minus 1Q sls</v>
          </cell>
          <cell r="AX151">
            <v>2783.5</v>
          </cell>
          <cell r="BE151" t="str">
            <v>GIVSP</v>
          </cell>
          <cell r="BF151">
            <v>224</v>
          </cell>
          <cell r="BG151">
            <v>8</v>
          </cell>
          <cell r="BI151">
            <v>28</v>
          </cell>
          <cell r="CD151" t="str">
            <v>Gulfstream 2Q03 Est Gross/Net Orders &amp;  Cancellations</v>
          </cell>
        </row>
        <row r="152">
          <cell r="L152" t="str">
            <v xml:space="preserve"> - total</v>
          </cell>
          <cell r="O152">
            <v>1321</v>
          </cell>
          <cell r="P152">
            <v>1448</v>
          </cell>
          <cell r="Q152">
            <v>1585</v>
          </cell>
          <cell r="S152" t="str">
            <v>Ent Val</v>
          </cell>
          <cell r="AI152" t="str">
            <v>- Info Sys &amp; Tech sales a bit light ($612MM vs. our $670MM est), margins a tad better (9.8% vs. 9.3% est)</v>
          </cell>
          <cell r="AV152" t="str">
            <v>Inferred New Orders</v>
          </cell>
          <cell r="AX152">
            <v>856.5</v>
          </cell>
          <cell r="BE152" t="str">
            <v xml:space="preserve">GV </v>
          </cell>
          <cell r="BF152">
            <v>245</v>
          </cell>
          <cell r="BG152">
            <v>7</v>
          </cell>
          <cell r="BI152">
            <v>35</v>
          </cell>
          <cell r="BP152" t="str">
            <v>Firm Backlog</v>
          </cell>
          <cell r="BW152" t="str">
            <v>Estimated GAC New Sales Breakdown</v>
          </cell>
        </row>
        <row r="153">
          <cell r="L153" t="str">
            <v>Ent Value</v>
          </cell>
          <cell r="S153" t="str">
            <v>Mkt cap</v>
          </cell>
          <cell r="T153">
            <v>0</v>
          </cell>
          <cell r="BE153" t="str">
            <v>G100</v>
          </cell>
          <cell r="BF153">
            <v>56</v>
          </cell>
          <cell r="BG153">
            <v>4</v>
          </cell>
          <cell r="BI153">
            <v>14</v>
          </cell>
          <cell r="BP153" t="str">
            <v>Calculation</v>
          </cell>
          <cell r="BQ153" t="str">
            <v>Comment</v>
          </cell>
          <cell r="BW153" t="str">
            <v>1Q03</v>
          </cell>
          <cell r="CE153" t="str">
            <v>$MMs</v>
          </cell>
          <cell r="CF153" t="str">
            <v>Comments</v>
          </cell>
        </row>
        <row r="154">
          <cell r="L154" t="str">
            <v>GD</v>
          </cell>
          <cell r="N154" t="str">
            <v>Net Debt</v>
          </cell>
          <cell r="O154">
            <v>-381.59249999999997</v>
          </cell>
          <cell r="P154">
            <v>-524.67250000000001</v>
          </cell>
          <cell r="Q154">
            <v>-766.17250000000001</v>
          </cell>
          <cell r="S154" t="str">
            <v>GD cash</v>
          </cell>
          <cell r="T154">
            <v>-524.67250000000001</v>
          </cell>
          <cell r="AI154" t="str">
            <v xml:space="preserve"> 2001-02 EPS May Have Slight Upside - More Following Conf. Call</v>
          </cell>
          <cell r="AV154" t="str">
            <v>Possible 1Q01 Orders ($s)</v>
          </cell>
          <cell r="AY154" t="str">
            <v>Units</v>
          </cell>
          <cell r="AZ154" t="str">
            <v>X</v>
          </cell>
          <cell r="BA154" t="str">
            <v>Avg. $MM</v>
          </cell>
          <cell r="BE154" t="str">
            <v>G200</v>
          </cell>
          <cell r="BF154">
            <v>152</v>
          </cell>
          <cell r="BG154">
            <v>8</v>
          </cell>
          <cell r="BI154">
            <v>19</v>
          </cell>
          <cell r="BO154" t="str">
            <v>2002YE--</v>
          </cell>
          <cell r="BP154">
            <v>4.4980000000000002</v>
          </cell>
          <cell r="BW154" t="str">
            <v>Completions</v>
          </cell>
          <cell r="BX154" t="str">
            <v>Sls</v>
          </cell>
          <cell r="CA154" t="str">
            <v>Total</v>
          </cell>
          <cell r="CD154" t="str">
            <v>1Q03 ending B-L</v>
          </cell>
          <cell r="CE154">
            <v>4280</v>
          </cell>
        </row>
        <row r="155">
          <cell r="L155" t="str">
            <v>GAC</v>
          </cell>
          <cell r="O155">
            <v>176</v>
          </cell>
          <cell r="P155">
            <v>-25</v>
          </cell>
          <cell r="Q155">
            <v>-260</v>
          </cell>
          <cell r="S155" t="str">
            <v>GAC cash</v>
          </cell>
          <cell r="T155">
            <v>-25</v>
          </cell>
          <cell r="AI155" t="str">
            <v>- Our 2001-02 EPS estimates are $4.48 &amp; $4.95, respectively</v>
          </cell>
          <cell r="AV155" t="str">
            <v>GIV-SP</v>
          </cell>
          <cell r="AX155">
            <v>311.3</v>
          </cell>
          <cell r="AY155">
            <v>11</v>
          </cell>
          <cell r="BA155">
            <v>28.3</v>
          </cell>
          <cell r="BE155" t="str">
            <v>Deliveries ($s)</v>
          </cell>
          <cell r="BF155">
            <v>469</v>
          </cell>
          <cell r="BG155">
            <v>27</v>
          </cell>
          <cell r="BO155" t="str">
            <v>Use of B/L--</v>
          </cell>
          <cell r="BP155">
            <v>-0.45200000000000001</v>
          </cell>
          <cell r="BQ155" t="str">
            <v>0.594 sls-0.04 usd sls-0.1 supprt</v>
          </cell>
          <cell r="BV155" t="str">
            <v>G100</v>
          </cell>
          <cell r="BW155">
            <v>1</v>
          </cell>
          <cell r="BX155">
            <v>3</v>
          </cell>
          <cell r="CD155" t="str">
            <v>2Q03 Sales</v>
          </cell>
          <cell r="CE155">
            <v>-566</v>
          </cell>
          <cell r="CF155" t="str">
            <v>- excludes $150MM used sls</v>
          </cell>
        </row>
        <row r="156">
          <cell r="L156" t="str">
            <v>GD</v>
          </cell>
          <cell r="N156" t="str">
            <v>Other assets</v>
          </cell>
          <cell r="O156">
            <v>-133.5</v>
          </cell>
          <cell r="P156">
            <v>0</v>
          </cell>
          <cell r="Q156">
            <v>0</v>
          </cell>
          <cell r="S156" t="str">
            <v>GTE cash</v>
          </cell>
          <cell r="T156">
            <v>-40</v>
          </cell>
          <cell r="AI156" t="str">
            <v>- Valuation rel to peers - 14.4X econ 2001 P/E vs. peer avg. 13.0X  reflects superior earnings track record and cash flow</v>
          </cell>
          <cell r="AV156" t="str">
            <v>GV</v>
          </cell>
          <cell r="AX156">
            <v>285.60000000000002</v>
          </cell>
          <cell r="AY156">
            <v>8</v>
          </cell>
          <cell r="BA156">
            <v>35.700000000000003</v>
          </cell>
          <cell r="BJ156" t="str">
            <v>Implied Backlog</v>
          </cell>
          <cell r="BP156">
            <v>4.0460000000000003</v>
          </cell>
          <cell r="BV156" t="str">
            <v>G150</v>
          </cell>
          <cell r="CD156" t="str">
            <v>Backlog minus Sls</v>
          </cell>
          <cell r="CE156">
            <v>3714</v>
          </cell>
        </row>
        <row r="157">
          <cell r="L157" t="str">
            <v>Equity Mkt. Cap Comb'd</v>
          </cell>
          <cell r="O157">
            <v>0</v>
          </cell>
          <cell r="P157">
            <v>0</v>
          </cell>
          <cell r="Q157">
            <v>0</v>
          </cell>
          <cell r="S157" t="str">
            <v>GTE debt</v>
          </cell>
          <cell r="T157">
            <v>1050</v>
          </cell>
          <cell r="AV157" t="str">
            <v>GVSP</v>
          </cell>
          <cell r="AX157">
            <v>243</v>
          </cell>
          <cell r="AY157">
            <v>6</v>
          </cell>
          <cell r="BA157">
            <v>40.5</v>
          </cell>
          <cell r="BE157" t="str">
            <v>Possible 1Q02 Orders ($s)</v>
          </cell>
          <cell r="BG157" t="str">
            <v>Units</v>
          </cell>
          <cell r="BH157" t="str">
            <v>X</v>
          </cell>
          <cell r="BI157" t="str">
            <v>Avg. $MM</v>
          </cell>
          <cell r="BJ157" t="str">
            <v>1Q02 (Units)</v>
          </cell>
          <cell r="BK157" t="str">
            <v>$MM</v>
          </cell>
          <cell r="BO157" t="str">
            <v>Cancls--</v>
          </cell>
          <cell r="BP157">
            <v>-0.23</v>
          </cell>
          <cell r="BQ157" t="str">
            <v>8 cancellations ~$240M</v>
          </cell>
          <cell r="BV157" t="str">
            <v>G200</v>
          </cell>
          <cell r="BW157">
            <v>2</v>
          </cell>
          <cell r="BX157">
            <v>6</v>
          </cell>
        </row>
        <row r="158">
          <cell r="L158" t="str">
            <v xml:space="preserve"> - total</v>
          </cell>
          <cell r="O158">
            <v>-339.09249999999997</v>
          </cell>
          <cell r="P158">
            <v>-549.67250000000001</v>
          </cell>
          <cell r="Q158">
            <v>-1026.1725000000001</v>
          </cell>
          <cell r="S158" t="str">
            <v>TEV</v>
          </cell>
          <cell r="T158">
            <v>460.32749999999999</v>
          </cell>
          <cell r="AI158" t="str">
            <v>Conference call at 11am -- 888-747-3510</v>
          </cell>
          <cell r="AV158" t="str">
            <v>Total</v>
          </cell>
          <cell r="AX158">
            <v>839.90000000000009</v>
          </cell>
          <cell r="AY158">
            <v>23</v>
          </cell>
          <cell r="BE158" t="str">
            <v>GIV-SP</v>
          </cell>
          <cell r="BF158">
            <v>150</v>
          </cell>
          <cell r="BG158">
            <v>5</v>
          </cell>
          <cell r="BI158">
            <v>30</v>
          </cell>
          <cell r="BJ158">
            <v>10</v>
          </cell>
          <cell r="BK158">
            <v>300</v>
          </cell>
          <cell r="BP158">
            <v>3.8160000000000003</v>
          </cell>
          <cell r="BV158" t="str">
            <v>G300</v>
          </cell>
          <cell r="CD158" t="str">
            <v>Reported 2Q03 B-L</v>
          </cell>
          <cell r="CE158">
            <v>4128</v>
          </cell>
        </row>
        <row r="159">
          <cell r="L159" t="str">
            <v>Stock Price</v>
          </cell>
          <cell r="P159">
            <v>0</v>
          </cell>
          <cell r="Q159">
            <v>0</v>
          </cell>
          <cell r="BE159" t="str">
            <v>GV</v>
          </cell>
          <cell r="BF159">
            <v>105</v>
          </cell>
          <cell r="BG159">
            <v>3</v>
          </cell>
          <cell r="BI159">
            <v>35</v>
          </cell>
          <cell r="BJ159">
            <v>6</v>
          </cell>
          <cell r="BK159">
            <v>210</v>
          </cell>
          <cell r="BP159">
            <v>0.46399999999999997</v>
          </cell>
          <cell r="BQ159" t="str">
            <v>Implied order value</v>
          </cell>
          <cell r="BV159" t="str">
            <v>G400</v>
          </cell>
          <cell r="BW159">
            <v>9</v>
          </cell>
          <cell r="BX159">
            <v>54</v>
          </cell>
          <cell r="CD159" t="str">
            <v>Net change to B-L</v>
          </cell>
          <cell r="CE159">
            <v>414</v>
          </cell>
        </row>
        <row r="160">
          <cell r="L160" t="str">
            <v>Ent Val/EBITDA</v>
          </cell>
          <cell r="O160">
            <v>-0.2566937925813777</v>
          </cell>
          <cell r="P160">
            <v>-0.37960808011049724</v>
          </cell>
          <cell r="Q160">
            <v>-0.64742744479495273</v>
          </cell>
          <cell r="S160" t="str">
            <v>TEV/EBITDA</v>
          </cell>
          <cell r="T160">
            <v>0.29508173076923078</v>
          </cell>
          <cell r="AO160" t="str">
            <v>Est. GD Core Businesses Revenue Mix ($MM)</v>
          </cell>
          <cell r="BE160" t="str">
            <v>GVSP</v>
          </cell>
          <cell r="BF160">
            <v>440</v>
          </cell>
          <cell r="BG160">
            <v>11</v>
          </cell>
          <cell r="BI160">
            <v>40</v>
          </cell>
          <cell r="BJ160">
            <v>62</v>
          </cell>
          <cell r="BK160">
            <v>2480</v>
          </cell>
          <cell r="BO160" t="str">
            <v>1Q03--</v>
          </cell>
          <cell r="BP160">
            <v>4.28</v>
          </cell>
          <cell r="BQ160">
            <v>0.21799999999999997</v>
          </cell>
          <cell r="BV160" t="str">
            <v>G500/550</v>
          </cell>
          <cell r="BW160">
            <v>5</v>
          </cell>
          <cell r="BX160">
            <v>30</v>
          </cell>
          <cell r="CD160" t="str">
            <v>Est. cancels</v>
          </cell>
          <cell r="CE160">
            <v>-30</v>
          </cell>
          <cell r="CF160" t="str">
            <v>-assumes 1 large cabin</v>
          </cell>
        </row>
        <row r="161">
          <cell r="L161" t="str">
            <v>Economic" P/E</v>
          </cell>
          <cell r="O161">
            <v>0</v>
          </cell>
          <cell r="P161">
            <v>-0.16247596329381983</v>
          </cell>
          <cell r="Q161">
            <v>-0.14692229740773433</v>
          </cell>
          <cell r="BE161" t="str">
            <v>G100</v>
          </cell>
          <cell r="BF161">
            <v>56</v>
          </cell>
          <cell r="BG161">
            <v>4</v>
          </cell>
          <cell r="BI161">
            <v>14</v>
          </cell>
          <cell r="BJ161">
            <v>2</v>
          </cell>
          <cell r="BK161">
            <v>28</v>
          </cell>
          <cell r="BO161" t="str">
            <v>Book: Bill</v>
          </cell>
          <cell r="BP161">
            <v>1.0265486725663715</v>
          </cell>
          <cell r="BV161" t="str">
            <v>Service/Support</v>
          </cell>
          <cell r="CD161" t="str">
            <v>Implied Orders</v>
          </cell>
          <cell r="CE161">
            <v>444</v>
          </cell>
        </row>
        <row r="162">
          <cell r="L162" t="str">
            <v>Pr/Sls</v>
          </cell>
          <cell r="O162">
            <v>-4.1102121212121208E-2</v>
          </cell>
          <cell r="P162">
            <v>-6.2498294485503127E-2</v>
          </cell>
          <cell r="Q162">
            <v>-0.10905127523910735</v>
          </cell>
          <cell r="AN162" t="str">
            <v>Revenues</v>
          </cell>
          <cell r="AP162" t="str">
            <v>% Change Revenues</v>
          </cell>
          <cell r="AS162" t="str">
            <v>Est. Op Mgn (post GW amort)</v>
          </cell>
          <cell r="BE162" t="str">
            <v>G200</v>
          </cell>
          <cell r="BF162">
            <v>228</v>
          </cell>
          <cell r="BG162">
            <v>12</v>
          </cell>
          <cell r="BI162">
            <v>19</v>
          </cell>
          <cell r="BJ162">
            <v>59</v>
          </cell>
          <cell r="BK162">
            <v>1121</v>
          </cell>
          <cell r="BV162" t="str">
            <v>Total</v>
          </cell>
          <cell r="BW162">
            <v>17</v>
          </cell>
          <cell r="BX162">
            <v>93</v>
          </cell>
          <cell r="CA162">
            <v>93</v>
          </cell>
          <cell r="CD162" t="str">
            <v>Est Book:Bill</v>
          </cell>
          <cell r="CE162">
            <v>0.78445229681978801</v>
          </cell>
        </row>
        <row r="163">
          <cell r="L163" t="str">
            <v>P/E</v>
          </cell>
          <cell r="O163">
            <v>0</v>
          </cell>
          <cell r="P163">
            <v>0</v>
          </cell>
          <cell r="Q163">
            <v>0</v>
          </cell>
          <cell r="V163" t="str">
            <v>GM Defense Acquisition</v>
          </cell>
          <cell r="AL163" t="str">
            <v>Marine</v>
          </cell>
          <cell r="AM163">
            <v>1997</v>
          </cell>
          <cell r="AN163">
            <v>1998</v>
          </cell>
          <cell r="AO163">
            <v>1999</v>
          </cell>
          <cell r="AP163">
            <v>1997</v>
          </cell>
          <cell r="AQ163">
            <v>1998</v>
          </cell>
          <cell r="AR163">
            <v>1999</v>
          </cell>
          <cell r="AS163">
            <v>1997</v>
          </cell>
          <cell r="AT163">
            <v>1998</v>
          </cell>
          <cell r="AU163">
            <v>1999</v>
          </cell>
          <cell r="BE163" t="str">
            <v>Total</v>
          </cell>
          <cell r="BF163">
            <v>979</v>
          </cell>
          <cell r="BG163">
            <v>35</v>
          </cell>
          <cell r="BJ163">
            <v>139</v>
          </cell>
          <cell r="BK163">
            <v>4139</v>
          </cell>
        </row>
        <row r="164">
          <cell r="Y164" t="str">
            <v>2002Sales=965MM*</v>
          </cell>
          <cell r="Z164" t="str">
            <v>2002BL=1.5B</v>
          </cell>
          <cell r="AL164" t="str">
            <v>Electric Boat</v>
          </cell>
          <cell r="AM164">
            <v>1306</v>
          </cell>
          <cell r="AN164">
            <v>1540</v>
          </cell>
          <cell r="AO164" t="e">
            <v>#REF!</v>
          </cell>
          <cell r="AP164">
            <v>-9.4313453536754466E-2</v>
          </cell>
          <cell r="AQ164">
            <v>0.17917304747320051</v>
          </cell>
          <cell r="AR164" t="e">
            <v>#REF!</v>
          </cell>
          <cell r="AS164">
            <v>0.11715160796324656</v>
          </cell>
          <cell r="AT164">
            <v>0.12298701298701299</v>
          </cell>
          <cell r="AU164" t="e">
            <v>#REF!</v>
          </cell>
          <cell r="BE164" t="str">
            <v>Implied Svc/Completions</v>
          </cell>
          <cell r="BK164">
            <v>361</v>
          </cell>
          <cell r="CD164" t="str">
            <v>Possible 2Q03 aircraft orders</v>
          </cell>
        </row>
        <row r="165">
          <cell r="V165" t="str">
            <v>Product</v>
          </cell>
          <cell r="W165" t="str">
            <v>Location</v>
          </cell>
          <cell r="X165" t="str">
            <v>Install Base</v>
          </cell>
          <cell r="Y165" t="str">
            <v>% Sales</v>
          </cell>
          <cell r="Z165" t="str">
            <v>% Backlog</v>
          </cell>
          <cell r="AA165" t="str">
            <v>Comments</v>
          </cell>
          <cell r="AL165" t="str">
            <v>Bath</v>
          </cell>
          <cell r="AM165">
            <v>840</v>
          </cell>
          <cell r="AN165">
            <v>925</v>
          </cell>
          <cell r="AO165" t="e">
            <v>#REF!</v>
          </cell>
          <cell r="AP165" t="str">
            <v>NMF</v>
          </cell>
          <cell r="AQ165">
            <v>0.10119047619047628</v>
          </cell>
          <cell r="AR165" t="e">
            <v>#REF!</v>
          </cell>
          <cell r="AS165">
            <v>5.9523809523809521E-2</v>
          </cell>
          <cell r="AT165">
            <v>7.2432432432432428E-2</v>
          </cell>
          <cell r="AU165" t="e">
            <v>#REF!</v>
          </cell>
          <cell r="BE165" t="str">
            <v>Reported B-L</v>
          </cell>
          <cell r="BK165">
            <v>4500</v>
          </cell>
          <cell r="CF165" t="str">
            <v>Prix/plane</v>
          </cell>
        </row>
        <row r="166">
          <cell r="L166" t="str">
            <v>GD 1Q04 Actual vs. Expected</v>
          </cell>
          <cell r="V166" t="str">
            <v>Piranha</v>
          </cell>
          <cell r="W166" t="str">
            <v>Switzerland</v>
          </cell>
          <cell r="X166" t="str">
            <v>1800+</v>
          </cell>
          <cell r="Y166" t="str">
            <v>under 1/3</v>
          </cell>
          <cell r="Z166" t="str">
            <v>under 1/3</v>
          </cell>
          <cell r="AA166" t="str">
            <v>smallest of the three products, fewer opportunities</v>
          </cell>
          <cell r="AL166" t="str">
            <v>Lucent</v>
          </cell>
          <cell r="AM166">
            <v>70</v>
          </cell>
          <cell r="AN166">
            <v>0</v>
          </cell>
          <cell r="AO166" t="e">
            <v>#REF!</v>
          </cell>
          <cell r="AP166" t="str">
            <v>NMF</v>
          </cell>
          <cell r="AQ166">
            <v>5.7692307692307709E-2</v>
          </cell>
          <cell r="AS166">
            <v>0.05</v>
          </cell>
          <cell r="AT166">
            <v>0</v>
          </cell>
          <cell r="AU166" t="e">
            <v>#REF!</v>
          </cell>
          <cell r="BV166" t="str">
            <v>Gulfstream 1Q03 Estimated Gross/Net Orders &amp;  Cancellations</v>
          </cell>
          <cell r="CE166" t="str">
            <v># A/C</v>
          </cell>
          <cell r="CF166" t="str">
            <v>($MM)</v>
          </cell>
          <cell r="CG166" t="str">
            <v>Implied Order</v>
          </cell>
        </row>
        <row r="167">
          <cell r="V167" t="str">
            <v>LAV</v>
          </cell>
          <cell r="W167" t="str">
            <v>Canada</v>
          </cell>
          <cell r="X167" t="str">
            <v>3000+</v>
          </cell>
          <cell r="Y167" t="str">
            <v>over 1/3</v>
          </cell>
          <cell r="Z167" t="str">
            <v>over 1/3</v>
          </cell>
          <cell r="AA167" t="str">
            <v>good opportunites ongoing sales growth</v>
          </cell>
          <cell r="AL167" t="str">
            <v>Amsea</v>
          </cell>
          <cell r="AM167">
            <v>95</v>
          </cell>
          <cell r="AN167">
            <v>95</v>
          </cell>
          <cell r="AO167" t="e">
            <v>#REF!</v>
          </cell>
          <cell r="AP167">
            <v>5.555555555555558E-2</v>
          </cell>
          <cell r="AQ167">
            <v>0</v>
          </cell>
          <cell r="AR167" t="e">
            <v>#REF!</v>
          </cell>
          <cell r="AS167">
            <v>0.30526315789473685</v>
          </cell>
          <cell r="AT167">
            <v>0.23157894736842105</v>
          </cell>
          <cell r="AU167" t="e">
            <v>#REF!</v>
          </cell>
          <cell r="CD167" t="str">
            <v>Lg cabin (G300/400/500/550)</v>
          </cell>
          <cell r="CE167">
            <v>9</v>
          </cell>
          <cell r="CF167">
            <v>40</v>
          </cell>
          <cell r="CG167">
            <v>360</v>
          </cell>
        </row>
        <row r="168">
          <cell r="L168" t="str">
            <v>($USD in Millions)</v>
          </cell>
          <cell r="M168" t="str">
            <v>1Q04A</v>
          </cell>
          <cell r="N168" t="str">
            <v>1Q04E</v>
          </cell>
          <cell r="O168" t="str">
            <v>1Q03A</v>
          </cell>
          <cell r="P168" t="str">
            <v>Change</v>
          </cell>
          <cell r="V168" t="str">
            <v>Stryker</v>
          </cell>
          <cell r="W168" t="str">
            <v>Canada</v>
          </cell>
          <cell r="X168" t="str">
            <v>350+</v>
          </cell>
          <cell r="Y168" t="str">
            <v>1/3</v>
          </cell>
          <cell r="Z168" t="str">
            <v>1/3</v>
          </cell>
          <cell r="AA168" t="str">
            <v>1st-4th Brigades appear to be in hand</v>
          </cell>
          <cell r="AL168" t="str">
            <v>- subtotal</v>
          </cell>
          <cell r="AM168">
            <v>2311</v>
          </cell>
          <cell r="AN168">
            <v>2666</v>
          </cell>
          <cell r="AO168" t="e">
            <v>#REF!</v>
          </cell>
          <cell r="AP168">
            <v>-9.0051457975985905E-3</v>
          </cell>
          <cell r="AQ168">
            <v>0.15361315447858059</v>
          </cell>
          <cell r="AR168" t="e">
            <v>#REF!</v>
          </cell>
          <cell r="AS168">
            <v>0.10125486802250108</v>
          </cell>
          <cell r="AT168">
            <v>0.10705176294073518</v>
          </cell>
          <cell r="AU168" t="e">
            <v>#REF!</v>
          </cell>
          <cell r="BX168" t="str">
            <v>$MMs</v>
          </cell>
          <cell r="BY168" t="str">
            <v>Comments</v>
          </cell>
          <cell r="CD168" t="str">
            <v>Mid size (G100/150/200)</v>
          </cell>
          <cell r="CE168">
            <v>4</v>
          </cell>
          <cell r="CF168">
            <v>20</v>
          </cell>
          <cell r="CG168">
            <v>80</v>
          </cell>
        </row>
        <row r="169">
          <cell r="L169" t="str">
            <v>Revenues</v>
          </cell>
          <cell r="P169" t="str">
            <v>YoY</v>
          </cell>
          <cell r="Q169" t="str">
            <v>%</v>
          </cell>
          <cell r="R169" t="str">
            <v>Comments</v>
          </cell>
          <cell r="V169" t="str">
            <v>Turrets</v>
          </cell>
          <cell r="AA169" t="str">
            <v>Engineering business complements GD ongoing work</v>
          </cell>
          <cell r="AL169" t="str">
            <v>Combat Sys</v>
          </cell>
          <cell r="BV169" t="str">
            <v>YE02 ending B-L</v>
          </cell>
          <cell r="BX169">
            <v>4498</v>
          </cell>
          <cell r="CD169" t="str">
            <v>Total</v>
          </cell>
          <cell r="CE169">
            <v>13</v>
          </cell>
          <cell r="CG169">
            <v>440</v>
          </cell>
        </row>
        <row r="170">
          <cell r="L170" t="str">
            <v>Marine Group</v>
          </cell>
          <cell r="M170">
            <v>1280</v>
          </cell>
          <cell r="N170">
            <v>1030</v>
          </cell>
          <cell r="O170">
            <v>976</v>
          </cell>
          <cell r="P170">
            <v>304</v>
          </cell>
          <cell r="Q170">
            <v>0.31147540983606548</v>
          </cell>
          <cell r="V170" t="str">
            <v>*Includes about 100MM in aftermarket split between Piranha and LAV along lines of installed base</v>
          </cell>
          <cell r="AL170" t="str">
            <v>Land Systems</v>
          </cell>
          <cell r="AM170">
            <v>975</v>
          </cell>
          <cell r="AN170">
            <v>975</v>
          </cell>
          <cell r="AO170">
            <v>940</v>
          </cell>
          <cell r="AP170">
            <v>-4.8780487804878092E-2</v>
          </cell>
          <cell r="AQ170">
            <v>0</v>
          </cell>
          <cell r="AR170">
            <v>-3.5897435897435881E-2</v>
          </cell>
          <cell r="AS170">
            <v>0.14153846153846153</v>
          </cell>
          <cell r="AT170">
            <v>0.13948717948717948</v>
          </cell>
          <cell r="AU170">
            <v>0.14361702127659576</v>
          </cell>
          <cell r="BV170" t="str">
            <v>1Q03 Sales</v>
          </cell>
          <cell r="BX170">
            <v>-452</v>
          </cell>
          <cell r="BY170" t="str">
            <v>- doesn't include svc/support/used sls</v>
          </cell>
        </row>
        <row r="171">
          <cell r="L171" t="str">
            <v>Combat Sys</v>
          </cell>
          <cell r="M171">
            <v>1070</v>
          </cell>
          <cell r="N171">
            <v>1100</v>
          </cell>
          <cell r="O171">
            <v>783</v>
          </cell>
          <cell r="P171">
            <v>287</v>
          </cell>
          <cell r="Q171">
            <v>0.36653895274584936</v>
          </cell>
          <cell r="AL171" t="str">
            <v>CDI</v>
          </cell>
          <cell r="AN171">
            <v>933</v>
          </cell>
          <cell r="AO171">
            <v>1422</v>
          </cell>
          <cell r="AQ171" t="str">
            <v>NMF</v>
          </cell>
          <cell r="AR171">
            <v>0.52411575562700974</v>
          </cell>
          <cell r="AT171">
            <v>7.3954983922829579E-2</v>
          </cell>
          <cell r="AU171">
            <v>8.9310829817158932E-2</v>
          </cell>
          <cell r="BV171" t="str">
            <v>Backlog minus Sls</v>
          </cell>
          <cell r="BX171">
            <v>4046</v>
          </cell>
        </row>
        <row r="172">
          <cell r="L172" t="str">
            <v>Info Sys &amp; Tech</v>
          </cell>
          <cell r="M172">
            <v>1643</v>
          </cell>
          <cell r="N172">
            <v>1425</v>
          </cell>
          <cell r="O172">
            <v>993</v>
          </cell>
          <cell r="P172">
            <v>650</v>
          </cell>
          <cell r="Q172">
            <v>0.65458207452165151</v>
          </cell>
          <cell r="AL172" t="str">
            <v>Def/Arm Sys</v>
          </cell>
          <cell r="AM172">
            <v>534</v>
          </cell>
          <cell r="AN172">
            <v>295</v>
          </cell>
          <cell r="AO172">
            <v>360</v>
          </cell>
          <cell r="AP172" t="str">
            <v>NMF</v>
          </cell>
          <cell r="AQ172">
            <v>-0.44756554307116103</v>
          </cell>
          <cell r="AR172">
            <v>0.22033898305084754</v>
          </cell>
          <cell r="AS172">
            <v>9.1760299625468167E-2</v>
          </cell>
          <cell r="AT172">
            <v>9.8305084745762716E-2</v>
          </cell>
          <cell r="AU172">
            <v>0.10277777777777777</v>
          </cell>
        </row>
        <row r="173">
          <cell r="L173" t="str">
            <v xml:space="preserve">Aerospace </v>
          </cell>
          <cell r="M173">
            <v>606</v>
          </cell>
          <cell r="N173">
            <v>625</v>
          </cell>
          <cell r="O173">
            <v>594</v>
          </cell>
          <cell r="P173">
            <v>12</v>
          </cell>
          <cell r="Q173">
            <v>2.020202020202011E-2</v>
          </cell>
          <cell r="AL173" t="str">
            <v>- subtotal</v>
          </cell>
          <cell r="AM173">
            <v>1509</v>
          </cell>
          <cell r="AN173">
            <v>2203</v>
          </cell>
          <cell r="AO173">
            <v>2722</v>
          </cell>
          <cell r="AP173" t="str">
            <v>NMF</v>
          </cell>
          <cell r="AQ173" t="str">
            <v>NMF</v>
          </cell>
          <cell r="AR173">
            <v>0.23558783477076717</v>
          </cell>
          <cell r="AS173">
            <v>0.12392312789927104</v>
          </cell>
          <cell r="AT173">
            <v>0.12992125984251968</v>
          </cell>
          <cell r="AU173">
            <v>0.13230769230769232</v>
          </cell>
          <cell r="BE173" t="str">
            <v>1Q03</v>
          </cell>
          <cell r="BF173" t="str">
            <v>2Q03</v>
          </cell>
          <cell r="BG173" t="str">
            <v>3Q03</v>
          </cell>
          <cell r="BH173" t="str">
            <v>4Q03</v>
          </cell>
          <cell r="BI173" t="str">
            <v>1Q04</v>
          </cell>
          <cell r="BJ173" t="str">
            <v>2Q04</v>
          </cell>
          <cell r="BK173" t="str">
            <v>3Q04</v>
          </cell>
          <cell r="BL173" t="str">
            <v>4Q04</v>
          </cell>
          <cell r="BM173" t="str">
            <v>1Q05</v>
          </cell>
          <cell r="BN173" t="str">
            <v>2Q05</v>
          </cell>
          <cell r="BO173" t="str">
            <v>3Q05</v>
          </cell>
          <cell r="BP173" t="str">
            <v>4Q05</v>
          </cell>
          <cell r="BQ173" t="str">
            <v>1Q06</v>
          </cell>
          <cell r="BR173" t="str">
            <v>2Q06</v>
          </cell>
          <cell r="BS173" t="str">
            <v>3Q06</v>
          </cell>
          <cell r="BT173" t="str">
            <v>4Q06</v>
          </cell>
          <cell r="BV173" t="str">
            <v>Implied Orders</v>
          </cell>
          <cell r="BX173">
            <v>464</v>
          </cell>
          <cell r="BY173" t="str">
            <v>- Israeli govt=$437 (inc opns)</v>
          </cell>
          <cell r="CD173" t="str">
            <v>GD 2Q03 Actual vs. Expectations</v>
          </cell>
        </row>
        <row r="174">
          <cell r="L174" t="str">
            <v>Other</v>
          </cell>
          <cell r="M174">
            <v>47</v>
          </cell>
          <cell r="N174">
            <v>45</v>
          </cell>
          <cell r="O174">
            <v>41</v>
          </cell>
          <cell r="P174">
            <v>6</v>
          </cell>
          <cell r="Q174">
            <v>0.14634146341463405</v>
          </cell>
          <cell r="AL174" t="str">
            <v>Total</v>
          </cell>
          <cell r="AM174">
            <v>3820</v>
          </cell>
          <cell r="AN174">
            <v>4869</v>
          </cell>
          <cell r="AO174" t="e">
            <v>#REF!</v>
          </cell>
          <cell r="AP174">
            <v>-0.12600536193029488</v>
          </cell>
          <cell r="AQ174">
            <v>0.2746073298429319</v>
          </cell>
          <cell r="AR174" t="e">
            <v>#REF!</v>
          </cell>
          <cell r="AT174">
            <v>0.10675425990556354</v>
          </cell>
          <cell r="AU174">
            <v>0.10517241379310345</v>
          </cell>
          <cell r="BD174" t="str">
            <v>Debt</v>
          </cell>
          <cell r="BE174">
            <v>3100</v>
          </cell>
          <cell r="BF174">
            <v>3084</v>
          </cell>
          <cell r="BG174">
            <v>4544</v>
          </cell>
          <cell r="BH174">
            <v>4043</v>
          </cell>
          <cell r="BI174">
            <v>3858</v>
          </cell>
          <cell r="BJ174">
            <v>3816</v>
          </cell>
          <cell r="BK174">
            <v>3687</v>
          </cell>
          <cell r="BL174">
            <v>3297</v>
          </cell>
          <cell r="BM174">
            <v>3297</v>
          </cell>
          <cell r="BN174">
            <v>3298</v>
          </cell>
          <cell r="BO174">
            <v>3297</v>
          </cell>
          <cell r="BP174">
            <v>3291</v>
          </cell>
          <cell r="BQ174">
            <v>3285</v>
          </cell>
          <cell r="BR174">
            <v>3649</v>
          </cell>
          <cell r="BS174">
            <v>3107</v>
          </cell>
          <cell r="BT174">
            <v>2781</v>
          </cell>
          <cell r="BV174" t="str">
            <v>Implied Cancels</v>
          </cell>
          <cell r="BX174">
            <v>-230</v>
          </cell>
          <cell r="BY174" t="str">
            <v>-assumes 4 550s, 3 G200, 1 G400</v>
          </cell>
          <cell r="CE174" t="str">
            <v>Actual</v>
          </cell>
          <cell r="CG174" t="str">
            <v>Estimate</v>
          </cell>
          <cell r="CI174" t="str">
            <v>Net Effect</v>
          </cell>
        </row>
        <row r="175">
          <cell r="L175" t="str">
            <v xml:space="preserve"> Total Revs.</v>
          </cell>
          <cell r="M175">
            <v>4646</v>
          </cell>
          <cell r="N175">
            <v>4225</v>
          </cell>
          <cell r="O175">
            <v>3387</v>
          </cell>
          <cell r="P175">
            <v>1259</v>
          </cell>
          <cell r="Q175">
            <v>0.37171538234425738</v>
          </cell>
          <cell r="S175" t="str">
            <v>1Q04 Est Organic Revenue Growth* for Combat Systems and IS&amp;T</v>
          </cell>
          <cell r="Y175" t="str">
            <v>2003 Est Organic Revenue Growth* for Combat Systems and IS&amp;T</v>
          </cell>
          <cell r="AE175" t="str">
            <v>4Q03 Est Organic Revenue Growth* for Combat Systems and IS&amp;T</v>
          </cell>
          <cell r="BD175" t="str">
            <v>Cash</v>
          </cell>
          <cell r="BE175">
            <v>748</v>
          </cell>
          <cell r="BF175">
            <v>811</v>
          </cell>
          <cell r="BG175">
            <v>697</v>
          </cell>
          <cell r="BH175">
            <v>861</v>
          </cell>
          <cell r="BI175">
            <v>869</v>
          </cell>
          <cell r="BJ175">
            <v>1100</v>
          </cell>
          <cell r="BK175">
            <v>686</v>
          </cell>
          <cell r="BL175">
            <v>976</v>
          </cell>
          <cell r="BM175">
            <v>1511</v>
          </cell>
          <cell r="BN175">
            <v>1438</v>
          </cell>
          <cell r="BO175">
            <v>1754</v>
          </cell>
          <cell r="BP175">
            <v>2331</v>
          </cell>
          <cell r="BQ175">
            <v>2599</v>
          </cell>
          <cell r="BR175">
            <v>1399</v>
          </cell>
          <cell r="BS175">
            <v>963</v>
          </cell>
          <cell r="BT175">
            <v>1604</v>
          </cell>
          <cell r="BV175" t="str">
            <v>Net change to B-L</v>
          </cell>
          <cell r="BX175">
            <v>234</v>
          </cell>
          <cell r="CE175" t="str">
            <v>Reveue</v>
          </cell>
          <cell r="CF175" t="str">
            <v>Op Prof</v>
          </cell>
          <cell r="CG175" t="str">
            <v>Reveue</v>
          </cell>
          <cell r="CH175" t="str">
            <v>Op Prof</v>
          </cell>
          <cell r="CI175" t="str">
            <v>to EPS</v>
          </cell>
        </row>
        <row r="176">
          <cell r="L176" t="str">
            <v>Operating Profit</v>
          </cell>
          <cell r="T176" t="str">
            <v>Combat</v>
          </cell>
          <cell r="U176" t="str">
            <v>Property (closed)</v>
          </cell>
          <cell r="V176" t="str">
            <v>IS&amp;T</v>
          </cell>
          <cell r="W176" t="str">
            <v>Property (closed)</v>
          </cell>
          <cell r="Z176" t="str">
            <v>Combat</v>
          </cell>
          <cell r="AA176" t="str">
            <v>Property (closed)</v>
          </cell>
          <cell r="AB176" t="str">
            <v>IS&amp;T</v>
          </cell>
          <cell r="AC176" t="str">
            <v>Property (closed)</v>
          </cell>
          <cell r="AF176" t="str">
            <v>Combat</v>
          </cell>
          <cell r="AG176" t="str">
            <v>Property (closed)</v>
          </cell>
          <cell r="AH176" t="str">
            <v>IS&amp;T</v>
          </cell>
          <cell r="AI176" t="str">
            <v>Property (closed)</v>
          </cell>
          <cell r="AU176" t="str">
            <v>Est. GD "Core" Business Revenue Mix ($MM)</v>
          </cell>
          <cell r="BD176" t="str">
            <v>Equity</v>
          </cell>
          <cell r="BE176">
            <v>5108</v>
          </cell>
          <cell r="BF176">
            <v>5407</v>
          </cell>
          <cell r="BG176">
            <v>5586</v>
          </cell>
          <cell r="BH176">
            <v>5921</v>
          </cell>
          <cell r="BI176">
            <v>6217</v>
          </cell>
          <cell r="BJ176">
            <v>6458</v>
          </cell>
          <cell r="BK176">
            <v>6777</v>
          </cell>
          <cell r="BL176">
            <v>7189</v>
          </cell>
          <cell r="BM176">
            <v>7396</v>
          </cell>
          <cell r="BN176">
            <v>7576</v>
          </cell>
          <cell r="BO176">
            <v>7973</v>
          </cell>
          <cell r="BP176">
            <v>8145</v>
          </cell>
          <cell r="BQ176">
            <v>8467</v>
          </cell>
          <cell r="BR176">
            <v>9081</v>
          </cell>
          <cell r="BS176">
            <v>9472</v>
          </cell>
          <cell r="BT176">
            <v>9827</v>
          </cell>
          <cell r="CD176" t="str">
            <v>Marine</v>
          </cell>
          <cell r="CE176">
            <v>983</v>
          </cell>
          <cell r="CF176">
            <v>64</v>
          </cell>
          <cell r="CG176">
            <v>980</v>
          </cell>
          <cell r="CH176">
            <v>80</v>
          </cell>
          <cell r="CI176">
            <v>-5.3999999999999999E-2</v>
          </cell>
        </row>
        <row r="177">
          <cell r="L177" t="str">
            <v>Marine Group</v>
          </cell>
          <cell r="M177">
            <v>98</v>
          </cell>
          <cell r="N177">
            <v>67</v>
          </cell>
          <cell r="O177">
            <v>65</v>
          </cell>
          <cell r="P177">
            <v>33</v>
          </cell>
          <cell r="Q177">
            <v>0.50769230769230766</v>
          </cell>
          <cell r="S177" t="str">
            <v>1Q03A</v>
          </cell>
          <cell r="T177">
            <v>783</v>
          </cell>
          <cell r="V177">
            <v>993</v>
          </cell>
          <cell r="Y177">
            <v>2002</v>
          </cell>
          <cell r="Z177">
            <v>2786</v>
          </cell>
          <cell r="AB177">
            <v>3669</v>
          </cell>
          <cell r="AE177" t="str">
            <v>4Q02</v>
          </cell>
          <cell r="AF177">
            <v>819</v>
          </cell>
          <cell r="AH177">
            <v>981</v>
          </cell>
          <cell r="BD177" t="str">
            <v>Net Debt/Cap</v>
          </cell>
          <cell r="BE177">
            <v>0.31528150134048255</v>
          </cell>
          <cell r="BF177">
            <v>0.29596354166666666</v>
          </cell>
          <cell r="BG177">
            <v>0.40782359800699669</v>
          </cell>
          <cell r="BH177">
            <v>0.34955509172800175</v>
          </cell>
          <cell r="BI177">
            <v>0.32467955681077559</v>
          </cell>
          <cell r="BJ177">
            <v>0.29605406583823851</v>
          </cell>
          <cell r="BK177">
            <v>0.30691347923910822</v>
          </cell>
          <cell r="BL177">
            <v>0.24405888538380652</v>
          </cell>
          <cell r="BM177">
            <v>0.19451099978218253</v>
          </cell>
          <cell r="BN177">
            <v>0.19711742263671048</v>
          </cell>
          <cell r="BO177">
            <v>0.16214796132828921</v>
          </cell>
          <cell r="BP177">
            <v>0.10543657331136738</v>
          </cell>
          <cell r="BQ177">
            <v>7.4948104446629527E-2</v>
          </cell>
          <cell r="BR177">
            <v>0.19857029388403494</v>
          </cell>
          <cell r="BS177">
            <v>0.18457300275482094</v>
          </cell>
          <cell r="BT177">
            <v>0.1069611050527081</v>
          </cell>
          <cell r="BV177" t="str">
            <v>Reported 1Q03 B-L</v>
          </cell>
          <cell r="BX177">
            <v>4280</v>
          </cell>
          <cell r="CD177" t="str">
            <v>Aerospace</v>
          </cell>
          <cell r="CE177">
            <v>715</v>
          </cell>
          <cell r="CF177">
            <v>45</v>
          </cell>
          <cell r="CG177">
            <v>725</v>
          </cell>
          <cell r="CH177">
            <v>65</v>
          </cell>
          <cell r="CI177">
            <v>-6.4000000000000001E-2</v>
          </cell>
        </row>
        <row r="178">
          <cell r="L178" t="str">
            <v>Combat Sys</v>
          </cell>
          <cell r="M178">
            <v>112</v>
          </cell>
          <cell r="N178">
            <v>112</v>
          </cell>
          <cell r="O178">
            <v>88</v>
          </cell>
          <cell r="P178">
            <v>24</v>
          </cell>
          <cell r="Q178">
            <v>0.27272727272727271</v>
          </cell>
          <cell r="T178">
            <v>-80</v>
          </cell>
          <cell r="U178" t="str">
            <v>GM Def (3/03)</v>
          </cell>
          <cell r="Z178">
            <v>-127.29166666666666</v>
          </cell>
          <cell r="AA178" t="str">
            <v>ATP (6/02)</v>
          </cell>
          <cell r="AB178">
            <v>-15</v>
          </cell>
          <cell r="AC178" t="str">
            <v>CSI (8/02)</v>
          </cell>
          <cell r="AF178">
            <v>-6.6666666666666661</v>
          </cell>
          <cell r="AG178" t="str">
            <v>EWK (10/02)</v>
          </cell>
          <cell r="AU178" t="str">
            <v>Mature Progs</v>
          </cell>
          <cell r="AV178" t="str">
            <v>1995</v>
          </cell>
          <cell r="AW178" t="str">
            <v>1996</v>
          </cell>
          <cell r="AX178" t="str">
            <v>1997</v>
          </cell>
          <cell r="AY178" t="str">
            <v>1998</v>
          </cell>
          <cell r="AZ178" t="str">
            <v>1999</v>
          </cell>
          <cell r="BA178" t="str">
            <v>2000</v>
          </cell>
          <cell r="BV178" t="str">
            <v>Est Book: Bill</v>
          </cell>
          <cell r="BX178">
            <v>-1.0265486725663717</v>
          </cell>
          <cell r="CD178" t="str">
            <v>Combat systems</v>
          </cell>
          <cell r="CE178">
            <v>1016</v>
          </cell>
          <cell r="CF178">
            <v>119</v>
          </cell>
          <cell r="CG178">
            <v>1040</v>
          </cell>
          <cell r="CH178">
            <v>110</v>
          </cell>
          <cell r="CI178">
            <v>2.5000000000000001E-2</v>
          </cell>
        </row>
        <row r="179">
          <cell r="L179" t="str">
            <v>Info Sys &amp; Tech</v>
          </cell>
          <cell r="M179">
            <v>169</v>
          </cell>
          <cell r="N179">
            <v>145</v>
          </cell>
          <cell r="O179">
            <v>111</v>
          </cell>
          <cell r="P179">
            <v>58</v>
          </cell>
          <cell r="Q179">
            <v>0.52252252252252251</v>
          </cell>
          <cell r="S179" t="str">
            <v>1Q03 Adj</v>
          </cell>
          <cell r="T179">
            <v>703</v>
          </cell>
          <cell r="V179">
            <v>993</v>
          </cell>
          <cell r="Z179">
            <v>-6.6666666666666661</v>
          </cell>
          <cell r="AA179" t="str">
            <v>EWK (10/02)</v>
          </cell>
          <cell r="AU179" t="str">
            <v>Trident</v>
          </cell>
          <cell r="AV179">
            <v>410</v>
          </cell>
          <cell r="AW179">
            <v>325</v>
          </cell>
          <cell r="AX179">
            <v>100</v>
          </cell>
          <cell r="AY179">
            <v>60</v>
          </cell>
          <cell r="AZ179" t="e">
            <v>#REF!</v>
          </cell>
          <cell r="BA179">
            <v>15</v>
          </cell>
          <cell r="CD179" t="str">
            <v>IST</v>
          </cell>
          <cell r="CE179">
            <v>1152</v>
          </cell>
          <cell r="CF179">
            <v>141</v>
          </cell>
          <cell r="CG179">
            <v>1010</v>
          </cell>
          <cell r="CH179">
            <v>110</v>
          </cell>
          <cell r="CI179">
            <v>0.11</v>
          </cell>
        </row>
        <row r="180">
          <cell r="L180" t="str">
            <v xml:space="preserve">Aerospace </v>
          </cell>
          <cell r="M180">
            <v>66</v>
          </cell>
          <cell r="N180">
            <v>60</v>
          </cell>
          <cell r="O180">
            <v>40</v>
          </cell>
          <cell r="P180">
            <v>26</v>
          </cell>
          <cell r="Q180">
            <v>0.64999999999999991</v>
          </cell>
          <cell r="Y180" t="str">
            <v>2002 Adj</v>
          </cell>
          <cell r="Z180">
            <v>2652.041666666667</v>
          </cell>
          <cell r="AB180">
            <v>3654</v>
          </cell>
          <cell r="AE180" t="str">
            <v>4Q02 Adj</v>
          </cell>
          <cell r="AF180">
            <v>812.33333333333337</v>
          </cell>
          <cell r="AH180">
            <v>981</v>
          </cell>
          <cell r="AU180" t="str">
            <v>SSN688</v>
          </cell>
          <cell r="AV180">
            <v>100</v>
          </cell>
          <cell r="AW180">
            <v>30</v>
          </cell>
          <cell r="AX180">
            <v>26</v>
          </cell>
          <cell r="AY180">
            <v>10</v>
          </cell>
          <cell r="AZ180" t="e">
            <v>#REF!</v>
          </cell>
          <cell r="BA180">
            <v>0</v>
          </cell>
          <cell r="CD180" t="str">
            <v>Interest</v>
          </cell>
          <cell r="CF180">
            <v>-19</v>
          </cell>
          <cell r="CH180">
            <v>-16</v>
          </cell>
          <cell r="CI180">
            <v>-1.4E-2</v>
          </cell>
        </row>
        <row r="181">
          <cell r="L181" t="str">
            <v>Other</v>
          </cell>
          <cell r="M181">
            <v>-9</v>
          </cell>
          <cell r="N181">
            <v>9</v>
          </cell>
          <cell r="O181">
            <v>10</v>
          </cell>
          <cell r="P181">
            <v>-19</v>
          </cell>
          <cell r="Q181">
            <v>-1.9</v>
          </cell>
          <cell r="S181" t="str">
            <v>1Q04E</v>
          </cell>
          <cell r="T181">
            <v>1070</v>
          </cell>
          <cell r="V181">
            <v>1643</v>
          </cell>
          <cell r="AU181" t="str">
            <v>SSN21</v>
          </cell>
          <cell r="AV181">
            <v>475</v>
          </cell>
          <cell r="AW181">
            <v>530</v>
          </cell>
          <cell r="AX181">
            <v>560</v>
          </cell>
          <cell r="AY181">
            <v>600</v>
          </cell>
          <cell r="AZ181" t="e">
            <v>#REF!</v>
          </cell>
          <cell r="BA181">
            <v>450</v>
          </cell>
          <cell r="CD181" t="str">
            <v>Tax rate</v>
          </cell>
          <cell r="CF181">
            <v>0.33</v>
          </cell>
          <cell r="CH181">
            <v>0.34</v>
          </cell>
          <cell r="CI181">
            <v>1.4999999999999999E-2</v>
          </cell>
        </row>
        <row r="182">
          <cell r="L182" t="str">
            <v xml:space="preserve"> Total Operating Profit</v>
          </cell>
          <cell r="M182">
            <v>436</v>
          </cell>
          <cell r="N182">
            <v>393</v>
          </cell>
          <cell r="O182">
            <v>314</v>
          </cell>
          <cell r="P182">
            <v>122</v>
          </cell>
          <cell r="Q182">
            <v>0.38853503184713367</v>
          </cell>
          <cell r="T182">
            <v>-250</v>
          </cell>
          <cell r="U182" t="str">
            <v>GM Def (3/03)</v>
          </cell>
          <cell r="V182">
            <v>-400</v>
          </cell>
          <cell r="W182" t="str">
            <v>VNX (8/03)</v>
          </cell>
          <cell r="Y182">
            <v>2003</v>
          </cell>
          <cell r="Z182">
            <v>4007</v>
          </cell>
          <cell r="AB182">
            <v>4848</v>
          </cell>
          <cell r="AE182" t="str">
            <v>4Q03</v>
          </cell>
          <cell r="AF182">
            <v>1240</v>
          </cell>
          <cell r="AH182">
            <v>1472</v>
          </cell>
          <cell r="AU182" t="str">
            <v>DDG51</v>
          </cell>
          <cell r="AV182">
            <v>305</v>
          </cell>
          <cell r="AW182">
            <v>780</v>
          </cell>
          <cell r="AX182">
            <v>800</v>
          </cell>
          <cell r="AY182">
            <v>840</v>
          </cell>
          <cell r="AZ182" t="e">
            <v>#REF!</v>
          </cell>
          <cell r="BA182">
            <v>790</v>
          </cell>
          <cell r="CD182" t="str">
            <v>EPS</v>
          </cell>
          <cell r="CE182" t="str">
            <v xml:space="preserve">Actual </v>
          </cell>
          <cell r="CF182">
            <v>1.22</v>
          </cell>
          <cell r="CG182" t="str">
            <v>Est</v>
          </cell>
          <cell r="CH182">
            <v>1.2</v>
          </cell>
          <cell r="CI182">
            <v>1.8000000000000002E-2</v>
          </cell>
        </row>
        <row r="183">
          <cell r="L183" t="str">
            <v>Interest, net</v>
          </cell>
          <cell r="M183">
            <v>-39</v>
          </cell>
          <cell r="N183">
            <v>-38</v>
          </cell>
          <cell r="O183">
            <v>-11</v>
          </cell>
          <cell r="P183">
            <v>-28</v>
          </cell>
          <cell r="Q183">
            <v>2.5454545454545454</v>
          </cell>
          <cell r="T183">
            <v>-36.25</v>
          </cell>
          <cell r="U183" t="str">
            <v>IMCO (9/03)</v>
          </cell>
          <cell r="V183">
            <v>-31.25</v>
          </cell>
          <cell r="W183" t="str">
            <v>DSR (9/03)</v>
          </cell>
          <cell r="Z183">
            <v>-235</v>
          </cell>
          <cell r="AA183" t="str">
            <v>ATP (6/02)</v>
          </cell>
          <cell r="AB183">
            <v>-60</v>
          </cell>
          <cell r="AC183" t="str">
            <v>CSI (8/02)</v>
          </cell>
          <cell r="AF183">
            <v>-10</v>
          </cell>
          <cell r="AG183" t="str">
            <v>EWK (10/02)</v>
          </cell>
          <cell r="AH183">
            <v>-300</v>
          </cell>
          <cell r="AI183" t="str">
            <v>VNX (8/03)</v>
          </cell>
          <cell r="AU183" t="str">
            <v>Amsea</v>
          </cell>
          <cell r="AV183">
            <v>69</v>
          </cell>
          <cell r="AW183">
            <v>85</v>
          </cell>
          <cell r="AX183">
            <v>95</v>
          </cell>
          <cell r="AY183">
            <v>95</v>
          </cell>
          <cell r="AZ183" t="e">
            <v>#REF!</v>
          </cell>
          <cell r="BA183">
            <v>95</v>
          </cell>
        </row>
        <row r="184">
          <cell r="L184" t="str">
            <v>Other</v>
          </cell>
          <cell r="M184">
            <v>0</v>
          </cell>
          <cell r="N184">
            <v>0</v>
          </cell>
          <cell r="O184">
            <v>4</v>
          </cell>
          <cell r="P184">
            <v>-4</v>
          </cell>
          <cell r="Q184">
            <v>-1</v>
          </cell>
          <cell r="T184">
            <v>-57.5</v>
          </cell>
          <cell r="U184" t="str">
            <v>Steyr (10/03)</v>
          </cell>
          <cell r="V184">
            <v>-8</v>
          </cell>
          <cell r="W184" t="str">
            <v>Creat. Tech (3/03)</v>
          </cell>
          <cell r="Z184">
            <v>-40</v>
          </cell>
          <cell r="AA184" t="str">
            <v>EWK (10/02)</v>
          </cell>
          <cell r="AB184">
            <v>-24</v>
          </cell>
          <cell r="AC184" t="str">
            <v>Creat. Tech (3/03)</v>
          </cell>
          <cell r="AF184">
            <v>-250</v>
          </cell>
          <cell r="AG184" t="str">
            <v>GM Def (3/03)</v>
          </cell>
          <cell r="AH184">
            <v>-31.25</v>
          </cell>
          <cell r="AI184" t="str">
            <v>DSR (9/03)</v>
          </cell>
          <cell r="AU184" t="str">
            <v>M1A2 - foreign</v>
          </cell>
          <cell r="AV184">
            <v>476</v>
          </cell>
          <cell r="AW184">
            <v>261</v>
          </cell>
          <cell r="AX184">
            <v>166</v>
          </cell>
          <cell r="AY184">
            <v>55</v>
          </cell>
          <cell r="AZ184">
            <v>0</v>
          </cell>
          <cell r="BA184">
            <v>0</v>
          </cell>
          <cell r="CD184" t="str">
            <v>GD 3Q03 Actual vs. Expectations</v>
          </cell>
        </row>
        <row r="185">
          <cell r="L185" t="str">
            <v>Pretax Inc</v>
          </cell>
          <cell r="M185">
            <v>397</v>
          </cell>
          <cell r="N185">
            <v>355</v>
          </cell>
          <cell r="O185">
            <v>307</v>
          </cell>
          <cell r="P185">
            <v>90</v>
          </cell>
          <cell r="Q185">
            <v>0.29315960912052108</v>
          </cell>
          <cell r="S185" t="str">
            <v>1Q04 Adj</v>
          </cell>
          <cell r="T185">
            <v>726.25</v>
          </cell>
          <cell r="V185">
            <v>1203.75</v>
          </cell>
          <cell r="Z185">
            <v>-833.33333333333337</v>
          </cell>
          <cell r="AA185" t="str">
            <v>GM Def (3/03)</v>
          </cell>
          <cell r="AB185">
            <v>-450</v>
          </cell>
          <cell r="AC185" t="str">
            <v>VNX (8/03)</v>
          </cell>
          <cell r="AF185">
            <v>-36.25</v>
          </cell>
          <cell r="AG185" t="str">
            <v>IMCO (9/03)</v>
          </cell>
          <cell r="AH185">
            <v>-8</v>
          </cell>
          <cell r="AI185" t="str">
            <v>Creat. Tech (3/03)</v>
          </cell>
          <cell r="AU185" t="str">
            <v>M1A2 - U.S.</v>
          </cell>
          <cell r="AV185">
            <v>274</v>
          </cell>
          <cell r="AW185">
            <v>299</v>
          </cell>
          <cell r="AX185">
            <v>319</v>
          </cell>
          <cell r="AY185">
            <v>355</v>
          </cell>
          <cell r="AZ185">
            <v>425</v>
          </cell>
          <cell r="BA185">
            <v>445</v>
          </cell>
          <cell r="CE185" t="str">
            <v>Actual</v>
          </cell>
          <cell r="CG185" t="str">
            <v>Estimate</v>
          </cell>
          <cell r="CI185" t="str">
            <v>Net Effect</v>
          </cell>
        </row>
        <row r="186">
          <cell r="L186" t="str">
            <v>Eff Tax Rate</v>
          </cell>
          <cell r="M186">
            <v>0.33250000000000002</v>
          </cell>
          <cell r="N186">
            <v>0.33</v>
          </cell>
          <cell r="O186">
            <v>0.28999999999999998</v>
          </cell>
          <cell r="S186" t="str">
            <v>% ch org</v>
          </cell>
          <cell r="T186">
            <v>3.3072546230440869E-2</v>
          </cell>
          <cell r="V186">
            <v>0.21223564954682783</v>
          </cell>
          <cell r="Z186">
            <v>-48.333333333333329</v>
          </cell>
          <cell r="AA186" t="str">
            <v>IMCO (9/03)</v>
          </cell>
          <cell r="AB186">
            <v>-36.458333333333336</v>
          </cell>
          <cell r="AC186" t="str">
            <v>DSR (9/03)</v>
          </cell>
          <cell r="AF186">
            <v>-57.5</v>
          </cell>
          <cell r="AG186" t="str">
            <v>Steyr (10/03)</v>
          </cell>
          <cell r="AU186" t="str">
            <v>Def/Arm Sys</v>
          </cell>
          <cell r="AV186">
            <v>0</v>
          </cell>
          <cell r="AW186">
            <v>0</v>
          </cell>
          <cell r="AX186">
            <v>534</v>
          </cell>
          <cell r="AY186">
            <v>295</v>
          </cell>
          <cell r="AZ186">
            <v>360</v>
          </cell>
          <cell r="BA186">
            <v>435</v>
          </cell>
          <cell r="CE186" t="str">
            <v>Reveue</v>
          </cell>
          <cell r="CF186" t="str">
            <v>Op Prof</v>
          </cell>
          <cell r="CG186" t="str">
            <v>Reveue</v>
          </cell>
          <cell r="CH186" t="str">
            <v>Op Prof</v>
          </cell>
          <cell r="CI186" t="str">
            <v>to EPS</v>
          </cell>
        </row>
        <row r="187">
          <cell r="L187" t="str">
            <v>Net Income</v>
          </cell>
          <cell r="M187">
            <v>264.9975</v>
          </cell>
          <cell r="N187">
            <v>237.85</v>
          </cell>
          <cell r="O187">
            <v>217.97</v>
          </cell>
          <cell r="P187">
            <v>47.027500000000003</v>
          </cell>
          <cell r="Q187">
            <v>0.21575216772950401</v>
          </cell>
          <cell r="Z187">
            <v>-57.5</v>
          </cell>
          <cell r="AA187" t="str">
            <v>Steyr (10/03)</v>
          </cell>
          <cell r="AE187" t="str">
            <v>4Q03 Adj</v>
          </cell>
          <cell r="AF187">
            <v>886.25</v>
          </cell>
          <cell r="AH187">
            <v>1132.75</v>
          </cell>
          <cell r="AU187" t="str">
            <v>SINCGARS</v>
          </cell>
          <cell r="AV187">
            <v>125</v>
          </cell>
          <cell r="AW187">
            <v>130</v>
          </cell>
          <cell r="AX187">
            <v>125</v>
          </cell>
          <cell r="AY187">
            <v>100</v>
          </cell>
          <cell r="AZ187">
            <v>0</v>
          </cell>
          <cell r="BA187">
            <v>0</v>
          </cell>
          <cell r="CD187" t="str">
            <v>Marine</v>
          </cell>
          <cell r="CE187">
            <v>1190</v>
          </cell>
          <cell r="CF187">
            <v>36</v>
          </cell>
          <cell r="CG187">
            <v>935</v>
          </cell>
          <cell r="CH187">
            <v>65</v>
          </cell>
          <cell r="CI187">
            <v>-0.12</v>
          </cell>
        </row>
        <row r="188">
          <cell r="L188" t="str">
            <v>EPS</v>
          </cell>
          <cell r="M188">
            <v>0.66149098919457006</v>
          </cell>
          <cell r="N188">
            <v>1.1952261306532661</v>
          </cell>
          <cell r="O188">
            <v>1.0914872308462695</v>
          </cell>
          <cell r="P188">
            <v>-0.42999624165169947</v>
          </cell>
          <cell r="Q188">
            <v>-0.3939544407847152</v>
          </cell>
          <cell r="S188" t="str">
            <v>1Q04E Revenue Growth</v>
          </cell>
          <cell r="U188" t="str">
            <v xml:space="preserve">Total </v>
          </cell>
          <cell r="V188" t="str">
            <v>Organic*</v>
          </cell>
          <cell r="Y188" t="str">
            <v>2003 Adj</v>
          </cell>
          <cell r="Z188">
            <v>2792.833333333333</v>
          </cell>
          <cell r="AB188">
            <v>4277.541666666667</v>
          </cell>
          <cell r="AE188" t="str">
            <v>% ch org</v>
          </cell>
          <cell r="AF188">
            <v>9.0993024210094253E-2</v>
          </cell>
          <cell r="AH188">
            <v>0.15468909276248732</v>
          </cell>
          <cell r="AU188" t="str">
            <v>Total Mature Progs</v>
          </cell>
          <cell r="AV188">
            <v>2234</v>
          </cell>
          <cell r="AW188">
            <v>2440</v>
          </cell>
          <cell r="AX188">
            <v>2725</v>
          </cell>
          <cell r="AY188">
            <v>2410</v>
          </cell>
          <cell r="AZ188" t="e">
            <v>#REF!</v>
          </cell>
          <cell r="BA188">
            <v>2230</v>
          </cell>
          <cell r="CD188" t="str">
            <v>Aerospace</v>
          </cell>
          <cell r="CE188">
            <v>808</v>
          </cell>
          <cell r="CF188">
            <v>50</v>
          </cell>
          <cell r="CG188">
            <v>780</v>
          </cell>
          <cell r="CH188">
            <v>65</v>
          </cell>
          <cell r="CI188">
            <v>-5.8999999999999997E-2</v>
          </cell>
        </row>
        <row r="189">
          <cell r="L189" t="str">
            <v>Discont Ops</v>
          </cell>
          <cell r="M189">
            <v>9.9848638450486527E-3</v>
          </cell>
          <cell r="N189">
            <v>0</v>
          </cell>
          <cell r="O189">
            <v>0</v>
          </cell>
          <cell r="S189" t="str">
            <v>Marine Group</v>
          </cell>
          <cell r="U189">
            <v>0.31147540983606548</v>
          </cell>
          <cell r="V189">
            <v>0.31147540983606548</v>
          </cell>
          <cell r="Y189" t="str">
            <v>% ch org</v>
          </cell>
          <cell r="Z189">
            <v>5.3088029662681002E-2</v>
          </cell>
          <cell r="AB189">
            <v>0.17064632366356514</v>
          </cell>
          <cell r="AU189" t="str">
            <v>% Total Sales</v>
          </cell>
          <cell r="CD189" t="str">
            <v>Combat systems</v>
          </cell>
          <cell r="CE189">
            <v>1048</v>
          </cell>
          <cell r="CF189">
            <v>117</v>
          </cell>
          <cell r="CG189">
            <v>1080</v>
          </cell>
          <cell r="CH189">
            <v>125</v>
          </cell>
          <cell r="CI189">
            <v>-3.2000000000000001E-2</v>
          </cell>
        </row>
        <row r="190">
          <cell r="L190" t="str">
            <v>Total EPS</v>
          </cell>
          <cell r="M190">
            <v>0.67147585303961876</v>
          </cell>
          <cell r="N190">
            <v>1.1952261306532661</v>
          </cell>
          <cell r="O190">
            <v>1.0914872308462695</v>
          </cell>
          <cell r="P190">
            <v>-0.42001137780665077</v>
          </cell>
          <cell r="Q190">
            <v>-0.38480649698576941</v>
          </cell>
          <cell r="S190" t="str">
            <v>Combat Sys</v>
          </cell>
          <cell r="U190">
            <v>0.36653895274584936</v>
          </cell>
          <cell r="V190">
            <v>3.3072546230440869E-2</v>
          </cell>
          <cell r="AE190" t="str">
            <v>4Q03 Revenue Growth</v>
          </cell>
          <cell r="AG190" t="str">
            <v xml:space="preserve">Total </v>
          </cell>
          <cell r="AH190" t="str">
            <v>Organic*</v>
          </cell>
          <cell r="AU190" t="str">
            <v>New Progs</v>
          </cell>
          <cell r="CD190" t="str">
            <v>IST</v>
          </cell>
          <cell r="CE190">
            <v>1303</v>
          </cell>
          <cell r="CF190">
            <v>146</v>
          </cell>
          <cell r="CG190">
            <v>975</v>
          </cell>
          <cell r="CH190">
            <v>118</v>
          </cell>
          <cell r="CI190">
            <v>0.11</v>
          </cell>
        </row>
        <row r="191">
          <cell r="L191" t="str">
            <v xml:space="preserve"> Avg. Shs. (MM)</v>
          </cell>
          <cell r="M191">
            <v>400.60636399999999</v>
          </cell>
          <cell r="N191">
            <v>199</v>
          </cell>
          <cell r="O191">
            <v>199.7</v>
          </cell>
          <cell r="S191" t="str">
            <v>Info Sys &amp; Tech</v>
          </cell>
          <cell r="U191">
            <v>0.65458207452165151</v>
          </cell>
          <cell r="V191">
            <v>0.21223564954682783</v>
          </cell>
          <cell r="Y191" t="str">
            <v>2003 Revenue Growth</v>
          </cell>
          <cell r="AA191" t="str">
            <v xml:space="preserve">Total </v>
          </cell>
          <cell r="AB191" t="str">
            <v>Organic*</v>
          </cell>
          <cell r="AE191" t="str">
            <v>Marine Group</v>
          </cell>
          <cell r="AG191">
            <v>0.11420059582919562</v>
          </cell>
          <cell r="AH191">
            <v>0.11420059582919562</v>
          </cell>
          <cell r="AU191" t="str">
            <v>NAS/Other subs</v>
          </cell>
          <cell r="AV191">
            <v>515</v>
          </cell>
          <cell r="AW191">
            <v>557</v>
          </cell>
          <cell r="AX191">
            <v>690</v>
          </cell>
          <cell r="AY191">
            <v>720</v>
          </cell>
          <cell r="AZ191" t="e">
            <v>#REF!</v>
          </cell>
          <cell r="BA191">
            <v>951</v>
          </cell>
          <cell r="CD191" t="str">
            <v>Resources</v>
          </cell>
          <cell r="CE191">
            <v>87</v>
          </cell>
          <cell r="CF191">
            <v>8</v>
          </cell>
          <cell r="CG191">
            <v>80</v>
          </cell>
          <cell r="CH191">
            <v>16</v>
          </cell>
          <cell r="CI191">
            <v>-3.2000000000000001E-2</v>
          </cell>
        </row>
        <row r="192">
          <cell r="L192" t="str">
            <v>Operating Margins</v>
          </cell>
          <cell r="S192" t="str">
            <v>Gulfstream</v>
          </cell>
          <cell r="U192">
            <v>2.020202020202011E-2</v>
          </cell>
          <cell r="V192">
            <v>2.020202020202011E-2</v>
          </cell>
          <cell r="Y192" t="str">
            <v>Marine Group</v>
          </cell>
          <cell r="AA192">
            <v>0.17013698630136975</v>
          </cell>
          <cell r="AB192">
            <v>0.17013698630136975</v>
          </cell>
          <cell r="AE192" t="str">
            <v>Combat Sys</v>
          </cell>
          <cell r="AG192">
            <v>0.51404151404151399</v>
          </cell>
          <cell r="AH192">
            <v>9.0993024210094253E-2</v>
          </cell>
          <cell r="AU192" t="str">
            <v>Bath Eng'g</v>
          </cell>
          <cell r="AV192">
            <v>10</v>
          </cell>
          <cell r="AW192">
            <v>25</v>
          </cell>
          <cell r="AX192">
            <v>10</v>
          </cell>
          <cell r="AY192">
            <v>40</v>
          </cell>
          <cell r="AZ192" t="e">
            <v>#REF!</v>
          </cell>
          <cell r="BA192">
            <v>80</v>
          </cell>
          <cell r="CD192" t="str">
            <v>Interest</v>
          </cell>
          <cell r="CF192">
            <v>-29</v>
          </cell>
          <cell r="CH192">
            <v>-20</v>
          </cell>
          <cell r="CI192">
            <v>-0.03</v>
          </cell>
        </row>
        <row r="193">
          <cell r="L193" t="str">
            <v>Marine Group</v>
          </cell>
          <cell r="M193">
            <v>7.6562500000000006E-2</v>
          </cell>
          <cell r="N193">
            <v>6.5048543689320393E-2</v>
          </cell>
          <cell r="O193">
            <v>6.6598360655737709E-2</v>
          </cell>
          <cell r="P193">
            <v>9.9641393442622961E-3</v>
          </cell>
          <cell r="S193" t="str">
            <v>Other</v>
          </cell>
          <cell r="U193">
            <v>0.14634146341463405</v>
          </cell>
          <cell r="V193">
            <v>0.14634146341463405</v>
          </cell>
          <cell r="Y193" t="str">
            <v>Combat Sys</v>
          </cell>
          <cell r="AA193">
            <v>0.43826274228284268</v>
          </cell>
          <cell r="AB193">
            <v>5.3088029662681002E-2</v>
          </cell>
          <cell r="AE193" t="str">
            <v>Info Sys &amp; Tech</v>
          </cell>
          <cell r="AG193">
            <v>0.50050968399592244</v>
          </cell>
          <cell r="AH193">
            <v>0.15468909276248732</v>
          </cell>
          <cell r="AU193" t="str">
            <v>LPD-17</v>
          </cell>
          <cell r="AV193">
            <v>0</v>
          </cell>
          <cell r="AW193">
            <v>0</v>
          </cell>
          <cell r="AX193">
            <v>30</v>
          </cell>
          <cell r="AY193">
            <v>45</v>
          </cell>
          <cell r="AZ193" t="e">
            <v>#REF!</v>
          </cell>
          <cell r="BA193">
            <v>60</v>
          </cell>
          <cell r="CD193" t="str">
            <v>Other</v>
          </cell>
          <cell r="CF193">
            <v>-3</v>
          </cell>
          <cell r="CH193">
            <v>2</v>
          </cell>
          <cell r="CI193">
            <v>-0.02</v>
          </cell>
        </row>
        <row r="194">
          <cell r="L194" t="str">
            <v>Combat Sys</v>
          </cell>
          <cell r="M194">
            <v>0.10467289719626169</v>
          </cell>
          <cell r="N194">
            <v>0.10181818181818182</v>
          </cell>
          <cell r="O194">
            <v>0.1123882503192848</v>
          </cell>
          <cell r="P194">
            <v>-7.7153531230231137E-3</v>
          </cell>
          <cell r="S194" t="str">
            <v xml:space="preserve"> Total Revs.</v>
          </cell>
          <cell r="U194">
            <v>0.37171538234425738</v>
          </cell>
          <cell r="V194">
            <v>0.16812821288176605</v>
          </cell>
          <cell r="Y194" t="str">
            <v>Info Sys &amp; Tech</v>
          </cell>
          <cell r="AA194">
            <v>0.32134096484055608</v>
          </cell>
          <cell r="AB194">
            <v>0.17064632366356514</v>
          </cell>
          <cell r="AE194" t="str">
            <v>Gulfstream</v>
          </cell>
          <cell r="AG194">
            <v>-8.5997794928335147E-2</v>
          </cell>
          <cell r="AH194">
            <v>-8.5997794928335147E-2</v>
          </cell>
          <cell r="AU194" t="str">
            <v>Fire control</v>
          </cell>
          <cell r="AV194">
            <v>0</v>
          </cell>
          <cell r="AW194">
            <v>0</v>
          </cell>
          <cell r="AX194">
            <v>0</v>
          </cell>
          <cell r="AY194">
            <v>55</v>
          </cell>
          <cell r="AZ194" t="e">
            <v>#REF!</v>
          </cell>
          <cell r="BA194">
            <v>70</v>
          </cell>
          <cell r="CD194" t="str">
            <v>Tax rate</v>
          </cell>
          <cell r="CF194">
            <v>0.215</v>
          </cell>
          <cell r="CH194">
            <v>0.33</v>
          </cell>
          <cell r="CI194">
            <v>0.21</v>
          </cell>
        </row>
        <row r="195">
          <cell r="L195" t="str">
            <v>Info Sys &amp; Tech</v>
          </cell>
          <cell r="M195">
            <v>0.10286062081558126</v>
          </cell>
          <cell r="N195">
            <v>0.10175438596491228</v>
          </cell>
          <cell r="O195">
            <v>0.11178247734138973</v>
          </cell>
          <cell r="P195">
            <v>-8.921856525808472E-3</v>
          </cell>
          <cell r="S195" t="str">
            <v>Defense Business Revs</v>
          </cell>
          <cell r="U195">
            <v>0.45094476744186052</v>
          </cell>
          <cell r="V195">
            <v>0.20134730538922163</v>
          </cell>
          <cell r="Y195" t="str">
            <v>Gulfstream</v>
          </cell>
          <cell r="AA195">
            <v>-0.10428701733049561</v>
          </cell>
          <cell r="AB195">
            <v>-0.10428701733049561</v>
          </cell>
          <cell r="AE195" t="str">
            <v>Other</v>
          </cell>
          <cell r="AG195">
            <v>-8.108108108108103E-2</v>
          </cell>
          <cell r="AH195">
            <v>-8.108108108108103E-2</v>
          </cell>
          <cell r="AU195" t="str">
            <v>Training tech</v>
          </cell>
          <cell r="AV195">
            <v>0</v>
          </cell>
          <cell r="AW195">
            <v>0</v>
          </cell>
          <cell r="AX195">
            <v>0</v>
          </cell>
          <cell r="AY195">
            <v>75</v>
          </cell>
          <cell r="AZ195" t="e">
            <v>#REF!</v>
          </cell>
          <cell r="BA195">
            <v>115</v>
          </cell>
          <cell r="CD195" t="str">
            <v>EPS</v>
          </cell>
          <cell r="CE195" t="str">
            <v xml:space="preserve">Actual </v>
          </cell>
          <cell r="CF195">
            <v>1.28</v>
          </cell>
          <cell r="CG195" t="str">
            <v>Est</v>
          </cell>
          <cell r="CH195">
            <v>1.25</v>
          </cell>
          <cell r="CI195">
            <v>0.03</v>
          </cell>
        </row>
        <row r="196">
          <cell r="L196" t="str">
            <v>Aerospace</v>
          </cell>
          <cell r="M196">
            <v>0.10891089108910891</v>
          </cell>
          <cell r="N196">
            <v>9.6000000000000002E-2</v>
          </cell>
          <cell r="O196">
            <v>6.7340067340067339E-2</v>
          </cell>
          <cell r="P196">
            <v>4.1570823749041572E-2</v>
          </cell>
          <cell r="S196" t="str">
            <v>*Excludes revenue of properties not held for all of 1Q03 and 1Q04</v>
          </cell>
          <cell r="Y196" t="str">
            <v>Other</v>
          </cell>
          <cell r="AA196">
            <v>-0.1048951048951049</v>
          </cell>
          <cell r="AB196">
            <v>-0.1048951048951049</v>
          </cell>
          <cell r="AE196" t="str">
            <v xml:space="preserve"> Total Revs.</v>
          </cell>
          <cell r="AG196">
            <v>0.24894403379091878</v>
          </cell>
          <cell r="AH196">
            <v>3.2776129012528132E-2</v>
          </cell>
          <cell r="AU196" t="str">
            <v>Misc. A.V.</v>
          </cell>
          <cell r="AV196">
            <v>175</v>
          </cell>
          <cell r="AW196">
            <v>280</v>
          </cell>
          <cell r="AX196">
            <v>265</v>
          </cell>
          <cell r="AY196">
            <v>330</v>
          </cell>
          <cell r="AZ196">
            <v>335</v>
          </cell>
          <cell r="BA196">
            <v>285</v>
          </cell>
        </row>
        <row r="197">
          <cell r="L197" t="str">
            <v>Other</v>
          </cell>
          <cell r="M197">
            <v>-0.19148936170212766</v>
          </cell>
          <cell r="N197">
            <v>0.2</v>
          </cell>
          <cell r="O197">
            <v>0.24390243902439024</v>
          </cell>
          <cell r="P197">
            <v>-0.4353918007265179</v>
          </cell>
          <cell r="Y197" t="str">
            <v xml:space="preserve"> Total Revs.</v>
          </cell>
          <cell r="AA197">
            <v>0.19356725146198839</v>
          </cell>
          <cell r="AB197">
            <v>7.4815624566967776E-2</v>
          </cell>
          <cell r="AE197" t="str">
            <v>Defense Business Revs</v>
          </cell>
          <cell r="AG197">
            <v>0.36587103669397925</v>
          </cell>
          <cell r="AH197">
            <v>0.11727544206127627</v>
          </cell>
          <cell r="AU197" t="str">
            <v>Hvy Assault Bridge</v>
          </cell>
          <cell r="AV197">
            <v>0</v>
          </cell>
          <cell r="AW197">
            <v>0</v>
          </cell>
          <cell r="AX197">
            <v>10</v>
          </cell>
          <cell r="AY197">
            <v>35</v>
          </cell>
          <cell r="AZ197">
            <v>40</v>
          </cell>
          <cell r="BA197">
            <v>45</v>
          </cell>
          <cell r="CD197" t="str">
            <v>GD 2003 Actual vs. Expectations</v>
          </cell>
        </row>
        <row r="198">
          <cell r="L198" t="str">
            <v xml:space="preserve">  Total</v>
          </cell>
          <cell r="M198">
            <v>9.384416702539819E-2</v>
          </cell>
          <cell r="N198">
            <v>9.3017751479289937E-2</v>
          </cell>
          <cell r="O198">
            <v>9.2707410687924416E-2</v>
          </cell>
          <cell r="P198">
            <v>1.1367563374737738E-3</v>
          </cell>
          <cell r="Y198" t="str">
            <v>Defense Business Revs</v>
          </cell>
          <cell r="AA198">
            <v>0.29896091044037609</v>
          </cell>
          <cell r="AB198">
            <v>0.13914499152524629</v>
          </cell>
          <cell r="AE198" t="str">
            <v>*Excludes revenue of properties not held for all of 4Q02 and 4Q03</v>
          </cell>
          <cell r="AU198" t="str">
            <v xml:space="preserve">AAAV </v>
          </cell>
          <cell r="AV198">
            <v>0</v>
          </cell>
          <cell r="AW198">
            <v>15</v>
          </cell>
          <cell r="AX198">
            <v>50</v>
          </cell>
          <cell r="AY198">
            <v>50</v>
          </cell>
          <cell r="AZ198">
            <v>60</v>
          </cell>
          <cell r="BA198">
            <v>65</v>
          </cell>
          <cell r="CE198" t="str">
            <v>Actual</v>
          </cell>
          <cell r="CG198" t="str">
            <v>Estimate</v>
          </cell>
          <cell r="CI198" t="str">
            <v>Net Effect</v>
          </cell>
        </row>
        <row r="199">
          <cell r="Y199" t="str">
            <v>*Excludes revenue of properties not held for all of 2002 and 2003</v>
          </cell>
          <cell r="AU199" t="str">
            <v>Crusader</v>
          </cell>
          <cell r="AV199">
            <v>0</v>
          </cell>
          <cell r="AW199">
            <v>40</v>
          </cell>
          <cell r="AX199">
            <v>40</v>
          </cell>
          <cell r="AY199">
            <v>50</v>
          </cell>
          <cell r="AZ199">
            <v>80</v>
          </cell>
          <cell r="BA199">
            <v>125</v>
          </cell>
          <cell r="CE199" t="str">
            <v>Reveue</v>
          </cell>
          <cell r="CF199" t="str">
            <v>Op Prof</v>
          </cell>
          <cell r="CG199" t="str">
            <v>Reveue</v>
          </cell>
          <cell r="CH199" t="str">
            <v>Op Prof</v>
          </cell>
          <cell r="CI199" t="str">
            <v>to EPS</v>
          </cell>
          <cell r="CJ199" t="str">
            <v>Comments</v>
          </cell>
        </row>
        <row r="200">
          <cell r="AU200" t="str">
            <v>Total New Progs</v>
          </cell>
          <cell r="AV200">
            <v>700</v>
          </cell>
          <cell r="AW200">
            <v>917</v>
          </cell>
          <cell r="AX200">
            <v>1095</v>
          </cell>
          <cell r="AY200">
            <v>1400</v>
          </cell>
          <cell r="AZ200" t="e">
            <v>#REF!</v>
          </cell>
          <cell r="BA200">
            <v>1796</v>
          </cell>
          <cell r="CD200" t="str">
            <v>Marine</v>
          </cell>
          <cell r="CE200" t="str">
            <v>$4.3B</v>
          </cell>
          <cell r="CF200">
            <v>216</v>
          </cell>
          <cell r="CG200" t="str">
            <v>$4.2B</v>
          </cell>
          <cell r="CH200">
            <v>235</v>
          </cell>
          <cell r="CI200">
            <v>-7.0000000000000007E-2</v>
          </cell>
          <cell r="CJ200" t="str">
            <v>-We had factored in some Tanker</v>
          </cell>
        </row>
        <row r="201">
          <cell r="AU201" t="str">
            <v>% Total Sales</v>
          </cell>
          <cell r="AY201">
            <v>0.1918070968625839</v>
          </cell>
          <cell r="AZ201" t="e">
            <v>#REF!</v>
          </cell>
          <cell r="BA201">
            <v>0.1786709112614405</v>
          </cell>
          <cell r="CD201" t="str">
            <v>Aerospace</v>
          </cell>
          <cell r="CE201">
            <v>2.9460000000000002</v>
          </cell>
          <cell r="CF201">
            <v>218</v>
          </cell>
          <cell r="CG201">
            <v>3.05</v>
          </cell>
          <cell r="CH201">
            <v>210</v>
          </cell>
          <cell r="CI201">
            <v>0.03</v>
          </cell>
          <cell r="CJ201" t="str">
            <v>-10% 4Q margins</v>
          </cell>
        </row>
        <row r="202">
          <cell r="AU202" t="str">
            <v>Info Tech</v>
          </cell>
          <cell r="AY202">
            <v>933</v>
          </cell>
          <cell r="AZ202">
            <v>1422</v>
          </cell>
          <cell r="BA202">
            <v>2337</v>
          </cell>
          <cell r="CD202" t="str">
            <v>Combat Sys</v>
          </cell>
          <cell r="CE202">
            <v>4.1660000000000004</v>
          </cell>
          <cell r="CF202">
            <v>463</v>
          </cell>
          <cell r="CG202">
            <v>3.9849999999999999</v>
          </cell>
          <cell r="CH202">
            <v>458</v>
          </cell>
          <cell r="CI202">
            <v>0.02</v>
          </cell>
          <cell r="CJ202" t="str">
            <v>-Acquisition driven</v>
          </cell>
        </row>
        <row r="203">
          <cell r="AU203" t="str">
            <v>% Total Sales</v>
          </cell>
          <cell r="AY203">
            <v>0.12782572955199342</v>
          </cell>
          <cell r="AZ203">
            <v>0.16327936617292457</v>
          </cell>
          <cell r="BA203">
            <v>0.23249104655789893</v>
          </cell>
          <cell r="CD203" t="str">
            <v>IST</v>
          </cell>
          <cell r="CE203">
            <v>4.9779999999999998</v>
          </cell>
          <cell r="CF203">
            <v>538</v>
          </cell>
          <cell r="CG203">
            <v>4.8499999999999996</v>
          </cell>
          <cell r="CH203">
            <v>550</v>
          </cell>
          <cell r="CI203">
            <v>-0.04</v>
          </cell>
          <cell r="CJ203" t="str">
            <v>-Dilution effect of VNX</v>
          </cell>
        </row>
        <row r="204">
          <cell r="AY204">
            <v>4743</v>
          </cell>
          <cell r="AZ204" t="e">
            <v>#REF!</v>
          </cell>
          <cell r="BA204">
            <v>6363</v>
          </cell>
          <cell r="CD204" t="str">
            <v>Resources</v>
          </cell>
          <cell r="CE204">
            <v>0.25600000000000001</v>
          </cell>
          <cell r="CF204">
            <v>32</v>
          </cell>
          <cell r="CG204">
            <v>0.28000000000000003</v>
          </cell>
          <cell r="CH204">
            <v>40</v>
          </cell>
          <cell r="CI204">
            <v>-0.03</v>
          </cell>
        </row>
        <row r="205">
          <cell r="M205" t="str">
            <v>GD Program Potentials</v>
          </cell>
          <cell r="AY205">
            <v>236</v>
          </cell>
          <cell r="AZ205">
            <v>250</v>
          </cell>
          <cell r="BA205">
            <v>253</v>
          </cell>
          <cell r="CD205" t="str">
            <v>Interest</v>
          </cell>
          <cell r="CF205">
            <v>-98</v>
          </cell>
          <cell r="CH205">
            <v>-93</v>
          </cell>
          <cell r="CI205">
            <v>-0.02</v>
          </cell>
          <cell r="CJ205" t="str">
            <v>-Acquisition financing costs</v>
          </cell>
        </row>
        <row r="206">
          <cell r="Z206" t="str">
            <v>Crusader Breakdown</v>
          </cell>
          <cell r="AY206">
            <v>7535</v>
          </cell>
          <cell r="AZ206">
            <v>8959</v>
          </cell>
          <cell r="BA206">
            <v>10305</v>
          </cell>
          <cell r="CD206" t="str">
            <v>Other</v>
          </cell>
          <cell r="CF206">
            <v>3</v>
          </cell>
          <cell r="CH206">
            <v>5</v>
          </cell>
          <cell r="CI206">
            <v>-0.01</v>
          </cell>
        </row>
        <row r="207">
          <cell r="M207" t="str">
            <v xml:space="preserve">Initial design/prototyping </v>
          </cell>
          <cell r="Z207" t="str">
            <v>$3B eng/$13B prodn</v>
          </cell>
          <cell r="AY207">
            <v>2792</v>
          </cell>
          <cell r="AZ207" t="e">
            <v>#REF!</v>
          </cell>
          <cell r="BA207">
            <v>3942</v>
          </cell>
          <cell r="BB207" t="str">
            <v>- NASSCO=differential</v>
          </cell>
          <cell r="CD207" t="str">
            <v>Share Count</v>
          </cell>
          <cell r="CF207">
            <v>199.2</v>
          </cell>
          <cell r="CH207">
            <v>198.6</v>
          </cell>
          <cell r="CI207">
            <v>-0.02</v>
          </cell>
          <cell r="CJ207" t="str">
            <v>-No share buyback in 4Q</v>
          </cell>
        </row>
        <row r="208">
          <cell r="L208" t="str">
            <v>Crusader</v>
          </cell>
          <cell r="M208">
            <v>1996</v>
          </cell>
          <cell r="N208">
            <v>1997</v>
          </cell>
          <cell r="O208">
            <v>1998</v>
          </cell>
          <cell r="P208">
            <v>1999</v>
          </cell>
          <cell r="Q208">
            <v>2000</v>
          </cell>
          <cell r="R208">
            <v>2001</v>
          </cell>
          <cell r="S208">
            <v>2002</v>
          </cell>
          <cell r="T208">
            <v>2003</v>
          </cell>
          <cell r="U208" t="str">
            <v>Comments</v>
          </cell>
          <cell r="AU208" t="str">
            <v>Marine New Engineering/Marine</v>
          </cell>
          <cell r="BA208">
            <v>0.37386463521828306</v>
          </cell>
          <cell r="BE208">
            <v>1997</v>
          </cell>
          <cell r="BF208" t="str">
            <v>1998</v>
          </cell>
          <cell r="BG208">
            <v>1999</v>
          </cell>
          <cell r="BH208">
            <v>2000</v>
          </cell>
          <cell r="BI208">
            <v>2001</v>
          </cell>
          <cell r="BJ208">
            <v>2002</v>
          </cell>
          <cell r="BK208">
            <v>2003</v>
          </cell>
          <cell r="BL208">
            <v>2004</v>
          </cell>
          <cell r="BM208">
            <v>2005</v>
          </cell>
          <cell r="BN208">
            <v>2006</v>
          </cell>
          <cell r="BO208">
            <v>2007</v>
          </cell>
          <cell r="BP208" t="str">
            <v>2008A</v>
          </cell>
          <cell r="BQ208" t="str">
            <v>2009E</v>
          </cell>
          <cell r="CD208" t="str">
            <v>Tax rate</v>
          </cell>
          <cell r="CF208">
            <v>0.27400000000000002</v>
          </cell>
          <cell r="CH208">
            <v>0.29299999999999998</v>
          </cell>
          <cell r="CI208">
            <v>0.14000000000000001</v>
          </cell>
          <cell r="CJ208" t="str">
            <v>-Reserve reversal &amp; run rate adj</v>
          </cell>
        </row>
        <row r="209">
          <cell r="L209" t="str">
            <v>GD - Revs</v>
          </cell>
          <cell r="M209">
            <v>40</v>
          </cell>
          <cell r="N209">
            <v>45</v>
          </cell>
          <cell r="U209" t="str">
            <v>$13B potent = nom buy 1K units</v>
          </cell>
          <cell r="AA209" t="str">
            <v>% Contrib</v>
          </cell>
          <cell r="AB209" t="str">
            <v>Avg./Yr</v>
          </cell>
          <cell r="AC209" t="str">
            <v>Comment</v>
          </cell>
          <cell r="AU209" t="str">
            <v>Combat Sys New/Combat sys</v>
          </cell>
          <cell r="BA209">
            <v>0.40848389630793402</v>
          </cell>
          <cell r="BC209" t="str">
            <v>Gulfstream mgns</v>
          </cell>
          <cell r="BE209">
            <v>0.12027310924369748</v>
          </cell>
          <cell r="BF209">
            <v>9.406919275123557E-2</v>
          </cell>
          <cell r="BG209">
            <v>0.16569267789618425</v>
          </cell>
          <cell r="BH209">
            <v>0.19544404093760318</v>
          </cell>
          <cell r="BI209">
            <v>0.19142419601837674</v>
          </cell>
          <cell r="BJ209">
            <v>0.13590757069017939</v>
          </cell>
          <cell r="BK209">
            <v>7.3998642226748138E-2</v>
          </cell>
          <cell r="BL209">
            <v>0.13047808764940239</v>
          </cell>
          <cell r="BM209">
            <v>0.14418875618992136</v>
          </cell>
          <cell r="BN209">
            <v>0.15646258503401361</v>
          </cell>
          <cell r="BO209">
            <v>0.16777133388566695</v>
          </cell>
          <cell r="BP209">
            <v>0.18523222060957911</v>
          </cell>
          <cell r="BQ209">
            <v>0.13500000000000001</v>
          </cell>
          <cell r="CD209" t="str">
            <v>EPS</v>
          </cell>
          <cell r="CE209" t="str">
            <v xml:space="preserve">Actual </v>
          </cell>
          <cell r="CF209">
            <v>5</v>
          </cell>
          <cell r="CG209" t="str">
            <v>Est</v>
          </cell>
          <cell r="CH209">
            <v>5.0016868076535763</v>
          </cell>
          <cell r="CI209">
            <v>0</v>
          </cell>
        </row>
        <row r="210">
          <cell r="L210" t="str">
            <v>TVS - Revs</v>
          </cell>
          <cell r="M210">
            <v>40</v>
          </cell>
          <cell r="N210">
            <v>45</v>
          </cell>
          <cell r="U210" t="str">
            <v>firm decision around 2000 on rate prodn</v>
          </cell>
          <cell r="Z210" t="str">
            <v>GD/TVS</v>
          </cell>
          <cell r="AA210">
            <v>0.25</v>
          </cell>
          <cell r="AB210">
            <v>83.333333333333329</v>
          </cell>
          <cell r="AC210" t="str">
            <v>powerpack, chassis, suspension</v>
          </cell>
        </row>
        <row r="211">
          <cell r="L211" t="str">
            <v>subtotal</v>
          </cell>
          <cell r="M211">
            <v>80</v>
          </cell>
          <cell r="N211">
            <v>90</v>
          </cell>
          <cell r="O211">
            <v>100</v>
          </cell>
          <cell r="P211">
            <v>110</v>
          </cell>
          <cell r="Q211">
            <v>115</v>
          </cell>
          <cell r="R211">
            <v>120</v>
          </cell>
          <cell r="S211">
            <v>125</v>
          </cell>
          <cell r="T211">
            <v>140</v>
          </cell>
          <cell r="U211" t="str">
            <v xml:space="preserve">Avg. thru '03 = </v>
          </cell>
          <cell r="W211">
            <v>110</v>
          </cell>
          <cell r="X211" t="str">
            <v>(should be $110MM)</v>
          </cell>
          <cell r="Z211" t="str">
            <v>UDLP</v>
          </cell>
          <cell r="AA211">
            <v>0.4</v>
          </cell>
          <cell r="AB211">
            <v>133.33333333333334</v>
          </cell>
          <cell r="AC211" t="str">
            <v>Head honcho - sys integ.</v>
          </cell>
          <cell r="AI211" t="str">
            <v>GD's Backlog Trend ($MM)</v>
          </cell>
        </row>
        <row r="212">
          <cell r="L212" t="str">
            <v>Op Pr.</v>
          </cell>
          <cell r="M212">
            <v>6.4</v>
          </cell>
          <cell r="N212">
            <v>7.38</v>
          </cell>
          <cell r="O212">
            <v>8.4</v>
          </cell>
          <cell r="P212">
            <v>9.3500000000000014</v>
          </cell>
          <cell r="Q212">
            <v>9.89</v>
          </cell>
          <cell r="R212">
            <v>10.440000000000001</v>
          </cell>
          <cell r="S212">
            <v>11.000000000000002</v>
          </cell>
          <cell r="T212">
            <v>12.600000000000001</v>
          </cell>
          <cell r="AK212" t="str">
            <v>1998</v>
          </cell>
          <cell r="AL212" t="str">
            <v>1999</v>
          </cell>
          <cell r="AM212" t="str">
            <v>2000</v>
          </cell>
          <cell r="AN212" t="str">
            <v>2001</v>
          </cell>
          <cell r="AO212" t="str">
            <v>2002</v>
          </cell>
          <cell r="CD212" t="str">
            <v>GD 1Q04 Actual vs. Expectations</v>
          </cell>
        </row>
        <row r="213">
          <cell r="L213" t="str">
            <v>Eng'g Mgn</v>
          </cell>
          <cell r="M213">
            <v>0.08</v>
          </cell>
          <cell r="N213">
            <v>8.2000000000000003E-2</v>
          </cell>
          <cell r="O213">
            <v>8.4000000000000005E-2</v>
          </cell>
          <cell r="P213">
            <v>8.5000000000000006E-2</v>
          </cell>
          <cell r="Q213">
            <v>8.6000000000000007E-2</v>
          </cell>
          <cell r="R213">
            <v>8.7000000000000008E-2</v>
          </cell>
          <cell r="S213">
            <v>8.8000000000000009E-2</v>
          </cell>
          <cell r="T213">
            <v>9.0000000000000011E-2</v>
          </cell>
          <cell r="U213" t="str">
            <v>Eng thru '03, PM's 8-9% range</v>
          </cell>
          <cell r="Z213" t="str">
            <v>LMT*</v>
          </cell>
          <cell r="AA213">
            <v>0.25</v>
          </cell>
          <cell r="AB213">
            <v>83.333333333333329</v>
          </cell>
          <cell r="AC213" t="str">
            <v>Turret+propell</v>
          </cell>
          <cell r="AI213" t="str">
            <v>Prior YE Backlog</v>
          </cell>
          <cell r="CE213" t="str">
            <v>Actual</v>
          </cell>
          <cell r="CG213" t="str">
            <v>Estimate</v>
          </cell>
          <cell r="CI213" t="str">
            <v>Net Effect</v>
          </cell>
        </row>
        <row r="214">
          <cell r="L214" t="str">
            <v>EPS</v>
          </cell>
          <cell r="M214">
            <v>6.5822784810126586E-2</v>
          </cell>
          <cell r="N214">
            <v>7.6385350318471337E-2</v>
          </cell>
          <cell r="O214">
            <v>8.7360000000000007E-2</v>
          </cell>
          <cell r="P214">
            <v>9.7240000000000021E-2</v>
          </cell>
          <cell r="Q214">
            <v>0.102856</v>
          </cell>
          <cell r="R214">
            <v>0.10857600000000002</v>
          </cell>
          <cell r="S214">
            <v>0.11440000000000002</v>
          </cell>
          <cell r="T214">
            <v>0.13104000000000002</v>
          </cell>
          <cell r="Z214" t="str">
            <v>Gov't</v>
          </cell>
          <cell r="AA214">
            <v>0.1</v>
          </cell>
          <cell r="AB214">
            <v>33.333333333333336</v>
          </cell>
          <cell r="AC214" t="str">
            <v>govt supplied equip</v>
          </cell>
          <cell r="AI214" t="str">
            <v>Completed work</v>
          </cell>
          <cell r="CE214" t="str">
            <v>Revenue</v>
          </cell>
          <cell r="CF214" t="str">
            <v>Op Prof</v>
          </cell>
          <cell r="CG214" t="str">
            <v>Revenue</v>
          </cell>
          <cell r="CH214" t="str">
            <v>Op Prof</v>
          </cell>
          <cell r="CI214" t="str">
            <v>to EPS</v>
          </cell>
          <cell r="CJ214" t="str">
            <v>Comments</v>
          </cell>
        </row>
        <row r="215">
          <cell r="L215" t="str">
            <v>AAAV</v>
          </cell>
          <cell r="M215" t="str">
            <v xml:space="preserve">Initial design/prototyping </v>
          </cell>
          <cell r="S215" t="str">
            <v xml:space="preserve">    --&gt;     Prodn</v>
          </cell>
          <cell r="Z215" t="str">
            <v>Total</v>
          </cell>
          <cell r="AA215">
            <v>1</v>
          </cell>
          <cell r="AB215">
            <v>333.33333333333331</v>
          </cell>
          <cell r="AI215" t="str">
            <v>Seawolf work</v>
          </cell>
          <cell r="AK215">
            <v>-600</v>
          </cell>
          <cell r="AL215" t="e">
            <v>#REF!</v>
          </cell>
          <cell r="AM215">
            <v>-450</v>
          </cell>
          <cell r="AN215">
            <v>-150</v>
          </cell>
          <cell r="AO215">
            <v>-20</v>
          </cell>
          <cell r="CD215" t="str">
            <v>Marine</v>
          </cell>
          <cell r="CE215">
            <v>1280</v>
          </cell>
          <cell r="CF215">
            <v>98</v>
          </cell>
          <cell r="CG215">
            <v>1030</v>
          </cell>
          <cell r="CH215">
            <v>67</v>
          </cell>
          <cell r="CI215">
            <v>0.1</v>
          </cell>
          <cell r="CJ215" t="str">
            <v>-Higher repair/svcs</v>
          </cell>
        </row>
        <row r="216">
          <cell r="L216" t="str">
            <v>Revs</v>
          </cell>
          <cell r="M216">
            <v>15</v>
          </cell>
          <cell r="N216">
            <v>50</v>
          </cell>
          <cell r="O216">
            <v>50</v>
          </cell>
          <cell r="P216">
            <v>50</v>
          </cell>
          <cell r="Q216">
            <v>50</v>
          </cell>
          <cell r="R216">
            <v>50</v>
          </cell>
          <cell r="U216" t="str">
            <v xml:space="preserve"> vs. UDLP//1K for marines</v>
          </cell>
          <cell r="AI216" t="str">
            <v>NAS</v>
          </cell>
          <cell r="AK216">
            <v>-70</v>
          </cell>
          <cell r="AL216" t="e">
            <v>#REF!</v>
          </cell>
          <cell r="AM216">
            <v>-951</v>
          </cell>
          <cell r="AN216">
            <v>-1200</v>
          </cell>
          <cell r="AO216">
            <v>-1400</v>
          </cell>
          <cell r="CD216" t="str">
            <v>IST</v>
          </cell>
          <cell r="CE216">
            <v>1716</v>
          </cell>
          <cell r="CF216">
            <v>170</v>
          </cell>
          <cell r="CG216">
            <v>1425</v>
          </cell>
          <cell r="CH216">
            <v>145</v>
          </cell>
          <cell r="CI216">
            <v>0.08</v>
          </cell>
          <cell r="CJ216" t="str">
            <v>-Customer pull on IDIQ revs</v>
          </cell>
        </row>
        <row r="217">
          <cell r="L217" t="str">
            <v>Op Pr.</v>
          </cell>
          <cell r="M217">
            <v>1.2</v>
          </cell>
          <cell r="N217">
            <v>4.1000000000000005</v>
          </cell>
          <cell r="O217">
            <v>4.2</v>
          </cell>
          <cell r="P217">
            <v>4.25</v>
          </cell>
          <cell r="Q217">
            <v>4.3000000000000007</v>
          </cell>
          <cell r="R217">
            <v>4.3500000000000005</v>
          </cell>
          <cell r="S217">
            <v>0</v>
          </cell>
          <cell r="T217">
            <v>0</v>
          </cell>
          <cell r="U217" t="str">
            <v>potent =$4-5B dom+$4-5B intl</v>
          </cell>
          <cell r="Z217" t="str">
            <v>*LMT K exp. in Aug,probls w/ liquid propell</v>
          </cell>
          <cell r="AI217" t="str">
            <v>LPD-17</v>
          </cell>
          <cell r="AK217">
            <v>-45</v>
          </cell>
          <cell r="AL217" t="e">
            <v>#REF!</v>
          </cell>
          <cell r="AM217">
            <v>-60</v>
          </cell>
          <cell r="AN217">
            <v>-50</v>
          </cell>
          <cell r="AO217">
            <v>0</v>
          </cell>
          <cell r="CD217" t="str">
            <v>Combat Sys</v>
          </cell>
          <cell r="CE217">
            <v>1111</v>
          </cell>
          <cell r="CF217">
            <v>117</v>
          </cell>
          <cell r="CG217">
            <v>1100</v>
          </cell>
          <cell r="CH217">
            <v>112</v>
          </cell>
          <cell r="CI217">
            <v>0.02</v>
          </cell>
        </row>
        <row r="218">
          <cell r="L218" t="str">
            <v>Eng'g Mgn</v>
          </cell>
          <cell r="N218">
            <v>8.2000000000000017E-2</v>
          </cell>
          <cell r="O218">
            <v>8.4000000000000005E-2</v>
          </cell>
          <cell r="P218">
            <v>8.5000000000000006E-2</v>
          </cell>
          <cell r="Q218">
            <v>8.6000000000000021E-2</v>
          </cell>
          <cell r="R218">
            <v>8.7000000000000008E-2</v>
          </cell>
          <cell r="U218" t="str">
            <v>notional pr = $3-4MM/per</v>
          </cell>
          <cell r="Z218" t="str">
            <v>if LMT out, c/ go to Army ad'vd solid propell</v>
          </cell>
          <cell r="AI218" t="str">
            <v>DDG-51</v>
          </cell>
          <cell r="AK218">
            <v>-800</v>
          </cell>
          <cell r="AL218">
            <v>-840</v>
          </cell>
          <cell r="AM218" t="e">
            <v>#REF!</v>
          </cell>
          <cell r="AN218">
            <v>-790</v>
          </cell>
          <cell r="AO218">
            <v>-710</v>
          </cell>
          <cell r="CD218" t="str">
            <v>Aerospace</v>
          </cell>
          <cell r="CE218">
            <v>606</v>
          </cell>
          <cell r="CF218">
            <v>66</v>
          </cell>
          <cell r="CG218">
            <v>625</v>
          </cell>
          <cell r="CH218">
            <v>60</v>
          </cell>
          <cell r="CI218">
            <v>0.02</v>
          </cell>
          <cell r="CJ218" t="str">
            <v>-Cost reduction, no used losses</v>
          </cell>
        </row>
        <row r="219">
          <cell r="L219" t="str">
            <v>EPS</v>
          </cell>
          <cell r="M219">
            <v>1.2341772151898734E-2</v>
          </cell>
          <cell r="N219">
            <v>4.2436305732484088E-2</v>
          </cell>
          <cell r="O219">
            <v>4.3680000000000004E-2</v>
          </cell>
          <cell r="P219">
            <v>4.4200000000000003E-2</v>
          </cell>
          <cell r="Q219">
            <v>4.4720000000000003E-2</v>
          </cell>
          <cell r="R219">
            <v>4.5240000000000009E-2</v>
          </cell>
          <cell r="S219">
            <v>0</v>
          </cell>
          <cell r="T219">
            <v>0</v>
          </cell>
          <cell r="U219" t="str">
            <v>Prodn '05, PM's 8-9% on eng</v>
          </cell>
          <cell r="Z219" t="str">
            <v>LMT trying to stay in game.. tho going to solid propellant</v>
          </cell>
          <cell r="AI219" t="str">
            <v>M1A2 tank upgrade</v>
          </cell>
          <cell r="AK219">
            <v>-330</v>
          </cell>
          <cell r="AL219">
            <v>-380</v>
          </cell>
          <cell r="AM219">
            <v>-400</v>
          </cell>
          <cell r="AN219">
            <v>0</v>
          </cell>
          <cell r="AO219">
            <v>0</v>
          </cell>
          <cell r="CD219" t="str">
            <v>Resources</v>
          </cell>
          <cell r="CE219">
            <v>47</v>
          </cell>
          <cell r="CF219">
            <v>-9</v>
          </cell>
          <cell r="CG219">
            <v>41</v>
          </cell>
          <cell r="CH219">
            <v>9</v>
          </cell>
          <cell r="CI219">
            <v>-0.06</v>
          </cell>
          <cell r="CJ219" t="str">
            <v>-Seasonal weakness</v>
          </cell>
        </row>
        <row r="220">
          <cell r="AI220" t="str">
            <v>- subtotal</v>
          </cell>
          <cell r="AK220">
            <v>-1845</v>
          </cell>
          <cell r="AL220" t="e">
            <v>#REF!</v>
          </cell>
          <cell r="AM220" t="e">
            <v>#REF!</v>
          </cell>
          <cell r="AN220">
            <v>-2190</v>
          </cell>
          <cell r="AO220">
            <v>-2130</v>
          </cell>
          <cell r="CD220" t="str">
            <v>Subtotal Ops</v>
          </cell>
          <cell r="CE220">
            <v>4760</v>
          </cell>
          <cell r="CF220">
            <v>442</v>
          </cell>
          <cell r="CG220">
            <v>4221</v>
          </cell>
          <cell r="CH220">
            <v>393</v>
          </cell>
          <cell r="CI220">
            <v>0.15999999999999998</v>
          </cell>
        </row>
        <row r="221">
          <cell r="L221" t="str">
            <v>LPD-17</v>
          </cell>
          <cell r="N221" t="str">
            <v xml:space="preserve">Initial design/prototyping </v>
          </cell>
          <cell r="AI221" t="str">
            <v xml:space="preserve">DoD Funding </v>
          </cell>
          <cell r="CD221" t="str">
            <v>Tax rate</v>
          </cell>
          <cell r="CF221">
            <v>0.33200000000000002</v>
          </cell>
          <cell r="CH221">
            <v>0.33</v>
          </cell>
          <cell r="CI221">
            <v>-0.01</v>
          </cell>
        </row>
        <row r="222">
          <cell r="L222" t="str">
            <v>Revs</v>
          </cell>
          <cell r="U222" t="str">
            <v xml:space="preserve">12 boats, $1B/each,  50%:50% Navy split </v>
          </cell>
          <cell r="AI222" t="str">
            <v>NAS</v>
          </cell>
          <cell r="AK222">
            <v>2300.0000000000005</v>
          </cell>
          <cell r="AL222">
            <v>2300.0000000000005</v>
          </cell>
          <cell r="AM222">
            <v>2300.0000000000005</v>
          </cell>
          <cell r="AN222">
            <v>2300.0000000000005</v>
          </cell>
          <cell r="AP222" t="str">
            <v>- funding for 4 boats: 1/yr next 4 yrs</v>
          </cell>
          <cell r="CD222" t="str">
            <v>Share Count</v>
          </cell>
          <cell r="CF222">
            <v>200.3</v>
          </cell>
          <cell r="CH222">
            <v>199</v>
          </cell>
          <cell r="CI222">
            <v>-0.01</v>
          </cell>
        </row>
        <row r="223">
          <cell r="L223" t="str">
            <v>Op Pr.</v>
          </cell>
          <cell r="U223" t="str">
            <v>1/yr over 10-12yrs - flows to contractors at $400-500MM/unit range</v>
          </cell>
          <cell r="AI223" t="str">
            <v>DDG-51</v>
          </cell>
          <cell r="AK223">
            <v>2904</v>
          </cell>
          <cell r="AP223" t="str">
            <v>- drops off</v>
          </cell>
          <cell r="CD223" t="str">
            <v>EPS</v>
          </cell>
          <cell r="CE223" t="str">
            <v xml:space="preserve">Actual </v>
          </cell>
          <cell r="CF223">
            <v>1.34</v>
          </cell>
          <cell r="CG223" t="str">
            <v>Est</v>
          </cell>
          <cell r="CH223">
            <v>1.2</v>
          </cell>
          <cell r="CI223">
            <v>0.13999999999999996</v>
          </cell>
        </row>
        <row r="224">
          <cell r="L224" t="str">
            <v>Eng'g Mgn</v>
          </cell>
          <cell r="AI224" t="str">
            <v>M1A2 tank upgrade</v>
          </cell>
          <cell r="AK224">
            <v>692</v>
          </cell>
          <cell r="AL224">
            <v>600</v>
          </cell>
          <cell r="AM224">
            <v>600</v>
          </cell>
          <cell r="AN224">
            <v>600</v>
          </cell>
          <cell r="AP224" t="str">
            <v>- 5 yr. multi yr.</v>
          </cell>
        </row>
        <row r="225">
          <cell r="L225" t="str">
            <v>EPS</v>
          </cell>
          <cell r="AE225" t="str">
            <v>CA Real Estate details</v>
          </cell>
          <cell r="AL225">
            <v>650</v>
          </cell>
          <cell r="AM225">
            <v>650</v>
          </cell>
          <cell r="AN225">
            <v>650</v>
          </cell>
          <cell r="AO225">
            <v>650</v>
          </cell>
          <cell r="CD225" t="str">
            <v>GD 1Q05 Actual vs. Expectations</v>
          </cell>
        </row>
        <row r="226">
          <cell r="M226" t="str">
            <v xml:space="preserve">GD Key  Program/Order Potentials </v>
          </cell>
          <cell r="W226" t="str">
            <v>Est Value of CA Real Estate</v>
          </cell>
          <cell r="AG226" t="str">
            <v>Net</v>
          </cell>
          <cell r="AL226">
            <v>3550.0000000000005</v>
          </cell>
          <cell r="AM226">
            <v>3550.0000000000005</v>
          </cell>
          <cell r="AN226">
            <v>3550.0000000000005</v>
          </cell>
          <cell r="AO226">
            <v>650</v>
          </cell>
          <cell r="CE226" t="str">
            <v>Actual</v>
          </cell>
          <cell r="CG226" t="str">
            <v>Estimate</v>
          </cell>
          <cell r="CI226" t="str">
            <v>Net Effect</v>
          </cell>
        </row>
        <row r="227">
          <cell r="AG227" t="str">
            <v>gain</v>
          </cell>
          <cell r="AH227" t="str">
            <v>Comments</v>
          </cell>
          <cell r="CE227" t="str">
            <v>Revenue</v>
          </cell>
          <cell r="CF227" t="str">
            <v>Op Prof</v>
          </cell>
          <cell r="CG227" t="str">
            <v>Revenue</v>
          </cell>
          <cell r="CH227" t="str">
            <v>Op Prof</v>
          </cell>
          <cell r="CI227" t="str">
            <v>to EPS</v>
          </cell>
          <cell r="CJ227" t="str">
            <v>Comments</v>
          </cell>
        </row>
        <row r="228">
          <cell r="M228" t="str">
            <v>New Programs</v>
          </cell>
          <cell r="N228" t="str">
            <v>Decision</v>
          </cell>
          <cell r="X228" t="str">
            <v>Low</v>
          </cell>
          <cell r="Y228" t="str">
            <v>High</v>
          </cell>
          <cell r="Z228" t="str">
            <v>Comments</v>
          </cell>
          <cell r="AE228" t="str">
            <v>Rancho- open</v>
          </cell>
          <cell r="AH228" t="str">
            <v>- golf course + land</v>
          </cell>
          <cell r="AL228" t="e">
            <v>#REF!</v>
          </cell>
          <cell r="AM228" t="e">
            <v>#REF!</v>
          </cell>
          <cell r="AN228">
            <v>1360.0000000000005</v>
          </cell>
          <cell r="AO228">
            <v>-1480</v>
          </cell>
          <cell r="CD228" t="str">
            <v>Marine</v>
          </cell>
          <cell r="CE228">
            <v>1210</v>
          </cell>
          <cell r="CF228">
            <v>49</v>
          </cell>
          <cell r="CG228">
            <v>1200</v>
          </cell>
          <cell r="CH228">
            <v>90</v>
          </cell>
          <cell r="CI228">
            <v>-0.14000000000000001</v>
          </cell>
          <cell r="CJ228" t="str">
            <v>-Comm'l tanker charges</v>
          </cell>
        </row>
        <row r="229">
          <cell r="M229" t="str">
            <v>Contract</v>
          </cell>
          <cell r="N229" t="str">
            <v>Date</v>
          </cell>
          <cell r="O229" t="str">
            <v>Potent. Size</v>
          </cell>
          <cell r="P229" t="str">
            <v>Comments</v>
          </cell>
          <cell r="W229" t="str">
            <v>Calif Land</v>
          </cell>
          <cell r="X229">
            <v>250</v>
          </cell>
          <cell r="Y229">
            <v>300</v>
          </cell>
          <cell r="AE229" t="str">
            <v>Rancho</v>
          </cell>
          <cell r="AG229">
            <v>73</v>
          </cell>
          <cell r="AH229" t="str">
            <v xml:space="preserve">- 2 bldgs, recyclable, mapped parcels, sell'g </v>
          </cell>
          <cell r="CD229" t="str">
            <v>Combat Sys</v>
          </cell>
          <cell r="CE229">
            <v>1057</v>
          </cell>
          <cell r="CF229">
            <v>104</v>
          </cell>
          <cell r="CG229">
            <v>1315</v>
          </cell>
          <cell r="CH229">
            <v>140</v>
          </cell>
          <cell r="CI229">
            <v>-0.12</v>
          </cell>
          <cell r="CJ229" t="str">
            <v>-Timing and deliveries</v>
          </cell>
        </row>
        <row r="230">
          <cell r="L230" t="str">
            <v>Marine</v>
          </cell>
          <cell r="M230" t="str">
            <v>SC 21</v>
          </cell>
          <cell r="N230" t="str">
            <v>2000+</v>
          </cell>
          <cell r="P230" t="str">
            <v>- in concept</v>
          </cell>
          <cell r="W230" t="str">
            <v>Sold, net</v>
          </cell>
          <cell r="X230">
            <v>-100</v>
          </cell>
          <cell r="Y230">
            <v>-100</v>
          </cell>
          <cell r="Z230" t="str">
            <v>- $34MM '97/$80MM sld 7/98 )net 25/75)</v>
          </cell>
          <cell r="AE230" t="str">
            <v>total San Diego</v>
          </cell>
          <cell r="CD230" t="str">
            <v>IS&amp;T</v>
          </cell>
          <cell r="CE230">
            <v>1752</v>
          </cell>
          <cell r="CF230">
            <v>197</v>
          </cell>
          <cell r="CG230">
            <v>1850</v>
          </cell>
          <cell r="CH230">
            <v>180</v>
          </cell>
          <cell r="CI230">
            <v>0.05</v>
          </cell>
          <cell r="CJ230" t="str">
            <v>-Product mix</v>
          </cell>
        </row>
        <row r="231">
          <cell r="M231" t="str">
            <v xml:space="preserve">NAS </v>
          </cell>
          <cell r="N231" t="str">
            <v xml:space="preserve">2001 </v>
          </cell>
          <cell r="O231" t="str">
            <v>30 ships</v>
          </cell>
          <cell r="W231" t="str">
            <v>Remain'g</v>
          </cell>
          <cell r="X231">
            <v>100</v>
          </cell>
          <cell r="Y231">
            <v>150</v>
          </cell>
          <cell r="AE231" t="str">
            <v>Kearney Mesa</v>
          </cell>
          <cell r="AG231">
            <v>75</v>
          </cell>
          <cell r="AH231" t="str">
            <v>- $80MM purchase price</v>
          </cell>
          <cell r="CD231" t="str">
            <v>Aerospace</v>
          </cell>
          <cell r="CE231">
            <v>753</v>
          </cell>
          <cell r="CF231">
            <v>101</v>
          </cell>
          <cell r="CG231">
            <v>645</v>
          </cell>
          <cell r="CH231">
            <v>80</v>
          </cell>
          <cell r="CI231">
            <v>7.0000000000000007E-2</v>
          </cell>
          <cell r="CJ231" t="str">
            <v>-Favorable pricing</v>
          </cell>
        </row>
        <row r="232">
          <cell r="M232" t="str">
            <v>DDG 51 mulityr</v>
          </cell>
          <cell r="O232">
            <v>350</v>
          </cell>
          <cell r="W232" t="str">
            <v>After tax</v>
          </cell>
          <cell r="X232">
            <v>117</v>
          </cell>
          <cell r="Y232">
            <v>150</v>
          </cell>
          <cell r="Z232" t="str">
            <v xml:space="preserve">- $150MM BV </v>
          </cell>
          <cell r="AG232">
            <v>148</v>
          </cell>
          <cell r="AH232" t="str">
            <v>- mgmt assumes $150 min//we est. $200-250</v>
          </cell>
          <cell r="CD232" t="str">
            <v>Resources</v>
          </cell>
          <cell r="CE232">
            <v>0</v>
          </cell>
          <cell r="CF232">
            <v>9</v>
          </cell>
          <cell r="CG232">
            <v>45</v>
          </cell>
          <cell r="CH232">
            <v>5</v>
          </cell>
          <cell r="CI232">
            <v>-0.03</v>
          </cell>
        </row>
        <row r="233">
          <cell r="L233" t="str">
            <v>Arm'd Vehs</v>
          </cell>
          <cell r="W233" t="str">
            <v>Discounted</v>
          </cell>
          <cell r="X233">
            <v>117</v>
          </cell>
          <cell r="Y233">
            <v>150</v>
          </cell>
          <cell r="Z233" t="str">
            <v>- no longer discounting</v>
          </cell>
          <cell r="CD233" t="str">
            <v>Subtotal Ops</v>
          </cell>
          <cell r="CE233">
            <v>4772</v>
          </cell>
          <cell r="CF233">
            <v>460</v>
          </cell>
          <cell r="CG233">
            <v>5055</v>
          </cell>
          <cell r="CH233">
            <v>495</v>
          </cell>
          <cell r="CI233">
            <v>-0.17</v>
          </cell>
        </row>
        <row r="234">
          <cell r="W234" t="str">
            <v xml:space="preserve"> Per Share</v>
          </cell>
          <cell r="X234">
            <v>0.29061102831594632</v>
          </cell>
          <cell r="Y234">
            <v>0.37257824143070045</v>
          </cell>
          <cell r="Z234" t="str">
            <v>- assumes sld 99</v>
          </cell>
          <cell r="CD234" t="str">
            <v>Interest, net</v>
          </cell>
          <cell r="CF234">
            <v>-34</v>
          </cell>
          <cell r="CH234">
            <v>-32</v>
          </cell>
          <cell r="CI234">
            <v>-0.01</v>
          </cell>
        </row>
        <row r="235">
          <cell r="L235" t="str">
            <v>Info Tech</v>
          </cell>
          <cell r="M235" t="str">
            <v>Teledesic</v>
          </cell>
          <cell r="N235" t="str">
            <v>1999</v>
          </cell>
          <cell r="CD235" t="str">
            <v>Tax rate</v>
          </cell>
          <cell r="CF235">
            <v>0.16941176470588235</v>
          </cell>
          <cell r="CH235">
            <v>0.32500000000000001</v>
          </cell>
          <cell r="CI235">
            <v>0.34</v>
          </cell>
        </row>
        <row r="236">
          <cell r="Y236" t="str">
            <v>Est Value of Tax Credit</v>
          </cell>
          <cell r="AD236" t="str">
            <v>Comments</v>
          </cell>
          <cell r="CD236" t="str">
            <v>Share Count</v>
          </cell>
          <cell r="CF236">
            <v>404.04754800000001</v>
          </cell>
          <cell r="CH236">
            <v>201</v>
          </cell>
          <cell r="CI236">
            <v>-0.01</v>
          </cell>
        </row>
        <row r="237">
          <cell r="M237" t="str">
            <v>Potential Foreign Sales</v>
          </cell>
          <cell r="X237" t="str">
            <v>Initial claim</v>
          </cell>
          <cell r="Z237" t="str">
            <v>$ Value</v>
          </cell>
          <cell r="AB237" t="str">
            <v>NPV</v>
          </cell>
          <cell r="AD237" t="str">
            <v>- 7% discount rate; pd '99</v>
          </cell>
          <cell r="CD237" t="str">
            <v>EPS, Cont Ops</v>
          </cell>
          <cell r="CE237" t="str">
            <v xml:space="preserve">Actual </v>
          </cell>
          <cell r="CF237">
            <v>0.87365955256335326</v>
          </cell>
          <cell r="CG237" t="str">
            <v>Estimate</v>
          </cell>
          <cell r="CH237">
            <v>1.55</v>
          </cell>
          <cell r="CI237">
            <v>0.15</v>
          </cell>
        </row>
        <row r="238">
          <cell r="L238" t="str">
            <v>Marine</v>
          </cell>
          <cell r="M238" t="str">
            <v>FG7 refurb</v>
          </cell>
          <cell r="O238" t="str">
            <v>7-8 ships</v>
          </cell>
          <cell r="P238" t="str">
            <v>- small, farther dnstream</v>
          </cell>
          <cell r="X238" t="str">
            <v>Pretax</v>
          </cell>
          <cell r="Y238" t="str">
            <v>After tax</v>
          </cell>
          <cell r="Z238" t="str">
            <v>Low</v>
          </cell>
          <cell r="AA238" t="str">
            <v>High</v>
          </cell>
          <cell r="AB238" t="str">
            <v>Low</v>
          </cell>
          <cell r="AC238" t="str">
            <v>High</v>
          </cell>
          <cell r="AD238" t="str">
            <v>- settled - pd late 98 and 99</v>
          </cell>
        </row>
        <row r="239">
          <cell r="L239" t="str">
            <v>Arm'd Vehs</v>
          </cell>
          <cell r="M239" t="str">
            <v>Egypt tank kits</v>
          </cell>
          <cell r="O239">
            <v>150</v>
          </cell>
          <cell r="P239" t="str">
            <v>100 kits; 1.5MM per, rate of 100/yr drops to 50-ish</v>
          </cell>
          <cell r="W239" t="str">
            <v>Amount settled</v>
          </cell>
          <cell r="X239">
            <v>449</v>
          </cell>
          <cell r="Y239">
            <v>449</v>
          </cell>
          <cell r="Z239">
            <v>449</v>
          </cell>
          <cell r="AA239">
            <v>449</v>
          </cell>
          <cell r="CD239" t="str">
            <v>GD 2Q05 Actual vs. Expectations</v>
          </cell>
        </row>
        <row r="240">
          <cell r="M240" t="str">
            <v>Saudis</v>
          </cell>
          <cell r="O240">
            <v>375</v>
          </cell>
          <cell r="P240" t="str">
            <v>-already app'd by Wash, 237 addl for req of 700</v>
          </cell>
          <cell r="W240" t="str">
            <v>remaining claim</v>
          </cell>
          <cell r="X240">
            <v>78</v>
          </cell>
          <cell r="Y240">
            <v>78</v>
          </cell>
          <cell r="Z240">
            <v>55</v>
          </cell>
          <cell r="AA240">
            <v>78</v>
          </cell>
          <cell r="AB240">
            <v>51.028037383177569</v>
          </cell>
          <cell r="AC240">
            <v>75.405446145561754</v>
          </cell>
          <cell r="AD240" t="str">
            <v>- claims are tax free, int. is taxed</v>
          </cell>
          <cell r="BE240" t="str">
            <v>1Q03</v>
          </cell>
          <cell r="BF240" t="str">
            <v>2Q03</v>
          </cell>
          <cell r="BG240" t="str">
            <v>3Q03</v>
          </cell>
          <cell r="BH240" t="str">
            <v>4Q03</v>
          </cell>
          <cell r="BI240" t="str">
            <v>1Q04</v>
          </cell>
          <cell r="BJ240" t="str">
            <v>2Q04</v>
          </cell>
          <cell r="BK240" t="str">
            <v>3Q04</v>
          </cell>
          <cell r="BL240" t="str">
            <v>4Q04</v>
          </cell>
          <cell r="BM240" t="str">
            <v>1Q05</v>
          </cell>
          <cell r="BN240" t="str">
            <v>2Q05</v>
          </cell>
          <cell r="BO240" t="str">
            <v>3Q05</v>
          </cell>
          <cell r="BP240" t="str">
            <v>4Q05</v>
          </cell>
          <cell r="CE240" t="str">
            <v>Actual</v>
          </cell>
          <cell r="CG240" t="str">
            <v>Estimate</v>
          </cell>
          <cell r="CI240" t="str">
            <v>Net Effect</v>
          </cell>
        </row>
        <row r="241">
          <cell r="M241" t="str">
            <v>Turkey</v>
          </cell>
          <cell r="O241">
            <v>1000</v>
          </cell>
          <cell r="P241" t="str">
            <v>-400-1000 tanks, vs. Germans</v>
          </cell>
          <cell r="W241" t="str">
            <v>Interest</v>
          </cell>
          <cell r="Y241">
            <v>0</v>
          </cell>
          <cell r="Z241">
            <v>0</v>
          </cell>
          <cell r="AA241">
            <v>0</v>
          </cell>
          <cell r="AB241">
            <v>0</v>
          </cell>
          <cell r="AC241">
            <v>0</v>
          </cell>
          <cell r="BC241" t="str">
            <v>Marine margins</v>
          </cell>
          <cell r="BE241">
            <v>6.6598360655737709E-2</v>
          </cell>
          <cell r="BF241">
            <v>6.5106815869786366E-2</v>
          </cell>
          <cell r="BG241">
            <v>3.0252100840336135E-2</v>
          </cell>
          <cell r="BH241">
            <v>4.5454545454545456E-2</v>
          </cell>
          <cell r="BI241">
            <v>7.6562500000000006E-2</v>
          </cell>
          <cell r="BJ241">
            <v>6.881903143585387E-2</v>
          </cell>
          <cell r="BK241">
            <v>5.3726169844020795E-2</v>
          </cell>
          <cell r="BL241">
            <v>4.5739910313901344E-2</v>
          </cell>
          <cell r="BM241">
            <v>4.049586776859504E-2</v>
          </cell>
          <cell r="BN241">
            <v>5.5178268251273345E-2</v>
          </cell>
          <cell r="BO241">
            <v>4.4406490179333902E-2</v>
          </cell>
          <cell r="BP241">
            <v>7.3063380281690141E-2</v>
          </cell>
          <cell r="CE241" t="str">
            <v>Revenue</v>
          </cell>
          <cell r="CF241" t="str">
            <v>Op Prof</v>
          </cell>
          <cell r="CG241" t="str">
            <v>Revenue</v>
          </cell>
          <cell r="CH241" t="str">
            <v>Op Prof</v>
          </cell>
          <cell r="CI241" t="str">
            <v>to EPS</v>
          </cell>
          <cell r="CJ241" t="str">
            <v>Comments</v>
          </cell>
        </row>
        <row r="242">
          <cell r="M242" t="str">
            <v>Greece</v>
          </cell>
          <cell r="O242" t="str">
            <v>??</v>
          </cell>
          <cell r="P242" t="str">
            <v>fast track to keep pace w/ Turks</v>
          </cell>
          <cell r="X242">
            <v>527</v>
          </cell>
          <cell r="Y242">
            <v>527</v>
          </cell>
          <cell r="Z242">
            <v>504</v>
          </cell>
          <cell r="AA242">
            <v>527</v>
          </cell>
          <cell r="AB242">
            <v>470.65420560747663</v>
          </cell>
          <cell r="AC242">
            <v>509.47012972706472</v>
          </cell>
          <cell r="BC242" t="str">
            <v>Marine margins ex. charges</v>
          </cell>
          <cell r="BE242">
            <v>8.299180327868852E-2</v>
          </cell>
          <cell r="BF242">
            <v>6.5106815869786366E-2</v>
          </cell>
          <cell r="BG242">
            <v>6.8067226890756297E-2</v>
          </cell>
          <cell r="BH242">
            <v>6.8627450980392163E-2</v>
          </cell>
          <cell r="BI242">
            <v>7.6562500000000006E-2</v>
          </cell>
          <cell r="BJ242">
            <v>6.881903143585387E-2</v>
          </cell>
          <cell r="BK242">
            <v>7.452339688041594E-2</v>
          </cell>
          <cell r="BL242">
            <v>6.2780269058295965E-2</v>
          </cell>
          <cell r="BM242">
            <v>6.5289256198347106E-2</v>
          </cell>
          <cell r="BN242">
            <v>6.8760611205432934E-2</v>
          </cell>
          <cell r="BO242">
            <v>7.0879590093936809E-2</v>
          </cell>
          <cell r="BP242">
            <v>7.3063380281690141E-2</v>
          </cell>
          <cell r="CD242" t="str">
            <v>Marine</v>
          </cell>
          <cell r="CE242">
            <v>1178</v>
          </cell>
          <cell r="CF242">
            <v>65</v>
          </cell>
          <cell r="CG242">
            <v>1135</v>
          </cell>
          <cell r="CH242">
            <v>70</v>
          </cell>
          <cell r="CI242">
            <v>-0.02</v>
          </cell>
          <cell r="CJ242" t="str">
            <v>-Electric Boat charges</v>
          </cell>
        </row>
        <row r="243">
          <cell r="Y243" t="str">
            <v>Per share</v>
          </cell>
          <cell r="Z243">
            <v>1.2518628912071534</v>
          </cell>
          <cell r="AA243">
            <v>1.3089915548931941</v>
          </cell>
          <cell r="BC243" t="str">
            <v>Charge ($MM)</v>
          </cell>
          <cell r="BE243">
            <v>16</v>
          </cell>
          <cell r="BF243">
            <v>0</v>
          </cell>
          <cell r="BG243">
            <v>45</v>
          </cell>
          <cell r="BH243">
            <v>26</v>
          </cell>
          <cell r="BI243">
            <v>0</v>
          </cell>
          <cell r="BJ243">
            <v>0</v>
          </cell>
          <cell r="BK243">
            <v>24</v>
          </cell>
          <cell r="BL243">
            <v>19</v>
          </cell>
          <cell r="BM243">
            <v>30</v>
          </cell>
          <cell r="BN243">
            <v>16</v>
          </cell>
          <cell r="BO243">
            <v>31</v>
          </cell>
          <cell r="BP243">
            <v>0</v>
          </cell>
          <cell r="CD243" t="str">
            <v>Combat Sys</v>
          </cell>
          <cell r="CE243">
            <v>1118</v>
          </cell>
          <cell r="CF243">
            <v>123</v>
          </cell>
          <cell r="CG243">
            <v>1170</v>
          </cell>
          <cell r="CH243">
            <v>136</v>
          </cell>
          <cell r="CI243">
            <v>-0.04</v>
          </cell>
          <cell r="CJ243" t="str">
            <v>-Timing and deliveries</v>
          </cell>
        </row>
        <row r="244">
          <cell r="Y244" t="str">
            <v>Per share to be rec'd</v>
          </cell>
          <cell r="Z244">
            <v>0.13661202185792348</v>
          </cell>
          <cell r="AA244">
            <v>0.19374068554396423</v>
          </cell>
          <cell r="CD244" t="str">
            <v>IS&amp;T</v>
          </cell>
          <cell r="CE244">
            <v>2013</v>
          </cell>
          <cell r="CF244">
            <v>225</v>
          </cell>
          <cell r="CG244">
            <v>1835</v>
          </cell>
          <cell r="CH244">
            <v>194</v>
          </cell>
          <cell r="CI244">
            <v>0.1</v>
          </cell>
          <cell r="CJ244" t="str">
            <v>-Volume, mix</v>
          </cell>
        </row>
        <row r="245">
          <cell r="M245" t="str">
            <v>U.S. 6 shipbuilders</v>
          </cell>
          <cell r="O245" t="str">
            <v>Prodn Capacities</v>
          </cell>
          <cell r="Q245" t="str">
            <v>Shipbuilders</v>
          </cell>
          <cell r="CD245" t="str">
            <v>Aerospace</v>
          </cell>
          <cell r="CE245">
            <v>828</v>
          </cell>
          <cell r="CF245">
            <v>125</v>
          </cell>
          <cell r="CG245">
            <v>830</v>
          </cell>
          <cell r="CH245">
            <v>124</v>
          </cell>
          <cell r="CI245">
            <v>0</v>
          </cell>
        </row>
        <row r="246">
          <cell r="M246" t="str">
            <v>AVN</v>
          </cell>
          <cell r="O246" t="str">
            <v>Nuclear powered ships</v>
          </cell>
          <cell r="Q246" t="str">
            <v>EB, NN</v>
          </cell>
          <cell r="R246" t="str">
            <v>- the only two w/ experience in prodn</v>
          </cell>
          <cell r="Y246" t="str">
            <v xml:space="preserve">Possible General Dynamics Valuation </v>
          </cell>
          <cell r="CD246" t="str">
            <v>Resources</v>
          </cell>
          <cell r="CE246">
            <v>0</v>
          </cell>
          <cell r="CF246">
            <v>1</v>
          </cell>
          <cell r="CG246">
            <v>65</v>
          </cell>
          <cell r="CH246">
            <v>7</v>
          </cell>
          <cell r="CI246">
            <v>0.01</v>
          </cell>
        </row>
        <row r="247">
          <cell r="M247" t="str">
            <v>BIW</v>
          </cell>
          <cell r="O247" t="str">
            <v>Maj. surface combatants</v>
          </cell>
          <cell r="Q247" t="str">
            <v>BIW, Ingalls</v>
          </cell>
          <cell r="AC247" t="str">
            <v xml:space="preserve">   Per GD Share</v>
          </cell>
          <cell r="CD247" t="str">
            <v>Subtotal Ops</v>
          </cell>
          <cell r="CE247">
            <v>5137</v>
          </cell>
          <cell r="CF247">
            <v>539</v>
          </cell>
          <cell r="CG247">
            <v>5035</v>
          </cell>
          <cell r="CH247">
            <v>531</v>
          </cell>
          <cell r="CI247">
            <v>5.000000000000001E-2</v>
          </cell>
        </row>
        <row r="248">
          <cell r="M248" t="str">
            <v>EB</v>
          </cell>
          <cell r="O248" t="str">
            <v>Amphibious ships</v>
          </cell>
          <cell r="Q248" t="str">
            <v>AVN, Ingalls</v>
          </cell>
          <cell r="Z248" t="str">
            <v xml:space="preserve">      P/E</v>
          </cell>
          <cell r="AC248" t="str">
            <v>Low</v>
          </cell>
          <cell r="AD248" t="str">
            <v>MidPt</v>
          </cell>
          <cell r="AE248" t="str">
            <v>High</v>
          </cell>
          <cell r="CD248" t="str">
            <v>Interest, net</v>
          </cell>
          <cell r="CF248">
            <v>-29</v>
          </cell>
          <cell r="CH248">
            <v>-35</v>
          </cell>
          <cell r="CI248">
            <v>0.02</v>
          </cell>
        </row>
        <row r="249">
          <cell r="M249" t="str">
            <v>Ingalls</v>
          </cell>
          <cell r="O249" t="str">
            <v>Lg aux/sealift ships</v>
          </cell>
          <cell r="Q249" t="str">
            <v>AVN, NASSCO</v>
          </cell>
          <cell r="Y249" t="str">
            <v>EPS</v>
          </cell>
          <cell r="Z249" t="str">
            <v>Low</v>
          </cell>
          <cell r="AA249" t="str">
            <v>Mid-Pt</v>
          </cell>
          <cell r="AB249" t="str">
            <v>High</v>
          </cell>
          <cell r="AC249">
            <v>0</v>
          </cell>
          <cell r="AD249">
            <v>0</v>
          </cell>
          <cell r="AE249">
            <v>0</v>
          </cell>
          <cell r="CD249" t="str">
            <v>Tax rate</v>
          </cell>
          <cell r="CF249">
            <v>0.33855185909980429</v>
          </cell>
          <cell r="CH249">
            <v>0.32500000000000001</v>
          </cell>
          <cell r="CI249">
            <v>-0.03</v>
          </cell>
        </row>
        <row r="250">
          <cell r="W250" t="str">
            <v>Net Cash</v>
          </cell>
          <cell r="AC250">
            <v>0</v>
          </cell>
          <cell r="AD250">
            <v>0</v>
          </cell>
          <cell r="AE250">
            <v>1.5226030799801291</v>
          </cell>
          <cell r="CD250" t="str">
            <v>Share Count</v>
          </cell>
          <cell r="CF250">
            <v>404.39757400000002</v>
          </cell>
          <cell r="CH250">
            <v>202</v>
          </cell>
          <cell r="CI250">
            <v>0</v>
          </cell>
        </row>
        <row r="251">
          <cell r="M251" t="str">
            <v>NASSCO</v>
          </cell>
          <cell r="W251" t="str">
            <v>A-12 Settlement</v>
          </cell>
          <cell r="AC251">
            <v>0.13661202185792348</v>
          </cell>
          <cell r="AD251">
            <v>0.19374068554396423</v>
          </cell>
          <cell r="AE251">
            <v>0.19374068554396423</v>
          </cell>
          <cell r="CD251" t="str">
            <v>EPS, Cont Ops</v>
          </cell>
          <cell r="CE251" t="str">
            <v xml:space="preserve">Actual </v>
          </cell>
          <cell r="CF251">
            <v>0.8358111465821999</v>
          </cell>
          <cell r="CG251" t="str">
            <v>Estimate</v>
          </cell>
          <cell r="CH251">
            <v>1.66</v>
          </cell>
          <cell r="CI251">
            <v>4.0000000000000008E-2</v>
          </cell>
        </row>
        <row r="252">
          <cell r="M252" t="str">
            <v>Newport News</v>
          </cell>
          <cell r="W252" t="str">
            <v>R&amp;D Tax Credit</v>
          </cell>
          <cell r="AC252">
            <v>0.29061102831594632</v>
          </cell>
          <cell r="AD252">
            <v>0.37257824143070045</v>
          </cell>
          <cell r="AE252">
            <v>0.37257824143070045</v>
          </cell>
        </row>
        <row r="253">
          <cell r="W253" t="str">
            <v>Calif Real Estate</v>
          </cell>
          <cell r="AC253">
            <v>28.568461251862892</v>
          </cell>
          <cell r="AD253">
            <v>34.917008196721312</v>
          </cell>
          <cell r="AE253">
            <v>34.917008196721312</v>
          </cell>
          <cell r="CD253" t="str">
            <v>GD 3Q05 Actual vs. Expectations</v>
          </cell>
        </row>
        <row r="254">
          <cell r="M254" t="str">
            <v>DDG-51s</v>
          </cell>
          <cell r="W254" t="str">
            <v>'00 Op EPS (Ex Int Exp</v>
          </cell>
          <cell r="Y254">
            <v>2.1161823149528067</v>
          </cell>
          <cell r="Z254">
            <v>13.5</v>
          </cell>
          <cell r="AA254">
            <v>16.5</v>
          </cell>
          <cell r="AB254">
            <v>17</v>
          </cell>
          <cell r="AC254">
            <v>28.995684302036761</v>
          </cell>
          <cell r="AD254">
            <v>35.483327123695979</v>
          </cell>
          <cell r="AE254">
            <v>37.005930203676108</v>
          </cell>
          <cell r="CE254" t="str">
            <v>Actual</v>
          </cell>
          <cell r="CG254" t="str">
            <v>Estimate</v>
          </cell>
          <cell r="CI254" t="str">
            <v>Net Effect</v>
          </cell>
        </row>
        <row r="255">
          <cell r="M255" t="str">
            <v>Sched. Dels</v>
          </cell>
          <cell r="N255" t="str">
            <v>Firm</v>
          </cell>
          <cell r="O255" t="str">
            <v>Comments</v>
          </cell>
          <cell r="W255" t="str">
            <v xml:space="preserve">  Total</v>
          </cell>
          <cell r="CE255" t="str">
            <v>Revenue</v>
          </cell>
          <cell r="CF255" t="str">
            <v>Op Prof</v>
          </cell>
          <cell r="CG255" t="str">
            <v>Revenue</v>
          </cell>
          <cell r="CH255" t="str">
            <v>Op Prof</v>
          </cell>
          <cell r="CI255" t="str">
            <v>to EPS</v>
          </cell>
          <cell r="CJ255" t="str">
            <v>Comments</v>
          </cell>
        </row>
        <row r="256">
          <cell r="L256">
            <v>1</v>
          </cell>
          <cell r="M256">
            <v>35391</v>
          </cell>
          <cell r="N256">
            <v>68</v>
          </cell>
          <cell r="CD256" t="str">
            <v>Marine</v>
          </cell>
          <cell r="CE256">
            <v>1171</v>
          </cell>
          <cell r="CF256">
            <v>52</v>
          </cell>
          <cell r="CG256">
            <v>1100</v>
          </cell>
          <cell r="CH256">
            <v>75</v>
          </cell>
          <cell r="CI256">
            <v>-0.08</v>
          </cell>
          <cell r="CJ256" t="str">
            <v>-Comm'l tanker charges</v>
          </cell>
        </row>
        <row r="257">
          <cell r="L257">
            <v>2</v>
          </cell>
          <cell r="M257">
            <v>35531</v>
          </cell>
          <cell r="N257">
            <v>70</v>
          </cell>
          <cell r="AC257">
            <v>0.4272230501738683</v>
          </cell>
          <cell r="AD257">
            <v>0.56631892697466668</v>
          </cell>
          <cell r="CD257" t="str">
            <v>Combat Sys</v>
          </cell>
          <cell r="CE257">
            <v>1240</v>
          </cell>
          <cell r="CF257">
            <v>159</v>
          </cell>
          <cell r="CG257">
            <v>1240</v>
          </cell>
          <cell r="CH257">
            <v>158</v>
          </cell>
          <cell r="CI257">
            <v>0</v>
          </cell>
          <cell r="CJ257" t="str">
            <v>-Timing and deliveries</v>
          </cell>
        </row>
        <row r="258">
          <cell r="L258">
            <v>3</v>
          </cell>
          <cell r="M258">
            <v>35678</v>
          </cell>
          <cell r="N258">
            <v>72</v>
          </cell>
          <cell r="AC258">
            <v>0.4272230501738683</v>
          </cell>
          <cell r="AD258">
            <v>0.56631892697466668</v>
          </cell>
          <cell r="CD258" t="str">
            <v>IS&amp;T</v>
          </cell>
          <cell r="CE258">
            <v>1985</v>
          </cell>
          <cell r="CF258">
            <v>228</v>
          </cell>
          <cell r="CG258">
            <v>1750</v>
          </cell>
          <cell r="CH258">
            <v>188</v>
          </cell>
          <cell r="CI258">
            <v>0.13</v>
          </cell>
          <cell r="CJ258" t="str">
            <v>-Volume, mix</v>
          </cell>
        </row>
        <row r="259">
          <cell r="L259">
            <v>4</v>
          </cell>
          <cell r="M259">
            <v>35868</v>
          </cell>
          <cell r="N259">
            <v>73</v>
          </cell>
          <cell r="AC259" t="str">
            <v>98 P/E</v>
          </cell>
          <cell r="AD259" t="str">
            <v>99 P/E</v>
          </cell>
          <cell r="AL259" t="str">
            <v>General Dynamics P&amp;L ($MM)</v>
          </cell>
          <cell r="CD259" t="str">
            <v>Aerospace</v>
          </cell>
          <cell r="CE259">
            <v>906</v>
          </cell>
          <cell r="CF259">
            <v>146</v>
          </cell>
          <cell r="CG259">
            <v>820</v>
          </cell>
          <cell r="CH259">
            <v>128</v>
          </cell>
          <cell r="CI259">
            <v>0.06</v>
          </cell>
          <cell r="CJ259" t="str">
            <v>-Volume, mix</v>
          </cell>
        </row>
        <row r="260">
          <cell r="L260">
            <v>5</v>
          </cell>
          <cell r="M260">
            <v>36014</v>
          </cell>
          <cell r="N260">
            <v>75</v>
          </cell>
          <cell r="AC260">
            <v>0</v>
          </cell>
          <cell r="AD260">
            <v>0</v>
          </cell>
          <cell r="CD260" t="str">
            <v>Resources</v>
          </cell>
          <cell r="CE260">
            <v>0</v>
          </cell>
          <cell r="CF260">
            <v>-10</v>
          </cell>
          <cell r="CG260">
            <v>75</v>
          </cell>
          <cell r="CH260">
            <v>10</v>
          </cell>
          <cell r="CI260">
            <v>-0.02</v>
          </cell>
        </row>
        <row r="261">
          <cell r="L261">
            <v>6</v>
          </cell>
          <cell r="M261">
            <v>36174</v>
          </cell>
          <cell r="N261">
            <v>76</v>
          </cell>
          <cell r="Y261" t="str">
            <v>GD is trading at (ex cash)</v>
          </cell>
          <cell r="AC261">
            <v>33.437609909877935</v>
          </cell>
          <cell r="AD261">
            <v>23.177577935972923</v>
          </cell>
          <cell r="AK261">
            <v>1999</v>
          </cell>
          <cell r="AN261" t="str">
            <v>2000E</v>
          </cell>
          <cell r="AQ261" t="str">
            <v>2001E</v>
          </cell>
          <cell r="AT261" t="str">
            <v>2002E</v>
          </cell>
          <cell r="AW261" t="str">
            <v>2003E</v>
          </cell>
          <cell r="CD261" t="str">
            <v>Subtotal Ops</v>
          </cell>
          <cell r="CE261">
            <v>5302</v>
          </cell>
          <cell r="CF261">
            <v>575</v>
          </cell>
          <cell r="CG261">
            <v>4985</v>
          </cell>
          <cell r="CH261">
            <v>559</v>
          </cell>
          <cell r="CI261">
            <v>0.09</v>
          </cell>
        </row>
        <row r="262">
          <cell r="L262">
            <v>7</v>
          </cell>
          <cell r="M262">
            <v>36299</v>
          </cell>
          <cell r="N262">
            <v>77</v>
          </cell>
          <cell r="Y262" t="str">
            <v>- ex misc. non operating assets</v>
          </cell>
          <cell r="AB262">
            <v>41</v>
          </cell>
          <cell r="AK262" t="str">
            <v>Revs</v>
          </cell>
          <cell r="AL262" t="str">
            <v>OpPr</v>
          </cell>
          <cell r="AM262" t="str">
            <v>% Sls</v>
          </cell>
          <cell r="AN262" t="str">
            <v>Revs</v>
          </cell>
          <cell r="AO262" t="str">
            <v>OpPr</v>
          </cell>
          <cell r="AP262" t="str">
            <v>% Sls</v>
          </cell>
          <cell r="AQ262" t="str">
            <v>Revs</v>
          </cell>
          <cell r="AR262" t="str">
            <v>OpPr</v>
          </cell>
          <cell r="AS262" t="str">
            <v>% Sls</v>
          </cell>
          <cell r="AT262" t="str">
            <v>Revs</v>
          </cell>
          <cell r="AU262" t="str">
            <v>OpPr</v>
          </cell>
          <cell r="AV262" t="str">
            <v>% Sls</v>
          </cell>
          <cell r="AW262" t="str">
            <v>Revs</v>
          </cell>
          <cell r="AX262" t="str">
            <v>OpPr</v>
          </cell>
          <cell r="AY262" t="str">
            <v>% Sls</v>
          </cell>
          <cell r="CD262" t="str">
            <v>Interest, net</v>
          </cell>
          <cell r="CF262">
            <v>-30</v>
          </cell>
          <cell r="CH262">
            <v>-32</v>
          </cell>
          <cell r="CI262">
            <v>0</v>
          </cell>
        </row>
        <row r="263">
          <cell r="L263">
            <v>8</v>
          </cell>
          <cell r="M263">
            <v>47</v>
          </cell>
          <cell r="N263">
            <v>79</v>
          </cell>
          <cell r="AI263" t="str">
            <v>Marine Group</v>
          </cell>
          <cell r="AK263">
            <v>3088</v>
          </cell>
          <cell r="AL263">
            <v>328</v>
          </cell>
          <cell r="AM263">
            <v>0.10621761658031088</v>
          </cell>
          <cell r="AN263">
            <v>3413</v>
          </cell>
          <cell r="AO263">
            <v>324</v>
          </cell>
          <cell r="AP263">
            <v>9.4931145619689419E-2</v>
          </cell>
          <cell r="AQ263">
            <v>3612</v>
          </cell>
          <cell r="AR263">
            <v>310</v>
          </cell>
          <cell r="AS263">
            <v>8.58250276854928E-2</v>
          </cell>
          <cell r="AT263">
            <v>3650</v>
          </cell>
          <cell r="AU263">
            <v>287</v>
          </cell>
          <cell r="AV263">
            <v>7.8630136986301363E-2</v>
          </cell>
          <cell r="AW263">
            <v>4271</v>
          </cell>
          <cell r="AX263">
            <v>216</v>
          </cell>
          <cell r="AY263">
            <v>5.0573636150784362E-2</v>
          </cell>
          <cell r="CD263" t="str">
            <v>Other</v>
          </cell>
          <cell r="CF263">
            <v>-4</v>
          </cell>
          <cell r="CH263">
            <v>1</v>
          </cell>
          <cell r="CI263">
            <v>-0.01</v>
          </cell>
        </row>
        <row r="264">
          <cell r="L264">
            <v>9</v>
          </cell>
          <cell r="M264">
            <v>238</v>
          </cell>
          <cell r="N264">
            <v>81</v>
          </cell>
          <cell r="AI264" t="str">
            <v>Combat Sys</v>
          </cell>
          <cell r="AK264">
            <v>1290</v>
          </cell>
          <cell r="AL264">
            <v>155</v>
          </cell>
          <cell r="AM264">
            <v>0.12015503875968993</v>
          </cell>
          <cell r="AN264">
            <v>1273</v>
          </cell>
          <cell r="AO264">
            <v>156</v>
          </cell>
          <cell r="AP264">
            <v>0.12254516889238021</v>
          </cell>
          <cell r="AQ264">
            <v>2210</v>
          </cell>
          <cell r="AR264">
            <v>238</v>
          </cell>
          <cell r="AS264">
            <v>0.1076923076923077</v>
          </cell>
          <cell r="AT264">
            <v>2786</v>
          </cell>
          <cell r="AU264">
            <v>309</v>
          </cell>
          <cell r="AV264">
            <v>0.11091170136396267</v>
          </cell>
          <cell r="AW264">
            <v>4007</v>
          </cell>
          <cell r="AX264">
            <v>443</v>
          </cell>
          <cell r="AY264">
            <v>0.11055652607936112</v>
          </cell>
          <cell r="CD264" t="str">
            <v>Tax rate</v>
          </cell>
          <cell r="CF264">
            <v>0.32717190388170053</v>
          </cell>
          <cell r="CH264">
            <v>0.33100000000000002</v>
          </cell>
          <cell r="CI264">
            <v>0.01</v>
          </cell>
        </row>
        <row r="265">
          <cell r="L265">
            <v>10</v>
          </cell>
          <cell r="M265" t="str">
            <v>???</v>
          </cell>
          <cell r="O265" t="str">
            <v>FY96/FY97 ea. funded 1 add'l boat</v>
          </cell>
          <cell r="AI265" t="str">
            <v>Info Sys &amp; Tech</v>
          </cell>
          <cell r="AK265">
            <v>1422</v>
          </cell>
          <cell r="AL265">
            <v>127</v>
          </cell>
          <cell r="AM265">
            <v>8.9310829817158932E-2</v>
          </cell>
          <cell r="AN265">
            <v>2337</v>
          </cell>
          <cell r="AO265">
            <v>217</v>
          </cell>
          <cell r="AP265">
            <v>9.2854086435601196E-2</v>
          </cell>
          <cell r="AQ265">
            <v>2691</v>
          </cell>
          <cell r="AR265">
            <v>261</v>
          </cell>
          <cell r="AS265">
            <v>9.6989966555183951E-2</v>
          </cell>
          <cell r="AT265">
            <v>3669</v>
          </cell>
          <cell r="AU265">
            <v>435</v>
          </cell>
          <cell r="AV265">
            <v>0.11856091578086672</v>
          </cell>
          <cell r="AW265">
            <v>4848</v>
          </cell>
          <cell r="AX265">
            <v>533</v>
          </cell>
          <cell r="AY265">
            <v>0.10994224422442245</v>
          </cell>
          <cell r="CD265" t="str">
            <v>Share Count</v>
          </cell>
          <cell r="CF265">
            <v>405.60674599999999</v>
          </cell>
          <cell r="CH265">
            <v>202.3</v>
          </cell>
          <cell r="CI265">
            <v>0</v>
          </cell>
        </row>
        <row r="266">
          <cell r="AI266" t="str">
            <v>Gulfstream</v>
          </cell>
          <cell r="AK266">
            <v>2909</v>
          </cell>
          <cell r="AL266">
            <v>482</v>
          </cell>
          <cell r="AM266">
            <v>0.16569267789618425</v>
          </cell>
          <cell r="AN266">
            <v>3029</v>
          </cell>
          <cell r="AO266">
            <v>592</v>
          </cell>
          <cell r="AP266">
            <v>0.19544404093760318</v>
          </cell>
          <cell r="AQ266">
            <v>3265</v>
          </cell>
          <cell r="AR266">
            <v>625</v>
          </cell>
          <cell r="AS266">
            <v>0.19142419601837674</v>
          </cell>
          <cell r="AT266">
            <v>3289</v>
          </cell>
          <cell r="AU266">
            <v>447</v>
          </cell>
          <cell r="AV266">
            <v>0.13590757069017939</v>
          </cell>
          <cell r="AW266">
            <v>2946</v>
          </cell>
          <cell r="AX266">
            <v>218</v>
          </cell>
          <cell r="AY266">
            <v>7.3998642226748138E-2</v>
          </cell>
          <cell r="CD266" t="str">
            <v>EPS, Cont Ops</v>
          </cell>
          <cell r="CE266" t="str">
            <v xml:space="preserve">Actual </v>
          </cell>
          <cell r="CF266">
            <v>0.8974209713957767</v>
          </cell>
          <cell r="CG266" t="str">
            <v>Estimate</v>
          </cell>
          <cell r="CH266">
            <v>1.7460800790904598</v>
          </cell>
          <cell r="CI266">
            <v>0.09</v>
          </cell>
        </row>
        <row r="267">
          <cell r="AI267" t="str">
            <v>Other</v>
          </cell>
          <cell r="AK267">
            <v>250</v>
          </cell>
          <cell r="AL267">
            <v>46</v>
          </cell>
          <cell r="AM267">
            <v>0.184</v>
          </cell>
          <cell r="AN267">
            <v>253</v>
          </cell>
          <cell r="AO267">
            <v>36</v>
          </cell>
          <cell r="AP267">
            <v>0.14229249011857709</v>
          </cell>
          <cell r="AQ267">
            <v>276</v>
          </cell>
          <cell r="AR267">
            <v>52</v>
          </cell>
          <cell r="AS267">
            <v>0.18840579710144928</v>
          </cell>
          <cell r="AT267">
            <v>286</v>
          </cell>
          <cell r="AU267">
            <v>89</v>
          </cell>
          <cell r="AV267">
            <v>0.3111888111888112</v>
          </cell>
          <cell r="AW267">
            <v>256</v>
          </cell>
          <cell r="AX267">
            <v>32</v>
          </cell>
          <cell r="AY267">
            <v>0.125</v>
          </cell>
        </row>
        <row r="268">
          <cell r="AI268" t="str">
            <v xml:space="preserve"> Total Revs.</v>
          </cell>
          <cell r="AK268">
            <v>8959</v>
          </cell>
          <cell r="AL268">
            <v>1138</v>
          </cell>
          <cell r="AM268">
            <v>0.12702310525728319</v>
          </cell>
          <cell r="AN268">
            <v>10305</v>
          </cell>
          <cell r="AO268">
            <v>1325</v>
          </cell>
          <cell r="AP268">
            <v>0.12857836001940806</v>
          </cell>
          <cell r="AQ268">
            <v>12054</v>
          </cell>
          <cell r="AR268">
            <v>1486</v>
          </cell>
          <cell r="AS268">
            <v>0.12327857972457276</v>
          </cell>
          <cell r="AT268">
            <v>13680</v>
          </cell>
          <cell r="AU268">
            <v>1567</v>
          </cell>
          <cell r="AV268">
            <v>0.11454678362573099</v>
          </cell>
          <cell r="AW268">
            <v>16328</v>
          </cell>
          <cell r="AX268">
            <v>1442</v>
          </cell>
          <cell r="AY268">
            <v>8.8314551690347867E-2</v>
          </cell>
          <cell r="CD268" t="str">
            <v>GD 2005 Actual vs. Expectations</v>
          </cell>
        </row>
        <row r="269">
          <cell r="AI269" t="str">
            <v xml:space="preserve">  % Change</v>
          </cell>
          <cell r="AL269">
            <v>0.23</v>
          </cell>
          <cell r="AO269">
            <v>0.16168717047451669</v>
          </cell>
          <cell r="AR269">
            <v>3.7821482602118005E-2</v>
          </cell>
          <cell r="AU269">
            <v>7.5072886297376087E-2</v>
          </cell>
          <cell r="AX269">
            <v>5.4237288135593219E-2</v>
          </cell>
          <cell r="CE269" t="str">
            <v>Actual</v>
          </cell>
          <cell r="CG269" t="str">
            <v>Estimate</v>
          </cell>
          <cell r="CI269" t="str">
            <v>Net Effect</v>
          </cell>
        </row>
        <row r="270">
          <cell r="AX270">
            <v>-98</v>
          </cell>
          <cell r="CE270" t="str">
            <v>Revenue</v>
          </cell>
          <cell r="CF270" t="str">
            <v>Op Prof</v>
          </cell>
          <cell r="CG270" t="str">
            <v>Revenue</v>
          </cell>
          <cell r="CH270" t="str">
            <v>Op Prof</v>
          </cell>
          <cell r="CI270" t="str">
            <v>to EPS</v>
          </cell>
          <cell r="CJ270" t="str">
            <v>Comments</v>
          </cell>
        </row>
        <row r="271">
          <cell r="P271" t="str">
            <v>Potential Bath Increment To GD's Intrinsic Value ($MM)</v>
          </cell>
          <cell r="AX271">
            <v>3</v>
          </cell>
          <cell r="CD271" t="str">
            <v>Marine</v>
          </cell>
          <cell r="CE271">
            <v>4695</v>
          </cell>
          <cell r="CF271">
            <v>249</v>
          </cell>
          <cell r="CG271">
            <v>4600</v>
          </cell>
          <cell r="CH271">
            <v>235.2</v>
          </cell>
          <cell r="CI271">
            <v>0.05</v>
          </cell>
        </row>
        <row r="272">
          <cell r="AX272">
            <v>1347</v>
          </cell>
          <cell r="AY272">
            <v>8.2496325330720238E-2</v>
          </cell>
          <cell r="CD272" t="str">
            <v>Combat Sys</v>
          </cell>
          <cell r="CE272">
            <v>5021</v>
          </cell>
          <cell r="CF272">
            <v>576</v>
          </cell>
          <cell r="CG272">
            <v>5040</v>
          </cell>
          <cell r="CH272">
            <v>570.18499999999995</v>
          </cell>
          <cell r="CI272">
            <v>0.02</v>
          </cell>
        </row>
        <row r="273">
          <cell r="P273">
            <v>1996</v>
          </cell>
          <cell r="Q273" t="str">
            <v xml:space="preserve">      P/E</v>
          </cell>
          <cell r="U273" t="str">
            <v xml:space="preserve">   Per GD Share</v>
          </cell>
          <cell r="AX273">
            <v>0.27319970304380103</v>
          </cell>
          <cell r="CD273" t="str">
            <v>IS&amp;T</v>
          </cell>
          <cell r="CE273">
            <v>7826</v>
          </cell>
          <cell r="CF273">
            <v>865</v>
          </cell>
          <cell r="CG273">
            <v>7804.9310000000005</v>
          </cell>
          <cell r="CH273">
            <v>870.15499999999997</v>
          </cell>
          <cell r="CI273">
            <v>-0.02</v>
          </cell>
        </row>
        <row r="274">
          <cell r="P274" t="str">
            <v>EPS</v>
          </cell>
          <cell r="Q274" t="str">
            <v>Low</v>
          </cell>
          <cell r="S274" t="str">
            <v xml:space="preserve">  High</v>
          </cell>
          <cell r="U274" t="str">
            <v>Low</v>
          </cell>
          <cell r="AX274">
            <v>979</v>
          </cell>
          <cell r="AY274">
            <v>5.9958353748162663E-2</v>
          </cell>
          <cell r="CD274" t="str">
            <v>Aerospace</v>
          </cell>
          <cell r="CE274">
            <v>3433</v>
          </cell>
          <cell r="CF274">
            <v>495</v>
          </cell>
          <cell r="CG274">
            <v>3449.6435999999999</v>
          </cell>
          <cell r="CH274">
            <v>526.070649</v>
          </cell>
          <cell r="CI274">
            <v>-0.11</v>
          </cell>
        </row>
        <row r="275">
          <cell r="N275" t="str">
            <v xml:space="preserve">Bath Cash EPS </v>
          </cell>
          <cell r="P275">
            <v>0.55000000000000004</v>
          </cell>
          <cell r="Q275">
            <v>9.5</v>
          </cell>
          <cell r="S275">
            <v>12</v>
          </cell>
          <cell r="U275">
            <v>5.2250000000000005</v>
          </cell>
          <cell r="V275" t="str">
            <v>High</v>
          </cell>
          <cell r="W275" t="str">
            <v xml:space="preserve">  Assumptions</v>
          </cell>
          <cell r="AX275">
            <v>2.457921587531132</v>
          </cell>
          <cell r="CD275" t="str">
            <v>Resources</v>
          </cell>
          <cell r="CE275">
            <v>0</v>
          </cell>
          <cell r="CF275">
            <v>-6</v>
          </cell>
          <cell r="CG275">
            <v>254.52</v>
          </cell>
          <cell r="CH275">
            <v>18</v>
          </cell>
          <cell r="CI275">
            <v>-0.02</v>
          </cell>
        </row>
        <row r="276">
          <cell r="V276">
            <v>6.6000000000000005</v>
          </cell>
          <cell r="W276" t="str">
            <v xml:space="preserve"> </v>
          </cell>
          <cell r="AX276">
            <v>-4.1164788704105337E-2</v>
          </cell>
          <cell r="CD276" t="str">
            <v>Subtotal Ops</v>
          </cell>
          <cell r="CE276">
            <v>20975</v>
          </cell>
          <cell r="CF276">
            <v>2179</v>
          </cell>
          <cell r="CG276">
            <v>21149.0946</v>
          </cell>
          <cell r="CH276">
            <v>2219.6106490000002</v>
          </cell>
          <cell r="CI276">
            <v>-0.08</v>
          </cell>
        </row>
        <row r="277">
          <cell r="AX277">
            <v>398.30399999999997</v>
          </cell>
          <cell r="CD277" t="str">
            <v>Interest, net</v>
          </cell>
          <cell r="CF277">
            <v>-118</v>
          </cell>
          <cell r="CH277">
            <v>-135.24139999999997</v>
          </cell>
          <cell r="CI277">
            <v>0.06</v>
          </cell>
        </row>
        <row r="278">
          <cell r="N278" t="str">
            <v>Cash paid</v>
          </cell>
          <cell r="U278">
            <v>-4.7468354430379742</v>
          </cell>
          <cell r="CD278" t="str">
            <v>Other</v>
          </cell>
          <cell r="CF278">
            <v>8</v>
          </cell>
          <cell r="CH278">
            <v>0</v>
          </cell>
          <cell r="CI278">
            <v>7.0000000000000007E-2</v>
          </cell>
        </row>
        <row r="279">
          <cell r="N279" t="str">
            <v xml:space="preserve">  Total</v>
          </cell>
          <cell r="U279">
            <v>0.47816455696202631</v>
          </cell>
          <cell r="V279">
            <v>-4.7468354430379742</v>
          </cell>
          <cell r="W279" t="str">
            <v>-$300MM/ 63MM shs.</v>
          </cell>
          <cell r="AX279">
            <v>0.34955509172800175</v>
          </cell>
          <cell r="CD279" t="str">
            <v>Tax rate</v>
          </cell>
          <cell r="CF279">
            <v>0.3001449975833736</v>
          </cell>
          <cell r="CH279">
            <v>0.30299999999999999</v>
          </cell>
          <cell r="CI279">
            <v>0.02</v>
          </cell>
        </row>
        <row r="280">
          <cell r="V280">
            <v>1.8531645569620263</v>
          </cell>
          <cell r="AD280" t="str">
            <v>General Dynamics' Revenues By Program  ($MM)</v>
          </cell>
          <cell r="CD280" t="str">
            <v>Share Count</v>
          </cell>
          <cell r="CF280">
            <v>404.84800000000001</v>
          </cell>
          <cell r="CH280">
            <v>202.25562500000001</v>
          </cell>
          <cell r="CI280" t="str">
            <v>-</v>
          </cell>
        </row>
        <row r="281">
          <cell r="R281" t="str">
            <v>General Dynamics' Revenues By Program  ($MM)</v>
          </cell>
          <cell r="AP281" t="str">
            <v>General Dynamics' Revenues By Program  ($MM)</v>
          </cell>
          <cell r="CD281" t="str">
            <v>EPS, Cont Ops</v>
          </cell>
          <cell r="CE281" t="str">
            <v xml:space="preserve">Actual </v>
          </cell>
          <cell r="CF281">
            <v>3.5766509900011854</v>
          </cell>
          <cell r="CG281" t="str">
            <v>Estimate</v>
          </cell>
          <cell r="CH281">
            <v>7.1830158817733762</v>
          </cell>
          <cell r="CI281">
            <v>7.0000000000000007E-2</v>
          </cell>
        </row>
        <row r="282">
          <cell r="AE282">
            <v>1995</v>
          </cell>
          <cell r="AF282">
            <v>1996</v>
          </cell>
          <cell r="AG282">
            <v>1997</v>
          </cell>
          <cell r="AH282">
            <v>1998</v>
          </cell>
          <cell r="AI282">
            <v>1999</v>
          </cell>
          <cell r="AJ282" t="str">
            <v>Comments</v>
          </cell>
        </row>
        <row r="283">
          <cell r="Q283" t="str">
            <v>Armored Vehs</v>
          </cell>
          <cell r="S283">
            <v>1995</v>
          </cell>
          <cell r="T283">
            <v>1996</v>
          </cell>
          <cell r="AC283" t="str">
            <v>Armored Vehs</v>
          </cell>
          <cell r="AE283">
            <v>130</v>
          </cell>
          <cell r="AF283">
            <v>90</v>
          </cell>
          <cell r="AG283">
            <v>75</v>
          </cell>
          <cell r="AH283">
            <v>0</v>
          </cell>
          <cell r="AI283">
            <v>0</v>
          </cell>
          <cell r="AJ283" t="str">
            <v>- Egypt co prodn</v>
          </cell>
          <cell r="AP283" t="str">
            <v>Combat Vehs</v>
          </cell>
          <cell r="AR283">
            <v>1995</v>
          </cell>
          <cell r="AS283">
            <v>1996</v>
          </cell>
          <cell r="AT283">
            <v>1997</v>
          </cell>
          <cell r="AU283">
            <v>1998</v>
          </cell>
          <cell r="AV283">
            <v>1999</v>
          </cell>
          <cell r="AW283" t="str">
            <v>Comments</v>
          </cell>
        </row>
        <row r="284">
          <cell r="Q284" t="str">
            <v>M1A1</v>
          </cell>
          <cell r="S284">
            <v>130</v>
          </cell>
          <cell r="T284">
            <v>90</v>
          </cell>
          <cell r="V284">
            <v>1997</v>
          </cell>
          <cell r="W284">
            <v>1998</v>
          </cell>
          <cell r="X284">
            <v>1999</v>
          </cell>
          <cell r="Y284" t="str">
            <v>Comments</v>
          </cell>
          <cell r="AC284" t="str">
            <v>M1A1</v>
          </cell>
          <cell r="AE284">
            <v>220</v>
          </cell>
          <cell r="AF284">
            <v>30</v>
          </cell>
          <cell r="AG284">
            <v>0</v>
          </cell>
          <cell r="AH284">
            <v>0</v>
          </cell>
          <cell r="AI284">
            <v>0</v>
          </cell>
          <cell r="AJ284" t="str">
            <v xml:space="preserve"> Awaiting Saudi order</v>
          </cell>
          <cell r="AP284" t="str">
            <v>M1A1</v>
          </cell>
          <cell r="AR284">
            <v>130</v>
          </cell>
          <cell r="AS284">
            <v>90</v>
          </cell>
          <cell r="AT284">
            <v>75</v>
          </cell>
          <cell r="AU284">
            <v>0</v>
          </cell>
          <cell r="AV284">
            <v>0</v>
          </cell>
        </row>
        <row r="285">
          <cell r="Q285" t="str">
            <v>M1A2</v>
          </cell>
          <cell r="S285">
            <v>220</v>
          </cell>
          <cell r="T285">
            <v>30</v>
          </cell>
          <cell r="V285">
            <v>75</v>
          </cell>
          <cell r="Y285" t="str">
            <v>- Awaiting Egypt order</v>
          </cell>
          <cell r="AC285" t="str">
            <v>M1A2</v>
          </cell>
          <cell r="AE285">
            <v>240</v>
          </cell>
          <cell r="AF285">
            <v>260</v>
          </cell>
          <cell r="AG285">
            <v>260</v>
          </cell>
          <cell r="AH285">
            <v>270</v>
          </cell>
          <cell r="AI285">
            <v>320</v>
          </cell>
          <cell r="AP285" t="str">
            <v>M1A2</v>
          </cell>
          <cell r="AR285">
            <v>220</v>
          </cell>
          <cell r="AS285">
            <v>30</v>
          </cell>
          <cell r="AT285">
            <v>0</v>
          </cell>
          <cell r="AU285">
            <v>0</v>
          </cell>
          <cell r="AV285">
            <v>0</v>
          </cell>
        </row>
        <row r="286">
          <cell r="Q286" t="str">
            <v>M1A2 Army Upgrade</v>
          </cell>
          <cell r="S286">
            <v>240</v>
          </cell>
          <cell r="T286">
            <v>260</v>
          </cell>
          <cell r="V286">
            <v>0</v>
          </cell>
          <cell r="W286">
            <v>0</v>
          </cell>
          <cell r="X286">
            <v>0</v>
          </cell>
          <cell r="Y286" t="str">
            <v xml:space="preserve"> Awaiting Saudi order</v>
          </cell>
          <cell r="AC286" t="str">
            <v>M1A2 Army Upgrade</v>
          </cell>
          <cell r="AE286">
            <v>90</v>
          </cell>
          <cell r="AF286">
            <v>90</v>
          </cell>
          <cell r="AG286">
            <v>80</v>
          </cell>
          <cell r="AH286">
            <v>80</v>
          </cell>
          <cell r="AI286">
            <v>80</v>
          </cell>
          <cell r="AP286" t="str">
            <v>M1A2 Army Upgrade</v>
          </cell>
          <cell r="AR286">
            <v>240</v>
          </cell>
          <cell r="AS286">
            <v>260</v>
          </cell>
          <cell r="AT286">
            <v>260</v>
          </cell>
          <cell r="AU286">
            <v>270</v>
          </cell>
          <cell r="AV286">
            <v>320</v>
          </cell>
        </row>
        <row r="287">
          <cell r="Q287" t="str">
            <v>Prodn tank</v>
          </cell>
          <cell r="S287">
            <v>90</v>
          </cell>
          <cell r="T287">
            <v>90</v>
          </cell>
          <cell r="V287">
            <v>260</v>
          </cell>
          <cell r="W287">
            <v>270</v>
          </cell>
          <cell r="X287">
            <v>320</v>
          </cell>
          <cell r="Y287" t="str">
            <v>- converts old M1s to A2s</v>
          </cell>
          <cell r="AC287" t="str">
            <v>Prodn tank</v>
          </cell>
          <cell r="AE287">
            <v>70</v>
          </cell>
          <cell r="AF287">
            <v>90</v>
          </cell>
          <cell r="AG287">
            <v>90</v>
          </cell>
          <cell r="AH287">
            <v>80</v>
          </cell>
          <cell r="AI287">
            <v>45</v>
          </cell>
          <cell r="AJ287" t="str">
            <v>- dn 50% w/o new foreign ords</v>
          </cell>
          <cell r="AP287" t="str">
            <v>Prodn tank</v>
          </cell>
          <cell r="AR287">
            <v>90</v>
          </cell>
          <cell r="AS287">
            <v>90</v>
          </cell>
          <cell r="AT287">
            <v>80</v>
          </cell>
          <cell r="AU287">
            <v>80</v>
          </cell>
          <cell r="AV287">
            <v>80</v>
          </cell>
        </row>
        <row r="288">
          <cell r="Q288" t="str">
            <v>Fox</v>
          </cell>
          <cell r="S288">
            <v>0</v>
          </cell>
          <cell r="T288">
            <v>30</v>
          </cell>
          <cell r="V288">
            <v>80</v>
          </cell>
          <cell r="W288">
            <v>80</v>
          </cell>
          <cell r="X288">
            <v>80</v>
          </cell>
          <cell r="Y288" t="str">
            <v>- misc. tank work</v>
          </cell>
          <cell r="AC288" t="str">
            <v>Support services</v>
          </cell>
          <cell r="AE288">
            <v>125</v>
          </cell>
          <cell r="AF288">
            <v>130</v>
          </cell>
          <cell r="AG288">
            <v>125</v>
          </cell>
          <cell r="AH288">
            <v>100</v>
          </cell>
          <cell r="AI288">
            <v>0</v>
          </cell>
          <cell r="AP288" t="str">
            <v>Support services</v>
          </cell>
          <cell r="AR288">
            <v>70</v>
          </cell>
          <cell r="AS288">
            <v>90</v>
          </cell>
          <cell r="AT288">
            <v>90</v>
          </cell>
          <cell r="AU288">
            <v>80</v>
          </cell>
          <cell r="AV288">
            <v>45</v>
          </cell>
        </row>
        <row r="289">
          <cell r="Q289" t="str">
            <v>Heavy Assault Bridge</v>
          </cell>
          <cell r="V289">
            <v>180</v>
          </cell>
          <cell r="W289">
            <v>60</v>
          </cell>
          <cell r="X289">
            <v>0</v>
          </cell>
          <cell r="Y289" t="str">
            <v>- completed 3/98</v>
          </cell>
          <cell r="AC289" t="str">
            <v>SINCGARS</v>
          </cell>
          <cell r="AE289">
            <v>0</v>
          </cell>
          <cell r="AF289">
            <v>0</v>
          </cell>
          <cell r="AG289">
            <v>534</v>
          </cell>
          <cell r="AH289">
            <v>295</v>
          </cell>
          <cell r="AI289">
            <v>360</v>
          </cell>
          <cell r="AP289" t="str">
            <v>SINCGARS</v>
          </cell>
          <cell r="AR289">
            <v>125</v>
          </cell>
          <cell r="AS289">
            <v>130</v>
          </cell>
          <cell r="AT289">
            <v>125</v>
          </cell>
          <cell r="AU289">
            <v>100</v>
          </cell>
          <cell r="AV289">
            <v>0</v>
          </cell>
        </row>
        <row r="290">
          <cell r="Q290" t="str">
            <v>Crusader</v>
          </cell>
          <cell r="S290">
            <v>0</v>
          </cell>
          <cell r="T290">
            <v>40</v>
          </cell>
          <cell r="V290">
            <v>15</v>
          </cell>
          <cell r="W290">
            <v>35</v>
          </cell>
          <cell r="X290">
            <v>40</v>
          </cell>
          <cell r="Y290" t="str">
            <v xml:space="preserve">- R&amp;D 96/EMD 97/prodn 98 </v>
          </cell>
          <cell r="AC290" t="str">
            <v>Def/Arm Sys</v>
          </cell>
          <cell r="AE290">
            <v>0</v>
          </cell>
          <cell r="AF290">
            <v>30</v>
          </cell>
          <cell r="AG290">
            <v>180</v>
          </cell>
          <cell r="AH290">
            <v>60</v>
          </cell>
          <cell r="AI290">
            <v>0</v>
          </cell>
          <cell r="AJ290" t="str">
            <v>- veh. upgrade</v>
          </cell>
          <cell r="AP290" t="str">
            <v>Def/Arm Sys</v>
          </cell>
          <cell r="AR290">
            <v>0</v>
          </cell>
          <cell r="AS290">
            <v>0</v>
          </cell>
          <cell r="AT290">
            <v>534</v>
          </cell>
          <cell r="AU290">
            <v>295</v>
          </cell>
          <cell r="AV290">
            <v>360</v>
          </cell>
        </row>
        <row r="291">
          <cell r="Q291" t="str">
            <v>AAAV</v>
          </cell>
          <cell r="S291">
            <v>0</v>
          </cell>
          <cell r="T291">
            <v>15</v>
          </cell>
          <cell r="V291">
            <v>40</v>
          </cell>
          <cell r="W291">
            <v>50</v>
          </cell>
          <cell r="X291">
            <v>80</v>
          </cell>
          <cell r="AC291" t="str">
            <v>Fox</v>
          </cell>
          <cell r="AE291">
            <v>0</v>
          </cell>
          <cell r="AF291">
            <v>0</v>
          </cell>
          <cell r="AG291">
            <v>15</v>
          </cell>
          <cell r="AH291">
            <v>35</v>
          </cell>
          <cell r="AI291">
            <v>40</v>
          </cell>
          <cell r="AJ291" t="str">
            <v>- prodn in '99</v>
          </cell>
          <cell r="AP291" t="str">
            <v>Fox</v>
          </cell>
          <cell r="AR291">
            <v>0</v>
          </cell>
          <cell r="AS291">
            <v>30</v>
          </cell>
          <cell r="AT291">
            <v>180</v>
          </cell>
          <cell r="AU291">
            <v>60</v>
          </cell>
          <cell r="AV291">
            <v>0</v>
          </cell>
        </row>
        <row r="292">
          <cell r="V292">
            <v>50</v>
          </cell>
          <cell r="W292">
            <v>50</v>
          </cell>
          <cell r="X292">
            <v>80</v>
          </cell>
          <cell r="AC292" t="str">
            <v>Heavy Assault Bridge</v>
          </cell>
        </row>
        <row r="293">
          <cell r="Q293" t="str">
            <v>SINCGARS</v>
          </cell>
          <cell r="S293">
            <v>125</v>
          </cell>
          <cell r="T293">
            <v>130</v>
          </cell>
          <cell r="AE293">
            <v>0</v>
          </cell>
          <cell r="AF293">
            <v>40</v>
          </cell>
          <cell r="AG293">
            <v>40</v>
          </cell>
          <cell r="AH293">
            <v>50</v>
          </cell>
          <cell r="AI293">
            <v>80</v>
          </cell>
          <cell r="AP293" t="str">
            <v>Engineering</v>
          </cell>
          <cell r="AR293">
            <v>175</v>
          </cell>
          <cell r="AS293">
            <v>305</v>
          </cell>
          <cell r="AT293">
            <v>165</v>
          </cell>
          <cell r="AU293">
            <v>400</v>
          </cell>
          <cell r="AV293">
            <v>465</v>
          </cell>
        </row>
        <row r="294">
          <cell r="Q294" t="str">
            <v>Combat Eng Veh</v>
          </cell>
          <cell r="T294">
            <v>15</v>
          </cell>
          <cell r="V294">
            <v>125</v>
          </cell>
          <cell r="W294">
            <v>100</v>
          </cell>
          <cell r="X294">
            <v>0</v>
          </cell>
          <cell r="AC294" t="str">
            <v>Crusader</v>
          </cell>
          <cell r="AE294">
            <v>0</v>
          </cell>
          <cell r="AF294">
            <v>15</v>
          </cell>
          <cell r="AG294">
            <v>50</v>
          </cell>
          <cell r="AH294">
            <v>50</v>
          </cell>
          <cell r="AI294">
            <v>80</v>
          </cell>
          <cell r="AP294" t="str">
            <v>Combat Vehicles Total</v>
          </cell>
          <cell r="AR294">
            <v>1050</v>
          </cell>
          <cell r="AS294">
            <v>1025</v>
          </cell>
          <cell r="AT294">
            <v>1509</v>
          </cell>
          <cell r="AU294">
            <v>1285</v>
          </cell>
          <cell r="AV294">
            <v>1270</v>
          </cell>
        </row>
        <row r="295">
          <cell r="Q295" t="str">
            <v>Support services</v>
          </cell>
          <cell r="S295">
            <v>70</v>
          </cell>
          <cell r="T295">
            <v>90</v>
          </cell>
          <cell r="V295">
            <v>15</v>
          </cell>
          <cell r="W295">
            <v>15</v>
          </cell>
          <cell r="X295">
            <v>15</v>
          </cell>
          <cell r="Y295" t="str">
            <v>- R&amp;D</v>
          </cell>
          <cell r="AC295" t="str">
            <v>AAAV</v>
          </cell>
          <cell r="AE295">
            <v>0</v>
          </cell>
          <cell r="AF295">
            <v>15</v>
          </cell>
          <cell r="AG295">
            <v>15</v>
          </cell>
          <cell r="AH295">
            <v>15</v>
          </cell>
          <cell r="AI295">
            <v>15</v>
          </cell>
          <cell r="AJ295" t="str">
            <v>- new gen. combat veh.</v>
          </cell>
          <cell r="AP295" t="str">
            <v>% Eng'g</v>
          </cell>
          <cell r="AR295">
            <v>0.16666666666666666</v>
          </cell>
          <cell r="AS295">
            <v>0.29756097560975608</v>
          </cell>
          <cell r="AT295">
            <v>0.10934393638170974</v>
          </cell>
          <cell r="AU295">
            <v>0.31128404669260701</v>
          </cell>
          <cell r="AV295">
            <v>0.36614173228346458</v>
          </cell>
        </row>
        <row r="296">
          <cell r="Q296" t="str">
            <v>Defense Systems</v>
          </cell>
          <cell r="V296">
            <v>90</v>
          </cell>
          <cell r="W296">
            <v>80</v>
          </cell>
          <cell r="X296">
            <v>45</v>
          </cell>
          <cell r="Y296" t="str">
            <v>- Middle East, drops off 50% if no new contracts</v>
          </cell>
          <cell r="AC296" t="str">
            <v>Combat Eng Veh</v>
          </cell>
          <cell r="AE296">
            <v>175</v>
          </cell>
          <cell r="AF296">
            <v>235</v>
          </cell>
          <cell r="AG296">
            <v>45</v>
          </cell>
          <cell r="AH296">
            <v>250</v>
          </cell>
          <cell r="AI296">
            <v>250</v>
          </cell>
          <cell r="AJ296" t="str">
            <v>- holds steady, 97 add Fox</v>
          </cell>
          <cell r="AP296" t="str">
            <v>Marine Systems</v>
          </cell>
        </row>
        <row r="297">
          <cell r="Q297" t="str">
            <v>Armament systems</v>
          </cell>
          <cell r="V297">
            <v>250</v>
          </cell>
          <cell r="W297">
            <v>95</v>
          </cell>
          <cell r="X297">
            <v>125</v>
          </cell>
          <cell r="AC297" t="str">
            <v>Other</v>
          </cell>
          <cell r="AE297">
            <v>1050</v>
          </cell>
          <cell r="AF297">
            <v>1025</v>
          </cell>
          <cell r="AG297">
            <v>1509</v>
          </cell>
          <cell r="AH297">
            <v>1285</v>
          </cell>
          <cell r="AI297">
            <v>1270</v>
          </cell>
          <cell r="AP297" t="str">
            <v>Trident</v>
          </cell>
          <cell r="AR297">
            <v>410</v>
          </cell>
          <cell r="AS297">
            <v>325</v>
          </cell>
          <cell r="AT297">
            <v>100</v>
          </cell>
          <cell r="AU297">
            <v>60</v>
          </cell>
          <cell r="AV297" t="e">
            <v>#REF!</v>
          </cell>
        </row>
        <row r="298">
          <cell r="Q298" t="str">
            <v>Other Eng'g</v>
          </cell>
          <cell r="S298">
            <v>175</v>
          </cell>
          <cell r="T298">
            <v>235</v>
          </cell>
          <cell r="V298">
            <v>284</v>
          </cell>
          <cell r="W298">
            <v>200</v>
          </cell>
          <cell r="X298">
            <v>235</v>
          </cell>
          <cell r="Y298" t="str">
            <v>- fire control transferred to Marine</v>
          </cell>
          <cell r="AC298" t="str">
            <v>subtotal</v>
          </cell>
          <cell r="AE298">
            <v>0.16666666666666666</v>
          </cell>
          <cell r="AF298">
            <v>0.29756097560975608</v>
          </cell>
          <cell r="AG298">
            <v>0.10934393638170974</v>
          </cell>
          <cell r="AH298">
            <v>0.31128404669260701</v>
          </cell>
          <cell r="AI298">
            <v>0.36614173228346458</v>
          </cell>
          <cell r="AP298" t="str">
            <v>SSN-688</v>
          </cell>
          <cell r="AR298">
            <v>100</v>
          </cell>
          <cell r="AS298">
            <v>30</v>
          </cell>
          <cell r="AT298">
            <v>0</v>
          </cell>
          <cell r="AU298">
            <v>0</v>
          </cell>
          <cell r="AV298">
            <v>0</v>
          </cell>
        </row>
        <row r="299">
          <cell r="Q299" t="str">
            <v>subtotal</v>
          </cell>
          <cell r="S299">
            <v>1050</v>
          </cell>
          <cell r="T299">
            <v>1025</v>
          </cell>
          <cell r="V299">
            <v>45</v>
          </cell>
          <cell r="W299">
            <v>250</v>
          </cell>
          <cell r="X299">
            <v>250</v>
          </cell>
          <cell r="Y299" t="str">
            <v>- 97 some in Fox prog</v>
          </cell>
          <cell r="AC299" t="str">
            <v>% Engineering</v>
          </cell>
          <cell r="AG299">
            <v>0.16923076923076924</v>
          </cell>
          <cell r="AH299">
            <v>0.40404040404040403</v>
          </cell>
          <cell r="AI299">
            <v>0.51098901098901095</v>
          </cell>
          <cell r="AJ299" t="str">
            <v>- excludes Def/Arm sys</v>
          </cell>
          <cell r="AP299" t="str">
            <v>Seawolf</v>
          </cell>
          <cell r="AR299">
            <v>475</v>
          </cell>
          <cell r="AS299">
            <v>530</v>
          </cell>
          <cell r="AT299">
            <v>560</v>
          </cell>
          <cell r="AU299">
            <v>600</v>
          </cell>
          <cell r="AV299" t="e">
            <v>#REF!</v>
          </cell>
        </row>
        <row r="300">
          <cell r="V300">
            <v>1509</v>
          </cell>
          <cell r="W300">
            <v>1285</v>
          </cell>
          <cell r="X300">
            <v>1270</v>
          </cell>
          <cell r="AE300">
            <v>1995</v>
          </cell>
          <cell r="AF300">
            <v>1996</v>
          </cell>
          <cell r="AG300">
            <v>1997</v>
          </cell>
          <cell r="AH300">
            <v>1998</v>
          </cell>
          <cell r="AI300">
            <v>1999</v>
          </cell>
          <cell r="AJ300" t="str">
            <v>Comments</v>
          </cell>
          <cell r="AP300" t="str">
            <v>DDG-51</v>
          </cell>
          <cell r="AR300">
            <v>305</v>
          </cell>
          <cell r="AS300">
            <v>780</v>
          </cell>
          <cell r="AT300">
            <v>800</v>
          </cell>
          <cell r="AU300">
            <v>840</v>
          </cell>
          <cell r="AV300" t="e">
            <v>#REF!</v>
          </cell>
        </row>
        <row r="301">
          <cell r="Q301" t="str">
            <v>Marine</v>
          </cell>
          <cell r="S301">
            <v>1995</v>
          </cell>
          <cell r="T301">
            <v>1996</v>
          </cell>
          <cell r="AC301" t="str">
            <v>Marine</v>
          </cell>
          <cell r="AE301">
            <v>410</v>
          </cell>
          <cell r="AF301">
            <v>325</v>
          </cell>
          <cell r="AG301">
            <v>100</v>
          </cell>
          <cell r="AH301">
            <v>60</v>
          </cell>
          <cell r="AI301" t="e">
            <v>#REF!</v>
          </cell>
          <cell r="AP301" t="str">
            <v>Amsea</v>
          </cell>
          <cell r="AR301">
            <v>69</v>
          </cell>
          <cell r="AS301">
            <v>85</v>
          </cell>
          <cell r="AT301">
            <v>95</v>
          </cell>
          <cell r="AU301">
            <v>95</v>
          </cell>
          <cell r="AV301" t="e">
            <v>#REF!</v>
          </cell>
          <cell r="BH301" t="str">
            <v>EBITDA</v>
          </cell>
        </row>
        <row r="302">
          <cell r="Q302" t="str">
            <v>Trident</v>
          </cell>
          <cell r="S302">
            <v>410</v>
          </cell>
          <cell r="T302">
            <v>325</v>
          </cell>
          <cell r="V302">
            <v>1997</v>
          </cell>
          <cell r="W302">
            <v>1998</v>
          </cell>
          <cell r="X302">
            <v>1999</v>
          </cell>
          <cell r="AC302" t="str">
            <v>Trident</v>
          </cell>
          <cell r="AE302">
            <v>100</v>
          </cell>
          <cell r="AF302">
            <v>30</v>
          </cell>
          <cell r="AG302">
            <v>0</v>
          </cell>
          <cell r="AH302">
            <v>0</v>
          </cell>
          <cell r="AI302">
            <v>0</v>
          </cell>
          <cell r="AP302" t="str">
            <v>Engineering</v>
          </cell>
          <cell r="AR302">
            <v>525</v>
          </cell>
          <cell r="AS302">
            <v>582</v>
          </cell>
          <cell r="AT302">
            <v>756</v>
          </cell>
          <cell r="AU302">
            <v>1071</v>
          </cell>
          <cell r="AV302" t="e">
            <v>#REF!</v>
          </cell>
          <cell r="BF302" t="str">
            <v>Business</v>
          </cell>
          <cell r="BH302" t="str">
            <v>Multiple</v>
          </cell>
          <cell r="BI302" t="str">
            <v>$ Value</v>
          </cell>
        </row>
        <row r="303">
          <cell r="Q303" t="str">
            <v>SSN-688</v>
          </cell>
          <cell r="S303">
            <v>100</v>
          </cell>
          <cell r="T303">
            <v>30</v>
          </cell>
          <cell r="V303">
            <v>100</v>
          </cell>
          <cell r="W303">
            <v>60</v>
          </cell>
          <cell r="X303" t="e">
            <v>#REF!</v>
          </cell>
          <cell r="AC303" t="str">
            <v>SSN-688</v>
          </cell>
          <cell r="AE303">
            <v>475</v>
          </cell>
          <cell r="AF303">
            <v>530</v>
          </cell>
          <cell r="AG303">
            <v>560</v>
          </cell>
          <cell r="AH303">
            <v>600</v>
          </cell>
          <cell r="AI303" t="e">
            <v>#REF!</v>
          </cell>
          <cell r="AP303" t="str">
            <v>Marine Total</v>
          </cell>
          <cell r="AR303">
            <v>1884</v>
          </cell>
          <cell r="AS303">
            <v>2332</v>
          </cell>
          <cell r="AT303">
            <v>2311</v>
          </cell>
          <cell r="AU303">
            <v>2666</v>
          </cell>
          <cell r="AV303" t="e">
            <v>#REF!</v>
          </cell>
          <cell r="BF303" t="str">
            <v>Defense</v>
          </cell>
          <cell r="BG303">
            <v>1331</v>
          </cell>
          <cell r="BH303">
            <v>11</v>
          </cell>
          <cell r="BI303">
            <v>14641</v>
          </cell>
          <cell r="BJ303" t="str">
            <v>Defense</v>
          </cell>
          <cell r="BM303">
            <v>14641</v>
          </cell>
          <cell r="BQ303">
            <v>94</v>
          </cell>
        </row>
        <row r="304">
          <cell r="Q304" t="str">
            <v>Seawolf</v>
          </cell>
          <cell r="S304">
            <v>475</v>
          </cell>
          <cell r="T304">
            <v>530</v>
          </cell>
          <cell r="V304">
            <v>0</v>
          </cell>
          <cell r="W304">
            <v>0</v>
          </cell>
          <cell r="X304">
            <v>0</v>
          </cell>
          <cell r="AC304" t="str">
            <v>Seawolf</v>
          </cell>
          <cell r="AE304">
            <v>515</v>
          </cell>
          <cell r="AF304">
            <v>557</v>
          </cell>
          <cell r="AG304">
            <v>620</v>
          </cell>
          <cell r="AH304">
            <v>720</v>
          </cell>
          <cell r="AI304" t="e">
            <v>#REF!</v>
          </cell>
          <cell r="AP304" t="str">
            <v>% Eng'g</v>
          </cell>
          <cell r="AR304">
            <v>0.2786624203821656</v>
          </cell>
          <cell r="AS304">
            <v>0.24957118353344768</v>
          </cell>
          <cell r="AT304">
            <v>0.3271311120726958</v>
          </cell>
          <cell r="AU304">
            <v>0.40172543135783945</v>
          </cell>
          <cell r="AV304" t="e">
            <v>#REF!</v>
          </cell>
          <cell r="BF304" t="str">
            <v>Gulfstream</v>
          </cell>
          <cell r="BG304">
            <v>675</v>
          </cell>
          <cell r="BH304">
            <v>10.5</v>
          </cell>
          <cell r="BI304">
            <v>7087.5</v>
          </cell>
          <cell r="BJ304" t="str">
            <v>Comm'l</v>
          </cell>
          <cell r="BM304">
            <v>7087.5</v>
          </cell>
          <cell r="BQ304">
            <v>56</v>
          </cell>
        </row>
        <row r="305">
          <cell r="Q305" t="str">
            <v>New Attack Sub</v>
          </cell>
          <cell r="S305">
            <v>515</v>
          </cell>
          <cell r="T305">
            <v>557</v>
          </cell>
          <cell r="V305">
            <v>560</v>
          </cell>
          <cell r="W305">
            <v>600</v>
          </cell>
          <cell r="X305" t="e">
            <v>#REF!</v>
          </cell>
          <cell r="Y305" t="str">
            <v>- good margins</v>
          </cell>
          <cell r="AC305" t="str">
            <v>New Attack Sub</v>
          </cell>
          <cell r="AE305">
            <v>305</v>
          </cell>
          <cell r="AF305">
            <v>780</v>
          </cell>
          <cell r="AG305">
            <v>800</v>
          </cell>
          <cell r="AH305">
            <v>840</v>
          </cell>
          <cell r="AI305" t="e">
            <v>#REF!</v>
          </cell>
          <cell r="AP305" t="str">
            <v xml:space="preserve">Total Revs. </v>
          </cell>
          <cell r="AR305">
            <v>2934</v>
          </cell>
          <cell r="AS305">
            <v>3357</v>
          </cell>
          <cell r="AT305">
            <v>3820</v>
          </cell>
          <cell r="AU305">
            <v>3951</v>
          </cell>
          <cell r="AV305" t="e">
            <v>#REF!</v>
          </cell>
          <cell r="BF305" t="str">
            <v>Total</v>
          </cell>
          <cell r="BG305">
            <v>2006</v>
          </cell>
          <cell r="BI305">
            <v>21728.5</v>
          </cell>
          <cell r="BM305">
            <v>21728.5</v>
          </cell>
          <cell r="BQ305">
            <v>55</v>
          </cell>
        </row>
        <row r="306">
          <cell r="Q306" t="str">
            <v>DDG-51</v>
          </cell>
          <cell r="S306">
            <v>305</v>
          </cell>
          <cell r="T306">
            <v>780</v>
          </cell>
          <cell r="V306">
            <v>620</v>
          </cell>
          <cell r="W306">
            <v>720</v>
          </cell>
          <cell r="X306" t="e">
            <v>#REF!</v>
          </cell>
          <cell r="Y306" t="str">
            <v>- small prodn in '98</v>
          </cell>
          <cell r="AC306" t="str">
            <v>DDG-51</v>
          </cell>
          <cell r="AE306">
            <v>0</v>
          </cell>
          <cell r="AF306">
            <v>0</v>
          </cell>
          <cell r="AG306">
            <v>30</v>
          </cell>
          <cell r="AH306">
            <v>45</v>
          </cell>
          <cell r="AI306" t="e">
            <v>#REF!</v>
          </cell>
          <cell r="AP306" t="str">
            <v>% Eng'g</v>
          </cell>
          <cell r="AR306">
            <v>0.23858214042263123</v>
          </cell>
          <cell r="AS306">
            <v>0.2642240095323205</v>
          </cell>
          <cell r="AT306">
            <v>0.24109947643979057</v>
          </cell>
          <cell r="AU306">
            <v>0.37231080739053402</v>
          </cell>
          <cell r="AV306" t="e">
            <v>#REF!</v>
          </cell>
          <cell r="BF306" t="str">
            <v>Less: Net Debt</v>
          </cell>
          <cell r="BI306">
            <v>-271</v>
          </cell>
          <cell r="BQ306">
            <v>44</v>
          </cell>
          <cell r="BS306">
            <v>0.16236162361623616</v>
          </cell>
          <cell r="BT306">
            <v>48.708487084870846</v>
          </cell>
        </row>
        <row r="307">
          <cell r="Q307" t="str">
            <v>LPD-17</v>
          </cell>
          <cell r="S307">
            <v>0</v>
          </cell>
          <cell r="T307">
            <v>0</v>
          </cell>
          <cell r="V307">
            <v>800</v>
          </cell>
          <cell r="W307">
            <v>840</v>
          </cell>
          <cell r="X307" t="e">
            <v>#REF!</v>
          </cell>
          <cell r="AC307" t="str">
            <v>LPD-17</v>
          </cell>
          <cell r="AE307">
            <v>69</v>
          </cell>
          <cell r="AF307">
            <v>85</v>
          </cell>
          <cell r="AG307">
            <v>95</v>
          </cell>
          <cell r="AH307">
            <v>95</v>
          </cell>
          <cell r="AI307" t="e">
            <v>#REF!</v>
          </cell>
          <cell r="BF307" t="str">
            <v>Equity Value</v>
          </cell>
          <cell r="BI307">
            <v>21999.5</v>
          </cell>
          <cell r="BQ307">
            <v>16</v>
          </cell>
        </row>
        <row r="308">
          <cell r="Q308" t="str">
            <v>Amsea</v>
          </cell>
          <cell r="S308">
            <v>69</v>
          </cell>
          <cell r="T308">
            <v>85</v>
          </cell>
          <cell r="V308">
            <v>30</v>
          </cell>
          <cell r="W308">
            <v>45</v>
          </cell>
          <cell r="X308" t="e">
            <v>#REF!</v>
          </cell>
          <cell r="Y308" t="str">
            <v>- engineering contract</v>
          </cell>
          <cell r="AC308" t="str">
            <v>Amsea</v>
          </cell>
          <cell r="AE308">
            <v>10</v>
          </cell>
          <cell r="AF308">
            <v>25</v>
          </cell>
          <cell r="AG308">
            <v>106</v>
          </cell>
          <cell r="AH308">
            <v>306</v>
          </cell>
          <cell r="AI308" t="e">
            <v>#REF!</v>
          </cell>
          <cell r="BF308" t="str">
            <v>Shares Outstanding</v>
          </cell>
          <cell r="BI308">
            <v>405.70400000000001</v>
          </cell>
          <cell r="BK308" t="str">
            <v>Shares</v>
          </cell>
          <cell r="BQ308">
            <v>6</v>
          </cell>
        </row>
        <row r="309">
          <cell r="Q309" t="str">
            <v>Other</v>
          </cell>
          <cell r="S309">
            <v>10</v>
          </cell>
          <cell r="T309">
            <v>25</v>
          </cell>
          <cell r="V309">
            <v>95</v>
          </cell>
          <cell r="W309">
            <v>95</v>
          </cell>
          <cell r="X309" t="e">
            <v>#REF!</v>
          </cell>
          <cell r="AC309" t="str">
            <v>Other</v>
          </cell>
          <cell r="BF309" t="str">
            <v>Price Per Share</v>
          </cell>
          <cell r="BI309">
            <v>54.22549444915505</v>
          </cell>
          <cell r="BQ309">
            <v>271</v>
          </cell>
        </row>
        <row r="310">
          <cell r="Q310" t="str">
            <v>subtotal</v>
          </cell>
          <cell r="S310">
            <v>1884</v>
          </cell>
          <cell r="T310">
            <v>2332</v>
          </cell>
          <cell r="V310">
            <v>106</v>
          </cell>
          <cell r="W310">
            <v>306</v>
          </cell>
          <cell r="X310" t="e">
            <v>#REF!</v>
          </cell>
          <cell r="AE310">
            <v>1884</v>
          </cell>
          <cell r="AF310">
            <v>2332</v>
          </cell>
          <cell r="AG310">
            <v>2311</v>
          </cell>
          <cell r="AH310">
            <v>2666</v>
          </cell>
          <cell r="AI310" t="e">
            <v>#REF!</v>
          </cell>
        </row>
        <row r="311">
          <cell r="V311">
            <v>2311</v>
          </cell>
          <cell r="W311">
            <v>2666</v>
          </cell>
          <cell r="X311" t="e">
            <v>#REF!</v>
          </cell>
          <cell r="AC311" t="str">
            <v>subtotal</v>
          </cell>
          <cell r="AE311">
            <v>0.2786624203821656</v>
          </cell>
          <cell r="AF311">
            <v>0.24957118353344768</v>
          </cell>
          <cell r="AG311">
            <v>0.3271311120726958</v>
          </cell>
          <cell r="AH311">
            <v>0.40172543135783945</v>
          </cell>
          <cell r="AI311" t="e">
            <v>#REF!</v>
          </cell>
        </row>
        <row r="312">
          <cell r="Q312" t="str">
            <v>Info Sys</v>
          </cell>
          <cell r="AC312" t="str">
            <v>% Engineering</v>
          </cell>
        </row>
        <row r="313">
          <cell r="Q313" t="str">
            <v>ATS</v>
          </cell>
          <cell r="S313">
            <v>0</v>
          </cell>
          <cell r="T313">
            <v>0</v>
          </cell>
        </row>
        <row r="314">
          <cell r="Q314" t="str">
            <v>CDI</v>
          </cell>
          <cell r="V314">
            <v>70</v>
          </cell>
          <cell r="W314">
            <v>0</v>
          </cell>
          <cell r="X314" t="e">
            <v>#REF!</v>
          </cell>
          <cell r="AE314">
            <v>0</v>
          </cell>
          <cell r="AF314">
            <v>0</v>
          </cell>
          <cell r="AG314">
            <v>3820</v>
          </cell>
          <cell r="AH314">
            <v>4187</v>
          </cell>
          <cell r="AI314" t="e">
            <v>#REF!</v>
          </cell>
          <cell r="BF314" t="str">
            <v>Acquisition</v>
          </cell>
          <cell r="BG314" t="str">
            <v>ATPX</v>
          </cell>
          <cell r="BH314" t="str">
            <v>5/02/02</v>
          </cell>
        </row>
        <row r="315">
          <cell r="Q315" t="str">
            <v>subtotal</v>
          </cell>
          <cell r="W315">
            <v>615</v>
          </cell>
          <cell r="X315">
            <v>670</v>
          </cell>
          <cell r="AC315" t="str">
            <v>TOTAL GD</v>
          </cell>
        </row>
        <row r="316">
          <cell r="AG316">
            <v>0.24109947643979057</v>
          </cell>
          <cell r="AH316">
            <v>0.35132553140673511</v>
          </cell>
          <cell r="AI316" t="e">
            <v>#REF!</v>
          </cell>
          <cell r="BF316" t="str">
            <v>Price per share</v>
          </cell>
          <cell r="BH316">
            <v>33.5</v>
          </cell>
          <cell r="BI316">
            <v>2001</v>
          </cell>
        </row>
        <row r="317">
          <cell r="Q317" t="str">
            <v>Other</v>
          </cell>
          <cell r="AC317" t="str">
            <v>Eng'g As % Total</v>
          </cell>
          <cell r="BF317" t="str">
            <v>Shs. Out</v>
          </cell>
          <cell r="BH317">
            <v>5.89</v>
          </cell>
          <cell r="BI317" t="str">
            <v>Sales</v>
          </cell>
          <cell r="BK317">
            <v>198.4</v>
          </cell>
          <cell r="BL317" t="str">
            <v>EV/Sales</v>
          </cell>
          <cell r="BM317">
            <v>1.2586441532258064</v>
          </cell>
        </row>
        <row r="318">
          <cell r="Q318" t="str">
            <v>TOTAL GD</v>
          </cell>
          <cell r="W318">
            <v>236</v>
          </cell>
          <cell r="X318">
            <v>250</v>
          </cell>
          <cell r="BF318" t="str">
            <v>Market Value</v>
          </cell>
          <cell r="BH318">
            <v>197.315</v>
          </cell>
          <cell r="BI318" t="str">
            <v>Op Margin</v>
          </cell>
          <cell r="BK318">
            <v>22.022400000000001</v>
          </cell>
          <cell r="BL318" t="str">
            <v>EV/EBIT</v>
          </cell>
          <cell r="BM318">
            <v>11.339136515547803</v>
          </cell>
          <cell r="BN318" t="str">
            <v>x</v>
          </cell>
        </row>
        <row r="319">
          <cell r="V319">
            <v>3820</v>
          </cell>
          <cell r="W319">
            <v>4187</v>
          </cell>
          <cell r="X319" t="e">
            <v>#REF!</v>
          </cell>
          <cell r="BH319">
            <v>16.2</v>
          </cell>
          <cell r="BI319" t="str">
            <v>Closing Price</v>
          </cell>
          <cell r="BK319">
            <v>28.533999999999999</v>
          </cell>
          <cell r="BL319" t="str">
            <v>EPS</v>
          </cell>
          <cell r="BM319">
            <v>1.65</v>
          </cell>
        </row>
        <row r="320">
          <cell r="BH320">
            <v>36.200000000000003</v>
          </cell>
          <cell r="BI320" t="str">
            <v>Premium</v>
          </cell>
          <cell r="BK320">
            <v>0.17403798976659424</v>
          </cell>
          <cell r="BM320">
            <v>20.303030303030305</v>
          </cell>
          <cell r="BN320" t="str">
            <v>x</v>
          </cell>
          <cell r="BP320">
            <v>33.5</v>
          </cell>
          <cell r="BQ320">
            <v>1.763157894736842</v>
          </cell>
        </row>
        <row r="321">
          <cell r="N321" t="str">
            <v>Abbrev. GD Combat Systems P&amp;L ($MM)</v>
          </cell>
          <cell r="BF321" t="str">
            <v>Enterprise Value</v>
          </cell>
          <cell r="BH321">
            <v>249.71499999999997</v>
          </cell>
          <cell r="BI321" t="str">
            <v>2002 Sales</v>
          </cell>
          <cell r="BK321">
            <v>235</v>
          </cell>
          <cell r="BM321">
            <v>1.0626170212765957</v>
          </cell>
        </row>
        <row r="323">
          <cell r="M323" t="str">
            <v>Revs</v>
          </cell>
          <cell r="N323">
            <v>1995</v>
          </cell>
          <cell r="O323">
            <v>1996</v>
          </cell>
          <cell r="P323">
            <v>1997</v>
          </cell>
          <cell r="Q323">
            <v>1998</v>
          </cell>
          <cell r="R323">
            <v>1999</v>
          </cell>
          <cell r="BK323">
            <v>26.085000000000001</v>
          </cell>
          <cell r="BM323">
            <v>9.5731263178071675</v>
          </cell>
          <cell r="BN323" t="str">
            <v>x</v>
          </cell>
        </row>
        <row r="324">
          <cell r="M324" t="str">
            <v>Land Sys</v>
          </cell>
          <cell r="N324">
            <v>1050</v>
          </cell>
          <cell r="O324">
            <v>1025</v>
          </cell>
          <cell r="P324">
            <v>975</v>
          </cell>
          <cell r="Q324">
            <v>975</v>
          </cell>
          <cell r="R324">
            <v>940</v>
          </cell>
          <cell r="S324" t="str">
            <v>- ex foreign sls</v>
          </cell>
          <cell r="BK324">
            <v>19.047619047619047</v>
          </cell>
          <cell r="BM324">
            <v>1.8</v>
          </cell>
        </row>
        <row r="325">
          <cell r="M325" t="str">
            <v>Arm/Def</v>
          </cell>
          <cell r="N325">
            <v>0</v>
          </cell>
          <cell r="O325">
            <v>0</v>
          </cell>
          <cell r="P325">
            <v>534</v>
          </cell>
          <cell r="Q325">
            <v>295</v>
          </cell>
          <cell r="R325">
            <v>360</v>
          </cell>
          <cell r="S325" t="str">
            <v>- 10% grower</v>
          </cell>
          <cell r="BK325">
            <v>11.75</v>
          </cell>
          <cell r="BM325">
            <v>1.9583333333333333</v>
          </cell>
        </row>
        <row r="326">
          <cell r="M326" t="str">
            <v>Total</v>
          </cell>
          <cell r="N326">
            <v>1050</v>
          </cell>
          <cell r="O326">
            <v>1025</v>
          </cell>
          <cell r="P326">
            <v>1509</v>
          </cell>
          <cell r="Q326">
            <v>1270</v>
          </cell>
          <cell r="R326">
            <v>1300</v>
          </cell>
        </row>
        <row r="327">
          <cell r="M327" t="str">
            <v>Op Pr.</v>
          </cell>
          <cell r="AM327" t="str">
            <v>General Dynamics</v>
          </cell>
        </row>
        <row r="328">
          <cell r="M328" t="str">
            <v>Land Sys</v>
          </cell>
          <cell r="N328">
            <v>140</v>
          </cell>
          <cell r="O328">
            <v>136</v>
          </cell>
          <cell r="P328">
            <v>138</v>
          </cell>
          <cell r="Q328">
            <v>136</v>
          </cell>
          <cell r="R328">
            <v>135</v>
          </cell>
          <cell r="AM328" t="str">
            <v>2007-08E P&amp;L Changes</v>
          </cell>
        </row>
        <row r="329">
          <cell r="M329" t="str">
            <v>Arm/Def</v>
          </cell>
          <cell r="N329">
            <v>0</v>
          </cell>
          <cell r="O329">
            <v>0</v>
          </cell>
          <cell r="P329">
            <v>60</v>
          </cell>
          <cell r="Q329">
            <v>40</v>
          </cell>
          <cell r="R329">
            <v>48</v>
          </cell>
          <cell r="AN329" t="str">
            <v>2007E</v>
          </cell>
          <cell r="AP329" t="str">
            <v>2008E</v>
          </cell>
        </row>
        <row r="330">
          <cell r="M330" t="str">
            <v>Total</v>
          </cell>
          <cell r="N330">
            <v>140</v>
          </cell>
          <cell r="O330">
            <v>136</v>
          </cell>
          <cell r="P330">
            <v>198</v>
          </cell>
          <cell r="Q330">
            <v>176</v>
          </cell>
          <cell r="R330">
            <v>183</v>
          </cell>
          <cell r="AM330" t="str">
            <v>($USD in Millions)</v>
          </cell>
          <cell r="AN330" t="str">
            <v>Current</v>
          </cell>
          <cell r="AO330" t="str">
            <v>Previous</v>
          </cell>
          <cell r="AP330" t="str">
            <v>Current</v>
          </cell>
          <cell r="AQ330" t="str">
            <v>Previous</v>
          </cell>
        </row>
        <row r="331">
          <cell r="M331" t="str">
            <v>% Sls</v>
          </cell>
          <cell r="AM331" t="str">
            <v>Revenues</v>
          </cell>
        </row>
        <row r="332">
          <cell r="M332" t="str">
            <v>Land Sys</v>
          </cell>
          <cell r="N332">
            <v>0.13333333333333333</v>
          </cell>
          <cell r="O332">
            <v>0.1326829268292683</v>
          </cell>
          <cell r="P332">
            <v>0.14153846153846153</v>
          </cell>
          <cell r="Q332">
            <v>0.13948717948717948</v>
          </cell>
          <cell r="R332">
            <v>0.14361702127659576</v>
          </cell>
          <cell r="AM332" t="str">
            <v>Marine Sys</v>
          </cell>
          <cell r="AN332">
            <v>4993</v>
          </cell>
          <cell r="AO332">
            <v>4700</v>
          </cell>
          <cell r="AP332">
            <v>5556</v>
          </cell>
          <cell r="AQ332">
            <v>4700</v>
          </cell>
        </row>
        <row r="333">
          <cell r="M333" t="str">
            <v>Arm/Def</v>
          </cell>
          <cell r="P333">
            <v>0.11235955056179775</v>
          </cell>
          <cell r="Q333">
            <v>0.13559322033898305</v>
          </cell>
          <cell r="R333">
            <v>0.13333333333333333</v>
          </cell>
          <cell r="S333" t="str">
            <v>- intl up/consol pluses</v>
          </cell>
          <cell r="AM333" t="str">
            <v>Combat Sys</v>
          </cell>
          <cell r="AN333">
            <v>7797</v>
          </cell>
          <cell r="AO333">
            <v>6350</v>
          </cell>
          <cell r="AP333">
            <v>8194</v>
          </cell>
          <cell r="AQ333">
            <v>6600</v>
          </cell>
        </row>
        <row r="334">
          <cell r="M334" t="str">
            <v>Total</v>
          </cell>
          <cell r="N334">
            <v>0.13333333333333333</v>
          </cell>
          <cell r="O334">
            <v>0.1326829268292683</v>
          </cell>
          <cell r="P334">
            <v>0.1312127236580517</v>
          </cell>
          <cell r="Q334">
            <v>0.13858267716535433</v>
          </cell>
          <cell r="R334">
            <v>0.14076923076923076</v>
          </cell>
          <cell r="AM334" t="str">
            <v>Info Sys &amp; Tech</v>
          </cell>
          <cell r="AN334">
            <v>9622</v>
          </cell>
          <cell r="AO334">
            <v>11315</v>
          </cell>
          <cell r="AP334">
            <v>10038</v>
          </cell>
          <cell r="AQ334">
            <v>12205</v>
          </cell>
        </row>
        <row r="335">
          <cell r="M335" t="str">
            <v>GW</v>
          </cell>
          <cell r="N335">
            <v>0</v>
          </cell>
          <cell r="O335">
            <v>0</v>
          </cell>
          <cell r="P335">
            <v>-11</v>
          </cell>
          <cell r="Q335">
            <v>-11</v>
          </cell>
          <cell r="R335">
            <v>-11</v>
          </cell>
          <cell r="AM335" t="str">
            <v xml:space="preserve">Aerospace </v>
          </cell>
          <cell r="AN335">
            <v>4828</v>
          </cell>
          <cell r="AO335">
            <v>4425</v>
          </cell>
          <cell r="AP335">
            <v>5512</v>
          </cell>
          <cell r="AQ335">
            <v>4775</v>
          </cell>
        </row>
        <row r="336">
          <cell r="M336" t="str">
            <v>% Sls pre GW</v>
          </cell>
          <cell r="N336">
            <v>0.13333333333333333</v>
          </cell>
          <cell r="O336">
            <v>0.1326829268292683</v>
          </cell>
          <cell r="P336">
            <v>0.13850231941683233</v>
          </cell>
          <cell r="Q336">
            <v>0.14724409448818898</v>
          </cell>
          <cell r="R336">
            <v>0.14923076923076922</v>
          </cell>
          <cell r="AM336" t="str">
            <v>Total Revenues</v>
          </cell>
          <cell r="AN336">
            <v>27240</v>
          </cell>
          <cell r="AO336">
            <v>26815</v>
          </cell>
          <cell r="AP336">
            <v>29300</v>
          </cell>
          <cell r="AQ336">
            <v>28300</v>
          </cell>
        </row>
        <row r="337">
          <cell r="M337" t="str">
            <v>% Revs</v>
          </cell>
          <cell r="AM337" t="str">
            <v>% Ch Y/Y</v>
          </cell>
          <cell r="AN337">
            <v>0.13202842538336856</v>
          </cell>
          <cell r="AO337">
            <v>0.11</v>
          </cell>
          <cell r="AP337">
            <v>7.562408223201178E-2</v>
          </cell>
          <cell r="AQ337">
            <v>0.06</v>
          </cell>
        </row>
        <row r="338">
          <cell r="M338" t="str">
            <v>Land Sys</v>
          </cell>
          <cell r="O338">
            <v>-2.3809523809523836E-2</v>
          </cell>
          <cell r="P338">
            <v>-4.8780487804878092E-2</v>
          </cell>
          <cell r="Q338">
            <v>0</v>
          </cell>
          <cell r="R338">
            <v>-3.5897435897435881E-2</v>
          </cell>
          <cell r="S338" t="str">
            <v>- even w/ TVS added</v>
          </cell>
          <cell r="AM338" t="str">
            <v>Operating Profit</v>
          </cell>
        </row>
        <row r="339">
          <cell r="M339" t="str">
            <v>Arm/Def</v>
          </cell>
          <cell r="Q339">
            <v>-0.44756554307116103</v>
          </cell>
          <cell r="R339">
            <v>0.22033898305084754</v>
          </cell>
          <cell r="AM339" t="str">
            <v>Marine Sys</v>
          </cell>
          <cell r="AN339">
            <v>421</v>
          </cell>
          <cell r="AO339">
            <v>365</v>
          </cell>
          <cell r="AP339">
            <v>521</v>
          </cell>
          <cell r="AQ339">
            <v>370</v>
          </cell>
        </row>
        <row r="340">
          <cell r="M340" t="str">
            <v>Total</v>
          </cell>
          <cell r="O340">
            <v>-2.3809523809523836E-2</v>
          </cell>
          <cell r="P340">
            <v>0.47219512195121949</v>
          </cell>
          <cell r="Q340">
            <v>-0.15838303512259777</v>
          </cell>
          <cell r="R340">
            <v>2.3622047244094446E-2</v>
          </cell>
          <cell r="AM340" t="str">
            <v>Combat Sys</v>
          </cell>
          <cell r="AN340">
            <v>916</v>
          </cell>
          <cell r="AO340">
            <v>760</v>
          </cell>
          <cell r="AP340">
            <v>1111</v>
          </cell>
          <cell r="AQ340">
            <v>805</v>
          </cell>
        </row>
        <row r="341">
          <cell r="AM341" t="str">
            <v>Info Sys &amp; Tech</v>
          </cell>
          <cell r="AN341">
            <v>1027</v>
          </cell>
          <cell r="AO341">
            <v>1211</v>
          </cell>
          <cell r="AP341">
            <v>1075</v>
          </cell>
          <cell r="AQ341">
            <v>1325</v>
          </cell>
        </row>
        <row r="342">
          <cell r="L342" t="str">
            <v>Est. EPS  Impact Of GD Share Repurchase</v>
          </cell>
          <cell r="AM342" t="str">
            <v xml:space="preserve">Aerospace </v>
          </cell>
          <cell r="AN342">
            <v>810</v>
          </cell>
          <cell r="AO342">
            <v>730</v>
          </cell>
          <cell r="AP342">
            <v>1021</v>
          </cell>
          <cell r="AQ342">
            <v>810</v>
          </cell>
        </row>
        <row r="343">
          <cell r="AM343" t="str">
            <v>Other</v>
          </cell>
          <cell r="AN343">
            <v>-61</v>
          </cell>
          <cell r="AO343">
            <v>-35</v>
          </cell>
          <cell r="AP343">
            <v>-75</v>
          </cell>
          <cell r="AQ343">
            <v>-35</v>
          </cell>
        </row>
        <row r="344">
          <cell r="M344" t="str">
            <v>Limited</v>
          </cell>
          <cell r="N344" t="str">
            <v>Moderate</v>
          </cell>
          <cell r="O344" t="str">
            <v>Aggressive</v>
          </cell>
          <cell r="AM344" t="str">
            <v>Total Operating Profit</v>
          </cell>
          <cell r="AN344">
            <v>3113</v>
          </cell>
          <cell r="AO344">
            <v>3031</v>
          </cell>
          <cell r="AP344">
            <v>3653</v>
          </cell>
          <cell r="AQ344">
            <v>3275</v>
          </cell>
        </row>
        <row r="345">
          <cell r="L345" t="str">
            <v>Number of Shs.</v>
          </cell>
          <cell r="M345">
            <v>6</v>
          </cell>
          <cell r="N345">
            <v>9</v>
          </cell>
          <cell r="O345">
            <v>11</v>
          </cell>
          <cell r="AM345" t="str">
            <v>Operating Margins</v>
          </cell>
        </row>
        <row r="346">
          <cell r="L346" t="str">
            <v>Avg. Price</v>
          </cell>
          <cell r="M346">
            <v>55</v>
          </cell>
          <cell r="N346">
            <v>58</v>
          </cell>
          <cell r="O346">
            <v>60</v>
          </cell>
          <cell r="AM346" t="str">
            <v>Marine Sys</v>
          </cell>
          <cell r="AN346">
            <v>8.431804526336871E-2</v>
          </cell>
          <cell r="AO346">
            <v>7.8E-2</v>
          </cell>
          <cell r="AP346">
            <v>9.3772498200143994E-2</v>
          </cell>
          <cell r="AQ346">
            <v>7.9000000000000001E-2</v>
          </cell>
        </row>
        <row r="347">
          <cell r="L347" t="str">
            <v>Cost of Repo</v>
          </cell>
          <cell r="M347">
            <v>330</v>
          </cell>
          <cell r="N347">
            <v>522</v>
          </cell>
          <cell r="O347">
            <v>660</v>
          </cell>
          <cell r="AM347" t="str">
            <v>Combat Sys</v>
          </cell>
          <cell r="AN347">
            <v>0.11748108246761575</v>
          </cell>
          <cell r="AO347">
            <v>0.12</v>
          </cell>
          <cell r="AP347">
            <v>0.13558701488894312</v>
          </cell>
          <cell r="AQ347">
            <v>0.122</v>
          </cell>
        </row>
        <row r="348">
          <cell r="L348" t="str">
            <v>Ending Net Cash</v>
          </cell>
          <cell r="M348">
            <v>-761.76020000000017</v>
          </cell>
          <cell r="N348">
            <v>-953.76020000000017</v>
          </cell>
          <cell r="O348">
            <v>-1091.7602000000002</v>
          </cell>
          <cell r="AM348" t="str">
            <v>Info Sys &amp; Tech</v>
          </cell>
          <cell r="AN348">
            <v>0.1067345666181667</v>
          </cell>
          <cell r="AO348">
            <v>0.107</v>
          </cell>
          <cell r="AP348">
            <v>0.10709304642359035</v>
          </cell>
          <cell r="AQ348">
            <v>0.109</v>
          </cell>
        </row>
        <row r="349">
          <cell r="L349" t="str">
            <v>2000 EPS</v>
          </cell>
          <cell r="M349">
            <v>2.2341753601589667</v>
          </cell>
          <cell r="N349">
            <v>2.2341753601589667</v>
          </cell>
          <cell r="O349">
            <v>2.2341753601589667</v>
          </cell>
          <cell r="AM349" t="str">
            <v>Aerospace</v>
          </cell>
          <cell r="AN349">
            <v>0.16777133388566695</v>
          </cell>
          <cell r="AO349">
            <v>0.16500000000000001</v>
          </cell>
          <cell r="AP349">
            <v>0.18523222060957911</v>
          </cell>
          <cell r="AQ349">
            <v>0.17</v>
          </cell>
        </row>
        <row r="350">
          <cell r="L350" t="str">
            <v>Incremental add</v>
          </cell>
          <cell r="M350">
            <v>-0.22403025173738333</v>
          </cell>
          <cell r="N350">
            <v>-0.22596024328904818</v>
          </cell>
          <cell r="O350">
            <v>-0.22816642246744445</v>
          </cell>
          <cell r="AM350" t="str">
            <v>Other</v>
          </cell>
          <cell r="AN350" t="str">
            <v>NM</v>
          </cell>
          <cell r="AO350" t="str">
            <v>NM</v>
          </cell>
          <cell r="AP350" t="str">
            <v>NM</v>
          </cell>
          <cell r="AQ350" t="str">
            <v>NM</v>
          </cell>
        </row>
        <row r="351">
          <cell r="L351" t="str">
            <v>Revised EPS</v>
          </cell>
          <cell r="M351">
            <v>2.0101451084215833</v>
          </cell>
          <cell r="N351">
            <v>2.0082151168699185</v>
          </cell>
          <cell r="O351">
            <v>2.0060089376915222</v>
          </cell>
          <cell r="AM351" t="str">
            <v>Total Operating Margins</v>
          </cell>
          <cell r="AN351">
            <v>0.11428046989720998</v>
          </cell>
          <cell r="AO351">
            <v>0.113</v>
          </cell>
          <cell r="AP351">
            <v>0.12467576791808874</v>
          </cell>
          <cell r="AQ351">
            <v>0.11600000000000001</v>
          </cell>
        </row>
        <row r="352">
          <cell r="L352" t="str">
            <v>Addn' accretion</v>
          </cell>
          <cell r="M352">
            <v>-0.21327163100422486</v>
          </cell>
          <cell r="N352">
            <v>-0.21415737443716809</v>
          </cell>
          <cell r="O352">
            <v>-0.21516987043357527</v>
          </cell>
          <cell r="AM352" t="str">
            <v>Interest, net</v>
          </cell>
          <cell r="AN352">
            <v>-70</v>
          </cell>
          <cell r="AO352">
            <v>-125</v>
          </cell>
          <cell r="AP352">
            <v>-66</v>
          </cell>
          <cell r="AQ352">
            <v>-125</v>
          </cell>
        </row>
        <row r="353">
          <cell r="L353" t="str">
            <v>Prior growth rate</v>
          </cell>
          <cell r="M353">
            <v>0.13580045114929051</v>
          </cell>
          <cell r="N353">
            <v>0.13580045114929051</v>
          </cell>
          <cell r="O353">
            <v>0.13580045114929051</v>
          </cell>
          <cell r="AM353" t="str">
            <v>Other</v>
          </cell>
          <cell r="AN353">
            <v>4</v>
          </cell>
          <cell r="AO353">
            <v>0</v>
          </cell>
          <cell r="AP353">
            <v>17</v>
          </cell>
          <cell r="AQ353">
            <v>0</v>
          </cell>
        </row>
        <row r="354">
          <cell r="L354" t="str">
            <v>Revised growth</v>
          </cell>
          <cell r="M354">
            <v>-7.7471179854934347E-2</v>
          </cell>
          <cell r="N354">
            <v>-7.8356923287877578E-2</v>
          </cell>
          <cell r="O354">
            <v>-7.9369419284284759E-2</v>
          </cell>
          <cell r="AM354" t="str">
            <v>Pretax Inc</v>
          </cell>
          <cell r="AN354">
            <v>3047</v>
          </cell>
          <cell r="AO354">
            <v>2906</v>
          </cell>
          <cell r="AP354">
            <v>3604</v>
          </cell>
          <cell r="AQ354">
            <v>3150</v>
          </cell>
        </row>
        <row r="355">
          <cell r="AM355" t="str">
            <v>Eff Tax Rate</v>
          </cell>
          <cell r="AN355">
            <v>0.31736133902198882</v>
          </cell>
          <cell r="AO355">
            <v>0.33500000000000002</v>
          </cell>
          <cell r="AP355">
            <v>0.32214206437291898</v>
          </cell>
          <cell r="AQ355">
            <v>0.33500000000000002</v>
          </cell>
        </row>
        <row r="356">
          <cell r="L356" t="str">
            <v>Pretax</v>
          </cell>
          <cell r="M356">
            <v>1258</v>
          </cell>
          <cell r="N356">
            <v>1258</v>
          </cell>
          <cell r="O356">
            <v>1258</v>
          </cell>
          <cell r="AM356" t="str">
            <v>Net Income</v>
          </cell>
          <cell r="AN356">
            <v>2080</v>
          </cell>
          <cell r="AO356">
            <v>1932</v>
          </cell>
          <cell r="AP356">
            <v>2443</v>
          </cell>
          <cell r="AQ356">
            <v>2095</v>
          </cell>
        </row>
        <row r="357">
          <cell r="L357" t="str">
            <v>NINC</v>
          </cell>
          <cell r="M357">
            <v>808.89400000000001</v>
          </cell>
          <cell r="N357">
            <v>808.89400000000001</v>
          </cell>
          <cell r="O357">
            <v>808.89400000000001</v>
          </cell>
          <cell r="AM357" t="str">
            <v>EPS, Cont. Ops</v>
          </cell>
          <cell r="AN357">
            <v>5.0962280562055158</v>
          </cell>
          <cell r="AO357">
            <v>4.75</v>
          </cell>
          <cell r="AP357">
            <v>6.1274140958113872</v>
          </cell>
          <cell r="AQ357">
            <v>5.15</v>
          </cell>
        </row>
        <row r="358">
          <cell r="L358" t="str">
            <v>Shs.</v>
          </cell>
          <cell r="M358">
            <v>402.6</v>
          </cell>
          <cell r="N358">
            <v>402.6</v>
          </cell>
          <cell r="O358">
            <v>402.6</v>
          </cell>
          <cell r="AM358" t="str">
            <v>% Ch Y/Y</v>
          </cell>
          <cell r="AN358">
            <v>0.21236583231836481</v>
          </cell>
          <cell r="AO358">
            <v>0.13</v>
          </cell>
          <cell r="AP358">
            <v>0.20234299333410499</v>
          </cell>
          <cell r="AQ358">
            <v>0.08</v>
          </cell>
        </row>
        <row r="359">
          <cell r="L359" t="str">
            <v>New Pretax</v>
          </cell>
          <cell r="M359">
            <v>1239.8499999999999</v>
          </cell>
          <cell r="N359">
            <v>1229.29</v>
          </cell>
          <cell r="O359">
            <v>1221.7</v>
          </cell>
          <cell r="AM359" t="str">
            <v xml:space="preserve"> Avg. Shs. (MM)</v>
          </cell>
          <cell r="AN359">
            <v>408.14499999999998</v>
          </cell>
          <cell r="AO359">
            <v>407</v>
          </cell>
          <cell r="AP359">
            <v>398.7</v>
          </cell>
          <cell r="AQ359">
            <v>407</v>
          </cell>
        </row>
        <row r="360">
          <cell r="L360" t="str">
            <v>New NINC</v>
          </cell>
          <cell r="M360">
            <v>797.22354999999993</v>
          </cell>
          <cell r="N360">
            <v>790.43346999999994</v>
          </cell>
          <cell r="O360">
            <v>785.55310000000009</v>
          </cell>
        </row>
        <row r="361">
          <cell r="L361" t="str">
            <v>New shs count</v>
          </cell>
          <cell r="M361">
            <v>396.6</v>
          </cell>
          <cell r="N361">
            <v>393.6</v>
          </cell>
          <cell r="O361">
            <v>391.6</v>
          </cell>
        </row>
        <row r="362">
          <cell r="L362" t="str">
            <v>New EPS</v>
          </cell>
          <cell r="M362">
            <v>2.0101451084215833</v>
          </cell>
          <cell r="N362">
            <v>2.0082151168699185</v>
          </cell>
          <cell r="O362">
            <v>2.0060089376915222</v>
          </cell>
        </row>
        <row r="365">
          <cell r="O365" t="str">
            <v>Est. GD "Core" Program Revenue Build-Up ($MM)</v>
          </cell>
        </row>
        <row r="367">
          <cell r="O367" t="str">
            <v>1990</v>
          </cell>
          <cell r="P367" t="str">
            <v>1991</v>
          </cell>
          <cell r="Q367" t="str">
            <v>1992E</v>
          </cell>
          <cell r="S367" t="str">
            <v>1993E</v>
          </cell>
          <cell r="T367" t="str">
            <v>1994E</v>
          </cell>
        </row>
        <row r="368">
          <cell r="M368" t="str">
            <v>F-16</v>
          </cell>
          <cell r="O368">
            <v>2700</v>
          </cell>
          <cell r="P368">
            <v>0</v>
          </cell>
          <cell r="Q368">
            <v>0</v>
          </cell>
          <cell r="S368">
            <v>0</v>
          </cell>
          <cell r="T368">
            <v>2050</v>
          </cell>
        </row>
        <row r="369">
          <cell r="M369" t="str">
            <v>F-22</v>
          </cell>
          <cell r="O369" t="str">
            <v>==</v>
          </cell>
          <cell r="P369">
            <v>0</v>
          </cell>
          <cell r="Q369">
            <v>0</v>
          </cell>
          <cell r="S369">
            <v>0</v>
          </cell>
          <cell r="T369">
            <v>450</v>
          </cell>
        </row>
        <row r="370">
          <cell r="M370" t="str">
            <v>Other Mil Air.</v>
          </cell>
          <cell r="O370">
            <v>1081</v>
          </cell>
          <cell r="P370">
            <v>0</v>
          </cell>
          <cell r="Q370">
            <v>0</v>
          </cell>
          <cell r="S370">
            <v>0</v>
          </cell>
          <cell r="T370">
            <v>200</v>
          </cell>
        </row>
        <row r="371">
          <cell r="M371" t="str">
            <v>Trident/SSN-688</v>
          </cell>
          <cell r="O371">
            <v>1155</v>
          </cell>
          <cell r="P371">
            <v>1199</v>
          </cell>
          <cell r="Q371">
            <v>947</v>
          </cell>
          <cell r="S371">
            <v>775</v>
          </cell>
          <cell r="T371">
            <v>660</v>
          </cell>
        </row>
        <row r="372">
          <cell r="M372" t="str">
            <v>SSN-21/Other Sub</v>
          </cell>
          <cell r="O372">
            <v>592</v>
          </cell>
          <cell r="P372">
            <v>625</v>
          </cell>
          <cell r="Q372">
            <v>783</v>
          </cell>
          <cell r="S372">
            <v>936</v>
          </cell>
          <cell r="T372">
            <v>1018</v>
          </cell>
        </row>
        <row r="373">
          <cell r="M373" t="str">
            <v>U.S. M-1 Tank</v>
          </cell>
          <cell r="O373">
            <v>750</v>
          </cell>
          <cell r="P373">
            <v>756.00000000000011</v>
          </cell>
          <cell r="Q373">
            <v>955</v>
          </cell>
          <cell r="S373">
            <v>945</v>
          </cell>
          <cell r="T373">
            <v>800</v>
          </cell>
        </row>
        <row r="374">
          <cell r="M374" t="str">
            <v>Other Arm Veh</v>
          </cell>
          <cell r="O374">
            <v>338</v>
          </cell>
          <cell r="P374">
            <v>391</v>
          </cell>
          <cell r="Q374">
            <v>290</v>
          </cell>
          <cell r="S374">
            <v>310</v>
          </cell>
          <cell r="T374">
            <v>320</v>
          </cell>
        </row>
        <row r="375">
          <cell r="M375" t="str">
            <v>Space Launch</v>
          </cell>
          <cell r="O375">
            <v>300</v>
          </cell>
          <cell r="P375">
            <v>0</v>
          </cell>
          <cell r="Q375">
            <v>0</v>
          </cell>
          <cell r="S375">
            <v>0</v>
          </cell>
          <cell r="T375">
            <v>765</v>
          </cell>
        </row>
        <row r="376">
          <cell r="M376" t="str">
            <v xml:space="preserve">  Revenues</v>
          </cell>
          <cell r="O376">
            <v>6916</v>
          </cell>
          <cell r="P376">
            <v>2971</v>
          </cell>
          <cell r="Q376">
            <v>2975</v>
          </cell>
          <cell r="S376">
            <v>2966</v>
          </cell>
          <cell r="T376">
            <v>6263</v>
          </cell>
        </row>
        <row r="377">
          <cell r="M377" t="str">
            <v>% Ch.</v>
          </cell>
          <cell r="O377" t="str">
            <v xml:space="preserve"> </v>
          </cell>
          <cell r="P377">
            <v>-0.57041642567958362</v>
          </cell>
          <cell r="Q377">
            <v>1.3463480309658937E-3</v>
          </cell>
          <cell r="S377">
            <v>-3.0252100840335583E-3</v>
          </cell>
          <cell r="T377">
            <v>1.1115981119352663</v>
          </cell>
        </row>
        <row r="378">
          <cell r="M378" t="str">
            <v>Op Profit</v>
          </cell>
          <cell r="P378">
            <v>211</v>
          </cell>
          <cell r="Q378">
            <v>0</v>
          </cell>
          <cell r="S378">
            <v>0</v>
          </cell>
          <cell r="T378">
            <v>0</v>
          </cell>
        </row>
        <row r="379">
          <cell r="M379" t="str">
            <v xml:space="preserve">  % Sales</v>
          </cell>
          <cell r="P379">
            <v>7.1019858633456751E-2</v>
          </cell>
          <cell r="Q379">
            <v>0</v>
          </cell>
          <cell r="S379">
            <v>0</v>
          </cell>
          <cell r="T379">
            <v>0</v>
          </cell>
        </row>
        <row r="381">
          <cell r="O381" t="str">
            <v>Est. General Dynamics "Core" Revenues ($MM)</v>
          </cell>
        </row>
        <row r="383">
          <cell r="M383" t="str">
            <v>Armored Vehicles</v>
          </cell>
          <cell r="O383" t="str">
            <v>1992</v>
          </cell>
          <cell r="P383" t="str">
            <v>1993E</v>
          </cell>
          <cell r="Q383" t="str">
            <v>1994E</v>
          </cell>
          <cell r="R383" t="str">
            <v>1995E</v>
          </cell>
          <cell r="S383" t="str">
            <v>1996E</v>
          </cell>
          <cell r="T383" t="str">
            <v>Assumptions</v>
          </cell>
          <cell r="V383" t="str">
            <v xml:space="preserve"> </v>
          </cell>
        </row>
        <row r="384">
          <cell r="M384" t="str">
            <v>U.S. M-1</v>
          </cell>
          <cell r="O384">
            <v>520</v>
          </cell>
          <cell r="P384">
            <v>185</v>
          </cell>
          <cell r="Q384">
            <v>185</v>
          </cell>
          <cell r="R384">
            <v>250</v>
          </cell>
          <cell r="S384">
            <v>350</v>
          </cell>
          <cell r="T384" t="str">
            <v>-Dels off/upgrades</v>
          </cell>
        </row>
        <row r="385">
          <cell r="M385" t="str">
            <v>Foreign,etc.</v>
          </cell>
          <cell r="O385">
            <v>187</v>
          </cell>
          <cell r="P385">
            <v>590</v>
          </cell>
          <cell r="Q385">
            <v>615</v>
          </cell>
          <cell r="R385">
            <v>530</v>
          </cell>
          <cell r="S385">
            <v>425</v>
          </cell>
          <cell r="T385" t="str">
            <v>-Egypt/Saudi up</v>
          </cell>
        </row>
        <row r="386">
          <cell r="M386" t="str">
            <v>Service,spares</v>
          </cell>
          <cell r="O386">
            <v>545</v>
          </cell>
          <cell r="P386">
            <v>550</v>
          </cell>
          <cell r="Q386">
            <v>550</v>
          </cell>
          <cell r="R386">
            <v>445</v>
          </cell>
          <cell r="S386">
            <v>425</v>
          </cell>
        </row>
        <row r="387">
          <cell r="M387" t="str">
            <v xml:space="preserve"> -subtotal</v>
          </cell>
          <cell r="O387">
            <v>1252</v>
          </cell>
          <cell r="P387">
            <v>1325</v>
          </cell>
          <cell r="Q387">
            <v>1350</v>
          </cell>
          <cell r="R387">
            <v>1225</v>
          </cell>
          <cell r="S387">
            <v>1200</v>
          </cell>
        </row>
        <row r="388">
          <cell r="M388" t="str">
            <v>Nuclear Submarines</v>
          </cell>
        </row>
        <row r="389">
          <cell r="M389" t="str">
            <v>Trident</v>
          </cell>
          <cell r="O389">
            <v>577</v>
          </cell>
          <cell r="P389">
            <v>550</v>
          </cell>
          <cell r="Q389">
            <v>485</v>
          </cell>
          <cell r="R389">
            <v>410</v>
          </cell>
          <cell r="S389">
            <v>300</v>
          </cell>
          <cell r="T389" t="str">
            <v>-Ends in '98</v>
          </cell>
        </row>
        <row r="390">
          <cell r="M390" t="str">
            <v>SSN-688</v>
          </cell>
          <cell r="O390">
            <v>370</v>
          </cell>
          <cell r="P390">
            <v>300</v>
          </cell>
          <cell r="Q390">
            <v>200</v>
          </cell>
          <cell r="R390">
            <v>100</v>
          </cell>
          <cell r="S390">
            <v>25</v>
          </cell>
          <cell r="T390" t="str">
            <v>-Last del in '95</v>
          </cell>
        </row>
        <row r="391">
          <cell r="M391" t="str">
            <v>SSN-21</v>
          </cell>
          <cell r="O391">
            <v>250</v>
          </cell>
          <cell r="P391">
            <v>355</v>
          </cell>
          <cell r="Q391">
            <v>425</v>
          </cell>
          <cell r="R391">
            <v>400</v>
          </cell>
          <cell r="S391">
            <v>300</v>
          </cell>
          <cell r="T391" t="str">
            <v>-Ex 3rd sub.</v>
          </cell>
        </row>
        <row r="392">
          <cell r="M392" t="str">
            <v>Other Subs</v>
          </cell>
          <cell r="O392">
            <v>533</v>
          </cell>
          <cell r="P392">
            <v>445</v>
          </cell>
          <cell r="Q392">
            <v>465</v>
          </cell>
          <cell r="R392">
            <v>490</v>
          </cell>
          <cell r="S392">
            <v>500</v>
          </cell>
          <cell r="T392" t="str">
            <v>-Support/eng</v>
          </cell>
        </row>
        <row r="393">
          <cell r="M393" t="str">
            <v xml:space="preserve"> -subtotal</v>
          </cell>
          <cell r="O393">
            <v>1730</v>
          </cell>
          <cell r="P393">
            <v>1650</v>
          </cell>
          <cell r="Q393">
            <v>1575</v>
          </cell>
          <cell r="R393">
            <v>1400</v>
          </cell>
          <cell r="S393">
            <v>1125</v>
          </cell>
        </row>
        <row r="394">
          <cell r="M394" t="str">
            <v>Space launch</v>
          </cell>
          <cell r="T394" t="str">
            <v xml:space="preserve"> </v>
          </cell>
        </row>
        <row r="395">
          <cell r="M395" t="str">
            <v>Atlas</v>
          </cell>
          <cell r="O395">
            <v>0</v>
          </cell>
          <cell r="P395">
            <v>0</v>
          </cell>
          <cell r="Q395">
            <v>490</v>
          </cell>
          <cell r="R395">
            <v>675</v>
          </cell>
          <cell r="S395">
            <v>825</v>
          </cell>
          <cell r="T395" t="str">
            <v>-Launches build</v>
          </cell>
        </row>
        <row r="396">
          <cell r="M396" t="str">
            <v>Other Space</v>
          </cell>
          <cell r="O396">
            <v>225</v>
          </cell>
          <cell r="P396">
            <v>250</v>
          </cell>
          <cell r="Q396">
            <v>250</v>
          </cell>
          <cell r="R396">
            <v>225</v>
          </cell>
          <cell r="S396">
            <v>200</v>
          </cell>
          <cell r="T396" t="str">
            <v>-Trends down</v>
          </cell>
        </row>
        <row r="397">
          <cell r="M397" t="str">
            <v>Supercollider, etc</v>
          </cell>
          <cell r="O397">
            <v>10</v>
          </cell>
          <cell r="P397">
            <v>40</v>
          </cell>
          <cell r="Q397">
            <v>125</v>
          </cell>
          <cell r="R397">
            <v>125</v>
          </cell>
          <cell r="S397">
            <v>125</v>
          </cell>
          <cell r="T397" t="str">
            <v>-Stretched out</v>
          </cell>
        </row>
        <row r="398">
          <cell r="M398" t="str">
            <v xml:space="preserve"> -subtotal</v>
          </cell>
          <cell r="O398">
            <v>235</v>
          </cell>
          <cell r="P398">
            <v>290</v>
          </cell>
          <cell r="Q398">
            <v>865</v>
          </cell>
          <cell r="R398">
            <v>1025</v>
          </cell>
          <cell r="S398">
            <v>1150</v>
          </cell>
        </row>
        <row r="399">
          <cell r="M399" t="str">
            <v xml:space="preserve">  Total</v>
          </cell>
          <cell r="O399">
            <v>3217</v>
          </cell>
          <cell r="P399">
            <v>3265</v>
          </cell>
          <cell r="Q399">
            <v>3790</v>
          </cell>
          <cell r="R399">
            <v>3650</v>
          </cell>
          <cell r="S399">
            <v>3475</v>
          </cell>
        </row>
        <row r="400">
          <cell r="M400" t="str">
            <v xml:space="preserve">  %ch.</v>
          </cell>
          <cell r="P400">
            <v>1.4920733602735492E-2</v>
          </cell>
          <cell r="Q400">
            <v>0.16079632465543647</v>
          </cell>
          <cell r="R400">
            <v>-3.6939313984168831E-2</v>
          </cell>
          <cell r="S400">
            <v>-4.7945205479452024E-2</v>
          </cell>
        </row>
        <row r="403">
          <cell r="O403" t="str">
            <v>Est Impact Of Potential Share Repurchase</v>
          </cell>
        </row>
        <row r="405">
          <cell r="O405" t="str">
            <v>1992</v>
          </cell>
          <cell r="P405" t="str">
            <v>1993</v>
          </cell>
          <cell r="Q405" t="str">
            <v>1994</v>
          </cell>
        </row>
        <row r="406">
          <cell r="L406" t="str">
            <v>Shares Repurchased (MM)</v>
          </cell>
          <cell r="O406">
            <v>5</v>
          </cell>
          <cell r="P406">
            <v>5</v>
          </cell>
          <cell r="Q406">
            <v>5</v>
          </cell>
          <cell r="S406" t="str">
            <v>Net Income</v>
          </cell>
        </row>
        <row r="407">
          <cell r="L407" t="str">
            <v>Avg Price</v>
          </cell>
          <cell r="O407">
            <v>100</v>
          </cell>
          <cell r="P407">
            <v>100</v>
          </cell>
          <cell r="Q407">
            <v>100</v>
          </cell>
          <cell r="S407" t="str">
            <v>Less:Opp Cost</v>
          </cell>
        </row>
        <row r="408">
          <cell r="L408" t="str">
            <v>Cost ($MM)</v>
          </cell>
          <cell r="O408">
            <v>500</v>
          </cell>
          <cell r="P408">
            <v>500</v>
          </cell>
          <cell r="Q408">
            <v>500</v>
          </cell>
          <cell r="S408" t="str">
            <v>Adjust Net</v>
          </cell>
        </row>
        <row r="409">
          <cell r="L409" t="str">
            <v>Int Rate</v>
          </cell>
          <cell r="O409">
            <v>7.0000000000000007E-2</v>
          </cell>
          <cell r="P409">
            <v>7.0000000000000007E-2</v>
          </cell>
          <cell r="Q409">
            <v>7.0000000000000007E-2</v>
          </cell>
          <cell r="S409" t="str">
            <v>EPS</v>
          </cell>
        </row>
        <row r="410">
          <cell r="L410" t="str">
            <v>Ann. Opp Cost (Aft Tax)</v>
          </cell>
          <cell r="O410">
            <v>23.1</v>
          </cell>
          <cell r="P410">
            <v>23.1</v>
          </cell>
          <cell r="Q410">
            <v>23.1</v>
          </cell>
          <cell r="S410" t="str">
            <v>Avg. Shs.</v>
          </cell>
        </row>
        <row r="411">
          <cell r="L411" t="str">
            <v>Cum Repo Cost</v>
          </cell>
          <cell r="O411">
            <v>500</v>
          </cell>
          <cell r="P411">
            <v>1000</v>
          </cell>
          <cell r="Q411">
            <v>1500</v>
          </cell>
          <cell r="S411" t="str">
            <v>Incr. EPS</v>
          </cell>
        </row>
        <row r="412">
          <cell r="L412" t="str">
            <v>Net Debt/Cap-Post Buyback</v>
          </cell>
          <cell r="O412">
            <v>-6.6061106523534266E-2</v>
          </cell>
          <cell r="P412">
            <v>0.65814266487214002</v>
          </cell>
          <cell r="Q412">
            <v>0</v>
          </cell>
          <cell r="S412" t="str">
            <v xml:space="preserve"> % Inc</v>
          </cell>
        </row>
        <row r="413">
          <cell r="L413" t="str">
            <v>Net Debt/Cap-Pre Buyback</v>
          </cell>
          <cell r="O413">
            <v>-0.33898305084745761</v>
          </cell>
          <cell r="P413">
            <v>-0.29317269076305219</v>
          </cell>
          <cell r="Q413">
            <v>0</v>
          </cell>
        </row>
        <row r="414">
          <cell r="O414" t="str">
            <v xml:space="preserve"> </v>
          </cell>
        </row>
        <row r="416">
          <cell r="O416" t="str">
            <v>Incremental EPS Impact On GD ($MM)</v>
          </cell>
        </row>
        <row r="418">
          <cell r="O418" t="str">
            <v>1994E</v>
          </cell>
          <cell r="P418" t="str">
            <v>1995E</v>
          </cell>
          <cell r="Q418" t="str">
            <v>1996E</v>
          </cell>
        </row>
        <row r="419">
          <cell r="L419" t="str">
            <v>Space Launch Profits</v>
          </cell>
          <cell r="O419">
            <v>0</v>
          </cell>
          <cell r="P419">
            <v>0</v>
          </cell>
          <cell r="Q419">
            <v>0</v>
          </cell>
          <cell r="S419" t="str">
            <v xml:space="preserve"> </v>
          </cell>
        </row>
        <row r="420">
          <cell r="L420" t="str">
            <v>Kearney Mesa Rent</v>
          </cell>
          <cell r="O420">
            <v>4</v>
          </cell>
          <cell r="P420">
            <v>4</v>
          </cell>
        </row>
        <row r="421">
          <cell r="L421" t="str">
            <v>Interest On Proceeds</v>
          </cell>
          <cell r="O421">
            <v>10.450000000000001</v>
          </cell>
          <cell r="P421">
            <v>10.450000000000001</v>
          </cell>
          <cell r="Q421">
            <v>10.450000000000001</v>
          </cell>
          <cell r="S421" t="str">
            <v>-$209MM @ 7%</v>
          </cell>
        </row>
        <row r="422">
          <cell r="L422" t="str">
            <v xml:space="preserve">  Inc Pretax Impact</v>
          </cell>
          <cell r="O422">
            <v>14.450000000000001</v>
          </cell>
          <cell r="P422">
            <v>14.450000000000001</v>
          </cell>
          <cell r="Q422">
            <v>10.450000000000001</v>
          </cell>
        </row>
        <row r="423">
          <cell r="L423" t="str">
            <v>EPS Impact</v>
          </cell>
          <cell r="O423">
            <v>0.29351562500000006</v>
          </cell>
          <cell r="P423">
            <v>0.29351562500000006</v>
          </cell>
          <cell r="Q423">
            <v>0.21226562500000004</v>
          </cell>
        </row>
        <row r="425">
          <cell r="M425" t="str">
            <v xml:space="preserve"> </v>
          </cell>
          <cell r="N425" t="str">
            <v>ESTIMATED MISSILES/SPACE BUILD-UP ($MM)</v>
          </cell>
        </row>
        <row r="426">
          <cell r="N426" t="str">
            <v>===========================================</v>
          </cell>
        </row>
        <row r="427">
          <cell r="N427" t="str">
            <v>1986</v>
          </cell>
          <cell r="O427" t="str">
            <v>1987</v>
          </cell>
          <cell r="P427" t="str">
            <v>1988</v>
          </cell>
          <cell r="Q427" t="str">
            <v>1989</v>
          </cell>
          <cell r="T427">
            <v>1990</v>
          </cell>
        </row>
        <row r="428">
          <cell r="L428" t="str">
            <v>Tomahawk</v>
          </cell>
          <cell r="N428">
            <v>625</v>
          </cell>
          <cell r="O428">
            <v>625</v>
          </cell>
          <cell r="P428">
            <v>575</v>
          </cell>
          <cell r="Q428">
            <v>350</v>
          </cell>
          <cell r="T428">
            <v>350</v>
          </cell>
          <cell r="U428">
            <v>230</v>
          </cell>
          <cell r="V428" t="str">
            <v>Assumptions</v>
          </cell>
        </row>
        <row r="429">
          <cell r="L429" t="str">
            <v>ACM</v>
          </cell>
          <cell r="Q429">
            <v>364</v>
          </cell>
          <cell r="T429">
            <v>364</v>
          </cell>
          <cell r="U429">
            <v>210</v>
          </cell>
          <cell r="V429" t="str">
            <v>ACM up/GLCM ends</v>
          </cell>
        </row>
        <row r="430">
          <cell r="L430" t="str">
            <v>Standard</v>
          </cell>
          <cell r="N430">
            <v>450</v>
          </cell>
          <cell r="O430">
            <v>525</v>
          </cell>
          <cell r="P430">
            <v>485</v>
          </cell>
          <cell r="Q430">
            <v>350</v>
          </cell>
          <cell r="T430">
            <v>350</v>
          </cell>
          <cell r="U430">
            <v>195</v>
          </cell>
        </row>
        <row r="431">
          <cell r="L431" t="str">
            <v>Phalanx</v>
          </cell>
          <cell r="N431">
            <v>285</v>
          </cell>
          <cell r="O431">
            <v>300</v>
          </cell>
          <cell r="P431">
            <v>260</v>
          </cell>
          <cell r="Q431">
            <v>250</v>
          </cell>
          <cell r="T431">
            <v>250</v>
          </cell>
          <cell r="U431">
            <v>30</v>
          </cell>
          <cell r="V431" t="str">
            <v>2nd source comp.</v>
          </cell>
        </row>
        <row r="432">
          <cell r="L432" t="str">
            <v>Stinger</v>
          </cell>
          <cell r="N432">
            <v>300</v>
          </cell>
          <cell r="O432">
            <v>335</v>
          </cell>
          <cell r="P432">
            <v>375</v>
          </cell>
          <cell r="Q432">
            <v>350</v>
          </cell>
          <cell r="T432">
            <v>350</v>
          </cell>
          <cell r="U432">
            <v>175</v>
          </cell>
          <cell r="V432" t="str">
            <v>2nd source comp.</v>
          </cell>
        </row>
        <row r="433">
          <cell r="L433" t="str">
            <v>AAM</v>
          </cell>
          <cell r="V433" t="str">
            <v>Prodn. up</v>
          </cell>
        </row>
        <row r="434">
          <cell r="L434" t="str">
            <v>Sparrow</v>
          </cell>
          <cell r="N434">
            <v>125</v>
          </cell>
          <cell r="O434">
            <v>140</v>
          </cell>
          <cell r="P434">
            <v>175</v>
          </cell>
          <cell r="Q434">
            <v>150</v>
          </cell>
          <cell r="T434">
            <v>150</v>
          </cell>
          <cell r="U434" t="str">
            <v xml:space="preserve"> </v>
          </cell>
        </row>
        <row r="435">
          <cell r="L435" t="str">
            <v>RAM</v>
          </cell>
          <cell r="N435">
            <v>20</v>
          </cell>
          <cell r="O435">
            <v>50</v>
          </cell>
          <cell r="P435">
            <v>70</v>
          </cell>
          <cell r="Q435">
            <v>60</v>
          </cell>
          <cell r="T435">
            <v>60</v>
          </cell>
          <cell r="U435">
            <v>40</v>
          </cell>
        </row>
        <row r="436">
          <cell r="L436" t="str">
            <v>Misc.</v>
          </cell>
          <cell r="U436">
            <v>25</v>
          </cell>
          <cell r="V436" t="str">
            <v>SINCGARS up</v>
          </cell>
        </row>
        <row r="437">
          <cell r="L437" t="str">
            <v xml:space="preserve"> Total Revs</v>
          </cell>
          <cell r="N437">
            <v>2329</v>
          </cell>
          <cell r="O437">
            <v>2475</v>
          </cell>
          <cell r="P437">
            <v>1940</v>
          </cell>
          <cell r="Q437">
            <v>1874</v>
          </cell>
          <cell r="T437">
            <v>1874</v>
          </cell>
          <cell r="U437">
            <v>905</v>
          </cell>
        </row>
        <row r="438">
          <cell r="L438" t="str">
            <v xml:space="preserve"> % Change</v>
          </cell>
          <cell r="N438">
            <v>0</v>
          </cell>
          <cell r="O438">
            <v>6.2687848862172713E-2</v>
          </cell>
          <cell r="P438">
            <v>-0.21616161616161611</v>
          </cell>
          <cell r="Q438">
            <v>-3.4020618556701021E-2</v>
          </cell>
          <cell r="T438">
            <v>0</v>
          </cell>
        </row>
        <row r="439">
          <cell r="L439" t="str">
            <v>Op. Profit</v>
          </cell>
          <cell r="N439">
            <v>143</v>
          </cell>
          <cell r="O439">
            <v>160</v>
          </cell>
          <cell r="P439">
            <v>143</v>
          </cell>
          <cell r="Q439">
            <v>149</v>
          </cell>
          <cell r="T439">
            <v>0</v>
          </cell>
          <cell r="U439" t="str">
            <v>-</v>
          </cell>
        </row>
        <row r="440">
          <cell r="L440" t="str">
            <v xml:space="preserve">  %Sales</v>
          </cell>
          <cell r="N440">
            <v>6.1399742378703305E-2</v>
          </cell>
          <cell r="O440">
            <v>6.4646464646464646E-2</v>
          </cell>
          <cell r="P440">
            <v>7.3711340206185569E-2</v>
          </cell>
          <cell r="Q440">
            <v>7.9509071504802561E-2</v>
          </cell>
          <cell r="T440">
            <v>0</v>
          </cell>
          <cell r="V440" t="str">
            <v>No glitches</v>
          </cell>
        </row>
        <row r="442">
          <cell r="Q442" t="str">
            <v>Possible GD Cash Flow ($MM)</v>
          </cell>
        </row>
        <row r="444">
          <cell r="N444" t="str">
            <v>1985</v>
          </cell>
          <cell r="O444" t="str">
            <v>1986</v>
          </cell>
          <cell r="P444" t="str">
            <v>1987</v>
          </cell>
          <cell r="Q444" t="str">
            <v>1988</v>
          </cell>
          <cell r="S444" t="str">
            <v>1989</v>
          </cell>
          <cell r="T444">
            <v>1990</v>
          </cell>
          <cell r="U444" t="str">
            <v>1994</v>
          </cell>
        </row>
        <row r="445">
          <cell r="L445" t="str">
            <v>Pretax Inc.</v>
          </cell>
          <cell r="N445">
            <v>361</v>
          </cell>
          <cell r="O445">
            <v>616</v>
          </cell>
          <cell r="P445">
            <v>592</v>
          </cell>
          <cell r="Q445">
            <v>455</v>
          </cell>
          <cell r="S445">
            <v>272.10000000000002</v>
          </cell>
          <cell r="U445">
            <v>0</v>
          </cell>
          <cell r="V445" t="str">
            <v>Factors/Assumptions</v>
          </cell>
        </row>
        <row r="446">
          <cell r="L446" t="str">
            <v>Tax Payments</v>
          </cell>
          <cell r="N446">
            <v>257</v>
          </cell>
          <cell r="O446">
            <v>263</v>
          </cell>
          <cell r="P446">
            <v>-294</v>
          </cell>
          <cell r="Q446">
            <v>-260</v>
          </cell>
          <cell r="S446">
            <v>-338</v>
          </cell>
          <cell r="T446">
            <v>-120</v>
          </cell>
          <cell r="U446">
            <v>0</v>
          </cell>
          <cell r="V446" t="str">
            <v xml:space="preserve"> </v>
          </cell>
        </row>
        <row r="447">
          <cell r="L447" t="str">
            <v>Depreciation</v>
          </cell>
          <cell r="N447">
            <v>220</v>
          </cell>
          <cell r="O447">
            <v>270</v>
          </cell>
          <cell r="P447">
            <v>321</v>
          </cell>
          <cell r="Q447">
            <v>345</v>
          </cell>
          <cell r="S447">
            <v>361</v>
          </cell>
          <cell r="T447">
            <v>320</v>
          </cell>
          <cell r="U447">
            <v>160</v>
          </cell>
          <cell r="V447" t="str">
            <v>-Peaks in 91</v>
          </cell>
        </row>
        <row r="448">
          <cell r="L448" t="str">
            <v>Cap. Expend.</v>
          </cell>
          <cell r="N448">
            <v>-410</v>
          </cell>
          <cell r="O448">
            <v>-421</v>
          </cell>
          <cell r="P448">
            <v>-350</v>
          </cell>
          <cell r="Q448">
            <v>-496</v>
          </cell>
          <cell r="S448">
            <v>-420</v>
          </cell>
          <cell r="T448">
            <v>-306</v>
          </cell>
          <cell r="U448">
            <v>-95</v>
          </cell>
          <cell r="V448" t="str">
            <v>-Follows cap spdg</v>
          </cell>
        </row>
        <row r="449">
          <cell r="L449" t="str">
            <v>Dividends</v>
          </cell>
          <cell r="N449">
            <v>-42</v>
          </cell>
          <cell r="O449">
            <v>-43</v>
          </cell>
          <cell r="P449">
            <v>-43</v>
          </cell>
          <cell r="Q449">
            <v>-42</v>
          </cell>
          <cell r="S449">
            <v>-42</v>
          </cell>
          <cell r="T449">
            <v>-42</v>
          </cell>
          <cell r="U449">
            <v>-42</v>
          </cell>
          <cell r="V449" t="str">
            <v>-Sharp downtrend</v>
          </cell>
        </row>
        <row r="450">
          <cell r="L450" t="str">
            <v>Disc. Opns./Invests.</v>
          </cell>
          <cell r="N450">
            <v>-534</v>
          </cell>
          <cell r="O450">
            <v>193</v>
          </cell>
          <cell r="P450">
            <v>248</v>
          </cell>
          <cell r="Q450">
            <v>-17</v>
          </cell>
          <cell r="S450">
            <v>-27</v>
          </cell>
          <cell r="T450">
            <v>120</v>
          </cell>
          <cell r="V450" t="str">
            <v>-Ex poss hikes</v>
          </cell>
        </row>
        <row r="451">
          <cell r="L451" t="str">
            <v>T-Stock</v>
          </cell>
          <cell r="N451">
            <v>-91</v>
          </cell>
          <cell r="O451" t="str">
            <v>==</v>
          </cell>
          <cell r="P451">
            <v>-93</v>
          </cell>
          <cell r="Q451">
            <v>-20</v>
          </cell>
          <cell r="S451">
            <v>-14</v>
          </cell>
          <cell r="T451">
            <v>-10</v>
          </cell>
          <cell r="U451">
            <v>-10</v>
          </cell>
        </row>
        <row r="452">
          <cell r="L452" t="str">
            <v>Work. Cap. etc.</v>
          </cell>
          <cell r="N452">
            <v>421</v>
          </cell>
          <cell r="O452">
            <v>-514</v>
          </cell>
          <cell r="P452">
            <v>-388</v>
          </cell>
          <cell r="Q452">
            <v>-241</v>
          </cell>
          <cell r="S452">
            <v>-336</v>
          </cell>
          <cell r="T452">
            <v>1303</v>
          </cell>
          <cell r="U452">
            <v>65</v>
          </cell>
        </row>
        <row r="453">
          <cell r="L453" t="str">
            <v>Redn Net Debt</v>
          </cell>
          <cell r="N453">
            <v>182</v>
          </cell>
          <cell r="O453">
            <v>364</v>
          </cell>
          <cell r="P453">
            <v>-7</v>
          </cell>
          <cell r="Q453">
            <v>-276</v>
          </cell>
          <cell r="S453">
            <v>-543.9</v>
          </cell>
          <cell r="T453">
            <v>1265</v>
          </cell>
          <cell r="U453">
            <v>78</v>
          </cell>
          <cell r="V453" t="str">
            <v>-A-12 costs in 1991-92</v>
          </cell>
        </row>
        <row r="454">
          <cell r="P454" t="str">
            <v xml:space="preserve"> </v>
          </cell>
          <cell r="Q454" t="str">
            <v xml:space="preserve"> </v>
          </cell>
          <cell r="S454" t="str">
            <v xml:space="preserve"> </v>
          </cell>
          <cell r="U454">
            <v>400</v>
          </cell>
          <cell r="V454" t="str">
            <v xml:space="preserve"> </v>
          </cell>
        </row>
        <row r="455">
          <cell r="N455" t="str">
            <v>12/85</v>
          </cell>
          <cell r="O455" t="str">
            <v>12/86</v>
          </cell>
          <cell r="P455" t="str">
            <v>12/87</v>
          </cell>
          <cell r="Q455" t="str">
            <v>12/88</v>
          </cell>
          <cell r="S455" t="str">
            <v>12/89</v>
          </cell>
          <cell r="T455" t="str">
            <v>12/90</v>
          </cell>
          <cell r="U455" t="str">
            <v>12/94E</v>
          </cell>
        </row>
        <row r="456">
          <cell r="L456" t="str">
            <v>NetDebt</v>
          </cell>
          <cell r="N456">
            <v>427</v>
          </cell>
          <cell r="O456">
            <v>245</v>
          </cell>
          <cell r="P456">
            <v>255</v>
          </cell>
          <cell r="Q456">
            <v>436</v>
          </cell>
          <cell r="S456">
            <v>979.9</v>
          </cell>
          <cell r="T456">
            <v>-285.10000000000002</v>
          </cell>
          <cell r="U456">
            <v>0</v>
          </cell>
        </row>
        <row r="457">
          <cell r="L457" t="str">
            <v>Equity</v>
          </cell>
          <cell r="N457">
            <v>1336</v>
          </cell>
          <cell r="O457">
            <v>1264</v>
          </cell>
          <cell r="P457">
            <v>1601</v>
          </cell>
          <cell r="Q457">
            <v>1878</v>
          </cell>
          <cell r="S457">
            <v>2126</v>
          </cell>
          <cell r="T457">
            <v>1510</v>
          </cell>
          <cell r="U457">
            <v>0</v>
          </cell>
          <cell r="V457" t="str">
            <v xml:space="preserve"> </v>
          </cell>
        </row>
        <row r="458">
          <cell r="L458" t="str">
            <v xml:space="preserve"> Net Debt/Cap</v>
          </cell>
          <cell r="N458">
            <v>0.24220079410096426</v>
          </cell>
          <cell r="O458">
            <v>0.16235917826375082</v>
          </cell>
          <cell r="P458">
            <v>0.13739224137931033</v>
          </cell>
          <cell r="Q458">
            <v>0.18841832324978391</v>
          </cell>
          <cell r="S458">
            <v>0.3154963134679159</v>
          </cell>
          <cell r="T458">
            <v>-0.23275369417911668</v>
          </cell>
          <cell r="V458" t="str">
            <v>-'93 Inc guess $700MM FAS 106</v>
          </cell>
        </row>
        <row r="459">
          <cell r="V459" t="str">
            <v xml:space="preserve"> </v>
          </cell>
          <cell r="X459" t="str">
            <v xml:space="preserve"> </v>
          </cell>
        </row>
        <row r="460">
          <cell r="S460" t="str">
            <v xml:space="preserve"> Tactical Military Aircraft P&amp;L ($MM)</v>
          </cell>
        </row>
        <row r="461">
          <cell r="S461" t="str">
            <v xml:space="preserve"> </v>
          </cell>
        </row>
        <row r="462">
          <cell r="M462" t="str">
            <v>REVENUES</v>
          </cell>
          <cell r="O462" t="str">
            <v>1986</v>
          </cell>
          <cell r="P462" t="str">
            <v>1987</v>
          </cell>
          <cell r="Q462" t="str">
            <v>1988</v>
          </cell>
          <cell r="S462" t="str">
            <v>1989</v>
          </cell>
          <cell r="T462">
            <v>1990</v>
          </cell>
          <cell r="U462" t="str">
            <v>1994</v>
          </cell>
          <cell r="AA462" t="str">
            <v>ESTIMATED MILITARY AIRCRAFT P&amp;L ($MM)</v>
          </cell>
        </row>
        <row r="463">
          <cell r="M463" t="str">
            <v xml:space="preserve">  F-16 </v>
          </cell>
          <cell r="O463">
            <v>2350</v>
          </cell>
          <cell r="P463">
            <v>2675</v>
          </cell>
          <cell r="Q463">
            <v>2750</v>
          </cell>
          <cell r="S463">
            <v>2640</v>
          </cell>
          <cell r="T463">
            <v>2700</v>
          </cell>
          <cell r="U463">
            <v>2050</v>
          </cell>
          <cell r="V463" t="str">
            <v>1995</v>
          </cell>
          <cell r="W463" t="str">
            <v>Assumptions</v>
          </cell>
          <cell r="AA463" t="str">
            <v>===========================================</v>
          </cell>
        </row>
        <row r="464">
          <cell r="M464" t="str">
            <v xml:space="preserve">  F-22</v>
          </cell>
          <cell r="T464" t="str">
            <v xml:space="preserve"> </v>
          </cell>
          <cell r="U464">
            <v>450</v>
          </cell>
          <cell r="V464">
            <v>1700</v>
          </cell>
          <cell r="W464" t="str">
            <v>-% comp. actng.</v>
          </cell>
          <cell r="Z464" t="str">
            <v>1984</v>
          </cell>
          <cell r="AA464" t="str">
            <v>1985</v>
          </cell>
        </row>
        <row r="465">
          <cell r="M465" t="str">
            <v xml:space="preserve">  Other Airc.</v>
          </cell>
          <cell r="O465">
            <v>321</v>
          </cell>
          <cell r="P465">
            <v>524</v>
          </cell>
          <cell r="Q465">
            <v>667</v>
          </cell>
          <cell r="S465">
            <v>1036</v>
          </cell>
          <cell r="T465">
            <v>1081</v>
          </cell>
          <cell r="U465">
            <v>200</v>
          </cell>
          <cell r="V465">
            <v>350</v>
          </cell>
        </row>
        <row r="466">
          <cell r="M466" t="str">
            <v xml:space="preserve">   Total </v>
          </cell>
          <cell r="O466">
            <v>2671</v>
          </cell>
          <cell r="P466">
            <v>3199</v>
          </cell>
          <cell r="Q466">
            <v>3417</v>
          </cell>
          <cell r="S466">
            <v>3676</v>
          </cell>
          <cell r="T466">
            <v>3781</v>
          </cell>
          <cell r="U466">
            <v>2700</v>
          </cell>
          <cell r="V466">
            <v>150</v>
          </cell>
          <cell r="W466" t="str">
            <v>-A-12 terminated</v>
          </cell>
        </row>
        <row r="467">
          <cell r="M467" t="str">
            <v>OP. PROFIT</v>
          </cell>
          <cell r="V467">
            <v>2200</v>
          </cell>
          <cell r="Z467">
            <v>0</v>
          </cell>
          <cell r="AA467">
            <v>0</v>
          </cell>
        </row>
        <row r="468">
          <cell r="M468" t="str">
            <v xml:space="preserve">  F-16</v>
          </cell>
          <cell r="O468">
            <v>305.5</v>
          </cell>
          <cell r="P468">
            <v>345</v>
          </cell>
          <cell r="Q468">
            <v>365</v>
          </cell>
          <cell r="S468">
            <v>270</v>
          </cell>
          <cell r="T468">
            <v>145</v>
          </cell>
          <cell r="U468">
            <v>166</v>
          </cell>
          <cell r="Z468">
            <v>2016</v>
          </cell>
          <cell r="AA468">
            <v>2114</v>
          </cell>
        </row>
        <row r="469">
          <cell r="M469" t="str">
            <v xml:space="preserve">  FSX/S Korea</v>
          </cell>
          <cell r="S469">
            <v>22</v>
          </cell>
          <cell r="T469">
            <v>26</v>
          </cell>
          <cell r="V469">
            <v>139</v>
          </cell>
          <cell r="W469" t="str">
            <v>-PM's drop in '89-91</v>
          </cell>
        </row>
        <row r="470">
          <cell r="M470" t="str">
            <v xml:space="preserve">  A-12,other</v>
          </cell>
          <cell r="O470">
            <v>21</v>
          </cell>
          <cell r="P470">
            <v>10</v>
          </cell>
          <cell r="Q470">
            <v>38</v>
          </cell>
          <cell r="S470">
            <v>48</v>
          </cell>
          <cell r="T470">
            <v>-809</v>
          </cell>
          <cell r="U470">
            <v>7</v>
          </cell>
          <cell r="W470" t="str">
            <v>-FSX F-16 royalties</v>
          </cell>
          <cell r="Z470">
            <v>0</v>
          </cell>
          <cell r="AA470">
            <v>0</v>
          </cell>
        </row>
        <row r="471">
          <cell r="M471" t="str">
            <v xml:space="preserve">  F-22</v>
          </cell>
          <cell r="O471">
            <v>-8</v>
          </cell>
          <cell r="P471">
            <v>-33</v>
          </cell>
          <cell r="Q471">
            <v>-85</v>
          </cell>
          <cell r="S471">
            <v>-105</v>
          </cell>
          <cell r="U471">
            <v>27.000000000000004</v>
          </cell>
          <cell r="V471">
            <v>5</v>
          </cell>
          <cell r="W471" t="str">
            <v>-No addnl W/O's</v>
          </cell>
        </row>
        <row r="472">
          <cell r="M472" t="str">
            <v xml:space="preserve"> Total</v>
          </cell>
          <cell r="O472">
            <v>335</v>
          </cell>
          <cell r="P472">
            <v>322</v>
          </cell>
          <cell r="Q472">
            <v>318</v>
          </cell>
          <cell r="S472">
            <v>235</v>
          </cell>
          <cell r="T472">
            <v>-638</v>
          </cell>
          <cell r="U472">
            <v>200</v>
          </cell>
          <cell r="V472">
            <v>21</v>
          </cell>
          <cell r="W472" t="str">
            <v>-Cost-plus contract</v>
          </cell>
          <cell r="Z472">
            <v>19</v>
          </cell>
          <cell r="AA472">
            <v>22</v>
          </cell>
        </row>
        <row r="473">
          <cell r="M473" t="str">
            <v>%Sales</v>
          </cell>
          <cell r="V473">
            <v>165</v>
          </cell>
        </row>
        <row r="474">
          <cell r="M474" t="str">
            <v xml:space="preserve">  Total</v>
          </cell>
          <cell r="O474">
            <v>0.12542119056533133</v>
          </cell>
          <cell r="P474">
            <v>0.10065645514223195</v>
          </cell>
          <cell r="Q474">
            <v>9.3064091308165051E-2</v>
          </cell>
          <cell r="S474">
            <v>6.3928182807399342E-2</v>
          </cell>
          <cell r="T474">
            <v>-0.16873842898704047</v>
          </cell>
          <cell r="U474">
            <v>7.407407407407407E-2</v>
          </cell>
          <cell r="Z474">
            <v>266</v>
          </cell>
          <cell r="AA474">
            <v>282</v>
          </cell>
          <cell r="AF474" t="str">
            <v>Space Launch Backlog</v>
          </cell>
          <cell r="AK474" t="str">
            <v>Space Launches</v>
          </cell>
        </row>
        <row r="475">
          <cell r="M475" t="str">
            <v xml:space="preserve">  F-16 </v>
          </cell>
          <cell r="O475">
            <v>0.13</v>
          </cell>
          <cell r="P475">
            <v>0.12897196261682242</v>
          </cell>
          <cell r="Q475">
            <v>0.13272727272727272</v>
          </cell>
          <cell r="S475">
            <v>0.10227272727272728</v>
          </cell>
          <cell r="T475">
            <v>5.3703703703703705E-2</v>
          </cell>
          <cell r="U475">
            <v>8.0975609756097564E-2</v>
          </cell>
          <cell r="V475">
            <v>7.4999999999999997E-2</v>
          </cell>
          <cell r="W475" t="str">
            <v xml:space="preserve"> </v>
          </cell>
        </row>
        <row r="476">
          <cell r="M476" t="str">
            <v>F-16 Delivs</v>
          </cell>
          <cell r="V476">
            <v>8.1764705882352948E-2</v>
          </cell>
          <cell r="W476" t="str">
            <v>-Up in H2:92</v>
          </cell>
          <cell r="Z476">
            <v>0.13194444444444445</v>
          </cell>
          <cell r="AA476">
            <v>0.13339640491958374</v>
          </cell>
          <cell r="AF476" t="str">
            <v>Payload</v>
          </cell>
          <cell r="AG476" t="str">
            <v>Manifest</v>
          </cell>
          <cell r="AH476" t="str">
            <v>Vehicle</v>
          </cell>
          <cell r="AK476" t="str">
            <v>Vehicle</v>
          </cell>
          <cell r="AM476" t="str">
            <v>Customer</v>
          </cell>
        </row>
        <row r="477">
          <cell r="M477" t="str">
            <v xml:space="preserve">  U.S.</v>
          </cell>
          <cell r="O477">
            <v>152</v>
          </cell>
          <cell r="P477">
            <v>192</v>
          </cell>
          <cell r="Q477">
            <v>188</v>
          </cell>
          <cell r="S477">
            <v>158</v>
          </cell>
          <cell r="T477">
            <v>200</v>
          </cell>
          <cell r="U477">
            <v>95</v>
          </cell>
          <cell r="W477">
            <v>96</v>
          </cell>
          <cell r="Z477">
            <v>0</v>
          </cell>
          <cell r="AA477">
            <v>0</v>
          </cell>
          <cell r="AF477" t="str">
            <v>GOES</v>
          </cell>
          <cell r="AG477">
            <v>3</v>
          </cell>
          <cell r="AH477" t="str">
            <v>Atlas 1</v>
          </cell>
          <cell r="AK477" t="str">
            <v>Atlas I</v>
          </cell>
          <cell r="AL477">
            <v>1</v>
          </cell>
          <cell r="AM477" t="str">
            <v>NASA</v>
          </cell>
        </row>
        <row r="478">
          <cell r="M478" t="str">
            <v xml:space="preserve">  Foreign</v>
          </cell>
          <cell r="O478">
            <v>49</v>
          </cell>
          <cell r="P478">
            <v>107</v>
          </cell>
          <cell r="Q478">
            <v>100</v>
          </cell>
          <cell r="S478">
            <v>91</v>
          </cell>
          <cell r="T478">
            <v>69</v>
          </cell>
          <cell r="U478">
            <v>95</v>
          </cell>
          <cell r="V478">
            <v>18</v>
          </cell>
          <cell r="X478" t="str">
            <v>-Admin request/last del in '94</v>
          </cell>
          <cell r="AF478" t="str">
            <v>SOHO</v>
          </cell>
          <cell r="AG478">
            <v>1</v>
          </cell>
          <cell r="AH478" t="str">
            <v>Atlas IIAS</v>
          </cell>
          <cell r="AL478">
            <v>1</v>
          </cell>
          <cell r="AM478" t="str">
            <v>GE Astro</v>
          </cell>
        </row>
        <row r="479">
          <cell r="M479" t="str">
            <v xml:space="preserve">  Total </v>
          </cell>
          <cell r="O479">
            <v>201</v>
          </cell>
          <cell r="P479">
            <v>299</v>
          </cell>
          <cell r="Q479">
            <v>288</v>
          </cell>
          <cell r="S479">
            <v>249</v>
          </cell>
          <cell r="T479">
            <v>269</v>
          </cell>
          <cell r="U479">
            <v>190</v>
          </cell>
          <cell r="V479">
            <v>62</v>
          </cell>
          <cell r="X479" t="str">
            <v>-Ex Korea</v>
          </cell>
          <cell r="Z479">
            <v>123</v>
          </cell>
          <cell r="AA479">
            <v>124</v>
          </cell>
          <cell r="AF479" t="str">
            <v>IELV</v>
          </cell>
          <cell r="AG479">
            <v>1</v>
          </cell>
          <cell r="AH479" t="str">
            <v>Atlas IIA&amp;AS</v>
          </cell>
          <cell r="AL479">
            <v>4</v>
          </cell>
          <cell r="AM479" t="str">
            <v>GMH</v>
          </cell>
        </row>
        <row r="480">
          <cell r="U480">
            <v>192</v>
          </cell>
          <cell r="V480">
            <v>80</v>
          </cell>
          <cell r="X480" t="str">
            <v>-Trending down</v>
          </cell>
          <cell r="Z480">
            <v>70</v>
          </cell>
          <cell r="AA480">
            <v>55</v>
          </cell>
          <cell r="AF480" t="str">
            <v>INTL VII</v>
          </cell>
          <cell r="AG480">
            <v>3</v>
          </cell>
          <cell r="AH480" t="str">
            <v>Atlas IIAS</v>
          </cell>
          <cell r="AM480" t="str">
            <v>AF</v>
          </cell>
        </row>
        <row r="481">
          <cell r="V481">
            <v>79</v>
          </cell>
          <cell r="W481">
            <v>98</v>
          </cell>
          <cell r="X481">
            <v>146</v>
          </cell>
          <cell r="AF481" t="str">
            <v>UHF</v>
          </cell>
          <cell r="AG481">
            <v>7</v>
          </cell>
          <cell r="AH481" t="str">
            <v>Atlas IIA&amp;AS</v>
          </cell>
          <cell r="AM481" t="str">
            <v>AT&amp;T</v>
          </cell>
        </row>
        <row r="482">
          <cell r="AF482" t="str">
            <v>DirecTV 2</v>
          </cell>
          <cell r="AG482">
            <v>1</v>
          </cell>
          <cell r="AH482" t="str">
            <v>Atlas IIA</v>
          </cell>
          <cell r="AK482" t="str">
            <v>Atlas II</v>
          </cell>
          <cell r="AL482">
            <v>1</v>
          </cell>
          <cell r="AM482" t="str">
            <v>Eutelsat</v>
          </cell>
        </row>
        <row r="483">
          <cell r="Q483" t="str">
            <v>1988</v>
          </cell>
          <cell r="S483" t="str">
            <v>1989</v>
          </cell>
          <cell r="T483" t="str">
            <v>1990</v>
          </cell>
          <cell r="U483" t="str">
            <v>1994E</v>
          </cell>
          <cell r="AF483" t="str">
            <v>JCSAT 3</v>
          </cell>
          <cell r="AG483">
            <v>1</v>
          </cell>
          <cell r="AH483" t="str">
            <v>Atlas IIAS</v>
          </cell>
          <cell r="AL483">
            <v>1</v>
          </cell>
          <cell r="AM483" t="str">
            <v>Air Force</v>
          </cell>
        </row>
        <row r="484">
          <cell r="P484" t="str">
            <v>Atlas</v>
          </cell>
          <cell r="S484">
            <v>0</v>
          </cell>
          <cell r="T484">
            <v>60</v>
          </cell>
          <cell r="U484">
            <v>490</v>
          </cell>
          <cell r="V484" t="str">
            <v>1995E</v>
          </cell>
          <cell r="W484" t="str">
            <v>1996E</v>
          </cell>
          <cell r="X484" t="str">
            <v>Assumptions</v>
          </cell>
          <cell r="AF484" t="str">
            <v>Orion</v>
          </cell>
          <cell r="AG484">
            <v>1</v>
          </cell>
          <cell r="AH484" t="str">
            <v>Atlas IIA</v>
          </cell>
          <cell r="AK484" t="str">
            <v>Atlas IIA</v>
          </cell>
          <cell r="AM484" t="str">
            <v>Air Force</v>
          </cell>
        </row>
        <row r="485">
          <cell r="P485" t="str">
            <v>Other Space</v>
          </cell>
          <cell r="U485">
            <v>250</v>
          </cell>
          <cell r="V485">
            <v>675</v>
          </cell>
          <cell r="W485">
            <v>825</v>
          </cell>
          <cell r="X485" t="str">
            <v>-Launches build</v>
          </cell>
          <cell r="AA485" t="str">
            <v>Customer</v>
          </cell>
          <cell r="AF485" t="str">
            <v>MLV</v>
          </cell>
          <cell r="AG485">
            <v>5</v>
          </cell>
          <cell r="AH485" t="str">
            <v>Atlas II</v>
          </cell>
          <cell r="AM485" t="str">
            <v>Intelsat</v>
          </cell>
        </row>
        <row r="486">
          <cell r="P486" t="str">
            <v>Supercollider, etc</v>
          </cell>
          <cell r="S486">
            <v>291</v>
          </cell>
          <cell r="T486">
            <v>240</v>
          </cell>
          <cell r="U486">
            <v>25</v>
          </cell>
          <cell r="V486">
            <v>225</v>
          </cell>
          <cell r="W486">
            <v>200</v>
          </cell>
          <cell r="X486" t="str">
            <v>-Trends down</v>
          </cell>
          <cell r="AA486" t="str">
            <v>NASA</v>
          </cell>
          <cell r="AF486" t="str">
            <v>SAX</v>
          </cell>
          <cell r="AG486">
            <v>1</v>
          </cell>
          <cell r="AH486" t="str">
            <v>Atlas 1</v>
          </cell>
          <cell r="AK486" t="str">
            <v>Atlas IIAS</v>
          </cell>
          <cell r="AM486" t="str">
            <v>Air Force</v>
          </cell>
        </row>
        <row r="487">
          <cell r="P487" t="str">
            <v xml:space="preserve">  Total</v>
          </cell>
          <cell r="Q487">
            <v>0</v>
          </cell>
          <cell r="S487">
            <v>291</v>
          </cell>
          <cell r="T487">
            <v>300</v>
          </cell>
          <cell r="U487">
            <v>765</v>
          </cell>
          <cell r="V487">
            <v>25</v>
          </cell>
          <cell r="W487">
            <v>25</v>
          </cell>
          <cell r="X487" t="str">
            <v>-Stretched out</v>
          </cell>
          <cell r="AF487" t="str">
            <v>ATT#2</v>
          </cell>
          <cell r="AG487">
            <v>1</v>
          </cell>
          <cell r="AH487" t="str">
            <v>Atlas IIAS</v>
          </cell>
          <cell r="AK487" t="str">
            <v>Total</v>
          </cell>
        </row>
        <row r="488">
          <cell r="V488">
            <v>925</v>
          </cell>
          <cell r="W488">
            <v>1050</v>
          </cell>
          <cell r="X488">
            <v>0</v>
          </cell>
          <cell r="AF488" t="str">
            <v>Inmarsat</v>
          </cell>
          <cell r="AG488">
            <v>2</v>
          </cell>
          <cell r="AH488" t="str">
            <v>Atlas II</v>
          </cell>
        </row>
        <row r="489">
          <cell r="AA489" t="str">
            <v>Intelsat</v>
          </cell>
          <cell r="AF489" t="str">
            <v>MSAT</v>
          </cell>
          <cell r="AG489">
            <v>1</v>
          </cell>
          <cell r="AH489" t="str">
            <v>Atlas IIA</v>
          </cell>
        </row>
        <row r="490">
          <cell r="P490" t="str">
            <v>Atlas</v>
          </cell>
          <cell r="Q490">
            <v>-60</v>
          </cell>
          <cell r="S490">
            <v>-85</v>
          </cell>
          <cell r="T490">
            <v>-95</v>
          </cell>
          <cell r="U490">
            <v>0</v>
          </cell>
          <cell r="AA490" t="str">
            <v>GMH/Navy</v>
          </cell>
          <cell r="AF490" t="str">
            <v>DBS LOR</v>
          </cell>
          <cell r="AG490">
            <v>1</v>
          </cell>
          <cell r="AH490" t="str">
            <v>Atlas IIAS</v>
          </cell>
        </row>
        <row r="491">
          <cell r="P491" t="str">
            <v>Reserve</v>
          </cell>
          <cell r="V491">
            <v>20</v>
          </cell>
          <cell r="W491">
            <v>40</v>
          </cell>
          <cell r="AA491" t="str">
            <v>GMH</v>
          </cell>
        </row>
        <row r="492">
          <cell r="P492" t="str">
            <v>Govt.</v>
          </cell>
          <cell r="S492">
            <v>10</v>
          </cell>
          <cell r="T492">
            <v>0</v>
          </cell>
          <cell r="U492">
            <v>20</v>
          </cell>
          <cell r="AF492" t="str">
            <v>Total</v>
          </cell>
          <cell r="AG492">
            <v>29</v>
          </cell>
        </row>
        <row r="493">
          <cell r="P493" t="str">
            <v xml:space="preserve">  Total</v>
          </cell>
          <cell r="Q493">
            <v>-60</v>
          </cell>
          <cell r="S493">
            <v>-75</v>
          </cell>
          <cell r="T493">
            <v>-95</v>
          </cell>
          <cell r="U493">
            <v>20</v>
          </cell>
          <cell r="V493">
            <v>20</v>
          </cell>
          <cell r="W493">
            <v>20</v>
          </cell>
          <cell r="AA493" t="str">
            <v>Orion</v>
          </cell>
        </row>
        <row r="494">
          <cell r="P494" t="str">
            <v xml:space="preserve"> % Sales</v>
          </cell>
          <cell r="U494">
            <v>2.6143790849673203E-2</v>
          </cell>
          <cell r="V494">
            <v>40</v>
          </cell>
          <cell r="W494">
            <v>60</v>
          </cell>
          <cell r="AA494" t="str">
            <v>Air Force</v>
          </cell>
        </row>
        <row r="495">
          <cell r="V495">
            <v>4.3243243243243246E-2</v>
          </cell>
          <cell r="W495">
            <v>5.7142857142857141E-2</v>
          </cell>
          <cell r="X495" t="str">
            <v xml:space="preserve"> </v>
          </cell>
          <cell r="AA495" t="str">
            <v>Italy Space Ag</v>
          </cell>
        </row>
        <row r="496">
          <cell r="P496" t="str">
            <v>Atlas</v>
          </cell>
          <cell r="S496" t="str">
            <v>==</v>
          </cell>
          <cell r="T496">
            <v>1</v>
          </cell>
          <cell r="U496">
            <v>7</v>
          </cell>
          <cell r="AA496" t="str">
            <v>AT&amp;T</v>
          </cell>
        </row>
        <row r="497">
          <cell r="V497">
            <v>9</v>
          </cell>
          <cell r="W497">
            <v>11</v>
          </cell>
          <cell r="AA497" t="str">
            <v>Inmarsat</v>
          </cell>
        </row>
        <row r="498">
          <cell r="AA498" t="str">
            <v>AMSC</v>
          </cell>
        </row>
        <row r="499">
          <cell r="Q499" t="str">
            <v>Est. GD "Core" Operations Cash Flow ($MM)</v>
          </cell>
          <cell r="AA499" t="str">
            <v>LOR</v>
          </cell>
        </row>
        <row r="501">
          <cell r="Q501" t="str">
            <v>1991A</v>
          </cell>
          <cell r="S501" t="str">
            <v>1992</v>
          </cell>
          <cell r="T501" t="str">
            <v>1993</v>
          </cell>
        </row>
        <row r="502">
          <cell r="N502" t="str">
            <v>Pretax</v>
          </cell>
          <cell r="Q502">
            <v>207</v>
          </cell>
          <cell r="S502">
            <v>0</v>
          </cell>
          <cell r="T502">
            <v>0</v>
          </cell>
        </row>
        <row r="503">
          <cell r="N503" t="str">
            <v>Taxes Paid</v>
          </cell>
          <cell r="Q503">
            <v>-523</v>
          </cell>
          <cell r="S503">
            <v>0</v>
          </cell>
          <cell r="T503">
            <v>0</v>
          </cell>
        </row>
        <row r="504">
          <cell r="N504" t="str">
            <v>Depreciation</v>
          </cell>
          <cell r="Q504">
            <v>196</v>
          </cell>
          <cell r="S504">
            <v>100</v>
          </cell>
          <cell r="T504">
            <v>50</v>
          </cell>
        </row>
        <row r="505">
          <cell r="N505" t="str">
            <v>Cap. Expend,net</v>
          </cell>
          <cell r="Q505">
            <v>-43</v>
          </cell>
          <cell r="S505">
            <v>-25</v>
          </cell>
          <cell r="T505">
            <v>-30</v>
          </cell>
        </row>
        <row r="506">
          <cell r="N506" t="str">
            <v>Dividends</v>
          </cell>
          <cell r="Q506">
            <v>-42</v>
          </cell>
          <cell r="S506">
            <v>-60</v>
          </cell>
          <cell r="T506">
            <v>-48</v>
          </cell>
        </row>
        <row r="507">
          <cell r="N507" t="str">
            <v>Disc. Opns</v>
          </cell>
          <cell r="Q507">
            <v>272</v>
          </cell>
          <cell r="S507">
            <v>593</v>
          </cell>
        </row>
        <row r="508">
          <cell r="N508" t="str">
            <v>A-12  Reserves</v>
          </cell>
          <cell r="Q508">
            <v>-183</v>
          </cell>
          <cell r="S508">
            <v>-125</v>
          </cell>
          <cell r="T508">
            <v>-64</v>
          </cell>
        </row>
        <row r="509">
          <cell r="N509" t="str">
            <v>Other</v>
          </cell>
          <cell r="Q509">
            <v>382</v>
          </cell>
          <cell r="S509">
            <v>97</v>
          </cell>
          <cell r="T509">
            <v>23</v>
          </cell>
        </row>
        <row r="510">
          <cell r="N510" t="str">
            <v>Redn Net Debt</v>
          </cell>
          <cell r="Q510">
            <v>266</v>
          </cell>
          <cell r="S510">
            <v>580</v>
          </cell>
          <cell r="T510">
            <v>-69</v>
          </cell>
        </row>
        <row r="511">
          <cell r="Q511">
            <v>204</v>
          </cell>
          <cell r="S511" t="str">
            <v xml:space="preserve"> </v>
          </cell>
          <cell r="T511" t="str">
            <v xml:space="preserve"> </v>
          </cell>
        </row>
        <row r="512">
          <cell r="Q512" t="str">
            <v>12/91</v>
          </cell>
          <cell r="S512" t="str">
            <v>12/92E</v>
          </cell>
          <cell r="T512" t="str">
            <v>12/93E</v>
          </cell>
          <cell r="V512" t="str">
            <v xml:space="preserve"> </v>
          </cell>
          <cell r="W512" t="str">
            <v xml:space="preserve"> </v>
          </cell>
        </row>
        <row r="513">
          <cell r="O513" t="str">
            <v>NetDebt/(Cash)</v>
          </cell>
          <cell r="Q513">
            <v>0</v>
          </cell>
          <cell r="S513">
            <v>-580</v>
          </cell>
          <cell r="T513">
            <v>-511</v>
          </cell>
        </row>
        <row r="514">
          <cell r="O514" t="str">
            <v>Equity</v>
          </cell>
          <cell r="Q514">
            <v>1980</v>
          </cell>
          <cell r="S514">
            <v>2291</v>
          </cell>
          <cell r="T514">
            <v>2254</v>
          </cell>
        </row>
        <row r="515">
          <cell r="O515" t="str">
            <v xml:space="preserve"> Net Debt/Cap</v>
          </cell>
          <cell r="Q515">
            <v>0</v>
          </cell>
          <cell r="S515">
            <v>-0.33898305084745761</v>
          </cell>
          <cell r="T515">
            <v>-0.29317269076305219</v>
          </cell>
          <cell r="U515" t="str">
            <v xml:space="preserve"> </v>
          </cell>
        </row>
        <row r="517">
          <cell r="O517" t="str">
            <v>A-12</v>
          </cell>
          <cell r="Q517">
            <v>173</v>
          </cell>
          <cell r="S517">
            <v>125</v>
          </cell>
          <cell r="T517">
            <v>30</v>
          </cell>
        </row>
        <row r="518">
          <cell r="O518" t="str">
            <v>Atlas</v>
          </cell>
          <cell r="Q518">
            <v>10</v>
          </cell>
          <cell r="S518">
            <v>80</v>
          </cell>
          <cell r="T518">
            <v>80</v>
          </cell>
        </row>
        <row r="519">
          <cell r="O519" t="str">
            <v>SINCGARS</v>
          </cell>
          <cell r="Q519">
            <v>5</v>
          </cell>
          <cell r="S519">
            <v>20</v>
          </cell>
          <cell r="T519">
            <v>25</v>
          </cell>
        </row>
        <row r="520">
          <cell r="Q520">
            <v>183</v>
          </cell>
          <cell r="S520">
            <v>205</v>
          </cell>
          <cell r="T520">
            <v>110</v>
          </cell>
        </row>
        <row r="521">
          <cell r="Q521" t="str">
            <v>GD Armoured Vehicles P&amp;L ($MM)</v>
          </cell>
        </row>
        <row r="522">
          <cell r="P522" t="str">
            <v xml:space="preserve"> </v>
          </cell>
        </row>
        <row r="523">
          <cell r="O523" t="str">
            <v>1986</v>
          </cell>
          <cell r="P523" t="str">
            <v>1987</v>
          </cell>
          <cell r="Q523" t="str">
            <v>1988</v>
          </cell>
          <cell r="R523" t="str">
            <v>1989</v>
          </cell>
          <cell r="S523" t="str">
            <v>1990</v>
          </cell>
          <cell r="T523" t="str">
            <v>1991</v>
          </cell>
          <cell r="U523" t="str">
            <v>1995E</v>
          </cell>
        </row>
        <row r="524">
          <cell r="M524" t="str">
            <v>U.S. M-1</v>
          </cell>
          <cell r="O524">
            <v>700</v>
          </cell>
          <cell r="P524">
            <v>875</v>
          </cell>
          <cell r="Q524">
            <v>825</v>
          </cell>
          <cell r="R524">
            <v>790</v>
          </cell>
          <cell r="S524">
            <v>750</v>
          </cell>
          <cell r="T524">
            <v>756.00000000000011</v>
          </cell>
          <cell r="U524">
            <v>250</v>
          </cell>
          <cell r="V524" t="str">
            <v>1996E</v>
          </cell>
          <cell r="W524" t="str">
            <v>1997E</v>
          </cell>
          <cell r="X524" t="str">
            <v>Assumptions</v>
          </cell>
        </row>
        <row r="525">
          <cell r="M525" t="str">
            <v>Foreign,etc.</v>
          </cell>
          <cell r="O525">
            <v>428</v>
          </cell>
          <cell r="P525">
            <v>168</v>
          </cell>
          <cell r="Q525">
            <v>176</v>
          </cell>
          <cell r="R525">
            <v>199</v>
          </cell>
          <cell r="S525">
            <v>257</v>
          </cell>
          <cell r="T525">
            <v>299</v>
          </cell>
          <cell r="U525">
            <v>309.40000000000003</v>
          </cell>
          <cell r="V525">
            <v>275</v>
          </cell>
          <cell r="W525">
            <v>275</v>
          </cell>
          <cell r="X525" t="str">
            <v>Dels off/upgtrades</v>
          </cell>
        </row>
        <row r="526">
          <cell r="M526" t="str">
            <v>Service,spares</v>
          </cell>
          <cell r="R526">
            <v>96</v>
          </cell>
          <cell r="S526">
            <v>81</v>
          </cell>
          <cell r="T526">
            <v>92</v>
          </cell>
          <cell r="U526">
            <v>526</v>
          </cell>
          <cell r="V526">
            <v>117</v>
          </cell>
          <cell r="W526">
            <v>71.5</v>
          </cell>
          <cell r="X526" t="str">
            <v>-Egypt/Saudi up</v>
          </cell>
        </row>
        <row r="527">
          <cell r="M527" t="str">
            <v xml:space="preserve"> Total Revs</v>
          </cell>
          <cell r="O527">
            <v>1128</v>
          </cell>
          <cell r="P527">
            <v>1043</v>
          </cell>
          <cell r="Q527">
            <v>1001</v>
          </cell>
          <cell r="R527">
            <v>1085</v>
          </cell>
          <cell r="S527">
            <v>1088</v>
          </cell>
          <cell r="T527">
            <v>1147</v>
          </cell>
          <cell r="U527">
            <v>1085.4000000000001</v>
          </cell>
          <cell r="V527">
            <v>528</v>
          </cell>
          <cell r="W527">
            <v>528</v>
          </cell>
        </row>
        <row r="528">
          <cell r="M528" t="str">
            <v>Adj. Op Prof.</v>
          </cell>
          <cell r="O528">
            <v>86</v>
          </cell>
          <cell r="P528">
            <v>72</v>
          </cell>
          <cell r="Q528">
            <v>74</v>
          </cell>
          <cell r="R528">
            <v>114</v>
          </cell>
          <cell r="S528">
            <v>102</v>
          </cell>
          <cell r="T528">
            <v>103</v>
          </cell>
          <cell r="U528">
            <v>160</v>
          </cell>
          <cell r="V528">
            <v>920</v>
          </cell>
          <cell r="W528">
            <v>874.5</v>
          </cell>
        </row>
        <row r="529">
          <cell r="M529" t="str">
            <v xml:space="preserve">  %Sales</v>
          </cell>
          <cell r="O529">
            <v>7.6241134751773049E-2</v>
          </cell>
          <cell r="P529">
            <v>6.9031639501438161E-2</v>
          </cell>
          <cell r="Q529">
            <v>7.3926073926073921E-2</v>
          </cell>
          <cell r="R529">
            <v>0.10506912442396313</v>
          </cell>
          <cell r="S529">
            <v>9.375E-2</v>
          </cell>
          <cell r="T529">
            <v>8.979947689625109E-2</v>
          </cell>
          <cell r="U529">
            <v>0.14741109268472452</v>
          </cell>
          <cell r="V529">
            <v>140</v>
          </cell>
          <cell r="W529">
            <v>140</v>
          </cell>
        </row>
        <row r="530">
          <cell r="M530" t="str">
            <v>G/W Amort</v>
          </cell>
          <cell r="O530">
            <v>-34</v>
          </cell>
          <cell r="P530">
            <v>-43</v>
          </cell>
          <cell r="Q530">
            <v>-35.325000000000003</v>
          </cell>
          <cell r="R530">
            <v>-32</v>
          </cell>
          <cell r="S530">
            <v>-30</v>
          </cell>
          <cell r="T530">
            <v>-2</v>
          </cell>
          <cell r="U530" t="str">
            <v xml:space="preserve"> </v>
          </cell>
          <cell r="V530">
            <v>0.15217391304347827</v>
          </cell>
          <cell r="W530">
            <v>0.16009148084619781</v>
          </cell>
          <cell r="X530" t="str">
            <v>-Favor. mix shift</v>
          </cell>
        </row>
        <row r="531">
          <cell r="M531" t="str">
            <v>Op. Profit</v>
          </cell>
          <cell r="O531">
            <v>52</v>
          </cell>
          <cell r="P531">
            <v>29</v>
          </cell>
          <cell r="Q531">
            <v>38.674999999999997</v>
          </cell>
          <cell r="R531">
            <v>82</v>
          </cell>
          <cell r="S531">
            <v>72</v>
          </cell>
          <cell r="T531">
            <v>101</v>
          </cell>
          <cell r="U531">
            <v>145</v>
          </cell>
        </row>
        <row r="532">
          <cell r="M532" t="str">
            <v xml:space="preserve">  %Sales</v>
          </cell>
          <cell r="O532">
            <v>4.6099290780141841E-2</v>
          </cell>
          <cell r="P532">
            <v>2.7804410354745925E-2</v>
          </cell>
          <cell r="Q532">
            <v>3.8636363636363635E-2</v>
          </cell>
          <cell r="R532">
            <v>7.5576036866359442E-2</v>
          </cell>
          <cell r="S532">
            <v>6.6176470588235295E-2</v>
          </cell>
          <cell r="T532">
            <v>8.8055797733217089E-2</v>
          </cell>
          <cell r="U532">
            <v>0.1335913027455316</v>
          </cell>
          <cell r="V532">
            <v>140</v>
          </cell>
          <cell r="W532">
            <v>140</v>
          </cell>
          <cell r="X532" t="str">
            <v xml:space="preserve"> </v>
          </cell>
        </row>
        <row r="533">
          <cell r="M533" t="str">
            <v>M-1 Delivs</v>
          </cell>
          <cell r="V533">
            <v>0.15217391304347827</v>
          </cell>
          <cell r="W533">
            <v>0.16009148084619781</v>
          </cell>
        </row>
        <row r="534">
          <cell r="M534" t="str">
            <v xml:space="preserve"> U.S.</v>
          </cell>
          <cell r="O534">
            <v>755</v>
          </cell>
          <cell r="P534">
            <v>947</v>
          </cell>
          <cell r="Q534">
            <v>785</v>
          </cell>
          <cell r="R534">
            <v>720</v>
          </cell>
          <cell r="S534">
            <v>718</v>
          </cell>
          <cell r="T534">
            <v>630</v>
          </cell>
          <cell r="U534" t="str">
            <v xml:space="preserve"> </v>
          </cell>
        </row>
        <row r="535">
          <cell r="M535" t="str">
            <v>U.S. M1A2 Upgrades</v>
          </cell>
          <cell r="U535">
            <v>110</v>
          </cell>
          <cell r="V535" t="str">
            <v xml:space="preserve"> </v>
          </cell>
          <cell r="X535" t="str">
            <v>-Ex prop. HASC add-on for 60</v>
          </cell>
        </row>
        <row r="536">
          <cell r="M536" t="str">
            <v xml:space="preserve"> Saudi (315)</v>
          </cell>
          <cell r="U536" t="str">
            <v xml:space="preserve"> </v>
          </cell>
          <cell r="V536">
            <v>112</v>
          </cell>
          <cell r="W536">
            <v>119</v>
          </cell>
        </row>
        <row r="537">
          <cell r="M537" t="str">
            <v>Kuwait (218)</v>
          </cell>
          <cell r="U537">
            <v>137</v>
          </cell>
          <cell r="V537" t="str">
            <v xml:space="preserve"> </v>
          </cell>
          <cell r="X537" t="str">
            <v>-315 approved/ex 150 request</v>
          </cell>
        </row>
        <row r="538">
          <cell r="M538" t="str">
            <v xml:space="preserve"> Egypt co-prodn</v>
          </cell>
          <cell r="T538">
            <v>19</v>
          </cell>
          <cell r="U538">
            <v>101</v>
          </cell>
          <cell r="V538" t="str">
            <v xml:space="preserve"> </v>
          </cell>
        </row>
        <row r="539">
          <cell r="M539" t="str">
            <v>Other FMS</v>
          </cell>
          <cell r="V539">
            <v>90</v>
          </cell>
          <cell r="W539">
            <v>0</v>
          </cell>
          <cell r="X539" t="str">
            <v xml:space="preserve"> </v>
          </cell>
        </row>
        <row r="540">
          <cell r="M540" t="str">
            <v>Total</v>
          </cell>
          <cell r="T540">
            <v>649</v>
          </cell>
          <cell r="U540">
            <v>348</v>
          </cell>
          <cell r="V540" t="str">
            <v xml:space="preserve"> </v>
          </cell>
          <cell r="W540">
            <v>55</v>
          </cell>
          <cell r="X540" t="str">
            <v>-Saudi-150 or Kuwait</v>
          </cell>
        </row>
        <row r="541">
          <cell r="M541" t="str">
            <v>SINCGARS</v>
          </cell>
          <cell r="U541">
            <v>13013</v>
          </cell>
          <cell r="V541">
            <v>202</v>
          </cell>
          <cell r="W541">
            <v>174</v>
          </cell>
        </row>
        <row r="542">
          <cell r="V542">
            <v>10400</v>
          </cell>
          <cell r="W542">
            <v>10264</v>
          </cell>
        </row>
        <row r="544">
          <cell r="M544" t="str">
            <v>Marine</v>
          </cell>
          <cell r="N544" t="str">
            <v>% Total Revs</v>
          </cell>
        </row>
        <row r="546">
          <cell r="M546">
            <v>1995</v>
          </cell>
          <cell r="N546">
            <v>1996</v>
          </cell>
          <cell r="O546">
            <v>1997</v>
          </cell>
          <cell r="P546">
            <v>1998</v>
          </cell>
        </row>
        <row r="547">
          <cell r="L547" t="str">
            <v>Trident</v>
          </cell>
          <cell r="M547">
            <v>0.13368112161721551</v>
          </cell>
          <cell r="N547">
            <v>9.0782122905027934E-2</v>
          </cell>
          <cell r="O547">
            <v>2.4618414574101428E-2</v>
          </cell>
          <cell r="P547">
            <v>1.5524241700501552E-2</v>
          </cell>
        </row>
        <row r="548">
          <cell r="L548" t="str">
            <v>SSN-688</v>
          </cell>
          <cell r="M548">
            <v>3.2605151613955004E-2</v>
          </cell>
          <cell r="N548">
            <v>8.3798882681564244E-3</v>
          </cell>
          <cell r="O548">
            <v>0</v>
          </cell>
          <cell r="P548">
            <v>0</v>
          </cell>
        </row>
        <row r="549">
          <cell r="L549" t="str">
            <v>Seawolf</v>
          </cell>
          <cell r="M549">
            <v>0.15487447016628628</v>
          </cell>
          <cell r="N549">
            <v>0.14804469273743018</v>
          </cell>
          <cell r="O549">
            <v>0.137863121614968</v>
          </cell>
          <cell r="P549">
            <v>0.14330069262001432</v>
          </cell>
        </row>
        <row r="550">
          <cell r="L550" t="str">
            <v>New Attack Sub</v>
          </cell>
          <cell r="M550">
            <v>0.16791653081186828</v>
          </cell>
          <cell r="N550">
            <v>0.15558659217877094</v>
          </cell>
          <cell r="O550">
            <v>0.15263417035942886</v>
          </cell>
          <cell r="P550">
            <v>0.1719608311440172</v>
          </cell>
        </row>
        <row r="551">
          <cell r="L551" t="str">
            <v>DDG-51</v>
          </cell>
          <cell r="M551">
            <v>9.9445712422562768E-2</v>
          </cell>
          <cell r="N551">
            <v>0.21787709497206703</v>
          </cell>
          <cell r="O551">
            <v>0.19694731659281142</v>
          </cell>
          <cell r="P551">
            <v>0.20062096966802007</v>
          </cell>
        </row>
        <row r="552">
          <cell r="L552" t="str">
            <v>Amsea</v>
          </cell>
          <cell r="M552">
            <v>2.2497554613628953E-2</v>
          </cell>
          <cell r="N552">
            <v>2.3743016759776536E-2</v>
          </cell>
          <cell r="O552">
            <v>2.3387493845396356E-2</v>
          </cell>
          <cell r="P552">
            <v>2.4122283257702413E-2</v>
          </cell>
        </row>
        <row r="553">
          <cell r="L553" t="str">
            <v>Other</v>
          </cell>
          <cell r="M553">
            <v>3.2605151613955006E-3</v>
          </cell>
          <cell r="N553">
            <v>6.9832402234636867E-3</v>
          </cell>
          <cell r="O553">
            <v>2.6095519448547513E-2</v>
          </cell>
          <cell r="P553">
            <v>7.0456173871507044E-2</v>
          </cell>
        </row>
        <row r="554">
          <cell r="L554" t="str">
            <v>Marine % Total GD</v>
          </cell>
          <cell r="M554">
            <v>0.61428105640691233</v>
          </cell>
          <cell r="N554">
            <v>0.65139664804469277</v>
          </cell>
          <cell r="O554">
            <v>0.56893156080748397</v>
          </cell>
          <cell r="P554">
            <v>0.63673274420826365</v>
          </cell>
        </row>
        <row r="557">
          <cell r="T557" t="str">
            <v>2004 EPS Actual vs. Expected - Nominal</v>
          </cell>
        </row>
        <row r="559">
          <cell r="U559" t="str">
            <v>Actual</v>
          </cell>
          <cell r="V559" t="str">
            <v>Expected</v>
          </cell>
          <cell r="W559" t="str">
            <v>Variance</v>
          </cell>
        </row>
        <row r="560">
          <cell r="T560" t="str">
            <v>EPS from Cont'g. Ops</v>
          </cell>
          <cell r="U560">
            <v>5.97</v>
          </cell>
          <cell r="V560">
            <v>6.1</v>
          </cell>
          <cell r="W560">
            <v>-0.12999999999999989</v>
          </cell>
        </row>
        <row r="561">
          <cell r="T561" t="str">
            <v>add EPS from 2Q04 Discont'g. Ops</v>
          </cell>
          <cell r="U561">
            <v>0.02</v>
          </cell>
          <cell r="V561">
            <v>0.02</v>
          </cell>
          <cell r="W561">
            <v>0</v>
          </cell>
        </row>
        <row r="562">
          <cell r="T562" t="str">
            <v>add EPS from Other Discont'g. Ops</v>
          </cell>
          <cell r="U562">
            <v>0.1</v>
          </cell>
          <cell r="V562" t="str">
            <v>NA</v>
          </cell>
          <cell r="W562">
            <v>0.1</v>
          </cell>
        </row>
        <row r="563">
          <cell r="T563" t="str">
            <v>EPS Reported</v>
          </cell>
          <cell r="U563">
            <v>6.089999999999999</v>
          </cell>
          <cell r="V563">
            <v>6.12</v>
          </cell>
          <cell r="W563">
            <v>-3.0000000000001137E-2</v>
          </cell>
        </row>
        <row r="565">
          <cell r="T565" t="str">
            <v>2004 EPS Actual vs. Expected - Impact of Divest &amp; Marine Charge</v>
          </cell>
        </row>
        <row r="567">
          <cell r="U567" t="str">
            <v>Actual</v>
          </cell>
          <cell r="V567" t="str">
            <v>Expected</v>
          </cell>
          <cell r="W567" t="str">
            <v>Variance</v>
          </cell>
        </row>
        <row r="568">
          <cell r="T568" t="str">
            <v>EPS from Cont'g. Ops</v>
          </cell>
          <cell r="U568">
            <v>5.97</v>
          </cell>
          <cell r="V568">
            <v>6.1</v>
          </cell>
          <cell r="W568">
            <v>-0.12999999999999989</v>
          </cell>
        </row>
        <row r="569">
          <cell r="T569" t="str">
            <v>add EPS from Other (non-2Q04) Discont'g. Ops</v>
          </cell>
          <cell r="U569">
            <v>0.1</v>
          </cell>
          <cell r="V569" t="str">
            <v>NA</v>
          </cell>
          <cell r="W569">
            <v>0.1</v>
          </cell>
        </row>
        <row r="570">
          <cell r="T570" t="str">
            <v>EPS After Divest</v>
          </cell>
          <cell r="U570">
            <v>6.0699999999999994</v>
          </cell>
          <cell r="V570">
            <v>6.1</v>
          </cell>
          <cell r="W570">
            <v>-3.0000000000000249E-2</v>
          </cell>
        </row>
        <row r="571">
          <cell r="T571" t="str">
            <v>add EPS 4Q04 Marine Charge ($19MM pretax)</v>
          </cell>
          <cell r="U571">
            <v>0.06</v>
          </cell>
          <cell r="V571" t="str">
            <v>NA</v>
          </cell>
          <cell r="W571">
            <v>0.06</v>
          </cell>
        </row>
        <row r="572">
          <cell r="T572" t="str">
            <v>Earnings Power</v>
          </cell>
          <cell r="U572">
            <v>6.129999999999999</v>
          </cell>
          <cell r="V572">
            <v>6.1</v>
          </cell>
          <cell r="W572">
            <v>2.9999999999999361E-2</v>
          </cell>
        </row>
        <row r="576">
          <cell r="U576" t="str">
            <v>2004A</v>
          </cell>
          <cell r="V576" t="str">
            <v>2005E</v>
          </cell>
          <cell r="W576" t="str">
            <v>2006E</v>
          </cell>
        </row>
        <row r="577">
          <cell r="T577" t="str">
            <v>EPS</v>
          </cell>
          <cell r="U577">
            <v>3.0178639677962145</v>
          </cell>
          <cell r="V577">
            <v>3.6087618069003673</v>
          </cell>
          <cell r="W577">
            <v>4.5624385447394298</v>
          </cell>
        </row>
        <row r="578">
          <cell r="T578" t="str">
            <v>Divestitures</v>
          </cell>
          <cell r="V578">
            <v>-0.12</v>
          </cell>
          <cell r="W578">
            <v>-0.12</v>
          </cell>
        </row>
        <row r="579">
          <cell r="T579" t="str">
            <v>New EPS</v>
          </cell>
          <cell r="V579" t="str">
            <v>6.73*</v>
          </cell>
          <cell r="W579" t="str">
            <v>7.58*</v>
          </cell>
        </row>
        <row r="580">
          <cell r="T580" t="str">
            <v>Stock option expsne</v>
          </cell>
          <cell r="V580">
            <v>-0.12</v>
          </cell>
          <cell r="W580">
            <v>-0.12</v>
          </cell>
        </row>
        <row r="581">
          <cell r="T581" t="str">
            <v>Possible Net New EPS</v>
          </cell>
          <cell r="V581">
            <v>6.61</v>
          </cell>
          <cell r="W581">
            <v>7.46</v>
          </cell>
        </row>
        <row r="583">
          <cell r="T583" t="str">
            <v>* Will change EPS after divestitures close</v>
          </cell>
        </row>
        <row r="592">
          <cell r="T592" t="str">
            <v>Gulfstream Deliveries (Green)</v>
          </cell>
        </row>
        <row r="594">
          <cell r="V594">
            <v>2003</v>
          </cell>
          <cell r="W594">
            <v>2004</v>
          </cell>
          <cell r="X594">
            <v>2005</v>
          </cell>
          <cell r="Y594" t="str">
            <v>2006A</v>
          </cell>
          <cell r="Z594" t="str">
            <v>2007E</v>
          </cell>
          <cell r="AA594" t="str">
            <v>2008E</v>
          </cell>
        </row>
        <row r="595">
          <cell r="T595" t="str">
            <v>Large Cabin Aircraft</v>
          </cell>
          <cell r="V595">
            <v>50</v>
          </cell>
          <cell r="W595">
            <v>56</v>
          </cell>
          <cell r="X595">
            <v>63</v>
          </cell>
          <cell r="Y595">
            <v>71</v>
          </cell>
          <cell r="Z595">
            <v>79</v>
          </cell>
          <cell r="AA595">
            <v>87</v>
          </cell>
        </row>
        <row r="596">
          <cell r="T596" t="str">
            <v>Midsize Aircraft</v>
          </cell>
          <cell r="V596">
            <v>24</v>
          </cell>
          <cell r="W596">
            <v>22</v>
          </cell>
          <cell r="X596">
            <v>26</v>
          </cell>
          <cell r="Y596">
            <v>42</v>
          </cell>
          <cell r="Z596">
            <v>59</v>
          </cell>
          <cell r="AA596">
            <v>69</v>
          </cell>
        </row>
        <row r="597">
          <cell r="T597" t="str">
            <v>Total</v>
          </cell>
          <cell r="V597">
            <v>74</v>
          </cell>
          <cell r="W597">
            <v>78</v>
          </cell>
          <cell r="X597">
            <v>89</v>
          </cell>
          <cell r="Y597">
            <v>113</v>
          </cell>
          <cell r="Z597">
            <v>138</v>
          </cell>
          <cell r="AA597">
            <v>156</v>
          </cell>
        </row>
        <row r="602">
          <cell r="T602" t="str">
            <v>EPS Changes</v>
          </cell>
        </row>
        <row r="603">
          <cell r="V603" t="str">
            <v>2006E</v>
          </cell>
          <cell r="W603" t="str">
            <v>2007E</v>
          </cell>
          <cell r="X603" t="str">
            <v>2008E</v>
          </cell>
        </row>
        <row r="604">
          <cell r="T604" t="str">
            <v>Prior EPS from Ops</v>
          </cell>
          <cell r="V604">
            <v>8.35</v>
          </cell>
          <cell r="W604">
            <v>9.1999999999999993</v>
          </cell>
          <cell r="X604" t="str">
            <v xml:space="preserve">NA </v>
          </cell>
        </row>
        <row r="606">
          <cell r="T606" t="str">
            <v>Current EPS from Ops</v>
          </cell>
          <cell r="V606">
            <v>8.1300000000000008</v>
          </cell>
          <cell r="W606">
            <v>8.86</v>
          </cell>
          <cell r="X606">
            <v>9.6199999999999992</v>
          </cell>
        </row>
        <row r="607">
          <cell r="T607" t="str">
            <v>ex FAS123R Stock Op</v>
          </cell>
          <cell r="V607">
            <v>-0.18</v>
          </cell>
          <cell r="W607">
            <v>-0.18</v>
          </cell>
          <cell r="X607">
            <v>-0.18</v>
          </cell>
        </row>
        <row r="608">
          <cell r="T608" t="str">
            <v>EPS Est</v>
          </cell>
          <cell r="V608">
            <v>7.9500000000000011</v>
          </cell>
          <cell r="W608">
            <v>8.68</v>
          </cell>
          <cell r="X608">
            <v>9.44</v>
          </cell>
        </row>
      </sheetData>
      <sheetData sheetId="11">
        <row r="2">
          <cell r="A2" t="str">
            <v>General Dynamics</v>
          </cell>
        </row>
        <row r="3">
          <cell r="A3" t="str">
            <v>Discounted Cash Flow Analysis</v>
          </cell>
        </row>
        <row r="4">
          <cell r="A4" t="str">
            <v>($USD Millions)</v>
          </cell>
          <cell r="B4" t="str">
            <v>Est. Period</v>
          </cell>
          <cell r="E4" t="str">
            <v>Out Years</v>
          </cell>
          <cell r="N4" t="str">
            <v>Terminal</v>
          </cell>
        </row>
        <row r="5">
          <cell r="B5">
            <v>2008</v>
          </cell>
          <cell r="C5">
            <v>2009</v>
          </cell>
          <cell r="D5">
            <v>2010</v>
          </cell>
          <cell r="E5">
            <v>2011</v>
          </cell>
          <cell r="F5">
            <v>2012</v>
          </cell>
          <cell r="G5">
            <v>2013</v>
          </cell>
          <cell r="H5">
            <v>2014</v>
          </cell>
          <cell r="I5">
            <v>2015</v>
          </cell>
          <cell r="J5">
            <v>2016</v>
          </cell>
          <cell r="K5">
            <v>2017</v>
          </cell>
          <cell r="L5">
            <v>2018</v>
          </cell>
          <cell r="M5">
            <v>2019</v>
          </cell>
          <cell r="N5" t="str">
            <v>Value</v>
          </cell>
        </row>
        <row r="6">
          <cell r="R6" t="str">
            <v>DCF Operating Inputs</v>
          </cell>
        </row>
        <row r="7">
          <cell r="A7" t="str">
            <v>Operating Earnings</v>
          </cell>
          <cell r="B7">
            <v>3653</v>
          </cell>
          <cell r="C7">
            <v>3585.0249999999996</v>
          </cell>
          <cell r="D7">
            <v>3652.41</v>
          </cell>
          <cell r="E7">
            <v>3761.9823000000001</v>
          </cell>
          <cell r="F7">
            <v>3874.8417690000001</v>
          </cell>
          <cell r="G7">
            <v>3991.0870220700003</v>
          </cell>
          <cell r="H7">
            <v>4110.8196327321002</v>
          </cell>
          <cell r="I7">
            <v>4234.144221714063</v>
          </cell>
          <cell r="J7">
            <v>4361.1685483654846</v>
          </cell>
          <cell r="K7">
            <v>4492.0036048164493</v>
          </cell>
          <cell r="L7">
            <v>4626.7637129609429</v>
          </cell>
          <cell r="M7">
            <v>4765.5666243497717</v>
          </cell>
          <cell r="R7">
            <v>0.03</v>
          </cell>
          <cell r="S7" t="str">
            <v>EBIT Growth out years</v>
          </cell>
        </row>
        <row r="8">
          <cell r="A8" t="str">
            <v>Minority Interest</v>
          </cell>
          <cell r="B8">
            <v>0</v>
          </cell>
          <cell r="C8">
            <v>0</v>
          </cell>
          <cell r="D8">
            <v>0</v>
          </cell>
          <cell r="E8">
            <v>0</v>
          </cell>
          <cell r="F8">
            <v>0</v>
          </cell>
          <cell r="G8">
            <v>0</v>
          </cell>
          <cell r="H8">
            <v>0</v>
          </cell>
          <cell r="I8">
            <v>0</v>
          </cell>
          <cell r="J8">
            <v>0</v>
          </cell>
          <cell r="K8">
            <v>0</v>
          </cell>
          <cell r="L8">
            <v>0</v>
          </cell>
          <cell r="M8">
            <v>0</v>
          </cell>
          <cell r="R8">
            <v>0.03</v>
          </cell>
          <cell r="S8" t="str">
            <v>Minority Int. growth out years</v>
          </cell>
        </row>
        <row r="10">
          <cell r="A10" t="str">
            <v>Income Taxes</v>
          </cell>
          <cell r="B10">
            <v>1161</v>
          </cell>
          <cell r="C10">
            <v>1082.3801768799999</v>
          </cell>
          <cell r="D10">
            <v>1113.7496046554852</v>
          </cell>
          <cell r="E10">
            <v>1147.1620927951499</v>
          </cell>
          <cell r="F10">
            <v>1181.5769555790043</v>
          </cell>
          <cell r="G10">
            <v>1217.0242642463745</v>
          </cell>
          <cell r="H10">
            <v>1253.5349921737659</v>
          </cell>
          <cell r="I10">
            <v>1291.1410419389788</v>
          </cell>
          <cell r="J10">
            <v>1329.8752731971481</v>
          </cell>
          <cell r="K10">
            <v>1369.7715313930626</v>
          </cell>
          <cell r="L10">
            <v>1410.8646773348544</v>
          </cell>
          <cell r="M10">
            <v>1453.1906176549001</v>
          </cell>
          <cell r="R10">
            <v>0.03</v>
          </cell>
          <cell r="S10" t="str">
            <v>growth in taxes</v>
          </cell>
        </row>
        <row r="11">
          <cell r="A11" t="str">
            <v xml:space="preserve">+ Net Tax Shield </v>
          </cell>
          <cell r="B11">
            <v>21.261376248612653</v>
          </cell>
          <cell r="C11">
            <v>47.130093120000005</v>
          </cell>
          <cell r="D11">
            <v>40.411955344514922</v>
          </cell>
          <cell r="E11">
            <v>41.624314004850369</v>
          </cell>
          <cell r="F11">
            <v>42.873043424995885</v>
          </cell>
          <cell r="G11">
            <v>44.159234727745762</v>
          </cell>
          <cell r="H11">
            <v>45.484011769578139</v>
          </cell>
          <cell r="I11">
            <v>46.848532122665482</v>
          </cell>
          <cell r="J11">
            <v>48.253988086345444</v>
          </cell>
          <cell r="K11">
            <v>49.701607728935812</v>
          </cell>
          <cell r="L11">
            <v>51.19265596080389</v>
          </cell>
          <cell r="M11">
            <v>52.72843563962801</v>
          </cell>
          <cell r="R11">
            <v>0.03</v>
          </cell>
          <cell r="S11" t="str">
            <v>growth in tax shield</v>
          </cell>
        </row>
        <row r="12">
          <cell r="A12" t="str">
            <v>=Taxes on EBIT</v>
          </cell>
          <cell r="B12">
            <v>1182.2613762486126</v>
          </cell>
          <cell r="C12">
            <v>1129.51027</v>
          </cell>
          <cell r="D12">
            <v>1154.16156</v>
          </cell>
          <cell r="E12">
            <v>1188.7864068000003</v>
          </cell>
          <cell r="F12">
            <v>1224.4499990040001</v>
          </cell>
          <cell r="G12">
            <v>1261.1834989741203</v>
          </cell>
          <cell r="H12">
            <v>1299.0190039433439</v>
          </cell>
          <cell r="I12">
            <v>1337.9895740616444</v>
          </cell>
          <cell r="J12">
            <v>1378.1292612834936</v>
          </cell>
          <cell r="K12">
            <v>1419.4731391219984</v>
          </cell>
          <cell r="L12">
            <v>1462.0573332956583</v>
          </cell>
          <cell r="M12">
            <v>1505.9190532945281</v>
          </cell>
        </row>
        <row r="13">
          <cell r="A13" t="str">
            <v xml:space="preserve">+ Increase in Deferred Taxes </v>
          </cell>
          <cell r="B13">
            <v>196</v>
          </cell>
          <cell r="C13">
            <v>0</v>
          </cell>
          <cell r="D13">
            <v>0</v>
          </cell>
          <cell r="E13">
            <v>0</v>
          </cell>
          <cell r="F13">
            <v>0</v>
          </cell>
          <cell r="G13">
            <v>0</v>
          </cell>
          <cell r="H13">
            <v>0</v>
          </cell>
          <cell r="I13">
            <v>0</v>
          </cell>
          <cell r="J13">
            <v>0</v>
          </cell>
          <cell r="K13">
            <v>0</v>
          </cell>
          <cell r="L13">
            <v>0</v>
          </cell>
          <cell r="M13">
            <v>0</v>
          </cell>
          <cell r="R13">
            <v>0.03</v>
          </cell>
          <cell r="S13" t="str">
            <v>growth in deferred taxes</v>
          </cell>
        </row>
        <row r="15">
          <cell r="A15" t="str">
            <v>NOPLAT</v>
          </cell>
          <cell r="B15">
            <v>2666.7386237513874</v>
          </cell>
          <cell r="C15">
            <v>2455.5147299999999</v>
          </cell>
          <cell r="D15">
            <v>2498.2484399999998</v>
          </cell>
          <cell r="E15">
            <v>2573.1958931999998</v>
          </cell>
          <cell r="F15">
            <v>2650.3917699960002</v>
          </cell>
          <cell r="G15">
            <v>2729.9035230958798</v>
          </cell>
          <cell r="H15">
            <v>2811.8006287887565</v>
          </cell>
          <cell r="I15">
            <v>2896.1546476524186</v>
          </cell>
          <cell r="J15">
            <v>2983.039287081991</v>
          </cell>
          <cell r="K15">
            <v>3072.5304656944509</v>
          </cell>
          <cell r="L15">
            <v>3164.7063796652847</v>
          </cell>
          <cell r="M15">
            <v>3259.6475710552436</v>
          </cell>
        </row>
        <row r="16">
          <cell r="A16" t="str">
            <v>+Depreciation</v>
          </cell>
          <cell r="B16">
            <v>447</v>
          </cell>
          <cell r="C16">
            <v>498.125</v>
          </cell>
          <cell r="D16">
            <v>532.5</v>
          </cell>
          <cell r="E16">
            <v>548.47500000000002</v>
          </cell>
          <cell r="F16">
            <v>564.92925000000002</v>
          </cell>
          <cell r="G16">
            <v>581.87712750000003</v>
          </cell>
          <cell r="H16">
            <v>599.33344132500008</v>
          </cell>
          <cell r="I16">
            <v>617.31344456475006</v>
          </cell>
          <cell r="J16">
            <v>635.83284790169262</v>
          </cell>
          <cell r="K16">
            <v>654.90783333874344</v>
          </cell>
          <cell r="L16">
            <v>674.55506833890581</v>
          </cell>
          <cell r="M16">
            <v>694.79172038907302</v>
          </cell>
          <cell r="R16">
            <v>0.03</v>
          </cell>
          <cell r="S16" t="str">
            <v>growth in depreciation</v>
          </cell>
        </row>
        <row r="17">
          <cell r="A17" t="str">
            <v>Gross Cash Flow</v>
          </cell>
          <cell r="B17">
            <v>3113.7386237513874</v>
          </cell>
          <cell r="C17">
            <v>2953.6397299999999</v>
          </cell>
          <cell r="D17">
            <v>3030.7484399999998</v>
          </cell>
          <cell r="E17">
            <v>3121.6708931999997</v>
          </cell>
          <cell r="F17">
            <v>3215.3210199960004</v>
          </cell>
          <cell r="G17">
            <v>3311.7806505958797</v>
          </cell>
          <cell r="H17">
            <v>3411.1340701137565</v>
          </cell>
          <cell r="I17">
            <v>3513.4680922171688</v>
          </cell>
          <cell r="J17">
            <v>3618.8721349836837</v>
          </cell>
          <cell r="K17">
            <v>3727.4382990331942</v>
          </cell>
          <cell r="L17">
            <v>3839.2614480041902</v>
          </cell>
          <cell r="M17">
            <v>3954.4392914443165</v>
          </cell>
        </row>
        <row r="19">
          <cell r="A19" t="str">
            <v>- CAPEX</v>
          </cell>
          <cell r="B19">
            <v>-490</v>
          </cell>
          <cell r="C19">
            <v>-550</v>
          </cell>
          <cell r="D19">
            <v>-550</v>
          </cell>
          <cell r="E19">
            <v>-566.5</v>
          </cell>
          <cell r="F19">
            <v>-583.495</v>
          </cell>
          <cell r="G19">
            <v>-600.99985000000004</v>
          </cell>
          <cell r="H19">
            <v>-619.02984550000008</v>
          </cell>
          <cell r="I19">
            <v>-637.60074086500015</v>
          </cell>
          <cell r="J19">
            <v>-656.72876309095022</v>
          </cell>
          <cell r="K19">
            <v>-676.43062598367874</v>
          </cell>
          <cell r="L19">
            <v>-696.72354476318912</v>
          </cell>
          <cell r="M19">
            <v>-717.62525110608476</v>
          </cell>
          <cell r="R19">
            <v>0.03</v>
          </cell>
          <cell r="S19" t="str">
            <v>growth in capex out years</v>
          </cell>
        </row>
        <row r="20">
          <cell r="A20" t="str">
            <v>- Increase in WC</v>
          </cell>
          <cell r="B20">
            <v>112</v>
          </cell>
          <cell r="C20">
            <v>779.35571428355559</v>
          </cell>
          <cell r="D20">
            <v>126.39874316709802</v>
          </cell>
          <cell r="E20">
            <v>130.19070546211097</v>
          </cell>
          <cell r="F20">
            <v>134.09642662597429</v>
          </cell>
          <cell r="G20">
            <v>138.11931942475351</v>
          </cell>
          <cell r="H20">
            <v>142.26289900749612</v>
          </cell>
          <cell r="I20">
            <v>146.530785977721</v>
          </cell>
          <cell r="J20">
            <v>150.92670955705262</v>
          </cell>
          <cell r="K20">
            <v>155.45451084376421</v>
          </cell>
          <cell r="L20">
            <v>160.11814616907714</v>
          </cell>
          <cell r="M20">
            <v>164.92169055414945</v>
          </cell>
          <cell r="P20" t="str">
            <v>FCF</v>
          </cell>
          <cell r="R20">
            <v>0.03</v>
          </cell>
          <cell r="S20" t="str">
            <v>growth in WC out years</v>
          </cell>
        </row>
        <row r="21">
          <cell r="P21" t="str">
            <v>CAGR</v>
          </cell>
          <cell r="R21">
            <v>0.01</v>
          </cell>
          <cell r="S21" t="str">
            <v>growth in diluted shares</v>
          </cell>
        </row>
        <row r="22">
          <cell r="A22" t="str">
            <v>Free Cash Flow</v>
          </cell>
          <cell r="B22">
            <v>2735.7386237513874</v>
          </cell>
          <cell r="C22">
            <v>3182.9954442835556</v>
          </cell>
          <cell r="D22">
            <v>2607.1471831670979</v>
          </cell>
          <cell r="E22">
            <v>2685.3615986621107</v>
          </cell>
          <cell r="F22">
            <v>2765.9224466219748</v>
          </cell>
          <cell r="G22">
            <v>2848.900120020633</v>
          </cell>
          <cell r="H22">
            <v>2934.3671236212522</v>
          </cell>
          <cell r="I22">
            <v>3022.3981373298893</v>
          </cell>
          <cell r="J22">
            <v>3113.0700814497864</v>
          </cell>
          <cell r="K22">
            <v>3206.4621838932799</v>
          </cell>
          <cell r="L22">
            <v>3302.6560494100781</v>
          </cell>
          <cell r="M22">
            <v>3401.7357308923811</v>
          </cell>
          <cell r="N22">
            <v>31584.0199825081</v>
          </cell>
          <cell r="P22">
            <v>1.600337835339305E-2</v>
          </cell>
        </row>
        <row r="23">
          <cell r="A23" t="str">
            <v>Present Value of FCF</v>
          </cell>
          <cell r="B23">
            <v>2925.1826936812904</v>
          </cell>
          <cell r="C23">
            <v>3182.9954442835556</v>
          </cell>
          <cell r="D23">
            <v>2438.3000973586277</v>
          </cell>
          <cell r="E23">
            <v>2348.7997245646816</v>
          </cell>
          <cell r="F23">
            <v>2262.5845572050193</v>
          </cell>
          <cell r="G23">
            <v>2179.5340083545957</v>
          </cell>
          <cell r="H23">
            <v>2099.5319173584408</v>
          </cell>
          <cell r="I23">
            <v>2022.4663873607478</v>
          </cell>
          <cell r="J23">
            <v>1948.2296287976412</v>
          </cell>
          <cell r="K23">
            <v>1876.7178086346971</v>
          </cell>
          <cell r="L23">
            <v>1807.8309051383644</v>
          </cell>
          <cell r="M23">
            <v>1741.4725679781532</v>
          </cell>
          <cell r="N23">
            <v>16169.011568568487</v>
          </cell>
          <cell r="R23">
            <v>2009</v>
          </cell>
          <cell r="S23" t="str">
            <v>Year T</v>
          </cell>
        </row>
        <row r="24">
          <cell r="A24" t="str">
            <v>Free Cash Flow Per Share</v>
          </cell>
          <cell r="B24">
            <v>6.8616469118419552</v>
          </cell>
          <cell r="C24">
            <v>8.2670333113556573</v>
          </cell>
          <cell r="D24">
            <v>6.9165611073267232</v>
          </cell>
          <cell r="E24">
            <v>7.0535227134124012</v>
          </cell>
          <cell r="F24">
            <v>7.2651283948147753</v>
          </cell>
          <cell r="G24">
            <v>7.4830822466592153</v>
          </cell>
          <cell r="H24">
            <v>7.7075747140589925</v>
          </cell>
          <cell r="I24">
            <v>7.938801955480761</v>
          </cell>
          <cell r="J24">
            <v>8.1769660141451848</v>
          </cell>
          <cell r="K24">
            <v>8.4222749945695394</v>
          </cell>
          <cell r="L24">
            <v>8.6749432444066255</v>
          </cell>
          <cell r="M24">
            <v>8.9351915417388259</v>
          </cell>
          <cell r="R24">
            <v>2019</v>
          </cell>
          <cell r="S24" t="str">
            <v>Year T+10</v>
          </cell>
        </row>
        <row r="26">
          <cell r="A26" t="str">
            <v>Discount Rate</v>
          </cell>
          <cell r="C26" t="str">
            <v>Comments</v>
          </cell>
          <cell r="J26" t="str">
            <v>DCF Operating Input Assumptions</v>
          </cell>
        </row>
        <row r="27">
          <cell r="J27">
            <v>0.03</v>
          </cell>
          <cell r="K27" t="str">
            <v>EBIT Growth out years</v>
          </cell>
        </row>
        <row r="28">
          <cell r="A28" t="str">
            <v>Cost of Debt</v>
          </cell>
          <cell r="B28">
            <v>0.05</v>
          </cell>
          <cell r="J28">
            <v>0.03</v>
          </cell>
          <cell r="K28" t="str">
            <v>Minority Int. growth out years</v>
          </cell>
        </row>
        <row r="29">
          <cell r="A29" t="str">
            <v>Corporate Tax Rate</v>
          </cell>
          <cell r="B29">
            <v>0.32214206437291898</v>
          </cell>
          <cell r="J29">
            <v>0.03</v>
          </cell>
          <cell r="K29" t="str">
            <v>growth in taxes</v>
          </cell>
        </row>
        <row r="30">
          <cell r="A30" t="str">
            <v>Beta</v>
          </cell>
          <cell r="B30">
            <v>0.86</v>
          </cell>
          <cell r="J30">
            <v>0.03</v>
          </cell>
          <cell r="K30" t="str">
            <v>growth in tax shield</v>
          </cell>
        </row>
        <row r="31">
          <cell r="A31" t="str">
            <v>E(RM)-RF</v>
          </cell>
          <cell r="B31">
            <v>0.04</v>
          </cell>
          <cell r="J31">
            <v>0.03</v>
          </cell>
          <cell r="K31" t="str">
            <v>growth in deferred taxes</v>
          </cell>
        </row>
        <row r="32">
          <cell r="A32" t="str">
            <v>RF</v>
          </cell>
          <cell r="B32">
            <v>0.05</v>
          </cell>
          <cell r="J32">
            <v>0.03</v>
          </cell>
          <cell r="K32" t="str">
            <v>growth in depreciation</v>
          </cell>
        </row>
        <row r="33">
          <cell r="A33" t="str">
            <v>WACC</v>
          </cell>
          <cell r="B33">
            <v>8.4400000000000003E-2</v>
          </cell>
          <cell r="J33">
            <v>0.03</v>
          </cell>
          <cell r="K33" t="str">
            <v>growth in capex out years</v>
          </cell>
        </row>
        <row r="34">
          <cell r="A34" t="str">
            <v>Target Debt ratio</v>
          </cell>
          <cell r="B34">
            <v>0.3</v>
          </cell>
          <cell r="J34">
            <v>0.03</v>
          </cell>
          <cell r="K34" t="str">
            <v>growth in WC out years</v>
          </cell>
        </row>
        <row r="35">
          <cell r="A35" t="str">
            <v>Target Equity ratio</v>
          </cell>
          <cell r="B35">
            <v>0.7</v>
          </cell>
          <cell r="J35">
            <v>0.01</v>
          </cell>
          <cell r="K35" t="str">
            <v>growth in diluted shares</v>
          </cell>
        </row>
        <row r="37">
          <cell r="A37" t="str">
            <v>WACC</v>
          </cell>
          <cell r="B37">
            <v>6.9247869034406218E-2</v>
          </cell>
        </row>
        <row r="38">
          <cell r="A38" t="str">
            <v>Current ROIC</v>
          </cell>
          <cell r="B38">
            <v>0.17374903085286963</v>
          </cell>
        </row>
        <row r="39">
          <cell r="A39" t="str">
            <v>Terminal ROIC</v>
          </cell>
          <cell r="B39">
            <v>0.05</v>
          </cell>
        </row>
        <row r="40">
          <cell r="A40" t="str">
            <v>Growth Rate Yrs. 1-10</v>
          </cell>
          <cell r="B40">
            <v>1.600337835339305E-2</v>
          </cell>
        </row>
        <row r="41">
          <cell r="A41" t="str">
            <v>Terminal Growth Rate</v>
          </cell>
          <cell r="B41">
            <v>3.3000000000000002E-2</v>
          </cell>
          <cell r="C41" t="str">
            <v>- GDP gr range</v>
          </cell>
        </row>
        <row r="44">
          <cell r="A44" t="str">
            <v>DCF Results</v>
          </cell>
          <cell r="C44" t="str">
            <v>Comments</v>
          </cell>
          <cell r="G44" t="str">
            <v>Variance Table</v>
          </cell>
        </row>
        <row r="46">
          <cell r="A46" t="str">
            <v>Sum of DCF</v>
          </cell>
          <cell r="B46">
            <v>40077.474615603016</v>
          </cell>
          <cell r="J46" t="str">
            <v>Terminal ROIC</v>
          </cell>
        </row>
        <row r="47">
          <cell r="A47" t="str">
            <v>% of DCF from Terminal Value</v>
          </cell>
          <cell r="B47">
            <v>0.40344387274026355</v>
          </cell>
        </row>
        <row r="48">
          <cell r="A48" t="str">
            <v>Net Debt</v>
          </cell>
          <cell r="B48">
            <v>2403</v>
          </cell>
          <cell r="C48" t="str">
            <v>- net cash position</v>
          </cell>
          <cell r="H48">
            <v>94.4932897306321</v>
          </cell>
          <cell r="I48">
            <v>4.4999999999999998E-2</v>
          </cell>
          <cell r="J48">
            <v>4.7500000000000001E-2</v>
          </cell>
          <cell r="K48">
            <v>0.05</v>
          </cell>
          <cell r="L48">
            <v>5.2500000000000005E-2</v>
          </cell>
          <cell r="M48">
            <v>5.5000000000000007E-2</v>
          </cell>
        </row>
        <row r="49">
          <cell r="H49">
            <v>2.8000000000000004E-2</v>
          </cell>
          <cell r="I49">
            <v>93.345515456716114</v>
          </cell>
          <cell r="J49">
            <v>96.761563674069805</v>
          </cell>
          <cell r="K49">
            <v>99.836007069688122</v>
          </cell>
          <cell r="L49">
            <v>102.61764633239041</v>
          </cell>
          <cell r="M49">
            <v>105.14640929848339</v>
          </cell>
        </row>
        <row r="50">
          <cell r="A50" t="str">
            <v>Equity Value</v>
          </cell>
          <cell r="B50">
            <v>37674.474615603016</v>
          </cell>
          <cell r="H50">
            <v>3.0500000000000003E-2</v>
          </cell>
          <cell r="I50">
            <v>89.806048940772939</v>
          </cell>
          <cell r="J50">
            <v>93.776815677698565</v>
          </cell>
          <cell r="K50">
            <v>97.350505740931638</v>
          </cell>
          <cell r="L50">
            <v>100.58384436957108</v>
          </cell>
          <cell r="M50">
            <v>103.52324312287966</v>
          </cell>
        </row>
        <row r="51">
          <cell r="A51" t="str">
            <v>Shares Outstanding</v>
          </cell>
          <cell r="B51">
            <v>398.7</v>
          </cell>
          <cell r="H51">
            <v>3.3000000000000002E-2</v>
          </cell>
          <cell r="I51">
            <v>85.746277270811518</v>
          </cell>
          <cell r="J51">
            <v>90.349968039138147</v>
          </cell>
          <cell r="K51">
            <v>94.4932897306321</v>
          </cell>
          <cell r="L51">
            <v>98.242009356269492</v>
          </cell>
          <cell r="M51">
            <v>101.64993628866711</v>
          </cell>
        </row>
        <row r="52">
          <cell r="H52">
            <v>3.5500000000000004E-2</v>
          </cell>
          <cell r="I52">
            <v>81.05056977838413</v>
          </cell>
          <cell r="J52">
            <v>86.382770189944097</v>
          </cell>
          <cell r="K52">
            <v>91.18175056034805</v>
          </cell>
          <cell r="L52">
            <v>95.523685181189748</v>
          </cell>
          <cell r="M52">
            <v>99.470898472864008</v>
          </cell>
        </row>
        <row r="53">
          <cell r="A53" t="str">
            <v>Value Per Share</v>
          </cell>
          <cell r="B53">
            <v>94.4932897306321</v>
          </cell>
          <cell r="H53">
            <v>3.8000000000000006E-2</v>
          </cell>
          <cell r="I53">
            <v>75.566291457780608</v>
          </cell>
          <cell r="J53">
            <v>81.745529235689247</v>
          </cell>
          <cell r="K53">
            <v>87.306843235807037</v>
          </cell>
          <cell r="L53">
            <v>92.338508283532661</v>
          </cell>
          <cell r="M53">
            <v>96.912749236010484</v>
          </cell>
        </row>
        <row r="55">
          <cell r="A55" t="str">
            <v>Current Stock Price</v>
          </cell>
          <cell r="B55">
            <v>81.75</v>
          </cell>
        </row>
        <row r="56">
          <cell r="A56" t="str">
            <v>Potential Appreciation</v>
          </cell>
          <cell r="B56">
            <v>0.15588121994657</v>
          </cell>
        </row>
        <row r="58">
          <cell r="A58" t="str">
            <v>All Data Are Morgan Stanley Research Estimates</v>
          </cell>
        </row>
      </sheetData>
      <sheetData sheetId="12"/>
      <sheetData sheetId="13">
        <row r="1">
          <cell r="A1" t="str">
            <v>RRS-5.01</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row>
        <row r="3">
          <cell r="B3" t="str">
            <v>Step 1: Input or modify the scenario values in blue font (cells C6:C11)
Step 2: Click "Refresh RR Chart" button (incl. data inputs, volume/price history, and last close price)
Step 3: Upload model to Modelware</v>
          </cell>
        </row>
        <row r="4">
          <cell r="B4" t="str">
            <v>Ticker:</v>
          </cell>
          <cell r="C4" t="str">
            <v>GD.N</v>
          </cell>
          <cell r="E4" t="str">
            <v>Company Name:</v>
          </cell>
          <cell r="F4" t="str">
            <v>General Dynamics</v>
          </cell>
          <cell r="I4" t="str">
            <v>Sedol:</v>
          </cell>
          <cell r="J4">
            <v>2365161</v>
          </cell>
          <cell r="K4">
            <v>2365161</v>
          </cell>
        </row>
        <row r="5">
          <cell r="B5" t="str">
            <v xml:space="preserve">Chart Data Inputs (decimal formats will reflect on chart): </v>
          </cell>
          <cell r="H5" t="str">
            <v>Risk Reward Chart Gallery 
(Click on the below image for other Risk-Reward Charts)</v>
          </cell>
        </row>
        <row r="6">
          <cell r="B6" t="str">
            <v>Bull Case</v>
          </cell>
          <cell r="C6">
            <v>65</v>
          </cell>
          <cell r="AA6" t="str">
            <v>mstag:bullCaseValueEstimatePerShare</v>
          </cell>
          <cell r="AB6">
            <v>0</v>
          </cell>
          <cell r="AC6" t="str">
            <v>ISO4217:USD</v>
          </cell>
          <cell r="AD6" t="b">
            <v>0</v>
          </cell>
        </row>
        <row r="7">
          <cell r="B7" t="str">
            <v>Base Case</v>
          </cell>
          <cell r="C7">
            <v>52</v>
          </cell>
          <cell r="AA7" t="str">
            <v>mstag:met_12monthIntrinsicValueEstimate</v>
          </cell>
          <cell r="AB7">
            <v>0</v>
          </cell>
          <cell r="AC7" t="str">
            <v>ISO4217:USD</v>
          </cell>
          <cell r="AD7" t="b">
            <v>0</v>
          </cell>
        </row>
        <row r="8">
          <cell r="B8" t="str">
            <v>Bear Case</v>
          </cell>
          <cell r="C8">
            <v>40</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52</v>
          </cell>
          <cell r="O11" t="b">
            <v>1</v>
          </cell>
        </row>
        <row r="12">
          <cell r="B12" t="str">
            <v>Currency</v>
          </cell>
          <cell r="C12" t="str">
            <v>USD American Dollar</v>
          </cell>
          <cell r="F12">
            <v>0</v>
          </cell>
        </row>
        <row r="13">
          <cell r="B13" t="str">
            <v>Currency Symbol</v>
          </cell>
          <cell r="C13" t="str">
            <v>$</v>
          </cell>
          <cell r="F13">
            <v>0</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39294</v>
          </cell>
          <cell r="E15">
            <v>48</v>
          </cell>
          <cell r="F15" t="str">
            <v>USD</v>
          </cell>
        </row>
        <row r="16">
          <cell r="B16" t="str">
            <v>End Date (+1 Yr)</v>
          </cell>
          <cell r="C16">
            <v>40390</v>
          </cell>
          <cell r="E16" t="str">
            <v>USD</v>
          </cell>
          <cell r="F16" t="str">
            <v>USD</v>
          </cell>
        </row>
        <row r="17">
          <cell r="B17">
            <v>55.39</v>
          </cell>
          <cell r="C17" t="str">
            <v>Hand entert Share Price</v>
          </cell>
          <cell r="H17" t="str">
            <v>2007-FY</v>
          </cell>
        </row>
        <row r="18">
          <cell r="B18" t="b">
            <v>0</v>
          </cell>
          <cell r="C18">
            <v>40025</v>
          </cell>
        </row>
        <row r="19">
          <cell r="C19" t="str">
            <v>2008-FY</v>
          </cell>
        </row>
        <row r="34">
          <cell r="A34" t="str">
            <v>BullCase</v>
          </cell>
        </row>
        <row r="52">
          <cell r="A52">
            <v>40390</v>
          </cell>
          <cell r="B52">
            <v>757</v>
          </cell>
          <cell r="N52" t="str">
            <v>Jul-10</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Price(Jul-10)</v>
          </cell>
          <cell r="K53" t="str">
            <v>Bull Price(Jul-10)</v>
          </cell>
          <cell r="L53" t="str">
            <v>Bear Price(Jul-10)</v>
          </cell>
          <cell r="M53" t="str">
            <v>Extreme Downside Price(Jul-10)</v>
          </cell>
          <cell r="N53" t="str">
            <v>Price Target (Jul-10)</v>
          </cell>
          <cell r="O53" t="str">
            <v>Gray Line</v>
          </cell>
          <cell r="P53" t="str">
            <v>Prices</v>
          </cell>
          <cell r="Q53" t="str">
            <v>Volume</v>
          </cell>
          <cell r="R53" t="str">
            <v>Base Case(Jul-10)</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39294</v>
          </cell>
          <cell r="B54">
            <v>39294</v>
          </cell>
          <cell r="C54" t="str">
            <v>Past</v>
          </cell>
          <cell r="D54">
            <v>78.56</v>
          </cell>
          <cell r="E54" t="e">
            <v>#N/A</v>
          </cell>
          <cell r="F54" t="e">
            <v>#N/A</v>
          </cell>
          <cell r="G54" t="e">
            <v>#N/A</v>
          </cell>
          <cell r="H54" t="e">
            <v>#N/A</v>
          </cell>
          <cell r="I54" t="e">
            <v>#N/A</v>
          </cell>
          <cell r="J54" t="e">
            <v>#N/A</v>
          </cell>
          <cell r="K54" t="e">
            <v>#N/A</v>
          </cell>
          <cell r="L54" t="e">
            <v>#N/A</v>
          </cell>
          <cell r="M54" t="e">
            <v>#N/A</v>
          </cell>
          <cell r="N54" t="e">
            <v>#N/A</v>
          </cell>
          <cell r="O54" t="e">
            <v>#N/A</v>
          </cell>
          <cell r="P54">
            <v>78.56</v>
          </cell>
          <cell r="Q54">
            <v>4.0040000000000004</v>
          </cell>
          <cell r="R54" t="e">
            <v>#N/A</v>
          </cell>
          <cell r="S54" t="str">
            <v>Count</v>
          </cell>
          <cell r="T54">
            <v>757</v>
          </cell>
          <cell r="U54">
            <v>65</v>
          </cell>
          <cell r="AI54" t="str">
            <v>AED UAE Dirham</v>
          </cell>
          <cell r="AJ54" t="str">
            <v>AED</v>
          </cell>
          <cell r="AK54" t="str">
            <v>AED</v>
          </cell>
          <cell r="AL54" t="str">
            <v>AED</v>
          </cell>
          <cell r="AM54">
            <v>0</v>
          </cell>
          <cell r="AN54">
            <v>2</v>
          </cell>
        </row>
        <row r="55">
          <cell r="A55">
            <v>39295</v>
          </cell>
          <cell r="B55">
            <v>39295</v>
          </cell>
          <cell r="C55" t="str">
            <v>Past</v>
          </cell>
          <cell r="D55">
            <v>78.459999999999994</v>
          </cell>
          <cell r="E55" t="e">
            <v>#N/A</v>
          </cell>
          <cell r="F55" t="e">
            <v>#N/A</v>
          </cell>
          <cell r="G55" t="e">
            <v>#N/A</v>
          </cell>
          <cell r="H55" t="e">
            <v>#N/A</v>
          </cell>
          <cell r="I55" t="e">
            <v>#N/A</v>
          </cell>
          <cell r="J55" t="e">
            <v>#N/A</v>
          </cell>
          <cell r="K55" t="e">
            <v>#N/A</v>
          </cell>
          <cell r="L55" t="e">
            <v>#N/A</v>
          </cell>
          <cell r="M55" t="e">
            <v>#N/A</v>
          </cell>
          <cell r="N55" t="e">
            <v>#N/A</v>
          </cell>
          <cell r="O55" t="e">
            <v>#N/A</v>
          </cell>
          <cell r="P55">
            <v>78.459999999999994</v>
          </cell>
          <cell r="Q55">
            <v>2.8416600000000001</v>
          </cell>
          <cell r="R55" t="e">
            <v>#N/A</v>
          </cell>
          <cell r="S55" t="str">
            <v>Curr Price</v>
          </cell>
          <cell r="T55">
            <v>55.39</v>
          </cell>
          <cell r="U55">
            <v>506</v>
          </cell>
          <cell r="V55">
            <v>53.326000000000001</v>
          </cell>
          <cell r="AI55" t="str">
            <v>ARS Argentinian Pesos</v>
          </cell>
          <cell r="AJ55" t="str">
            <v>Ar$</v>
          </cell>
          <cell r="AK55" t="str">
            <v>ARS</v>
          </cell>
          <cell r="AL55" t="str">
            <v>ARS</v>
          </cell>
          <cell r="AM55">
            <v>0</v>
          </cell>
          <cell r="AN55">
            <v>2</v>
          </cell>
        </row>
        <row r="56">
          <cell r="A56">
            <v>39296</v>
          </cell>
          <cell r="B56">
            <v>39296</v>
          </cell>
          <cell r="C56" t="str">
            <v>Past</v>
          </cell>
          <cell r="D56">
            <v>80.319999999999993</v>
          </cell>
          <cell r="E56" t="e">
            <v>#N/A</v>
          </cell>
          <cell r="F56" t="e">
            <v>#N/A</v>
          </cell>
          <cell r="G56" t="e">
            <v>#N/A</v>
          </cell>
          <cell r="H56" t="e">
            <v>#N/A</v>
          </cell>
          <cell r="I56" t="e">
            <v>#N/A</v>
          </cell>
          <cell r="J56" t="e">
            <v>#N/A</v>
          </cell>
          <cell r="K56" t="e">
            <v>#N/A</v>
          </cell>
          <cell r="L56" t="e">
            <v>#N/A</v>
          </cell>
          <cell r="M56" t="e">
            <v>#N/A</v>
          </cell>
          <cell r="N56" t="e">
            <v>#N/A</v>
          </cell>
          <cell r="O56" t="e">
            <v>#N/A</v>
          </cell>
          <cell r="P56">
            <v>80.319999999999993</v>
          </cell>
          <cell r="Q56">
            <v>2.5734779999999997</v>
          </cell>
          <cell r="R56" t="e">
            <v>#N/A</v>
          </cell>
          <cell r="S56" t="str">
            <v>Curr Price Date</v>
          </cell>
          <cell r="T56">
            <v>40025</v>
          </cell>
          <cell r="U56">
            <v>40023.821562500001</v>
          </cell>
          <cell r="AI56" t="str">
            <v>AUD Australian Dollar</v>
          </cell>
          <cell r="AJ56" t="str">
            <v>A$</v>
          </cell>
          <cell r="AK56" t="str">
            <v>AUD</v>
          </cell>
          <cell r="AL56" t="str">
            <v>AUD</v>
          </cell>
          <cell r="AM56">
            <v>0</v>
          </cell>
          <cell r="AN56">
            <v>2</v>
          </cell>
        </row>
        <row r="57">
          <cell r="A57">
            <v>39297</v>
          </cell>
          <cell r="B57">
            <v>39297</v>
          </cell>
          <cell r="C57" t="str">
            <v>Past</v>
          </cell>
          <cell r="D57">
            <v>79.48</v>
          </cell>
          <cell r="E57" t="e">
            <v>#N/A</v>
          </cell>
          <cell r="F57" t="e">
            <v>#N/A</v>
          </cell>
          <cell r="G57" t="e">
            <v>#N/A</v>
          </cell>
          <cell r="H57" t="e">
            <v>#N/A</v>
          </cell>
          <cell r="I57" t="e">
            <v>#N/A</v>
          </cell>
          <cell r="J57" t="e">
            <v>#N/A</v>
          </cell>
          <cell r="K57" t="e">
            <v>#N/A</v>
          </cell>
          <cell r="L57" t="e">
            <v>#N/A</v>
          </cell>
          <cell r="M57" t="e">
            <v>#N/A</v>
          </cell>
          <cell r="N57" t="e">
            <v>#N/A</v>
          </cell>
          <cell r="O57" t="e">
            <v>#N/A</v>
          </cell>
          <cell r="P57">
            <v>79.48</v>
          </cell>
          <cell r="Q57">
            <v>2.2623349999999998</v>
          </cell>
          <cell r="R57" t="e">
            <v>#N/A</v>
          </cell>
          <cell r="S57" t="str">
            <v>Bull-Curr</v>
          </cell>
          <cell r="T57">
            <v>9.61</v>
          </cell>
          <cell r="U57">
            <v>3.8134920634920633E-2</v>
          </cell>
          <cell r="AI57" t="str">
            <v>BGL Bulgarian levs</v>
          </cell>
          <cell r="AJ57" t="str">
            <v>BGL</v>
          </cell>
          <cell r="AK57" t="str">
            <v>BGL</v>
          </cell>
          <cell r="AL57" t="str">
            <v>BGN</v>
          </cell>
          <cell r="AM57">
            <v>0</v>
          </cell>
          <cell r="AN57">
            <v>2</v>
          </cell>
        </row>
        <row r="58">
          <cell r="A58">
            <v>39300</v>
          </cell>
          <cell r="B58">
            <v>39300</v>
          </cell>
          <cell r="C58" t="str">
            <v>Past</v>
          </cell>
          <cell r="D58">
            <v>79.91</v>
          </cell>
          <cell r="E58" t="e">
            <v>#N/A</v>
          </cell>
          <cell r="F58" t="e">
            <v>#N/A</v>
          </cell>
          <cell r="G58" t="e">
            <v>#N/A</v>
          </cell>
          <cell r="H58" t="e">
            <v>#N/A</v>
          </cell>
          <cell r="I58" t="e">
            <v>#N/A</v>
          </cell>
          <cell r="J58" t="e">
            <v>#N/A</v>
          </cell>
          <cell r="K58" t="e">
            <v>#N/A</v>
          </cell>
          <cell r="L58" t="e">
            <v>#N/A</v>
          </cell>
          <cell r="M58" t="e">
            <v>#N/A</v>
          </cell>
          <cell r="N58" t="e">
            <v>#N/A</v>
          </cell>
          <cell r="O58" t="e">
            <v>#N/A</v>
          </cell>
          <cell r="P58">
            <v>79.91</v>
          </cell>
          <cell r="Q58">
            <v>2.98</v>
          </cell>
          <cell r="R58" t="e">
            <v>#N/A</v>
          </cell>
          <cell r="S58" t="str">
            <v>Upp-Cur</v>
          </cell>
          <cell r="T58">
            <v>-55.39</v>
          </cell>
          <cell r="U58">
            <v>-0.2198015873015873</v>
          </cell>
          <cell r="AI58" t="str">
            <v>BMD Bermudan Dollars</v>
          </cell>
          <cell r="AJ58" t="str">
            <v>BMD</v>
          </cell>
          <cell r="AK58" t="str">
            <v>BMD</v>
          </cell>
          <cell r="AL58" t="str">
            <v>BMD</v>
          </cell>
          <cell r="AM58">
            <v>0</v>
          </cell>
          <cell r="AN58">
            <v>2</v>
          </cell>
        </row>
        <row r="59">
          <cell r="A59">
            <v>39301</v>
          </cell>
          <cell r="B59">
            <v>39301</v>
          </cell>
          <cell r="C59" t="str">
            <v>Past</v>
          </cell>
          <cell r="D59">
            <v>78.239999999999995</v>
          </cell>
          <cell r="E59" t="e">
            <v>#N/A</v>
          </cell>
          <cell r="F59" t="e">
            <v>#N/A</v>
          </cell>
          <cell r="G59" t="e">
            <v>#N/A</v>
          </cell>
          <cell r="H59" t="e">
            <v>#N/A</v>
          </cell>
          <cell r="I59" t="e">
            <v>#N/A</v>
          </cell>
          <cell r="J59" t="e">
            <v>#N/A</v>
          </cell>
          <cell r="K59" t="e">
            <v>#N/A</v>
          </cell>
          <cell r="L59" t="e">
            <v>#N/A</v>
          </cell>
          <cell r="M59" t="e">
            <v>#N/A</v>
          </cell>
          <cell r="N59" t="e">
            <v>#N/A</v>
          </cell>
          <cell r="O59" t="e">
            <v>#N/A</v>
          </cell>
          <cell r="P59">
            <v>78.239999999999995</v>
          </cell>
          <cell r="Q59">
            <v>3.4866000000000001</v>
          </cell>
          <cell r="R59" t="e">
            <v>#N/A</v>
          </cell>
          <cell r="S59" t="str">
            <v>Curr-Bear</v>
          </cell>
          <cell r="T59">
            <v>15.39</v>
          </cell>
          <cell r="U59">
            <v>6.1071428571428575E-2</v>
          </cell>
          <cell r="AI59" t="str">
            <v>BRL Brazilian Real</v>
          </cell>
          <cell r="AJ59" t="str">
            <v>R$</v>
          </cell>
          <cell r="AK59" t="str">
            <v>BRL</v>
          </cell>
          <cell r="AL59" t="str">
            <v>BRL</v>
          </cell>
          <cell r="AM59">
            <v>0</v>
          </cell>
          <cell r="AN59">
            <v>2</v>
          </cell>
        </row>
        <row r="60">
          <cell r="A60">
            <v>39302</v>
          </cell>
          <cell r="B60">
            <v>39302</v>
          </cell>
          <cell r="C60" t="str">
            <v>Past</v>
          </cell>
          <cell r="D60">
            <v>78.33</v>
          </cell>
          <cell r="E60" t="e">
            <v>#N/A</v>
          </cell>
          <cell r="F60" t="e">
            <v>#N/A</v>
          </cell>
          <cell r="G60" t="e">
            <v>#N/A</v>
          </cell>
          <cell r="H60" t="e">
            <v>#N/A</v>
          </cell>
          <cell r="I60" t="e">
            <v>#N/A</v>
          </cell>
          <cell r="J60" t="e">
            <v>#N/A</v>
          </cell>
          <cell r="K60" t="e">
            <v>#N/A</v>
          </cell>
          <cell r="L60" t="e">
            <v>#N/A</v>
          </cell>
          <cell r="M60" t="e">
            <v>#N/A</v>
          </cell>
          <cell r="N60" t="e">
            <v>#N/A</v>
          </cell>
          <cell r="O60" t="e">
            <v>#N/A</v>
          </cell>
          <cell r="P60">
            <v>78.33</v>
          </cell>
          <cell r="Q60">
            <v>3.7873000000000001</v>
          </cell>
          <cell r="R60" t="e">
            <v>#N/A</v>
          </cell>
          <cell r="S60" t="str">
            <v>Curr-Lower</v>
          </cell>
          <cell r="T60">
            <v>55.39</v>
          </cell>
          <cell r="U60">
            <v>0.2198015873015873</v>
          </cell>
          <cell r="AI60" t="str">
            <v>CAD Canadian Dollars</v>
          </cell>
          <cell r="AJ60" t="str">
            <v>C$</v>
          </cell>
          <cell r="AK60" t="str">
            <v>CAD</v>
          </cell>
          <cell r="AL60" t="str">
            <v>CAD</v>
          </cell>
          <cell r="AM60">
            <v>0</v>
          </cell>
          <cell r="AN60">
            <v>2</v>
          </cell>
        </row>
        <row r="61">
          <cell r="A61">
            <v>39303</v>
          </cell>
          <cell r="B61">
            <v>39303</v>
          </cell>
          <cell r="C61" t="str">
            <v>Past</v>
          </cell>
          <cell r="D61">
            <v>74.239999999999995</v>
          </cell>
          <cell r="E61" t="e">
            <v>#N/A</v>
          </cell>
          <cell r="F61" t="e">
            <v>#N/A</v>
          </cell>
          <cell r="G61" t="e">
            <v>#N/A</v>
          </cell>
          <cell r="H61" t="e">
            <v>#N/A</v>
          </cell>
          <cell r="I61" t="e">
            <v>#N/A</v>
          </cell>
          <cell r="J61" t="e">
            <v>#N/A</v>
          </cell>
          <cell r="K61" t="e">
            <v>#N/A</v>
          </cell>
          <cell r="L61" t="e">
            <v>#N/A</v>
          </cell>
          <cell r="M61" t="e">
            <v>#N/A</v>
          </cell>
          <cell r="N61" t="e">
            <v>#N/A</v>
          </cell>
          <cell r="O61" t="e">
            <v>#N/A</v>
          </cell>
          <cell r="P61">
            <v>74.239999999999995</v>
          </cell>
          <cell r="Q61">
            <v>5.6351000000000004</v>
          </cell>
          <cell r="R61" t="e">
            <v>#N/A</v>
          </cell>
          <cell r="S61" t="str">
            <v>PriceFoundAt</v>
          </cell>
          <cell r="T61">
            <v>506</v>
          </cell>
          <cell r="AI61" t="str">
            <v>CHF Swiss Francs</v>
          </cell>
          <cell r="AJ61" t="str">
            <v>SFr</v>
          </cell>
          <cell r="AK61" t="str">
            <v>CHF</v>
          </cell>
          <cell r="AL61" t="str">
            <v>CHF</v>
          </cell>
          <cell r="AM61">
            <v>0</v>
          </cell>
          <cell r="AN61">
            <v>2</v>
          </cell>
        </row>
        <row r="62">
          <cell r="A62">
            <v>39304</v>
          </cell>
          <cell r="B62">
            <v>39304</v>
          </cell>
          <cell r="C62" t="str">
            <v>Past</v>
          </cell>
          <cell r="D62">
            <v>77.31</v>
          </cell>
          <cell r="E62" t="e">
            <v>#N/A</v>
          </cell>
          <cell r="F62" t="e">
            <v>#N/A</v>
          </cell>
          <cell r="G62" t="e">
            <v>#N/A</v>
          </cell>
          <cell r="H62" t="e">
            <v>#N/A</v>
          </cell>
          <cell r="I62" t="e">
            <v>#N/A</v>
          </cell>
          <cell r="J62" t="e">
            <v>#N/A</v>
          </cell>
          <cell r="K62" t="e">
            <v>#N/A</v>
          </cell>
          <cell r="L62" t="e">
            <v>#N/A</v>
          </cell>
          <cell r="M62" t="e">
            <v>#N/A</v>
          </cell>
          <cell r="N62" t="e">
            <v>#N/A</v>
          </cell>
          <cell r="O62" t="e">
            <v>#N/A</v>
          </cell>
          <cell r="P62">
            <v>77.31</v>
          </cell>
          <cell r="Q62">
            <v>5.5776000000000003</v>
          </cell>
          <cell r="R62" t="e">
            <v>#N/A</v>
          </cell>
          <cell r="S62" t="str">
            <v>Starting Point</v>
          </cell>
          <cell r="T62">
            <v>559</v>
          </cell>
          <cell r="AI62" t="str">
            <v>CLP Chilean Pesos</v>
          </cell>
          <cell r="AJ62" t="str">
            <v>CLP</v>
          </cell>
          <cell r="AK62" t="str">
            <v>CLP</v>
          </cell>
          <cell r="AL62" t="str">
            <v>CLP</v>
          </cell>
          <cell r="AM62">
            <v>0</v>
          </cell>
          <cell r="AN62">
            <v>2</v>
          </cell>
        </row>
        <row r="63">
          <cell r="A63">
            <v>39307</v>
          </cell>
          <cell r="B63">
            <v>39307</v>
          </cell>
          <cell r="C63" t="str">
            <v>Past</v>
          </cell>
          <cell r="D63">
            <v>77.83</v>
          </cell>
          <cell r="E63" t="e">
            <v>#N/A</v>
          </cell>
          <cell r="F63" t="e">
            <v>#N/A</v>
          </cell>
          <cell r="G63" t="e">
            <v>#N/A</v>
          </cell>
          <cell r="H63" t="e">
            <v>#N/A</v>
          </cell>
          <cell r="I63" t="e">
            <v>#N/A</v>
          </cell>
          <cell r="J63" t="e">
            <v>#N/A</v>
          </cell>
          <cell r="K63" t="e">
            <v>#N/A</v>
          </cell>
          <cell r="L63" t="e">
            <v>#N/A</v>
          </cell>
          <cell r="M63" t="e">
            <v>#N/A</v>
          </cell>
          <cell r="N63" t="e">
            <v>#N/A</v>
          </cell>
          <cell r="O63" t="e">
            <v>#N/A</v>
          </cell>
          <cell r="P63">
            <v>77.83</v>
          </cell>
          <cell r="Q63">
            <v>2.6566000000000001</v>
          </cell>
          <cell r="R63" t="e">
            <v>#N/A</v>
          </cell>
          <cell r="S63" t="str">
            <v>Saved</v>
          </cell>
          <cell r="T63">
            <v>252</v>
          </cell>
          <cell r="AI63" t="str">
            <v>CNY Chinese Renminbi Yuan</v>
          </cell>
          <cell r="AJ63" t="str">
            <v>Rmb</v>
          </cell>
          <cell r="AK63" t="str">
            <v>CNY</v>
          </cell>
          <cell r="AL63" t="str">
            <v>CNY</v>
          </cell>
          <cell r="AM63">
            <v>0</v>
          </cell>
          <cell r="AN63">
            <v>2</v>
          </cell>
        </row>
        <row r="64">
          <cell r="A64">
            <v>39308</v>
          </cell>
          <cell r="B64">
            <v>39308</v>
          </cell>
          <cell r="C64" t="str">
            <v>Past</v>
          </cell>
          <cell r="D64">
            <v>75.56</v>
          </cell>
          <cell r="E64" t="e">
            <v>#N/A</v>
          </cell>
          <cell r="F64" t="e">
            <v>#N/A</v>
          </cell>
          <cell r="G64" t="e">
            <v>#N/A</v>
          </cell>
          <cell r="H64" t="e">
            <v>#N/A</v>
          </cell>
          <cell r="I64" t="e">
            <v>#N/A</v>
          </cell>
          <cell r="J64" t="e">
            <v>#N/A</v>
          </cell>
          <cell r="K64" t="e">
            <v>#N/A</v>
          </cell>
          <cell r="L64" t="e">
            <v>#N/A</v>
          </cell>
          <cell r="M64" t="e">
            <v>#N/A</v>
          </cell>
          <cell r="N64" t="e">
            <v>#N/A</v>
          </cell>
          <cell r="O64" t="e">
            <v>#N/A</v>
          </cell>
          <cell r="P64">
            <v>75.56</v>
          </cell>
          <cell r="Q64">
            <v>2.0733000000000001</v>
          </cell>
          <cell r="R64" t="e">
            <v>#N/A</v>
          </cell>
          <cell r="S64" t="str">
            <v>Right alligned</v>
          </cell>
          <cell r="T64">
            <v>0</v>
          </cell>
          <cell r="AI64" t="str">
            <v>COP Colombian Peso</v>
          </cell>
          <cell r="AJ64" t="str">
            <v>COP</v>
          </cell>
          <cell r="AK64" t="str">
            <v>COP</v>
          </cell>
          <cell r="AL64" t="str">
            <v>COP</v>
          </cell>
          <cell r="AM64">
            <v>0</v>
          </cell>
          <cell r="AN64">
            <v>2</v>
          </cell>
        </row>
        <row r="65">
          <cell r="A65">
            <v>39309</v>
          </cell>
          <cell r="B65">
            <v>39309</v>
          </cell>
          <cell r="C65" t="str">
            <v>Past</v>
          </cell>
          <cell r="D65">
            <v>75.28</v>
          </cell>
          <cell r="E65" t="e">
            <v>#N/A</v>
          </cell>
          <cell r="F65" t="e">
            <v>#N/A</v>
          </cell>
          <cell r="G65" t="e">
            <v>#N/A</v>
          </cell>
          <cell r="H65" t="e">
            <v>#N/A</v>
          </cell>
          <cell r="I65" t="e">
            <v>#N/A</v>
          </cell>
          <cell r="J65" t="e">
            <v>#N/A</v>
          </cell>
          <cell r="K65" t="e">
            <v>#N/A</v>
          </cell>
          <cell r="L65" t="e">
            <v>#N/A</v>
          </cell>
          <cell r="M65" t="e">
            <v>#N/A</v>
          </cell>
          <cell r="N65" t="e">
            <v>#N/A</v>
          </cell>
          <cell r="O65" t="e">
            <v>#N/A</v>
          </cell>
          <cell r="P65">
            <v>75.28</v>
          </cell>
          <cell r="Q65">
            <v>2.3744489999999998</v>
          </cell>
          <cell r="R65" t="e">
            <v>#N/A</v>
          </cell>
          <cell r="S65" t="str">
            <v>Decimal</v>
          </cell>
          <cell r="T65">
            <v>2</v>
          </cell>
          <cell r="AI65" t="str">
            <v>CZK Czech Krona</v>
          </cell>
          <cell r="AJ65" t="str">
            <v>Kcs</v>
          </cell>
          <cell r="AK65" t="str">
            <v>CZK</v>
          </cell>
          <cell r="AL65" t="str">
            <v>CZK</v>
          </cell>
          <cell r="AM65">
            <v>0</v>
          </cell>
          <cell r="AN65">
            <v>2</v>
          </cell>
        </row>
        <row r="66">
          <cell r="A66">
            <v>39310</v>
          </cell>
          <cell r="B66">
            <v>39310</v>
          </cell>
          <cell r="C66" t="str">
            <v>Past</v>
          </cell>
          <cell r="D66">
            <v>75.73</v>
          </cell>
          <cell r="E66" t="e">
            <v>#N/A</v>
          </cell>
          <cell r="F66" t="e">
            <v>#N/A</v>
          </cell>
          <cell r="G66" t="e">
            <v>#N/A</v>
          </cell>
          <cell r="H66" t="e">
            <v>#N/A</v>
          </cell>
          <cell r="I66" t="e">
            <v>#N/A</v>
          </cell>
          <cell r="J66" t="e">
            <v>#N/A</v>
          </cell>
          <cell r="K66" t="e">
            <v>#N/A</v>
          </cell>
          <cell r="L66" t="e">
            <v>#N/A</v>
          </cell>
          <cell r="M66" t="e">
            <v>#N/A</v>
          </cell>
          <cell r="N66" t="e">
            <v>#N/A</v>
          </cell>
          <cell r="O66" t="e">
            <v>#N/A</v>
          </cell>
          <cell r="P66">
            <v>75.73</v>
          </cell>
          <cell r="Q66">
            <v>3.1491000000000002</v>
          </cell>
          <cell r="R66" t="e">
            <v>#N/A</v>
          </cell>
          <cell r="S66" t="str">
            <v>default StartDate</v>
          </cell>
          <cell r="T66">
            <v>39294</v>
          </cell>
          <cell r="AI66" t="str">
            <v>DKK Danish Krone</v>
          </cell>
          <cell r="AJ66" t="str">
            <v>DKr</v>
          </cell>
          <cell r="AK66" t="str">
            <v>DKK</v>
          </cell>
          <cell r="AL66" t="str">
            <v>DKK</v>
          </cell>
          <cell r="AM66">
            <v>0</v>
          </cell>
          <cell r="AN66">
            <v>2</v>
          </cell>
        </row>
        <row r="67">
          <cell r="A67">
            <v>39311</v>
          </cell>
          <cell r="B67">
            <v>39311</v>
          </cell>
          <cell r="C67" t="str">
            <v>Past</v>
          </cell>
          <cell r="D67">
            <v>77.48</v>
          </cell>
          <cell r="E67" t="e">
            <v>#N/A</v>
          </cell>
          <cell r="F67" t="e">
            <v>#N/A</v>
          </cell>
          <cell r="G67" t="e">
            <v>#N/A</v>
          </cell>
          <cell r="H67" t="e">
            <v>#N/A</v>
          </cell>
          <cell r="I67" t="e">
            <v>#N/A</v>
          </cell>
          <cell r="J67" t="e">
            <v>#N/A</v>
          </cell>
          <cell r="K67" t="e">
            <v>#N/A</v>
          </cell>
          <cell r="L67" t="e">
            <v>#N/A</v>
          </cell>
          <cell r="M67" t="e">
            <v>#N/A</v>
          </cell>
          <cell r="N67" t="e">
            <v>#N/A</v>
          </cell>
          <cell r="O67" t="e">
            <v>#N/A</v>
          </cell>
          <cell r="P67">
            <v>77.48</v>
          </cell>
          <cell r="Q67">
            <v>2.8011360000000001</v>
          </cell>
          <cell r="R67" t="e">
            <v>#N/A</v>
          </cell>
          <cell r="S67" t="str">
            <v>default EndDate</v>
          </cell>
          <cell r="T67">
            <v>40390</v>
          </cell>
          <cell r="AI67" t="str">
            <v>DZD Algerian Dinar</v>
          </cell>
          <cell r="AJ67" t="str">
            <v>DZD</v>
          </cell>
          <cell r="AK67" t="str">
            <v>DZD</v>
          </cell>
          <cell r="AL67" t="str">
            <v>DZD</v>
          </cell>
          <cell r="AM67">
            <v>0</v>
          </cell>
          <cell r="AN67">
            <v>2</v>
          </cell>
        </row>
        <row r="68">
          <cell r="A68">
            <v>39314</v>
          </cell>
          <cell r="B68">
            <v>39314</v>
          </cell>
          <cell r="C68" t="str">
            <v>Past</v>
          </cell>
          <cell r="D68">
            <v>77.5</v>
          </cell>
          <cell r="E68" t="e">
            <v>#N/A</v>
          </cell>
          <cell r="F68" t="e">
            <v>#N/A</v>
          </cell>
          <cell r="G68" t="e">
            <v>#N/A</v>
          </cell>
          <cell r="H68" t="e">
            <v>#N/A</v>
          </cell>
          <cell r="I68" t="e">
            <v>#N/A</v>
          </cell>
          <cell r="J68" t="e">
            <v>#N/A</v>
          </cell>
          <cell r="K68" t="e">
            <v>#N/A</v>
          </cell>
          <cell r="L68" t="e">
            <v>#N/A</v>
          </cell>
          <cell r="M68" t="e">
            <v>#N/A</v>
          </cell>
          <cell r="N68" t="e">
            <v>#N/A</v>
          </cell>
          <cell r="O68" t="e">
            <v>#N/A</v>
          </cell>
          <cell r="P68">
            <v>77.5</v>
          </cell>
          <cell r="Q68">
            <v>1.2904</v>
          </cell>
          <cell r="R68" t="e">
            <v>#N/A</v>
          </cell>
          <cell r="S68" t="str">
            <v>Max sharePrice</v>
          </cell>
          <cell r="T68">
            <v>94.6</v>
          </cell>
          <cell r="AI68" t="str">
            <v>EGP Egyptian Pound</v>
          </cell>
          <cell r="AJ68" t="str">
            <v>EGP</v>
          </cell>
          <cell r="AK68" t="str">
            <v>EGP</v>
          </cell>
          <cell r="AL68" t="str">
            <v>EGP</v>
          </cell>
          <cell r="AM68">
            <v>0</v>
          </cell>
          <cell r="AN68">
            <v>2</v>
          </cell>
        </row>
        <row r="69">
          <cell r="A69">
            <v>39315</v>
          </cell>
          <cell r="B69">
            <v>39315</v>
          </cell>
          <cell r="C69" t="str">
            <v>Past</v>
          </cell>
          <cell r="D69">
            <v>77.7</v>
          </cell>
          <cell r="E69" t="e">
            <v>#N/A</v>
          </cell>
          <cell r="F69" t="e">
            <v>#N/A</v>
          </cell>
          <cell r="G69" t="e">
            <v>#N/A</v>
          </cell>
          <cell r="H69" t="e">
            <v>#N/A</v>
          </cell>
          <cell r="I69" t="e">
            <v>#N/A</v>
          </cell>
          <cell r="J69" t="e">
            <v>#N/A</v>
          </cell>
          <cell r="K69" t="e">
            <v>#N/A</v>
          </cell>
          <cell r="L69" t="e">
            <v>#N/A</v>
          </cell>
          <cell r="M69" t="e">
            <v>#N/A</v>
          </cell>
          <cell r="N69" t="e">
            <v>#N/A</v>
          </cell>
          <cell r="O69" t="e">
            <v>#N/A</v>
          </cell>
          <cell r="P69">
            <v>77.7</v>
          </cell>
          <cell r="Q69">
            <v>1.2981</v>
          </cell>
          <cell r="R69" t="e">
            <v>#N/A</v>
          </cell>
          <cell r="AI69" t="str">
            <v>EUR Euro</v>
          </cell>
          <cell r="AJ69" t="str">
            <v>€</v>
          </cell>
          <cell r="AK69" t="str">
            <v>EUR</v>
          </cell>
          <cell r="AL69" t="str">
            <v>EUR</v>
          </cell>
          <cell r="AM69">
            <v>0</v>
          </cell>
          <cell r="AN69">
            <v>2</v>
          </cell>
        </row>
        <row r="70">
          <cell r="A70">
            <v>39316</v>
          </cell>
          <cell r="B70">
            <v>39316</v>
          </cell>
          <cell r="C70" t="str">
            <v>Past</v>
          </cell>
          <cell r="D70">
            <v>78.17</v>
          </cell>
          <cell r="E70" t="e">
            <v>#N/A</v>
          </cell>
          <cell r="F70" t="e">
            <v>#N/A</v>
          </cell>
          <cell r="G70" t="e">
            <v>#N/A</v>
          </cell>
          <cell r="H70" t="e">
            <v>#N/A</v>
          </cell>
          <cell r="I70" t="e">
            <v>#N/A</v>
          </cell>
          <cell r="J70" t="e">
            <v>#N/A</v>
          </cell>
          <cell r="K70" t="e">
            <v>#N/A</v>
          </cell>
          <cell r="L70" t="e">
            <v>#N/A</v>
          </cell>
          <cell r="M70" t="e">
            <v>#N/A</v>
          </cell>
          <cell r="N70" t="e">
            <v>#N/A</v>
          </cell>
          <cell r="O70" t="e">
            <v>#N/A</v>
          </cell>
          <cell r="P70">
            <v>78.17</v>
          </cell>
          <cell r="Q70">
            <v>1.6291</v>
          </cell>
          <cell r="R70" t="e">
            <v>#N/A</v>
          </cell>
          <cell r="AI70" t="str">
            <v>GBp British Pence</v>
          </cell>
          <cell r="AJ70" t="str">
            <v>p</v>
          </cell>
          <cell r="AK70" t="str">
            <v>GBp</v>
          </cell>
          <cell r="AL70" t="str">
            <v>GBX</v>
          </cell>
          <cell r="AM70">
            <v>1</v>
          </cell>
          <cell r="AN70">
            <v>0</v>
          </cell>
        </row>
        <row r="71">
          <cell r="A71">
            <v>39317</v>
          </cell>
          <cell r="B71">
            <v>39317</v>
          </cell>
          <cell r="C71" t="str">
            <v>Past</v>
          </cell>
          <cell r="D71">
            <v>77.67</v>
          </cell>
          <cell r="E71" t="e">
            <v>#N/A</v>
          </cell>
          <cell r="F71" t="e">
            <v>#N/A</v>
          </cell>
          <cell r="G71" t="e">
            <v>#N/A</v>
          </cell>
          <cell r="H71" t="e">
            <v>#N/A</v>
          </cell>
          <cell r="I71" t="e">
            <v>#N/A</v>
          </cell>
          <cell r="J71" t="e">
            <v>#N/A</v>
          </cell>
          <cell r="K71" t="e">
            <v>#N/A</v>
          </cell>
          <cell r="L71" t="e">
            <v>#N/A</v>
          </cell>
          <cell r="M71" t="e">
            <v>#N/A</v>
          </cell>
          <cell r="N71" t="e">
            <v>#N/A</v>
          </cell>
          <cell r="O71" t="e">
            <v>#N/A</v>
          </cell>
          <cell r="P71">
            <v>77.67</v>
          </cell>
          <cell r="Q71">
            <v>0.91570000000000007</v>
          </cell>
          <cell r="R71" t="e">
            <v>#N/A</v>
          </cell>
          <cell r="AI71" t="str">
            <v>GBP British Pound</v>
          </cell>
          <cell r="AJ71" t="str">
            <v>₤</v>
          </cell>
          <cell r="AK71" t="str">
            <v>GBP</v>
          </cell>
          <cell r="AL71" t="str">
            <v>GBP</v>
          </cell>
          <cell r="AM71">
            <v>0</v>
          </cell>
          <cell r="AN71">
            <v>2</v>
          </cell>
        </row>
        <row r="72">
          <cell r="A72">
            <v>39318</v>
          </cell>
          <cell r="B72">
            <v>39318</v>
          </cell>
          <cell r="C72" t="str">
            <v>Past</v>
          </cell>
          <cell r="D72">
            <v>79.2</v>
          </cell>
          <cell r="E72" t="e">
            <v>#N/A</v>
          </cell>
          <cell r="F72" t="e">
            <v>#N/A</v>
          </cell>
          <cell r="G72" t="e">
            <v>#N/A</v>
          </cell>
          <cell r="H72" t="e">
            <v>#N/A</v>
          </cell>
          <cell r="I72" t="e">
            <v>#N/A</v>
          </cell>
          <cell r="J72" t="e">
            <v>#N/A</v>
          </cell>
          <cell r="K72" t="e">
            <v>#N/A</v>
          </cell>
          <cell r="L72" t="e">
            <v>#N/A</v>
          </cell>
          <cell r="M72" t="e">
            <v>#N/A</v>
          </cell>
          <cell r="N72" t="e">
            <v>#N/A</v>
          </cell>
          <cell r="O72" t="e">
            <v>#N/A</v>
          </cell>
          <cell r="P72">
            <v>79.2</v>
          </cell>
          <cell r="Q72">
            <v>1.0653000000000001</v>
          </cell>
          <cell r="R72" t="e">
            <v>#N/A</v>
          </cell>
          <cell r="AI72" t="str">
            <v>HKD Hong Kong Dollar</v>
          </cell>
          <cell r="AJ72" t="str">
            <v>HK$</v>
          </cell>
          <cell r="AK72" t="str">
            <v>HKD</v>
          </cell>
          <cell r="AL72" t="str">
            <v>HKD</v>
          </cell>
          <cell r="AM72">
            <v>0</v>
          </cell>
          <cell r="AN72">
            <v>2</v>
          </cell>
        </row>
        <row r="73">
          <cell r="A73">
            <v>39321</v>
          </cell>
          <cell r="B73">
            <v>39321</v>
          </cell>
          <cell r="C73" t="str">
            <v>Past</v>
          </cell>
          <cell r="D73">
            <v>79.47</v>
          </cell>
          <cell r="E73" t="e">
            <v>#N/A</v>
          </cell>
          <cell r="F73" t="e">
            <v>#N/A</v>
          </cell>
          <cell r="G73" t="e">
            <v>#N/A</v>
          </cell>
          <cell r="H73" t="e">
            <v>#N/A</v>
          </cell>
          <cell r="I73" t="e">
            <v>#N/A</v>
          </cell>
          <cell r="J73" t="e">
            <v>#N/A</v>
          </cell>
          <cell r="K73" t="e">
            <v>#N/A</v>
          </cell>
          <cell r="L73" t="e">
            <v>#N/A</v>
          </cell>
          <cell r="M73" t="e">
            <v>#N/A</v>
          </cell>
          <cell r="N73" t="e">
            <v>#N/A</v>
          </cell>
          <cell r="O73" t="e">
            <v>#N/A</v>
          </cell>
          <cell r="P73">
            <v>79.47</v>
          </cell>
          <cell r="Q73">
            <v>0.91350000000000009</v>
          </cell>
          <cell r="R73" t="e">
            <v>#N/A</v>
          </cell>
          <cell r="AI73" t="str">
            <v>HUF Hungarian forint</v>
          </cell>
          <cell r="AJ73" t="str">
            <v>Ft</v>
          </cell>
          <cell r="AK73" t="str">
            <v>HUF</v>
          </cell>
          <cell r="AL73" t="str">
            <v>HUF</v>
          </cell>
          <cell r="AM73">
            <v>0</v>
          </cell>
          <cell r="AN73">
            <v>2</v>
          </cell>
        </row>
        <row r="74">
          <cell r="A74">
            <v>39322</v>
          </cell>
          <cell r="B74">
            <v>39322</v>
          </cell>
          <cell r="C74" t="str">
            <v>Past</v>
          </cell>
          <cell r="D74">
            <v>76.349999999999994</v>
          </cell>
          <cell r="E74" t="e">
            <v>#N/A</v>
          </cell>
          <cell r="F74" t="e">
            <v>#N/A</v>
          </cell>
          <cell r="G74" t="e">
            <v>#N/A</v>
          </cell>
          <cell r="H74" t="e">
            <v>#N/A</v>
          </cell>
          <cell r="I74" t="e">
            <v>#N/A</v>
          </cell>
          <cell r="J74" t="e">
            <v>#N/A</v>
          </cell>
          <cell r="K74" t="e">
            <v>#N/A</v>
          </cell>
          <cell r="L74" t="e">
            <v>#N/A</v>
          </cell>
          <cell r="M74" t="e">
            <v>#N/A</v>
          </cell>
          <cell r="N74" t="e">
            <v>#N/A</v>
          </cell>
          <cell r="O74" t="e">
            <v>#N/A</v>
          </cell>
          <cell r="P74">
            <v>76.349999999999994</v>
          </cell>
          <cell r="Q74">
            <v>1.9054</v>
          </cell>
          <cell r="R74" t="e">
            <v>#N/A</v>
          </cell>
          <cell r="AI74" t="str">
            <v>IDR Indonesian Rupiah</v>
          </cell>
          <cell r="AJ74" t="str">
            <v>Rp</v>
          </cell>
          <cell r="AK74" t="str">
            <v>IDR</v>
          </cell>
          <cell r="AL74" t="str">
            <v>IDR</v>
          </cell>
          <cell r="AM74">
            <v>0</v>
          </cell>
          <cell r="AN74">
            <v>0</v>
          </cell>
        </row>
        <row r="75">
          <cell r="A75">
            <v>39323</v>
          </cell>
          <cell r="B75">
            <v>39323</v>
          </cell>
          <cell r="C75" t="str">
            <v>Past</v>
          </cell>
          <cell r="D75">
            <v>78.25</v>
          </cell>
          <cell r="E75" t="e">
            <v>#N/A</v>
          </cell>
          <cell r="F75" t="e">
            <v>#N/A</v>
          </cell>
          <cell r="G75" t="e">
            <v>#N/A</v>
          </cell>
          <cell r="H75" t="e">
            <v>#N/A</v>
          </cell>
          <cell r="I75" t="e">
            <v>#N/A</v>
          </cell>
          <cell r="J75" t="e">
            <v>#N/A</v>
          </cell>
          <cell r="K75" t="e">
            <v>#N/A</v>
          </cell>
          <cell r="L75" t="e">
            <v>#N/A</v>
          </cell>
          <cell r="M75" t="e">
            <v>#N/A</v>
          </cell>
          <cell r="N75" t="e">
            <v>#N/A</v>
          </cell>
          <cell r="O75" t="e">
            <v>#N/A</v>
          </cell>
          <cell r="P75">
            <v>78.25</v>
          </cell>
          <cell r="Q75">
            <v>1.3755000000000002</v>
          </cell>
          <cell r="R75" t="e">
            <v>#N/A</v>
          </cell>
          <cell r="AI75" t="str">
            <v>ILS Israeli shekel</v>
          </cell>
          <cell r="AJ75" t="str">
            <v>ILS</v>
          </cell>
          <cell r="AK75" t="str">
            <v>ILS</v>
          </cell>
          <cell r="AL75" t="str">
            <v>ILS</v>
          </cell>
          <cell r="AM75">
            <v>0</v>
          </cell>
          <cell r="AN75">
            <v>2</v>
          </cell>
        </row>
        <row r="76">
          <cell r="A76">
            <v>39324</v>
          </cell>
          <cell r="B76">
            <v>39324</v>
          </cell>
          <cell r="C76" t="str">
            <v>Past</v>
          </cell>
          <cell r="D76">
            <v>78.09</v>
          </cell>
          <cell r="E76" t="e">
            <v>#N/A</v>
          </cell>
          <cell r="F76" t="e">
            <v>#N/A</v>
          </cell>
          <cell r="G76" t="e">
            <v>#N/A</v>
          </cell>
          <cell r="H76" t="e">
            <v>#N/A</v>
          </cell>
          <cell r="I76" t="e">
            <v>#N/A</v>
          </cell>
          <cell r="J76" t="e">
            <v>#N/A</v>
          </cell>
          <cell r="K76" t="e">
            <v>#N/A</v>
          </cell>
          <cell r="L76" t="e">
            <v>#N/A</v>
          </cell>
          <cell r="M76" t="e">
            <v>#N/A</v>
          </cell>
          <cell r="N76" t="e">
            <v>#N/A</v>
          </cell>
          <cell r="O76" t="e">
            <v>#N/A</v>
          </cell>
          <cell r="P76">
            <v>78.09</v>
          </cell>
          <cell r="Q76">
            <v>1.0107000000000002</v>
          </cell>
          <cell r="R76" t="e">
            <v>#N/A</v>
          </cell>
          <cell r="AI76" t="str">
            <v>INR Indian Rupee</v>
          </cell>
          <cell r="AJ76" t="str">
            <v>Rs.</v>
          </cell>
          <cell r="AK76" t="str">
            <v>INR</v>
          </cell>
          <cell r="AL76" t="str">
            <v>INR</v>
          </cell>
          <cell r="AM76">
            <v>0</v>
          </cell>
          <cell r="AN76">
            <v>2</v>
          </cell>
        </row>
        <row r="77">
          <cell r="A77">
            <v>39325</v>
          </cell>
          <cell r="B77">
            <v>39325</v>
          </cell>
          <cell r="C77" t="str">
            <v>Past</v>
          </cell>
          <cell r="D77">
            <v>78.56</v>
          </cell>
          <cell r="E77" t="e">
            <v>#N/A</v>
          </cell>
          <cell r="F77" t="e">
            <v>#N/A</v>
          </cell>
          <cell r="G77" t="e">
            <v>#N/A</v>
          </cell>
          <cell r="H77" t="e">
            <v>#N/A</v>
          </cell>
          <cell r="I77" t="e">
            <v>#N/A</v>
          </cell>
          <cell r="J77" t="e">
            <v>#N/A</v>
          </cell>
          <cell r="K77" t="e">
            <v>#N/A</v>
          </cell>
          <cell r="L77" t="e">
            <v>#N/A</v>
          </cell>
          <cell r="M77" t="e">
            <v>#N/A</v>
          </cell>
          <cell r="N77" t="e">
            <v>#N/A</v>
          </cell>
          <cell r="O77" t="e">
            <v>#N/A</v>
          </cell>
          <cell r="P77">
            <v>78.56</v>
          </cell>
          <cell r="Q77">
            <v>1.2863</v>
          </cell>
          <cell r="R77" t="e">
            <v>#N/A</v>
          </cell>
          <cell r="AI77" t="str">
            <v>IQD Iraqi Dinar</v>
          </cell>
          <cell r="AJ77" t="str">
            <v>IQD</v>
          </cell>
          <cell r="AK77" t="str">
            <v>IQD</v>
          </cell>
          <cell r="AL77" t="str">
            <v>IQD</v>
          </cell>
          <cell r="AM77">
            <v>0</v>
          </cell>
          <cell r="AN77">
            <v>2</v>
          </cell>
        </row>
        <row r="78">
          <cell r="A78">
            <v>39329</v>
          </cell>
          <cell r="B78">
            <v>39329</v>
          </cell>
          <cell r="C78" t="str">
            <v>Past</v>
          </cell>
          <cell r="D78">
            <v>79.31</v>
          </cell>
          <cell r="E78" t="e">
            <v>#N/A</v>
          </cell>
          <cell r="F78" t="e">
            <v>#N/A</v>
          </cell>
          <cell r="G78" t="e">
            <v>#N/A</v>
          </cell>
          <cell r="H78" t="e">
            <v>#N/A</v>
          </cell>
          <cell r="I78" t="e">
            <v>#N/A</v>
          </cell>
          <cell r="J78" t="e">
            <v>#N/A</v>
          </cell>
          <cell r="K78" t="e">
            <v>#N/A</v>
          </cell>
          <cell r="L78" t="e">
            <v>#N/A</v>
          </cell>
          <cell r="M78" t="e">
            <v>#N/A</v>
          </cell>
          <cell r="N78" t="e">
            <v>#N/A</v>
          </cell>
          <cell r="O78" t="e">
            <v>#N/A</v>
          </cell>
          <cell r="P78">
            <v>79.31</v>
          </cell>
          <cell r="Q78">
            <v>1.0802</v>
          </cell>
          <cell r="R78" t="e">
            <v>#N/A</v>
          </cell>
          <cell r="AI78" t="str">
            <v>IRR Iranian Rial</v>
          </cell>
          <cell r="AJ78" t="str">
            <v>IRR</v>
          </cell>
          <cell r="AK78" t="str">
            <v>IRR</v>
          </cell>
          <cell r="AL78" t="str">
            <v>IRR</v>
          </cell>
          <cell r="AM78">
            <v>0</v>
          </cell>
          <cell r="AN78">
            <v>2</v>
          </cell>
        </row>
        <row r="79">
          <cell r="A79">
            <v>39330</v>
          </cell>
          <cell r="B79">
            <v>39330</v>
          </cell>
          <cell r="C79" t="str">
            <v>Past</v>
          </cell>
          <cell r="D79">
            <v>77.87</v>
          </cell>
          <cell r="E79" t="e">
            <v>#N/A</v>
          </cell>
          <cell r="F79" t="e">
            <v>#N/A</v>
          </cell>
          <cell r="G79" t="e">
            <v>#N/A</v>
          </cell>
          <cell r="H79" t="e">
            <v>#N/A</v>
          </cell>
          <cell r="I79" t="e">
            <v>#N/A</v>
          </cell>
          <cell r="J79" t="e">
            <v>#N/A</v>
          </cell>
          <cell r="K79" t="e">
            <v>#N/A</v>
          </cell>
          <cell r="L79" t="e">
            <v>#N/A</v>
          </cell>
          <cell r="M79" t="e">
            <v>#N/A</v>
          </cell>
          <cell r="N79" t="e">
            <v>#N/A</v>
          </cell>
          <cell r="O79" t="e">
            <v>#N/A</v>
          </cell>
          <cell r="P79">
            <v>77.87</v>
          </cell>
          <cell r="Q79">
            <v>1.0878000000000001</v>
          </cell>
          <cell r="R79" t="e">
            <v>#N/A</v>
          </cell>
          <cell r="AI79" t="str">
            <v>ISK Iceland Krona</v>
          </cell>
          <cell r="AJ79" t="str">
            <v>kr</v>
          </cell>
          <cell r="AK79" t="str">
            <v>ISK</v>
          </cell>
          <cell r="AL79" t="str">
            <v>ISK</v>
          </cell>
          <cell r="AM79">
            <v>0</v>
          </cell>
          <cell r="AN79">
            <v>2</v>
          </cell>
        </row>
        <row r="80">
          <cell r="A80">
            <v>39331</v>
          </cell>
          <cell r="B80">
            <v>39331</v>
          </cell>
          <cell r="C80" t="str">
            <v>Past</v>
          </cell>
          <cell r="D80">
            <v>78.849999999999994</v>
          </cell>
          <cell r="E80" t="e">
            <v>#N/A</v>
          </cell>
          <cell r="F80" t="e">
            <v>#N/A</v>
          </cell>
          <cell r="G80" t="e">
            <v>#N/A</v>
          </cell>
          <cell r="H80" t="e">
            <v>#N/A</v>
          </cell>
          <cell r="I80" t="e">
            <v>#N/A</v>
          </cell>
          <cell r="J80" t="e">
            <v>#N/A</v>
          </cell>
          <cell r="K80" t="e">
            <v>#N/A</v>
          </cell>
          <cell r="L80" t="e">
            <v>#N/A</v>
          </cell>
          <cell r="M80" t="e">
            <v>#N/A</v>
          </cell>
          <cell r="N80" t="e">
            <v>#N/A</v>
          </cell>
          <cell r="O80" t="e">
            <v>#N/A</v>
          </cell>
          <cell r="P80">
            <v>78.849999999999994</v>
          </cell>
          <cell r="Q80">
            <v>0.8821</v>
          </cell>
          <cell r="R80" t="e">
            <v>#N/A</v>
          </cell>
          <cell r="AI80" t="str">
            <v>JMD Jamaican Dollars</v>
          </cell>
          <cell r="AJ80" t="str">
            <v>JMD</v>
          </cell>
          <cell r="AK80" t="str">
            <v>JMD</v>
          </cell>
          <cell r="AL80" t="str">
            <v>JMD</v>
          </cell>
          <cell r="AM80">
            <v>0</v>
          </cell>
          <cell r="AN80">
            <v>2</v>
          </cell>
        </row>
        <row r="81">
          <cell r="A81">
            <v>39332</v>
          </cell>
          <cell r="B81">
            <v>39332</v>
          </cell>
          <cell r="C81" t="str">
            <v>Past</v>
          </cell>
          <cell r="D81">
            <v>78.14</v>
          </cell>
          <cell r="E81" t="e">
            <v>#N/A</v>
          </cell>
          <cell r="F81" t="e">
            <v>#N/A</v>
          </cell>
          <cell r="G81" t="e">
            <v>#N/A</v>
          </cell>
          <cell r="H81" t="e">
            <v>#N/A</v>
          </cell>
          <cell r="I81" t="e">
            <v>#N/A</v>
          </cell>
          <cell r="J81" t="e">
            <v>#N/A</v>
          </cell>
          <cell r="K81" t="e">
            <v>#N/A</v>
          </cell>
          <cell r="L81" t="e">
            <v>#N/A</v>
          </cell>
          <cell r="M81" t="e">
            <v>#N/A</v>
          </cell>
          <cell r="N81" t="e">
            <v>#N/A</v>
          </cell>
          <cell r="O81" t="e">
            <v>#N/A</v>
          </cell>
          <cell r="P81">
            <v>78.14</v>
          </cell>
          <cell r="Q81">
            <v>1.6656</v>
          </cell>
          <cell r="R81" t="e">
            <v>#N/A</v>
          </cell>
          <cell r="AI81" t="str">
            <v>JPY Japanese Yen</v>
          </cell>
          <cell r="AJ81" t="str">
            <v>¥</v>
          </cell>
          <cell r="AK81" t="str">
            <v>JPY</v>
          </cell>
          <cell r="AL81" t="str">
            <v>JPY</v>
          </cell>
          <cell r="AM81">
            <v>0</v>
          </cell>
          <cell r="AN81">
            <v>0</v>
          </cell>
        </row>
        <row r="82">
          <cell r="A82">
            <v>39335</v>
          </cell>
          <cell r="B82">
            <v>39335</v>
          </cell>
          <cell r="C82" t="str">
            <v>Past</v>
          </cell>
          <cell r="D82">
            <v>78.7</v>
          </cell>
          <cell r="E82" t="e">
            <v>#N/A</v>
          </cell>
          <cell r="F82" t="e">
            <v>#N/A</v>
          </cell>
          <cell r="G82" t="e">
            <v>#N/A</v>
          </cell>
          <cell r="H82" t="e">
            <v>#N/A</v>
          </cell>
          <cell r="I82" t="e">
            <v>#N/A</v>
          </cell>
          <cell r="J82" t="e">
            <v>#N/A</v>
          </cell>
          <cell r="K82" t="e">
            <v>#N/A</v>
          </cell>
          <cell r="L82" t="e">
            <v>#N/A</v>
          </cell>
          <cell r="M82" t="e">
            <v>#N/A</v>
          </cell>
          <cell r="N82" t="e">
            <v>#N/A</v>
          </cell>
          <cell r="O82" t="e">
            <v>#N/A</v>
          </cell>
          <cell r="P82">
            <v>78.7</v>
          </cell>
          <cell r="Q82">
            <v>1.1529</v>
          </cell>
          <cell r="R82" t="e">
            <v>#N/A</v>
          </cell>
          <cell r="AI82" t="str">
            <v>KES Kenyan Shilling</v>
          </cell>
          <cell r="AJ82" t="str">
            <v>KES</v>
          </cell>
          <cell r="AK82" t="str">
            <v>KES</v>
          </cell>
          <cell r="AL82" t="str">
            <v>KES</v>
          </cell>
          <cell r="AM82">
            <v>0</v>
          </cell>
          <cell r="AN82">
            <v>0</v>
          </cell>
        </row>
        <row r="83">
          <cell r="A83">
            <v>39336</v>
          </cell>
          <cell r="B83">
            <v>39336</v>
          </cell>
          <cell r="C83" t="str">
            <v>Past</v>
          </cell>
          <cell r="D83">
            <v>79.53</v>
          </cell>
          <cell r="E83" t="e">
            <v>#N/A</v>
          </cell>
          <cell r="F83" t="e">
            <v>#N/A</v>
          </cell>
          <cell r="G83" t="e">
            <v>#N/A</v>
          </cell>
          <cell r="H83" t="e">
            <v>#N/A</v>
          </cell>
          <cell r="I83" t="e">
            <v>#N/A</v>
          </cell>
          <cell r="J83" t="e">
            <v>#N/A</v>
          </cell>
          <cell r="K83" t="e">
            <v>#N/A</v>
          </cell>
          <cell r="L83" t="e">
            <v>#N/A</v>
          </cell>
          <cell r="M83" t="e">
            <v>#N/A</v>
          </cell>
          <cell r="N83" t="e">
            <v>#N/A</v>
          </cell>
          <cell r="O83" t="e">
            <v>#N/A</v>
          </cell>
          <cell r="P83">
            <v>79.53</v>
          </cell>
          <cell r="Q83">
            <v>1.468</v>
          </cell>
          <cell r="R83" t="e">
            <v>#N/A</v>
          </cell>
          <cell r="AI83" t="str">
            <v>KRW South Korean Won</v>
          </cell>
          <cell r="AJ83" t="str">
            <v>₩</v>
          </cell>
          <cell r="AK83" t="str">
            <v>KRW</v>
          </cell>
          <cell r="AL83" t="str">
            <v>KRW</v>
          </cell>
          <cell r="AM83">
            <v>0</v>
          </cell>
          <cell r="AN83">
            <v>0</v>
          </cell>
        </row>
        <row r="84">
          <cell r="A84">
            <v>39337</v>
          </cell>
          <cell r="B84">
            <v>39337</v>
          </cell>
          <cell r="C84" t="str">
            <v>Past</v>
          </cell>
          <cell r="D84">
            <v>80.08</v>
          </cell>
          <cell r="E84" t="e">
            <v>#N/A</v>
          </cell>
          <cell r="F84" t="e">
            <v>#N/A</v>
          </cell>
          <cell r="G84" t="e">
            <v>#N/A</v>
          </cell>
          <cell r="H84" t="e">
            <v>#N/A</v>
          </cell>
          <cell r="I84" t="e">
            <v>#N/A</v>
          </cell>
          <cell r="J84" t="e">
            <v>#N/A</v>
          </cell>
          <cell r="K84" t="e">
            <v>#N/A</v>
          </cell>
          <cell r="L84" t="e">
            <v>#N/A</v>
          </cell>
          <cell r="M84" t="e">
            <v>#N/A</v>
          </cell>
          <cell r="N84" t="e">
            <v>#N/A</v>
          </cell>
          <cell r="O84" t="e">
            <v>#N/A</v>
          </cell>
          <cell r="P84">
            <v>80.08</v>
          </cell>
          <cell r="Q84">
            <v>1.4951000000000001</v>
          </cell>
          <cell r="R84" t="e">
            <v>#N/A</v>
          </cell>
          <cell r="AI84" t="str">
            <v>KWD Kuwaiti Dinar</v>
          </cell>
          <cell r="AJ84" t="str">
            <v>KWD</v>
          </cell>
          <cell r="AK84" t="str">
            <v>KWD</v>
          </cell>
          <cell r="AL84" t="str">
            <v>KWD</v>
          </cell>
          <cell r="AM84">
            <v>0</v>
          </cell>
          <cell r="AN84">
            <v>2</v>
          </cell>
        </row>
        <row r="85">
          <cell r="A85">
            <v>39338</v>
          </cell>
          <cell r="B85">
            <v>39338</v>
          </cell>
          <cell r="C85" t="str">
            <v>Past</v>
          </cell>
          <cell r="D85">
            <v>80.86</v>
          </cell>
          <cell r="E85" t="e">
            <v>#N/A</v>
          </cell>
          <cell r="F85" t="e">
            <v>#N/A</v>
          </cell>
          <cell r="G85" t="e">
            <v>#N/A</v>
          </cell>
          <cell r="H85" t="e">
            <v>#N/A</v>
          </cell>
          <cell r="I85" t="e">
            <v>#N/A</v>
          </cell>
          <cell r="J85" t="e">
            <v>#N/A</v>
          </cell>
          <cell r="K85" t="e">
            <v>#N/A</v>
          </cell>
          <cell r="L85" t="e">
            <v>#N/A</v>
          </cell>
          <cell r="M85" t="e">
            <v>#N/A</v>
          </cell>
          <cell r="N85" t="e">
            <v>#N/A</v>
          </cell>
          <cell r="O85" t="e">
            <v>#N/A</v>
          </cell>
          <cell r="P85">
            <v>80.86</v>
          </cell>
          <cell r="Q85">
            <v>1.3408</v>
          </cell>
          <cell r="R85" t="e">
            <v>#N/A</v>
          </cell>
          <cell r="AI85" t="str">
            <v>KYD Cayman Dollars</v>
          </cell>
          <cell r="AJ85" t="str">
            <v>KYD</v>
          </cell>
          <cell r="AK85" t="str">
            <v>KYD</v>
          </cell>
          <cell r="AL85" t="str">
            <v>KYD</v>
          </cell>
          <cell r="AM85">
            <v>0</v>
          </cell>
          <cell r="AN85">
            <v>2</v>
          </cell>
        </row>
        <row r="86">
          <cell r="A86">
            <v>39339</v>
          </cell>
          <cell r="B86">
            <v>39339</v>
          </cell>
          <cell r="C86" t="str">
            <v>Past</v>
          </cell>
          <cell r="D86">
            <v>81.12</v>
          </cell>
          <cell r="E86" t="e">
            <v>#N/A</v>
          </cell>
          <cell r="F86" t="e">
            <v>#N/A</v>
          </cell>
          <cell r="G86" t="e">
            <v>#N/A</v>
          </cell>
          <cell r="H86" t="e">
            <v>#N/A</v>
          </cell>
          <cell r="I86" t="e">
            <v>#N/A</v>
          </cell>
          <cell r="J86" t="e">
            <v>#N/A</v>
          </cell>
          <cell r="K86" t="e">
            <v>#N/A</v>
          </cell>
          <cell r="L86" t="e">
            <v>#N/A</v>
          </cell>
          <cell r="M86" t="e">
            <v>#N/A</v>
          </cell>
          <cell r="N86" t="e">
            <v>#N/A</v>
          </cell>
          <cell r="O86" t="e">
            <v>#N/A</v>
          </cell>
          <cell r="P86">
            <v>81.12</v>
          </cell>
          <cell r="Q86">
            <v>2.1549</v>
          </cell>
          <cell r="R86" t="e">
            <v>#N/A</v>
          </cell>
          <cell r="AI86" t="str">
            <v>LKR Sri Lankan Rupee</v>
          </cell>
          <cell r="AJ86" t="str">
            <v>LKR</v>
          </cell>
          <cell r="AK86" t="str">
            <v>LKR</v>
          </cell>
          <cell r="AL86" t="str">
            <v>LKR</v>
          </cell>
          <cell r="AM86">
            <v>0</v>
          </cell>
          <cell r="AN86">
            <v>2</v>
          </cell>
        </row>
        <row r="87">
          <cell r="A87">
            <v>39342</v>
          </cell>
          <cell r="B87">
            <v>39342</v>
          </cell>
          <cell r="C87" t="str">
            <v>Past</v>
          </cell>
          <cell r="D87">
            <v>80.48</v>
          </cell>
          <cell r="E87" t="e">
            <v>#N/A</v>
          </cell>
          <cell r="F87" t="e">
            <v>#N/A</v>
          </cell>
          <cell r="G87" t="e">
            <v>#N/A</v>
          </cell>
          <cell r="H87" t="e">
            <v>#N/A</v>
          </cell>
          <cell r="I87" t="e">
            <v>#N/A</v>
          </cell>
          <cell r="J87" t="e">
            <v>#N/A</v>
          </cell>
          <cell r="K87" t="e">
            <v>#N/A</v>
          </cell>
          <cell r="L87" t="e">
            <v>#N/A</v>
          </cell>
          <cell r="M87" t="e">
            <v>#N/A</v>
          </cell>
          <cell r="N87" t="e">
            <v>#N/A</v>
          </cell>
          <cell r="O87" t="e">
            <v>#N/A</v>
          </cell>
          <cell r="P87">
            <v>80.48</v>
          </cell>
          <cell r="Q87">
            <v>1.0259</v>
          </cell>
          <cell r="R87" t="e">
            <v>#N/A</v>
          </cell>
          <cell r="AI87" t="str">
            <v>MAD Moroccan Dirham</v>
          </cell>
          <cell r="AJ87" t="str">
            <v>MAD</v>
          </cell>
          <cell r="AK87" t="str">
            <v>MAD</v>
          </cell>
          <cell r="AL87" t="str">
            <v>MAD</v>
          </cell>
          <cell r="AM87">
            <v>0</v>
          </cell>
          <cell r="AN87">
            <v>2</v>
          </cell>
        </row>
        <row r="88">
          <cell r="A88">
            <v>39343</v>
          </cell>
          <cell r="B88">
            <v>39343</v>
          </cell>
          <cell r="C88" t="str">
            <v>Past</v>
          </cell>
          <cell r="D88">
            <v>81.89</v>
          </cell>
          <cell r="E88" t="e">
            <v>#N/A</v>
          </cell>
          <cell r="F88" t="e">
            <v>#N/A</v>
          </cell>
          <cell r="G88" t="e">
            <v>#N/A</v>
          </cell>
          <cell r="H88" t="e">
            <v>#N/A</v>
          </cell>
          <cell r="I88" t="e">
            <v>#N/A</v>
          </cell>
          <cell r="J88" t="e">
            <v>#N/A</v>
          </cell>
          <cell r="K88" t="e">
            <v>#N/A</v>
          </cell>
          <cell r="L88" t="e">
            <v>#N/A</v>
          </cell>
          <cell r="M88" t="e">
            <v>#N/A</v>
          </cell>
          <cell r="N88" t="e">
            <v>#N/A</v>
          </cell>
          <cell r="O88" t="e">
            <v>#N/A</v>
          </cell>
          <cell r="P88">
            <v>81.89</v>
          </cell>
          <cell r="Q88">
            <v>1.4018000000000002</v>
          </cell>
          <cell r="R88" t="e">
            <v>#N/A</v>
          </cell>
          <cell r="AI88" t="str">
            <v>MXN Mexican Pesos (new)</v>
          </cell>
          <cell r="AJ88" t="str">
            <v>M$</v>
          </cell>
          <cell r="AK88" t="str">
            <v>MXN</v>
          </cell>
          <cell r="AL88" t="str">
            <v>MXN</v>
          </cell>
          <cell r="AM88">
            <v>0</v>
          </cell>
          <cell r="AN88">
            <v>2</v>
          </cell>
        </row>
        <row r="89">
          <cell r="A89">
            <v>39344</v>
          </cell>
          <cell r="B89">
            <v>39344</v>
          </cell>
          <cell r="C89" t="str">
            <v>Past</v>
          </cell>
          <cell r="D89">
            <v>83</v>
          </cell>
          <cell r="E89" t="e">
            <v>#N/A</v>
          </cell>
          <cell r="F89" t="e">
            <v>#N/A</v>
          </cell>
          <cell r="G89" t="e">
            <v>#N/A</v>
          </cell>
          <cell r="H89" t="e">
            <v>#N/A</v>
          </cell>
          <cell r="I89" t="e">
            <v>#N/A</v>
          </cell>
          <cell r="J89" t="e">
            <v>#N/A</v>
          </cell>
          <cell r="K89" t="e">
            <v>#N/A</v>
          </cell>
          <cell r="L89" t="e">
            <v>#N/A</v>
          </cell>
          <cell r="M89" t="e">
            <v>#N/A</v>
          </cell>
          <cell r="N89" t="e">
            <v>#N/A</v>
          </cell>
          <cell r="O89" t="e">
            <v>#N/A</v>
          </cell>
          <cell r="P89">
            <v>83</v>
          </cell>
          <cell r="Q89">
            <v>1.4385000000000001</v>
          </cell>
          <cell r="R89" t="e">
            <v>#N/A</v>
          </cell>
          <cell r="AI89" t="str">
            <v>MYR Malaysian Ringgit</v>
          </cell>
          <cell r="AJ89" t="str">
            <v>RM</v>
          </cell>
          <cell r="AK89" t="str">
            <v>MYR</v>
          </cell>
          <cell r="AL89" t="str">
            <v>MYR</v>
          </cell>
          <cell r="AM89">
            <v>0</v>
          </cell>
          <cell r="AN89">
            <v>2</v>
          </cell>
        </row>
        <row r="90">
          <cell r="A90">
            <v>39345</v>
          </cell>
          <cell r="B90">
            <v>39345</v>
          </cell>
          <cell r="C90" t="str">
            <v>Past</v>
          </cell>
          <cell r="D90">
            <v>83.22</v>
          </cell>
          <cell r="E90" t="e">
            <v>#N/A</v>
          </cell>
          <cell r="F90" t="e">
            <v>#N/A</v>
          </cell>
          <cell r="G90" t="e">
            <v>#N/A</v>
          </cell>
          <cell r="H90" t="e">
            <v>#N/A</v>
          </cell>
          <cell r="I90" t="e">
            <v>#N/A</v>
          </cell>
          <cell r="J90" t="e">
            <v>#N/A</v>
          </cell>
          <cell r="K90" t="e">
            <v>#N/A</v>
          </cell>
          <cell r="L90" t="e">
            <v>#N/A</v>
          </cell>
          <cell r="M90" t="e">
            <v>#N/A</v>
          </cell>
          <cell r="N90" t="e">
            <v>#N/A</v>
          </cell>
          <cell r="O90" t="e">
            <v>#N/A</v>
          </cell>
          <cell r="P90">
            <v>83.22</v>
          </cell>
          <cell r="Q90">
            <v>1.1611</v>
          </cell>
          <cell r="R90" t="e">
            <v>#N/A</v>
          </cell>
          <cell r="AI90" t="str">
            <v>NOK Norwegian Krone</v>
          </cell>
          <cell r="AJ90" t="str">
            <v>NKr</v>
          </cell>
          <cell r="AK90" t="str">
            <v>NOK</v>
          </cell>
          <cell r="AL90" t="str">
            <v>NOK</v>
          </cell>
          <cell r="AM90">
            <v>0</v>
          </cell>
          <cell r="AN90">
            <v>2</v>
          </cell>
        </row>
        <row r="91">
          <cell r="A91">
            <v>39346</v>
          </cell>
          <cell r="B91">
            <v>39346</v>
          </cell>
          <cell r="C91" t="str">
            <v>Past</v>
          </cell>
          <cell r="D91">
            <v>82.96</v>
          </cell>
          <cell r="E91" t="e">
            <v>#N/A</v>
          </cell>
          <cell r="F91" t="e">
            <v>#N/A</v>
          </cell>
          <cell r="G91" t="e">
            <v>#N/A</v>
          </cell>
          <cell r="H91" t="e">
            <v>#N/A</v>
          </cell>
          <cell r="I91" t="e">
            <v>#N/A</v>
          </cell>
          <cell r="J91" t="e">
            <v>#N/A</v>
          </cell>
          <cell r="K91" t="e">
            <v>#N/A</v>
          </cell>
          <cell r="L91" t="e">
            <v>#N/A</v>
          </cell>
          <cell r="M91" t="e">
            <v>#N/A</v>
          </cell>
          <cell r="N91" t="e">
            <v>#N/A</v>
          </cell>
          <cell r="O91" t="e">
            <v>#N/A</v>
          </cell>
          <cell r="P91">
            <v>82.96</v>
          </cell>
          <cell r="Q91">
            <v>2.8659000000000003</v>
          </cell>
          <cell r="R91" t="e">
            <v>#N/A</v>
          </cell>
          <cell r="AI91" t="str">
            <v>NZD New Zealand Dollars</v>
          </cell>
          <cell r="AJ91" t="str">
            <v>NZ$</v>
          </cell>
          <cell r="AK91" t="str">
            <v>NZD</v>
          </cell>
          <cell r="AL91" t="str">
            <v>NZD</v>
          </cell>
          <cell r="AM91">
            <v>0</v>
          </cell>
          <cell r="AN91">
            <v>2</v>
          </cell>
        </row>
        <row r="92">
          <cell r="A92">
            <v>39349</v>
          </cell>
          <cell r="B92">
            <v>39349</v>
          </cell>
          <cell r="C92" t="str">
            <v>Past</v>
          </cell>
          <cell r="D92">
            <v>81.739999999999995</v>
          </cell>
          <cell r="E92" t="e">
            <v>#N/A</v>
          </cell>
          <cell r="F92" t="e">
            <v>#N/A</v>
          </cell>
          <cell r="G92" t="e">
            <v>#N/A</v>
          </cell>
          <cell r="H92" t="e">
            <v>#N/A</v>
          </cell>
          <cell r="I92" t="e">
            <v>#N/A</v>
          </cell>
          <cell r="J92" t="e">
            <v>#N/A</v>
          </cell>
          <cell r="K92" t="e">
            <v>#N/A</v>
          </cell>
          <cell r="L92" t="e">
            <v>#N/A</v>
          </cell>
          <cell r="M92" t="e">
            <v>#N/A</v>
          </cell>
          <cell r="N92" t="e">
            <v>#N/A</v>
          </cell>
          <cell r="O92" t="e">
            <v>#N/A</v>
          </cell>
          <cell r="P92">
            <v>81.739999999999995</v>
          </cell>
          <cell r="Q92">
            <v>1.5362</v>
          </cell>
          <cell r="R92" t="e">
            <v>#N/A</v>
          </cell>
          <cell r="AI92" t="str">
            <v>OMR Rial Omani</v>
          </cell>
          <cell r="AJ92" t="str">
            <v>OMR</v>
          </cell>
          <cell r="AK92" t="str">
            <v>OMR</v>
          </cell>
          <cell r="AL92" t="str">
            <v>OMR</v>
          </cell>
          <cell r="AM92">
            <v>0</v>
          </cell>
          <cell r="AN92">
            <v>2</v>
          </cell>
        </row>
        <row r="93">
          <cell r="A93">
            <v>39350</v>
          </cell>
          <cell r="B93">
            <v>39350</v>
          </cell>
          <cell r="C93" t="str">
            <v>Past</v>
          </cell>
          <cell r="D93">
            <v>84.3</v>
          </cell>
          <cell r="E93" t="e">
            <v>#N/A</v>
          </cell>
          <cell r="F93" t="e">
            <v>#N/A</v>
          </cell>
          <cell r="G93" t="e">
            <v>#N/A</v>
          </cell>
          <cell r="H93" t="e">
            <v>#N/A</v>
          </cell>
          <cell r="I93" t="e">
            <v>#N/A</v>
          </cell>
          <cell r="J93" t="e">
            <v>#N/A</v>
          </cell>
          <cell r="K93" t="e">
            <v>#N/A</v>
          </cell>
          <cell r="L93" t="e">
            <v>#N/A</v>
          </cell>
          <cell r="M93" t="e">
            <v>#N/A</v>
          </cell>
          <cell r="N93" t="e">
            <v>#N/A</v>
          </cell>
          <cell r="O93" t="e">
            <v>#N/A</v>
          </cell>
          <cell r="P93">
            <v>84.3</v>
          </cell>
          <cell r="Q93">
            <v>1.8545</v>
          </cell>
          <cell r="R93" t="e">
            <v>#N/A</v>
          </cell>
          <cell r="AI93" t="str">
            <v>PAB Panamanian Balboa</v>
          </cell>
          <cell r="AJ93" t="str">
            <v>PAB</v>
          </cell>
          <cell r="AK93" t="str">
            <v>PAB</v>
          </cell>
          <cell r="AL93" t="str">
            <v>PAB</v>
          </cell>
          <cell r="AM93">
            <v>0</v>
          </cell>
          <cell r="AN93">
            <v>2</v>
          </cell>
        </row>
        <row r="94">
          <cell r="A94">
            <v>39351</v>
          </cell>
          <cell r="B94">
            <v>39351</v>
          </cell>
          <cell r="C94" t="str">
            <v>Past</v>
          </cell>
          <cell r="D94">
            <v>84.37</v>
          </cell>
          <cell r="E94" t="e">
            <v>#N/A</v>
          </cell>
          <cell r="F94" t="e">
            <v>#N/A</v>
          </cell>
          <cell r="G94" t="e">
            <v>#N/A</v>
          </cell>
          <cell r="H94" t="e">
            <v>#N/A</v>
          </cell>
          <cell r="I94" t="e">
            <v>#N/A</v>
          </cell>
          <cell r="J94" t="e">
            <v>#N/A</v>
          </cell>
          <cell r="K94" t="e">
            <v>#N/A</v>
          </cell>
          <cell r="L94" t="e">
            <v>#N/A</v>
          </cell>
          <cell r="M94" t="e">
            <v>#N/A</v>
          </cell>
          <cell r="N94" t="e">
            <v>#N/A</v>
          </cell>
          <cell r="O94" t="e">
            <v>#N/A</v>
          </cell>
          <cell r="P94">
            <v>84.37</v>
          </cell>
          <cell r="Q94">
            <v>1.6174999999999999</v>
          </cell>
          <cell r="R94" t="e">
            <v>#N/A</v>
          </cell>
          <cell r="AI94" t="str">
            <v>PEN Peruvian PEN</v>
          </cell>
          <cell r="AJ94" t="str">
            <v>PEN</v>
          </cell>
          <cell r="AK94" t="str">
            <v>PEN</v>
          </cell>
          <cell r="AL94" t="str">
            <v>PEN</v>
          </cell>
          <cell r="AM94">
            <v>0</v>
          </cell>
          <cell r="AN94">
            <v>2</v>
          </cell>
        </row>
        <row r="95">
          <cell r="A95">
            <v>39352</v>
          </cell>
          <cell r="B95">
            <v>39352</v>
          </cell>
          <cell r="C95" t="str">
            <v>Past</v>
          </cell>
          <cell r="D95">
            <v>84.79</v>
          </cell>
          <cell r="E95" t="e">
            <v>#N/A</v>
          </cell>
          <cell r="F95" t="e">
            <v>#N/A</v>
          </cell>
          <cell r="G95" t="e">
            <v>#N/A</v>
          </cell>
          <cell r="H95" t="e">
            <v>#N/A</v>
          </cell>
          <cell r="I95" t="e">
            <v>#N/A</v>
          </cell>
          <cell r="J95" t="e">
            <v>#N/A</v>
          </cell>
          <cell r="K95" t="e">
            <v>#N/A</v>
          </cell>
          <cell r="L95" t="e">
            <v>#N/A</v>
          </cell>
          <cell r="M95" t="e">
            <v>#N/A</v>
          </cell>
          <cell r="N95" t="e">
            <v>#N/A</v>
          </cell>
          <cell r="O95" t="e">
            <v>#N/A</v>
          </cell>
          <cell r="P95">
            <v>84.79</v>
          </cell>
          <cell r="Q95">
            <v>1.0502</v>
          </cell>
          <cell r="R95" t="e">
            <v>#N/A</v>
          </cell>
          <cell r="AI95" t="str">
            <v>PHP Philippino Peso</v>
          </cell>
          <cell r="AJ95" t="str">
            <v>PP</v>
          </cell>
          <cell r="AK95" t="str">
            <v>PHP</v>
          </cell>
          <cell r="AL95" t="str">
            <v>PHP</v>
          </cell>
          <cell r="AM95">
            <v>0</v>
          </cell>
          <cell r="AN95">
            <v>2</v>
          </cell>
        </row>
        <row r="96">
          <cell r="A96">
            <v>39353</v>
          </cell>
          <cell r="B96">
            <v>39353</v>
          </cell>
          <cell r="C96" t="str">
            <v>Past</v>
          </cell>
          <cell r="D96">
            <v>84.47</v>
          </cell>
          <cell r="E96" t="e">
            <v>#N/A</v>
          </cell>
          <cell r="F96" t="e">
            <v>#N/A</v>
          </cell>
          <cell r="G96" t="e">
            <v>#N/A</v>
          </cell>
          <cell r="H96" t="e">
            <v>#N/A</v>
          </cell>
          <cell r="I96" t="e">
            <v>#N/A</v>
          </cell>
          <cell r="J96" t="e">
            <v>#N/A</v>
          </cell>
          <cell r="K96" t="e">
            <v>#N/A</v>
          </cell>
          <cell r="L96" t="e">
            <v>#N/A</v>
          </cell>
          <cell r="M96" t="e">
            <v>#N/A</v>
          </cell>
          <cell r="N96" t="e">
            <v>#N/A</v>
          </cell>
          <cell r="O96" t="e">
            <v>#N/A</v>
          </cell>
          <cell r="P96">
            <v>84.47</v>
          </cell>
          <cell r="Q96">
            <v>1.566506</v>
          </cell>
          <cell r="R96" t="e">
            <v>#N/A</v>
          </cell>
          <cell r="AI96" t="str">
            <v>PKR Pakistani Rupee</v>
          </cell>
          <cell r="AJ96" t="str">
            <v>Rs.</v>
          </cell>
          <cell r="AK96" t="str">
            <v>PKR</v>
          </cell>
          <cell r="AL96" t="str">
            <v>PKR</v>
          </cell>
          <cell r="AM96">
            <v>0</v>
          </cell>
          <cell r="AN96">
            <v>2</v>
          </cell>
        </row>
        <row r="97">
          <cell r="A97">
            <v>39356</v>
          </cell>
          <cell r="B97">
            <v>39356</v>
          </cell>
          <cell r="C97" t="str">
            <v>Past</v>
          </cell>
          <cell r="D97">
            <v>84.51</v>
          </cell>
          <cell r="E97" t="e">
            <v>#N/A</v>
          </cell>
          <cell r="F97" t="e">
            <v>#N/A</v>
          </cell>
          <cell r="G97" t="e">
            <v>#N/A</v>
          </cell>
          <cell r="H97" t="e">
            <v>#N/A</v>
          </cell>
          <cell r="I97" t="e">
            <v>#N/A</v>
          </cell>
          <cell r="J97" t="e">
            <v>#N/A</v>
          </cell>
          <cell r="K97" t="e">
            <v>#N/A</v>
          </cell>
          <cell r="L97" t="e">
            <v>#N/A</v>
          </cell>
          <cell r="M97" t="e">
            <v>#N/A</v>
          </cell>
          <cell r="N97" t="e">
            <v>#N/A</v>
          </cell>
          <cell r="O97" t="e">
            <v>#N/A</v>
          </cell>
          <cell r="P97">
            <v>84.51</v>
          </cell>
          <cell r="Q97">
            <v>1.9405000000000001</v>
          </cell>
          <cell r="R97" t="e">
            <v>#N/A</v>
          </cell>
          <cell r="AI97" t="str">
            <v>PLN Polish Zloty</v>
          </cell>
          <cell r="AJ97" t="str">
            <v>zł</v>
          </cell>
          <cell r="AK97" t="str">
            <v>PLN</v>
          </cell>
          <cell r="AL97" t="str">
            <v>PLN</v>
          </cell>
          <cell r="AM97">
            <v>0</v>
          </cell>
          <cell r="AN97">
            <v>2</v>
          </cell>
        </row>
        <row r="98">
          <cell r="A98">
            <v>39357</v>
          </cell>
          <cell r="B98">
            <v>39357</v>
          </cell>
          <cell r="C98" t="str">
            <v>Past</v>
          </cell>
          <cell r="D98">
            <v>83.35</v>
          </cell>
          <cell r="E98" t="e">
            <v>#N/A</v>
          </cell>
          <cell r="F98" t="e">
            <v>#N/A</v>
          </cell>
          <cell r="G98" t="e">
            <v>#N/A</v>
          </cell>
          <cell r="H98" t="e">
            <v>#N/A</v>
          </cell>
          <cell r="I98" t="e">
            <v>#N/A</v>
          </cell>
          <cell r="J98" t="e">
            <v>#N/A</v>
          </cell>
          <cell r="K98" t="e">
            <v>#N/A</v>
          </cell>
          <cell r="L98" t="e">
            <v>#N/A</v>
          </cell>
          <cell r="M98" t="e">
            <v>#N/A</v>
          </cell>
          <cell r="N98" t="e">
            <v>#N/A</v>
          </cell>
          <cell r="O98" t="e">
            <v>#N/A</v>
          </cell>
          <cell r="P98">
            <v>83.35</v>
          </cell>
          <cell r="Q98">
            <v>2.4380000000000002</v>
          </cell>
          <cell r="R98" t="e">
            <v>#N/A</v>
          </cell>
          <cell r="AI98" t="str">
            <v>RUB Russian Rouble</v>
          </cell>
          <cell r="AJ98" t="str">
            <v>RUB</v>
          </cell>
          <cell r="AK98" t="str">
            <v>RUB</v>
          </cell>
          <cell r="AL98" t="str">
            <v>RUB</v>
          </cell>
          <cell r="AM98">
            <v>0</v>
          </cell>
          <cell r="AN98">
            <v>2</v>
          </cell>
        </row>
        <row r="99">
          <cell r="A99">
            <v>39358</v>
          </cell>
          <cell r="B99">
            <v>39358</v>
          </cell>
          <cell r="C99" t="str">
            <v>Past</v>
          </cell>
          <cell r="D99">
            <v>83.27</v>
          </cell>
          <cell r="E99" t="e">
            <v>#N/A</v>
          </cell>
          <cell r="F99" t="e">
            <v>#N/A</v>
          </cell>
          <cell r="G99" t="e">
            <v>#N/A</v>
          </cell>
          <cell r="H99" t="e">
            <v>#N/A</v>
          </cell>
          <cell r="I99" t="e">
            <v>#N/A</v>
          </cell>
          <cell r="J99" t="e">
            <v>#N/A</v>
          </cell>
          <cell r="K99" t="e">
            <v>#N/A</v>
          </cell>
          <cell r="L99" t="e">
            <v>#N/A</v>
          </cell>
          <cell r="M99" t="e">
            <v>#N/A</v>
          </cell>
          <cell r="N99" t="e">
            <v>#N/A</v>
          </cell>
          <cell r="O99" t="e">
            <v>#N/A</v>
          </cell>
          <cell r="P99">
            <v>83.27</v>
          </cell>
          <cell r="Q99">
            <v>1.276</v>
          </cell>
          <cell r="R99" t="e">
            <v>#N/A</v>
          </cell>
          <cell r="AI99" t="str">
            <v>SAR Saudi Riyal</v>
          </cell>
          <cell r="AJ99" t="str">
            <v>SAR</v>
          </cell>
          <cell r="AK99" t="str">
            <v>SAR</v>
          </cell>
          <cell r="AL99" t="str">
            <v>SAR</v>
          </cell>
          <cell r="AM99">
            <v>0</v>
          </cell>
          <cell r="AN99">
            <v>2</v>
          </cell>
        </row>
        <row r="100">
          <cell r="A100">
            <v>39359</v>
          </cell>
          <cell r="B100">
            <v>39359</v>
          </cell>
          <cell r="C100" t="str">
            <v>Past</v>
          </cell>
          <cell r="D100">
            <v>83.8</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83.8</v>
          </cell>
          <cell r="Q100">
            <v>0.76380000000000003</v>
          </cell>
          <cell r="R100" t="e">
            <v>#N/A</v>
          </cell>
          <cell r="AI100" t="str">
            <v>SEK Swedish Krona</v>
          </cell>
          <cell r="AJ100" t="str">
            <v>SKr</v>
          </cell>
          <cell r="AK100" t="str">
            <v>SEK</v>
          </cell>
          <cell r="AL100" t="str">
            <v>SEK</v>
          </cell>
          <cell r="AM100">
            <v>0</v>
          </cell>
          <cell r="AN100">
            <v>2</v>
          </cell>
        </row>
        <row r="101">
          <cell r="A101">
            <v>39360</v>
          </cell>
          <cell r="B101">
            <v>39360</v>
          </cell>
          <cell r="C101" t="str">
            <v>Past</v>
          </cell>
          <cell r="D101">
            <v>84.06</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84.06</v>
          </cell>
          <cell r="Q101">
            <v>1.0105</v>
          </cell>
          <cell r="R101" t="e">
            <v>#N/A</v>
          </cell>
          <cell r="AI101" t="str">
            <v>SGD Singapore Dollar</v>
          </cell>
          <cell r="AJ101" t="str">
            <v>S$</v>
          </cell>
          <cell r="AK101" t="str">
            <v>SGD</v>
          </cell>
          <cell r="AL101" t="str">
            <v>SGD</v>
          </cell>
          <cell r="AM101">
            <v>0</v>
          </cell>
          <cell r="AN101">
            <v>2</v>
          </cell>
        </row>
        <row r="102">
          <cell r="A102">
            <v>39363</v>
          </cell>
          <cell r="B102">
            <v>39363</v>
          </cell>
          <cell r="C102" t="str">
            <v>Past</v>
          </cell>
          <cell r="D102">
            <v>85.9</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85.9</v>
          </cell>
          <cell r="Q102">
            <v>1.405489</v>
          </cell>
          <cell r="R102" t="e">
            <v>#N/A</v>
          </cell>
          <cell r="AI102" t="str">
            <v>THB Thailand Baht</v>
          </cell>
          <cell r="AJ102" t="str">
            <v>Bt</v>
          </cell>
          <cell r="AK102" t="str">
            <v>THB</v>
          </cell>
          <cell r="AL102" t="str">
            <v>THB</v>
          </cell>
          <cell r="AM102">
            <v>0</v>
          </cell>
          <cell r="AN102">
            <v>2</v>
          </cell>
        </row>
        <row r="103">
          <cell r="A103">
            <v>39364</v>
          </cell>
          <cell r="B103">
            <v>39364</v>
          </cell>
          <cell r="C103" t="str">
            <v>Past</v>
          </cell>
          <cell r="D103">
            <v>87.17</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87.17</v>
          </cell>
          <cell r="Q103">
            <v>1.3877000000000002</v>
          </cell>
          <cell r="R103" t="e">
            <v>#N/A</v>
          </cell>
          <cell r="AI103" t="str">
            <v>TND Tunisian Dinar</v>
          </cell>
          <cell r="AJ103" t="str">
            <v>TND</v>
          </cell>
          <cell r="AK103" t="str">
            <v>TND</v>
          </cell>
          <cell r="AL103" t="str">
            <v>TND</v>
          </cell>
          <cell r="AM103">
            <v>0</v>
          </cell>
          <cell r="AN103">
            <v>2</v>
          </cell>
        </row>
        <row r="104">
          <cell r="A104">
            <v>39365</v>
          </cell>
          <cell r="B104">
            <v>39365</v>
          </cell>
          <cell r="C104" t="str">
            <v>Past</v>
          </cell>
          <cell r="D104">
            <v>85.98</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85.98</v>
          </cell>
          <cell r="Q104">
            <v>1.440015</v>
          </cell>
          <cell r="R104" t="e">
            <v>#N/A</v>
          </cell>
          <cell r="AI104" t="str">
            <v>TRY Turkish Lira</v>
          </cell>
          <cell r="AJ104" t="str">
            <v>YTL</v>
          </cell>
          <cell r="AK104" t="str">
            <v>TRY</v>
          </cell>
          <cell r="AL104" t="str">
            <v>TRY</v>
          </cell>
          <cell r="AM104">
            <v>0</v>
          </cell>
          <cell r="AN104">
            <v>2</v>
          </cell>
        </row>
        <row r="105">
          <cell r="A105">
            <v>39366</v>
          </cell>
          <cell r="B105">
            <v>39366</v>
          </cell>
          <cell r="C105" t="str">
            <v>Past</v>
          </cell>
          <cell r="D105">
            <v>87.01</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87.01</v>
          </cell>
          <cell r="Q105">
            <v>1.6574</v>
          </cell>
          <cell r="R105" t="e">
            <v>#N/A</v>
          </cell>
          <cell r="AI105" t="str">
            <v>TWD New Taiwan Dollar</v>
          </cell>
          <cell r="AJ105" t="str">
            <v>NT$</v>
          </cell>
          <cell r="AK105" t="str">
            <v>TWD</v>
          </cell>
          <cell r="AL105" t="str">
            <v>TWD</v>
          </cell>
          <cell r="AM105">
            <v>0</v>
          </cell>
          <cell r="AN105">
            <v>2</v>
          </cell>
        </row>
        <row r="106">
          <cell r="A106">
            <v>39367</v>
          </cell>
          <cell r="B106">
            <v>39367</v>
          </cell>
          <cell r="C106" t="str">
            <v>Past</v>
          </cell>
          <cell r="D106">
            <v>89.01</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89.01</v>
          </cell>
          <cell r="Q106">
            <v>1.603853</v>
          </cell>
          <cell r="R106" t="e">
            <v>#N/A</v>
          </cell>
          <cell r="AI106" t="str">
            <v>UAH Ukrainian Hryvnia</v>
          </cell>
          <cell r="AJ106" t="str">
            <v>UAH</v>
          </cell>
          <cell r="AK106" t="str">
            <v>UAH</v>
          </cell>
          <cell r="AL106" t="str">
            <v>UAH</v>
          </cell>
          <cell r="AM106">
            <v>0</v>
          </cell>
          <cell r="AN106">
            <v>2</v>
          </cell>
        </row>
        <row r="107">
          <cell r="A107">
            <v>39370</v>
          </cell>
          <cell r="B107">
            <v>39370</v>
          </cell>
          <cell r="C107" t="str">
            <v>Past</v>
          </cell>
          <cell r="D107">
            <v>88.95</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88.95</v>
          </cell>
          <cell r="Q107">
            <v>2.1007000000000002</v>
          </cell>
          <cell r="R107" t="e">
            <v>#N/A</v>
          </cell>
          <cell r="AI107" t="str">
            <v>USD American Dollar</v>
          </cell>
          <cell r="AJ107" t="str">
            <v>$</v>
          </cell>
          <cell r="AK107" t="str">
            <v>USD</v>
          </cell>
          <cell r="AL107" t="str">
            <v>USD</v>
          </cell>
          <cell r="AM107">
            <v>0</v>
          </cell>
          <cell r="AN107">
            <v>2</v>
          </cell>
        </row>
        <row r="108">
          <cell r="A108">
            <v>39371</v>
          </cell>
          <cell r="B108">
            <v>39371</v>
          </cell>
          <cell r="C108" t="str">
            <v>Past</v>
          </cell>
          <cell r="D108">
            <v>88.18</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88.18</v>
          </cell>
          <cell r="Q108">
            <v>1.2603</v>
          </cell>
          <cell r="R108" t="e">
            <v>#N/A</v>
          </cell>
          <cell r="AI108" t="str">
            <v>VEB Venezuelan Bolivar</v>
          </cell>
          <cell r="AJ108" t="str">
            <v>VEB</v>
          </cell>
          <cell r="AK108" t="str">
            <v>VEB</v>
          </cell>
          <cell r="AL108" t="str">
            <v>VEB</v>
          </cell>
          <cell r="AM108">
            <v>0</v>
          </cell>
          <cell r="AN108">
            <v>2</v>
          </cell>
        </row>
        <row r="109">
          <cell r="A109">
            <v>39372</v>
          </cell>
          <cell r="B109">
            <v>39372</v>
          </cell>
          <cell r="C109" t="str">
            <v>Past</v>
          </cell>
          <cell r="D109">
            <v>87.31</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87.31</v>
          </cell>
          <cell r="Q109">
            <v>1.4900500000000001</v>
          </cell>
          <cell r="R109" t="e">
            <v>#N/A</v>
          </cell>
          <cell r="AI109" t="str">
            <v>ZAR South African rand</v>
          </cell>
          <cell r="AJ109" t="str">
            <v>ZAR</v>
          </cell>
          <cell r="AK109" t="str">
            <v>ZAR</v>
          </cell>
          <cell r="AL109" t="str">
            <v>ZAR</v>
          </cell>
          <cell r="AM109">
            <v>0</v>
          </cell>
          <cell r="AN109">
            <v>2</v>
          </cell>
        </row>
        <row r="110">
          <cell r="A110">
            <v>39373</v>
          </cell>
          <cell r="B110">
            <v>39373</v>
          </cell>
          <cell r="C110" t="str">
            <v>Past</v>
          </cell>
          <cell r="D110">
            <v>87.74</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87.74</v>
          </cell>
          <cell r="Q110">
            <v>0.86370000000000002</v>
          </cell>
          <cell r="R110" t="e">
            <v>#N/A</v>
          </cell>
        </row>
        <row r="111">
          <cell r="A111">
            <v>39374</v>
          </cell>
          <cell r="B111">
            <v>39374</v>
          </cell>
          <cell r="C111" t="str">
            <v>Past</v>
          </cell>
          <cell r="D111">
            <v>85.47</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85.47</v>
          </cell>
          <cell r="Q111">
            <v>1.7183000000000002</v>
          </cell>
          <cell r="R111" t="e">
            <v>#N/A</v>
          </cell>
        </row>
        <row r="112">
          <cell r="A112">
            <v>39377</v>
          </cell>
          <cell r="B112">
            <v>39377</v>
          </cell>
          <cell r="C112" t="str">
            <v>Past</v>
          </cell>
          <cell r="D112">
            <v>85.94</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85.94</v>
          </cell>
          <cell r="Q112">
            <v>1.1211</v>
          </cell>
          <cell r="R112" t="e">
            <v>#N/A</v>
          </cell>
        </row>
        <row r="113">
          <cell r="A113">
            <v>39378</v>
          </cell>
          <cell r="B113">
            <v>39378</v>
          </cell>
          <cell r="C113" t="str">
            <v>Past</v>
          </cell>
          <cell r="D113">
            <v>87.1</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87.1</v>
          </cell>
          <cell r="Q113">
            <v>1.1406000000000001</v>
          </cell>
          <cell r="R113" t="e">
            <v>#N/A</v>
          </cell>
        </row>
        <row r="114">
          <cell r="A114">
            <v>39379</v>
          </cell>
          <cell r="B114">
            <v>39379</v>
          </cell>
          <cell r="C114" t="str">
            <v>Past</v>
          </cell>
          <cell r="D114">
            <v>90</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90</v>
          </cell>
          <cell r="Q114">
            <v>3.4662000000000002</v>
          </cell>
          <cell r="R114" t="e">
            <v>#N/A</v>
          </cell>
        </row>
        <row r="115">
          <cell r="A115">
            <v>39380</v>
          </cell>
          <cell r="B115">
            <v>39380</v>
          </cell>
          <cell r="C115" t="str">
            <v>Past</v>
          </cell>
          <cell r="D115">
            <v>90.38</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90.38</v>
          </cell>
          <cell r="Q115">
            <v>2.7833000000000001</v>
          </cell>
          <cell r="R115" t="e">
            <v>#N/A</v>
          </cell>
        </row>
        <row r="116">
          <cell r="A116">
            <v>39381</v>
          </cell>
          <cell r="B116">
            <v>39381</v>
          </cell>
          <cell r="C116" t="str">
            <v>Past</v>
          </cell>
          <cell r="D116">
            <v>91.23</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91.23</v>
          </cell>
          <cell r="Q116">
            <v>1.5422</v>
          </cell>
          <cell r="R116" t="e">
            <v>#N/A</v>
          </cell>
        </row>
        <row r="117">
          <cell r="A117">
            <v>39384</v>
          </cell>
          <cell r="B117">
            <v>39384</v>
          </cell>
          <cell r="C117" t="str">
            <v>Past</v>
          </cell>
          <cell r="D117">
            <v>90.45</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90.45</v>
          </cell>
          <cell r="Q117">
            <v>1.7682700000000002</v>
          </cell>
          <cell r="R117" t="e">
            <v>#N/A</v>
          </cell>
        </row>
        <row r="118">
          <cell r="A118">
            <v>39385</v>
          </cell>
          <cell r="B118">
            <v>39385</v>
          </cell>
          <cell r="C118" t="str">
            <v>Past</v>
          </cell>
          <cell r="D118">
            <v>89.98</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89.98</v>
          </cell>
          <cell r="Q118">
            <v>1.5804</v>
          </cell>
          <cell r="R118" t="e">
            <v>#N/A</v>
          </cell>
        </row>
        <row r="119">
          <cell r="A119">
            <v>39386</v>
          </cell>
          <cell r="B119">
            <v>39386</v>
          </cell>
          <cell r="C119" t="str">
            <v>Past</v>
          </cell>
          <cell r="D119">
            <v>90.96</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90.96</v>
          </cell>
          <cell r="Q119">
            <v>1.4225000000000001</v>
          </cell>
          <cell r="R119" t="e">
            <v>#N/A</v>
          </cell>
        </row>
        <row r="120">
          <cell r="A120">
            <v>39387</v>
          </cell>
          <cell r="B120">
            <v>39387</v>
          </cell>
          <cell r="C120" t="str">
            <v>Past</v>
          </cell>
          <cell r="D120">
            <v>89.92</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89.92</v>
          </cell>
          <cell r="Q120">
            <v>2.2279</v>
          </cell>
          <cell r="R120" t="e">
            <v>#N/A</v>
          </cell>
        </row>
        <row r="121">
          <cell r="A121">
            <v>39388</v>
          </cell>
          <cell r="B121">
            <v>39388</v>
          </cell>
          <cell r="C121" t="str">
            <v>Past</v>
          </cell>
          <cell r="D121">
            <v>90.13</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90.13</v>
          </cell>
          <cell r="Q121">
            <v>1.5527</v>
          </cell>
          <cell r="R121" t="e">
            <v>#N/A</v>
          </cell>
        </row>
        <row r="122">
          <cell r="A122">
            <v>39391</v>
          </cell>
          <cell r="B122">
            <v>39391</v>
          </cell>
          <cell r="C122" t="str">
            <v>Past</v>
          </cell>
          <cell r="D122">
            <v>91.85</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91.85</v>
          </cell>
          <cell r="Q122">
            <v>2.0296379999999998</v>
          </cell>
          <cell r="R122" t="e">
            <v>#N/A</v>
          </cell>
        </row>
        <row r="123">
          <cell r="A123">
            <v>39392</v>
          </cell>
          <cell r="B123">
            <v>39392</v>
          </cell>
          <cell r="C123" t="str">
            <v>Past</v>
          </cell>
          <cell r="D123">
            <v>93.52</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93.52</v>
          </cell>
          <cell r="Q123">
            <v>2.331016</v>
          </cell>
          <cell r="R123" t="e">
            <v>#N/A</v>
          </cell>
        </row>
        <row r="124">
          <cell r="A124">
            <v>39393</v>
          </cell>
          <cell r="B124">
            <v>39393</v>
          </cell>
          <cell r="C124" t="str">
            <v>Past</v>
          </cell>
          <cell r="D124">
            <v>90.46</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90.46</v>
          </cell>
          <cell r="Q124">
            <v>1.9924500000000001</v>
          </cell>
          <cell r="R124" t="e">
            <v>#N/A</v>
          </cell>
        </row>
        <row r="125">
          <cell r="A125">
            <v>39394</v>
          </cell>
          <cell r="B125">
            <v>39394</v>
          </cell>
          <cell r="C125" t="str">
            <v>Past</v>
          </cell>
          <cell r="D125">
            <v>90.94</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90.94</v>
          </cell>
          <cell r="Q125">
            <v>2.6257239999999999</v>
          </cell>
          <cell r="R125" t="e">
            <v>#N/A</v>
          </cell>
        </row>
        <row r="126">
          <cell r="A126">
            <v>39395</v>
          </cell>
          <cell r="B126">
            <v>39395</v>
          </cell>
          <cell r="C126" t="str">
            <v>Past</v>
          </cell>
          <cell r="D126">
            <v>88.24</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88.24</v>
          </cell>
          <cell r="Q126">
            <v>2.3877359999999999</v>
          </cell>
          <cell r="R126" t="e">
            <v>#N/A</v>
          </cell>
        </row>
        <row r="127">
          <cell r="A127">
            <v>39398</v>
          </cell>
          <cell r="B127">
            <v>39398</v>
          </cell>
          <cell r="C127" t="str">
            <v>Past</v>
          </cell>
          <cell r="D127">
            <v>86.76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86.76</v>
          </cell>
          <cell r="Q127">
            <v>2.0103740000000001</v>
          </cell>
          <cell r="R127" t="e">
            <v>#N/A</v>
          </cell>
        </row>
        <row r="128">
          <cell r="A128">
            <v>39399</v>
          </cell>
          <cell r="B128">
            <v>39399</v>
          </cell>
          <cell r="C128" t="str">
            <v>Past</v>
          </cell>
          <cell r="D128">
            <v>88.34</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88.34</v>
          </cell>
          <cell r="Q128">
            <v>2.8575809999999997</v>
          </cell>
          <cell r="R128" t="e">
            <v>#N/A</v>
          </cell>
        </row>
        <row r="129">
          <cell r="A129">
            <v>39400</v>
          </cell>
          <cell r="B129">
            <v>39400</v>
          </cell>
          <cell r="C129" t="str">
            <v>Past</v>
          </cell>
          <cell r="D129">
            <v>88.48</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88.48</v>
          </cell>
          <cell r="Q129">
            <v>2.0508139999999999</v>
          </cell>
          <cell r="R129" t="e">
            <v>#N/A</v>
          </cell>
        </row>
        <row r="130">
          <cell r="A130">
            <v>39401</v>
          </cell>
          <cell r="B130">
            <v>39401</v>
          </cell>
          <cell r="C130" t="str">
            <v>Past</v>
          </cell>
          <cell r="D130">
            <v>88.01</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88.01</v>
          </cell>
          <cell r="Q130">
            <v>1.7160229999999999</v>
          </cell>
          <cell r="R130" t="e">
            <v>#N/A</v>
          </cell>
        </row>
        <row r="131">
          <cell r="A131">
            <v>39402</v>
          </cell>
          <cell r="B131">
            <v>39402</v>
          </cell>
          <cell r="C131" t="str">
            <v>Past</v>
          </cell>
          <cell r="D131">
            <v>89.75</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89.75</v>
          </cell>
          <cell r="Q131">
            <v>2.3777749999999997</v>
          </cell>
          <cell r="R131" t="e">
            <v>#N/A</v>
          </cell>
        </row>
        <row r="132">
          <cell r="A132">
            <v>39405</v>
          </cell>
          <cell r="B132">
            <v>39405</v>
          </cell>
          <cell r="C132" t="str">
            <v>Past</v>
          </cell>
          <cell r="D132">
            <v>88.45</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88.45</v>
          </cell>
          <cell r="Q132">
            <v>1.9615</v>
          </cell>
          <cell r="R132" t="e">
            <v>#N/A</v>
          </cell>
        </row>
        <row r="133">
          <cell r="A133">
            <v>39406</v>
          </cell>
          <cell r="B133">
            <v>39406</v>
          </cell>
          <cell r="C133" t="str">
            <v>Past</v>
          </cell>
          <cell r="D133">
            <v>88.46</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88.46</v>
          </cell>
          <cell r="Q133">
            <v>1.8718619999999999</v>
          </cell>
          <cell r="R133" t="e">
            <v>#N/A</v>
          </cell>
        </row>
        <row r="134">
          <cell r="A134">
            <v>39407</v>
          </cell>
          <cell r="B134">
            <v>39407</v>
          </cell>
          <cell r="C134" t="str">
            <v>Past</v>
          </cell>
          <cell r="D134">
            <v>86.79</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86.79</v>
          </cell>
          <cell r="Q134">
            <v>1.2158100000000001</v>
          </cell>
          <cell r="R134" t="e">
            <v>#N/A</v>
          </cell>
        </row>
        <row r="135">
          <cell r="A135">
            <v>39409</v>
          </cell>
          <cell r="B135">
            <v>39409</v>
          </cell>
          <cell r="C135" t="str">
            <v>Past</v>
          </cell>
          <cell r="D135">
            <v>88.5</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88.5</v>
          </cell>
          <cell r="Q135">
            <v>0.66964099999999993</v>
          </cell>
          <cell r="R135" t="e">
            <v>#N/A</v>
          </cell>
        </row>
        <row r="136">
          <cell r="A136">
            <v>39412</v>
          </cell>
          <cell r="B136">
            <v>39412</v>
          </cell>
          <cell r="C136" t="str">
            <v>Past</v>
          </cell>
          <cell r="D136">
            <v>87.3</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87.3</v>
          </cell>
          <cell r="Q136">
            <v>1.590965</v>
          </cell>
          <cell r="R136" t="e">
            <v>#N/A</v>
          </cell>
        </row>
        <row r="137">
          <cell r="A137">
            <v>39413</v>
          </cell>
          <cell r="B137">
            <v>39413</v>
          </cell>
          <cell r="C137" t="str">
            <v>Past</v>
          </cell>
          <cell r="D137">
            <v>88.23</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88.23</v>
          </cell>
          <cell r="Q137">
            <v>2.1616619999999998</v>
          </cell>
          <cell r="R137" t="e">
            <v>#N/A</v>
          </cell>
        </row>
        <row r="138">
          <cell r="A138">
            <v>39414</v>
          </cell>
          <cell r="B138">
            <v>39414</v>
          </cell>
          <cell r="C138" t="str">
            <v>Past</v>
          </cell>
          <cell r="D138">
            <v>90.02</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90.02</v>
          </cell>
          <cell r="Q138">
            <v>1.879346</v>
          </cell>
          <cell r="R138" t="e">
            <v>#N/A</v>
          </cell>
        </row>
        <row r="139">
          <cell r="A139">
            <v>39415</v>
          </cell>
          <cell r="B139">
            <v>39415</v>
          </cell>
          <cell r="C139" t="str">
            <v>Past</v>
          </cell>
          <cell r="D139">
            <v>88.78</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88.78</v>
          </cell>
          <cell r="Q139">
            <v>1.8478029999999999</v>
          </cell>
          <cell r="R139" t="e">
            <v>#N/A</v>
          </cell>
        </row>
        <row r="140">
          <cell r="A140">
            <v>39416</v>
          </cell>
          <cell r="B140">
            <v>39416</v>
          </cell>
          <cell r="C140" t="str">
            <v>Past</v>
          </cell>
          <cell r="D140">
            <v>88.78</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88.78</v>
          </cell>
          <cell r="Q140">
            <v>1.9213600000000002</v>
          </cell>
          <cell r="R140" t="e">
            <v>#N/A</v>
          </cell>
        </row>
        <row r="141">
          <cell r="A141">
            <v>39419</v>
          </cell>
          <cell r="B141">
            <v>39419</v>
          </cell>
          <cell r="C141" t="str">
            <v>Past</v>
          </cell>
          <cell r="D141">
            <v>89.01</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89.01</v>
          </cell>
          <cell r="Q141">
            <v>1.4937319999999998</v>
          </cell>
          <cell r="R141" t="e">
            <v>#N/A</v>
          </cell>
        </row>
        <row r="142">
          <cell r="A142">
            <v>39420</v>
          </cell>
          <cell r="B142">
            <v>39420</v>
          </cell>
          <cell r="C142" t="str">
            <v>Past</v>
          </cell>
          <cell r="D142">
            <v>89.86</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89.86</v>
          </cell>
          <cell r="Q142">
            <v>1.7155</v>
          </cell>
          <cell r="R142" t="e">
            <v>#N/A</v>
          </cell>
        </row>
        <row r="143">
          <cell r="A143">
            <v>39421</v>
          </cell>
          <cell r="B143">
            <v>39421</v>
          </cell>
          <cell r="C143" t="str">
            <v>Past</v>
          </cell>
          <cell r="D143">
            <v>92.43</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92.43</v>
          </cell>
          <cell r="Q143">
            <v>2.3766750000000001</v>
          </cell>
          <cell r="R143" t="e">
            <v>#N/A</v>
          </cell>
        </row>
        <row r="144">
          <cell r="A144">
            <v>39422</v>
          </cell>
          <cell r="B144">
            <v>39422</v>
          </cell>
          <cell r="C144" t="str">
            <v>Past</v>
          </cell>
          <cell r="D144">
            <v>93.07</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93.07</v>
          </cell>
          <cell r="Q144">
            <v>2.6076459999999999</v>
          </cell>
          <cell r="R144" t="e">
            <v>#N/A</v>
          </cell>
        </row>
        <row r="145">
          <cell r="A145">
            <v>39423</v>
          </cell>
          <cell r="B145">
            <v>39423</v>
          </cell>
          <cell r="C145" t="str">
            <v>Past</v>
          </cell>
          <cell r="D145">
            <v>93.68</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93.68</v>
          </cell>
          <cell r="Q145">
            <v>1.6725909999999999</v>
          </cell>
          <cell r="R145" t="e">
            <v>#N/A</v>
          </cell>
        </row>
        <row r="146">
          <cell r="A146">
            <v>39426</v>
          </cell>
          <cell r="B146">
            <v>39426</v>
          </cell>
          <cell r="C146" t="str">
            <v>Past</v>
          </cell>
          <cell r="D146">
            <v>94</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94</v>
          </cell>
          <cell r="Q146">
            <v>1.4330879999999999</v>
          </cell>
          <cell r="R146" t="e">
            <v>#N/A</v>
          </cell>
        </row>
        <row r="147">
          <cell r="A147">
            <v>39427</v>
          </cell>
          <cell r="B147">
            <v>39427</v>
          </cell>
          <cell r="C147" t="str">
            <v>Past</v>
          </cell>
          <cell r="D147">
            <v>91.29</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91.29</v>
          </cell>
          <cell r="Q147">
            <v>1.785258</v>
          </cell>
          <cell r="R147" t="e">
            <v>#N/A</v>
          </cell>
        </row>
        <row r="148">
          <cell r="A148">
            <v>39428</v>
          </cell>
          <cell r="B148">
            <v>39428</v>
          </cell>
          <cell r="C148" t="str">
            <v>Past</v>
          </cell>
          <cell r="D148">
            <v>91.68</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91.68</v>
          </cell>
          <cell r="Q148">
            <v>1.9419689999999998</v>
          </cell>
          <cell r="R148" t="e">
            <v>#N/A</v>
          </cell>
        </row>
        <row r="149">
          <cell r="A149">
            <v>39429</v>
          </cell>
          <cell r="B149">
            <v>39429</v>
          </cell>
          <cell r="C149" t="str">
            <v>Past</v>
          </cell>
          <cell r="D149">
            <v>92.76</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92.76</v>
          </cell>
          <cell r="Q149">
            <v>1.4335769999999999</v>
          </cell>
          <cell r="R149" t="e">
            <v>#N/A</v>
          </cell>
        </row>
        <row r="150">
          <cell r="A150">
            <v>39430</v>
          </cell>
          <cell r="B150">
            <v>39430</v>
          </cell>
          <cell r="C150" t="str">
            <v>Past</v>
          </cell>
          <cell r="D150">
            <v>91.44</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91.44</v>
          </cell>
          <cell r="Q150">
            <v>1.2447000000000001</v>
          </cell>
          <cell r="R150" t="e">
            <v>#N/A</v>
          </cell>
        </row>
        <row r="151">
          <cell r="A151">
            <v>39433</v>
          </cell>
          <cell r="B151">
            <v>39433</v>
          </cell>
          <cell r="C151" t="str">
            <v>Past</v>
          </cell>
          <cell r="D151">
            <v>89.6</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89.6</v>
          </cell>
          <cell r="Q151">
            <v>1.310638</v>
          </cell>
          <cell r="R151" t="e">
            <v>#N/A</v>
          </cell>
        </row>
        <row r="152">
          <cell r="A152">
            <v>39434</v>
          </cell>
          <cell r="B152">
            <v>39434</v>
          </cell>
          <cell r="C152" t="str">
            <v>Past</v>
          </cell>
          <cell r="D152">
            <v>88.28</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88.28</v>
          </cell>
          <cell r="Q152">
            <v>2.665708</v>
          </cell>
          <cell r="R152" t="e">
            <v>#N/A</v>
          </cell>
        </row>
        <row r="153">
          <cell r="A153">
            <v>39435</v>
          </cell>
          <cell r="B153">
            <v>39435</v>
          </cell>
          <cell r="C153" t="str">
            <v>Past</v>
          </cell>
          <cell r="D153">
            <v>88.12</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88.12</v>
          </cell>
          <cell r="Q153">
            <v>1.494731</v>
          </cell>
          <cell r="R153" t="e">
            <v>#N/A</v>
          </cell>
        </row>
        <row r="154">
          <cell r="A154">
            <v>39436</v>
          </cell>
          <cell r="B154">
            <v>39436</v>
          </cell>
          <cell r="C154" t="str">
            <v>Past</v>
          </cell>
          <cell r="D154">
            <v>88.41</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88.41</v>
          </cell>
          <cell r="Q154">
            <v>1.2489109999999999</v>
          </cell>
          <cell r="R154" t="e">
            <v>#N/A</v>
          </cell>
        </row>
        <row r="155">
          <cell r="A155">
            <v>39437</v>
          </cell>
          <cell r="B155">
            <v>39437</v>
          </cell>
          <cell r="C155" t="str">
            <v>Past</v>
          </cell>
          <cell r="D155">
            <v>89.24</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89.24</v>
          </cell>
          <cell r="Q155">
            <v>2.1890900000000002</v>
          </cell>
          <cell r="R155" t="e">
            <v>#N/A</v>
          </cell>
        </row>
        <row r="156">
          <cell r="A156">
            <v>39440</v>
          </cell>
          <cell r="B156">
            <v>39440</v>
          </cell>
          <cell r="C156" t="str">
            <v>Past</v>
          </cell>
          <cell r="D156">
            <v>90.71</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90.71</v>
          </cell>
          <cell r="Q156">
            <v>0.48283899999999996</v>
          </cell>
          <cell r="R156" t="e">
            <v>#N/A</v>
          </cell>
        </row>
        <row r="157">
          <cell r="A157">
            <v>39442</v>
          </cell>
          <cell r="B157">
            <v>39442</v>
          </cell>
          <cell r="C157" t="str">
            <v>Past</v>
          </cell>
          <cell r="D157">
            <v>90.43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90.43</v>
          </cell>
          <cell r="Q157">
            <v>0.66506799999999999</v>
          </cell>
          <cell r="R157" t="e">
            <v>#N/A</v>
          </cell>
        </row>
        <row r="158">
          <cell r="A158">
            <v>39443</v>
          </cell>
          <cell r="B158">
            <v>39443</v>
          </cell>
          <cell r="C158" t="str">
            <v>Past</v>
          </cell>
          <cell r="D158">
            <v>89.22</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89.22</v>
          </cell>
          <cell r="Q158">
            <v>0.96616000000000013</v>
          </cell>
          <cell r="R158" t="e">
            <v>#N/A</v>
          </cell>
        </row>
        <row r="159">
          <cell r="A159">
            <v>39444</v>
          </cell>
          <cell r="B159">
            <v>39444</v>
          </cell>
          <cell r="C159" t="str">
            <v>Past</v>
          </cell>
          <cell r="D159">
            <v>89.05</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89.05</v>
          </cell>
          <cell r="Q159">
            <v>0.83689399999999992</v>
          </cell>
          <cell r="R159" t="e">
            <v>#N/A</v>
          </cell>
        </row>
        <row r="160">
          <cell r="A160">
            <v>39447</v>
          </cell>
          <cell r="B160">
            <v>39447</v>
          </cell>
          <cell r="C160" t="str">
            <v>Past</v>
          </cell>
          <cell r="D160">
            <v>88.99</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88.99</v>
          </cell>
          <cell r="Q160">
            <v>0.80078299999999991</v>
          </cell>
          <cell r="R160" t="e">
            <v>#N/A</v>
          </cell>
        </row>
        <row r="161">
          <cell r="A161">
            <v>39449</v>
          </cell>
          <cell r="B161">
            <v>39449</v>
          </cell>
          <cell r="C161" t="str">
            <v>Past</v>
          </cell>
          <cell r="D161">
            <v>87.44</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87.44</v>
          </cell>
          <cell r="Q161">
            <v>1.030996</v>
          </cell>
          <cell r="R161" t="e">
            <v>#N/A</v>
          </cell>
        </row>
        <row r="162">
          <cell r="A162">
            <v>39450</v>
          </cell>
          <cell r="B162">
            <v>39450</v>
          </cell>
          <cell r="C162" t="str">
            <v>Past</v>
          </cell>
          <cell r="D162">
            <v>88.5</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88.5</v>
          </cell>
          <cell r="Q162">
            <v>1.3632949999999999</v>
          </cell>
          <cell r="R162" t="e">
            <v>#N/A</v>
          </cell>
        </row>
        <row r="163">
          <cell r="A163">
            <v>39451</v>
          </cell>
          <cell r="B163">
            <v>39451</v>
          </cell>
          <cell r="C163" t="str">
            <v>Past</v>
          </cell>
          <cell r="D163">
            <v>86</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86</v>
          </cell>
          <cell r="Q163">
            <v>1.7306709999999998</v>
          </cell>
          <cell r="R163" t="e">
            <v>#N/A</v>
          </cell>
        </row>
        <row r="164">
          <cell r="A164">
            <v>39454</v>
          </cell>
          <cell r="B164">
            <v>39454</v>
          </cell>
          <cell r="C164" t="str">
            <v>Past</v>
          </cell>
          <cell r="D164">
            <v>85.91</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85.91</v>
          </cell>
          <cell r="Q164">
            <v>2.181797</v>
          </cell>
          <cell r="R164" t="e">
            <v>#N/A</v>
          </cell>
        </row>
        <row r="165">
          <cell r="A165">
            <v>39455</v>
          </cell>
          <cell r="B165">
            <v>39455</v>
          </cell>
          <cell r="C165" t="str">
            <v>Past</v>
          </cell>
          <cell r="D165">
            <v>85.63</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85.63</v>
          </cell>
          <cell r="Q165">
            <v>2.5070779999999999</v>
          </cell>
          <cell r="R165" t="e">
            <v>#N/A</v>
          </cell>
        </row>
        <row r="166">
          <cell r="A166">
            <v>39456</v>
          </cell>
          <cell r="B166">
            <v>39456</v>
          </cell>
          <cell r="C166" t="str">
            <v>Past</v>
          </cell>
          <cell r="D166">
            <v>88.93</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88.93</v>
          </cell>
          <cell r="Q166">
            <v>2.6670500000000001</v>
          </cell>
          <cell r="R166" t="e">
            <v>#N/A</v>
          </cell>
        </row>
        <row r="167">
          <cell r="A167">
            <v>39457</v>
          </cell>
          <cell r="B167">
            <v>39457</v>
          </cell>
          <cell r="C167" t="str">
            <v>Past</v>
          </cell>
          <cell r="D167">
            <v>88.83</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88.83</v>
          </cell>
          <cell r="Q167">
            <v>2.2145809999999999</v>
          </cell>
          <cell r="R167" t="e">
            <v>#N/A</v>
          </cell>
        </row>
        <row r="168">
          <cell r="A168">
            <v>39458</v>
          </cell>
          <cell r="B168">
            <v>39458</v>
          </cell>
          <cell r="C168" t="str">
            <v>Past</v>
          </cell>
          <cell r="D168">
            <v>86.56</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86.56</v>
          </cell>
          <cell r="Q168">
            <v>1.9330049999999999</v>
          </cell>
          <cell r="R168" t="e">
            <v>#N/A</v>
          </cell>
        </row>
        <row r="169">
          <cell r="A169">
            <v>39461</v>
          </cell>
          <cell r="B169">
            <v>39461</v>
          </cell>
          <cell r="C169" t="str">
            <v>Past</v>
          </cell>
          <cell r="D169">
            <v>86.4</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86.4</v>
          </cell>
          <cell r="Q169">
            <v>2.2890259999999998</v>
          </cell>
          <cell r="R169" t="e">
            <v>#N/A</v>
          </cell>
        </row>
        <row r="170">
          <cell r="A170">
            <v>39462</v>
          </cell>
          <cell r="B170">
            <v>39462</v>
          </cell>
          <cell r="C170" t="str">
            <v>Past</v>
          </cell>
          <cell r="D170">
            <v>85.32</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85.32</v>
          </cell>
          <cell r="Q170">
            <v>2.0715919999999999</v>
          </cell>
          <cell r="R170" t="e">
            <v>#N/A</v>
          </cell>
        </row>
        <row r="171">
          <cell r="A171">
            <v>39463</v>
          </cell>
          <cell r="B171">
            <v>39463</v>
          </cell>
          <cell r="C171" t="str">
            <v>Past</v>
          </cell>
          <cell r="D171">
            <v>83.97</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83.97</v>
          </cell>
          <cell r="Q171">
            <v>2.270743</v>
          </cell>
          <cell r="R171" t="e">
            <v>#N/A</v>
          </cell>
        </row>
        <row r="172">
          <cell r="A172">
            <v>39464</v>
          </cell>
          <cell r="B172">
            <v>39464</v>
          </cell>
          <cell r="C172" t="str">
            <v>Past</v>
          </cell>
          <cell r="D172">
            <v>80.790000000000006</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80.790000000000006</v>
          </cell>
          <cell r="Q172">
            <v>3.0620819999999997</v>
          </cell>
          <cell r="R172" t="e">
            <v>#N/A</v>
          </cell>
        </row>
        <row r="173">
          <cell r="A173">
            <v>39465</v>
          </cell>
          <cell r="B173">
            <v>39465</v>
          </cell>
          <cell r="C173" t="str">
            <v>Past</v>
          </cell>
          <cell r="D173">
            <v>80.8</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80.8</v>
          </cell>
          <cell r="Q173">
            <v>2.635875</v>
          </cell>
          <cell r="R173" t="e">
            <v>#N/A</v>
          </cell>
        </row>
        <row r="174">
          <cell r="A174">
            <v>39469</v>
          </cell>
          <cell r="B174">
            <v>39469</v>
          </cell>
          <cell r="C174" t="str">
            <v>Past</v>
          </cell>
          <cell r="D174">
            <v>78.849999999999994</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78.849999999999994</v>
          </cell>
          <cell r="Q174">
            <v>3.3672339999999998</v>
          </cell>
          <cell r="R174" t="e">
            <v>#N/A</v>
          </cell>
        </row>
        <row r="175">
          <cell r="A175">
            <v>39470</v>
          </cell>
          <cell r="B175">
            <v>39470</v>
          </cell>
          <cell r="C175" t="str">
            <v>Past</v>
          </cell>
          <cell r="D175">
            <v>79.05</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79.05</v>
          </cell>
          <cell r="Q175">
            <v>3.354663</v>
          </cell>
          <cell r="R175" t="e">
            <v>#N/A</v>
          </cell>
        </row>
        <row r="176">
          <cell r="A176">
            <v>39471</v>
          </cell>
          <cell r="B176">
            <v>39471</v>
          </cell>
          <cell r="C176" t="str">
            <v>Past</v>
          </cell>
          <cell r="D176">
            <v>83.07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83.07</v>
          </cell>
          <cell r="Q176">
            <v>3.768783</v>
          </cell>
          <cell r="R176" t="e">
            <v>#N/A</v>
          </cell>
        </row>
        <row r="177">
          <cell r="A177">
            <v>39472</v>
          </cell>
          <cell r="B177">
            <v>39472</v>
          </cell>
          <cell r="C177" t="str">
            <v>Past</v>
          </cell>
          <cell r="D177">
            <v>81.13</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81.13</v>
          </cell>
          <cell r="Q177">
            <v>3.1753369999999999</v>
          </cell>
          <cell r="R177" t="e">
            <v>#N/A</v>
          </cell>
        </row>
        <row r="178">
          <cell r="A178">
            <v>39475</v>
          </cell>
          <cell r="B178">
            <v>39475</v>
          </cell>
          <cell r="C178" t="str">
            <v>Past</v>
          </cell>
          <cell r="D178">
            <v>82.8</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82.8</v>
          </cell>
          <cell r="Q178">
            <v>2.3740709999999998</v>
          </cell>
          <cell r="R178" t="e">
            <v>#N/A</v>
          </cell>
        </row>
        <row r="179">
          <cell r="A179">
            <v>39476</v>
          </cell>
          <cell r="B179">
            <v>39476</v>
          </cell>
          <cell r="C179" t="str">
            <v>Past</v>
          </cell>
          <cell r="D179">
            <v>83.32</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83.32</v>
          </cell>
          <cell r="Q179">
            <v>1.659095</v>
          </cell>
          <cell r="R179" t="e">
            <v>#N/A</v>
          </cell>
        </row>
        <row r="180">
          <cell r="A180">
            <v>39477</v>
          </cell>
          <cell r="B180">
            <v>39477</v>
          </cell>
          <cell r="C180" t="str">
            <v>Past</v>
          </cell>
          <cell r="D180">
            <v>83.71</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83.71</v>
          </cell>
          <cell r="Q180">
            <v>1.59433</v>
          </cell>
          <cell r="R180" t="e">
            <v>#N/A</v>
          </cell>
        </row>
        <row r="181">
          <cell r="A181">
            <v>39478</v>
          </cell>
          <cell r="B181">
            <v>39478</v>
          </cell>
          <cell r="C181" t="str">
            <v>Past</v>
          </cell>
          <cell r="D181">
            <v>84.53</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84.53</v>
          </cell>
          <cell r="Q181">
            <v>2.3517000000000001</v>
          </cell>
          <cell r="R181" t="e">
            <v>#N/A</v>
          </cell>
        </row>
        <row r="182">
          <cell r="A182">
            <v>39479</v>
          </cell>
          <cell r="B182">
            <v>39479</v>
          </cell>
          <cell r="C182" t="str">
            <v>Past</v>
          </cell>
          <cell r="D182">
            <v>85.34</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85.34</v>
          </cell>
          <cell r="Q182">
            <v>1.510537</v>
          </cell>
          <cell r="R182" t="e">
            <v>#N/A</v>
          </cell>
        </row>
        <row r="183">
          <cell r="A183">
            <v>39482</v>
          </cell>
          <cell r="B183">
            <v>39482</v>
          </cell>
          <cell r="C183" t="str">
            <v>Past</v>
          </cell>
          <cell r="D183">
            <v>84.88</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84.88</v>
          </cell>
          <cell r="Q183">
            <v>1.156817</v>
          </cell>
          <cell r="R183" t="e">
            <v>#N/A</v>
          </cell>
        </row>
        <row r="184">
          <cell r="A184">
            <v>39483</v>
          </cell>
          <cell r="B184">
            <v>39483</v>
          </cell>
          <cell r="C184" t="str">
            <v>Past</v>
          </cell>
          <cell r="D184">
            <v>82.93</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82.93</v>
          </cell>
          <cell r="Q184">
            <v>1.950564</v>
          </cell>
          <cell r="R184" t="e">
            <v>#N/A</v>
          </cell>
        </row>
        <row r="185">
          <cell r="A185">
            <v>39484</v>
          </cell>
          <cell r="B185">
            <v>39484</v>
          </cell>
          <cell r="C185" t="str">
            <v>Past</v>
          </cell>
          <cell r="D185">
            <v>82.99</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82.99</v>
          </cell>
          <cell r="Q185">
            <v>1.8402189999999998</v>
          </cell>
          <cell r="R185" t="e">
            <v>#N/A</v>
          </cell>
        </row>
        <row r="186">
          <cell r="A186">
            <v>39485</v>
          </cell>
          <cell r="B186">
            <v>39485</v>
          </cell>
          <cell r="C186" t="str">
            <v>Past</v>
          </cell>
          <cell r="D186">
            <v>83.45</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83.45</v>
          </cell>
          <cell r="Q186">
            <v>2.2602700000000002</v>
          </cell>
          <cell r="R186" t="e">
            <v>#N/A</v>
          </cell>
        </row>
        <row r="187">
          <cell r="A187">
            <v>39486</v>
          </cell>
          <cell r="B187">
            <v>39486</v>
          </cell>
          <cell r="C187" t="str">
            <v>Past</v>
          </cell>
          <cell r="D187">
            <v>83.37</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83.37</v>
          </cell>
          <cell r="Q187">
            <v>1.5627609999999998</v>
          </cell>
          <cell r="R187" t="e">
            <v>#N/A</v>
          </cell>
        </row>
        <row r="188">
          <cell r="A188">
            <v>39489</v>
          </cell>
          <cell r="B188">
            <v>39489</v>
          </cell>
          <cell r="C188" t="str">
            <v>Past</v>
          </cell>
          <cell r="D188">
            <v>83.3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83.3</v>
          </cell>
          <cell r="Q188">
            <v>1.5929849999999999</v>
          </cell>
          <cell r="R188" t="e">
            <v>#N/A</v>
          </cell>
        </row>
        <row r="189">
          <cell r="A189">
            <v>39490</v>
          </cell>
          <cell r="B189">
            <v>39490</v>
          </cell>
          <cell r="C189" t="str">
            <v>Past</v>
          </cell>
          <cell r="D189">
            <v>84.04</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84.04</v>
          </cell>
          <cell r="Q189">
            <v>2.8136829999999997</v>
          </cell>
          <cell r="R189" t="e">
            <v>#N/A</v>
          </cell>
        </row>
        <row r="190">
          <cell r="A190">
            <v>39491</v>
          </cell>
          <cell r="B190">
            <v>39491</v>
          </cell>
          <cell r="C190" t="str">
            <v>Past</v>
          </cell>
          <cell r="D190">
            <v>84.15</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84.15</v>
          </cell>
          <cell r="Q190">
            <v>2.3163860000000001</v>
          </cell>
          <cell r="R190" t="e">
            <v>#N/A</v>
          </cell>
        </row>
        <row r="191">
          <cell r="A191">
            <v>39492</v>
          </cell>
          <cell r="B191">
            <v>39492</v>
          </cell>
          <cell r="C191" t="str">
            <v>Past</v>
          </cell>
          <cell r="D191">
            <v>83.33</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83.33</v>
          </cell>
          <cell r="Q191">
            <v>1.957611</v>
          </cell>
          <cell r="R191" t="e">
            <v>#N/A</v>
          </cell>
        </row>
        <row r="192">
          <cell r="A192">
            <v>39493</v>
          </cell>
          <cell r="B192">
            <v>39493</v>
          </cell>
          <cell r="C192" t="str">
            <v>Past</v>
          </cell>
          <cell r="D192">
            <v>83.43</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83.43</v>
          </cell>
          <cell r="Q192">
            <v>1.7531949999999998</v>
          </cell>
          <cell r="R192" t="e">
            <v>#N/A</v>
          </cell>
        </row>
        <row r="193">
          <cell r="A193">
            <v>39497</v>
          </cell>
          <cell r="B193">
            <v>39497</v>
          </cell>
          <cell r="C193" t="str">
            <v>Past</v>
          </cell>
          <cell r="D193">
            <v>83.93</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83.93</v>
          </cell>
          <cell r="Q193">
            <v>1.420752</v>
          </cell>
          <cell r="R193" t="e">
            <v>#N/A</v>
          </cell>
        </row>
        <row r="194">
          <cell r="A194">
            <v>39498</v>
          </cell>
          <cell r="B194">
            <v>39498</v>
          </cell>
          <cell r="C194" t="str">
            <v>Past</v>
          </cell>
          <cell r="D194">
            <v>84.16</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84.16</v>
          </cell>
          <cell r="Q194">
            <v>1.490688</v>
          </cell>
          <cell r="R194" t="e">
            <v>#N/A</v>
          </cell>
        </row>
        <row r="195">
          <cell r="A195">
            <v>39499</v>
          </cell>
          <cell r="B195">
            <v>39499</v>
          </cell>
          <cell r="C195" t="str">
            <v>Past</v>
          </cell>
          <cell r="D195">
            <v>82.8</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82.8</v>
          </cell>
          <cell r="Q195">
            <v>1.9195829999999998</v>
          </cell>
          <cell r="R195" t="e">
            <v>#N/A</v>
          </cell>
        </row>
        <row r="196">
          <cell r="A196">
            <v>39500</v>
          </cell>
          <cell r="B196">
            <v>39500</v>
          </cell>
          <cell r="C196" t="str">
            <v>Past</v>
          </cell>
          <cell r="D196">
            <v>83.65</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83.65</v>
          </cell>
          <cell r="Q196">
            <v>1.8880939999999999</v>
          </cell>
          <cell r="R196" t="e">
            <v>#N/A</v>
          </cell>
        </row>
        <row r="197">
          <cell r="A197">
            <v>39503</v>
          </cell>
          <cell r="B197">
            <v>39503</v>
          </cell>
          <cell r="C197" t="str">
            <v>Past</v>
          </cell>
          <cell r="D197">
            <v>83.93</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83.93</v>
          </cell>
          <cell r="Q197">
            <v>2.5656059999999998</v>
          </cell>
          <cell r="R197" t="e">
            <v>#N/A</v>
          </cell>
        </row>
        <row r="198">
          <cell r="A198">
            <v>39504</v>
          </cell>
          <cell r="B198">
            <v>39504</v>
          </cell>
          <cell r="C198" t="str">
            <v>Past</v>
          </cell>
          <cell r="D198">
            <v>83.46</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83.46</v>
          </cell>
          <cell r="Q198">
            <v>1.9623200000000001</v>
          </cell>
          <cell r="R198" t="e">
            <v>#N/A</v>
          </cell>
        </row>
        <row r="199">
          <cell r="A199">
            <v>39505</v>
          </cell>
          <cell r="B199">
            <v>39505</v>
          </cell>
          <cell r="C199" t="str">
            <v>Past</v>
          </cell>
          <cell r="D199">
            <v>83.37</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83.37</v>
          </cell>
          <cell r="Q199">
            <v>1.628412</v>
          </cell>
          <cell r="R199" t="e">
            <v>#N/A</v>
          </cell>
        </row>
        <row r="200">
          <cell r="A200">
            <v>39506</v>
          </cell>
          <cell r="B200">
            <v>39506</v>
          </cell>
          <cell r="C200" t="str">
            <v>Past</v>
          </cell>
          <cell r="D200">
            <v>83</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83</v>
          </cell>
          <cell r="Q200">
            <v>1.1867179999999999</v>
          </cell>
          <cell r="R200" t="e">
            <v>#N/A</v>
          </cell>
        </row>
        <row r="201">
          <cell r="A201">
            <v>39507</v>
          </cell>
          <cell r="B201">
            <v>39507</v>
          </cell>
          <cell r="C201" t="str">
            <v>Past</v>
          </cell>
          <cell r="D201">
            <v>81.849999999999994</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81.849999999999994</v>
          </cell>
          <cell r="Q201">
            <v>1.9083439999999998</v>
          </cell>
          <cell r="R201" t="e">
            <v>#N/A</v>
          </cell>
        </row>
        <row r="202">
          <cell r="A202">
            <v>39510</v>
          </cell>
          <cell r="B202">
            <v>39510</v>
          </cell>
          <cell r="C202" t="str">
            <v>Past</v>
          </cell>
          <cell r="D202">
            <v>81.75</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81.75</v>
          </cell>
          <cell r="Q202">
            <v>2.4922339999999998</v>
          </cell>
          <cell r="R202" t="e">
            <v>#N/A</v>
          </cell>
        </row>
        <row r="203">
          <cell r="A203">
            <v>39511</v>
          </cell>
          <cell r="B203">
            <v>39511</v>
          </cell>
          <cell r="C203" t="str">
            <v>Past</v>
          </cell>
          <cell r="D203">
            <v>82.61</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82.61</v>
          </cell>
          <cell r="Q203">
            <v>2.5891439999999997</v>
          </cell>
          <cell r="R203" t="e">
            <v>#N/A</v>
          </cell>
        </row>
        <row r="204">
          <cell r="A204">
            <v>39512</v>
          </cell>
          <cell r="B204">
            <v>39512</v>
          </cell>
          <cell r="C204" t="str">
            <v>Past</v>
          </cell>
          <cell r="D204">
            <v>83.52</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83.52</v>
          </cell>
          <cell r="Q204">
            <v>2.3827210000000001</v>
          </cell>
          <cell r="R204" t="e">
            <v>#N/A</v>
          </cell>
        </row>
        <row r="205">
          <cell r="A205">
            <v>39513</v>
          </cell>
          <cell r="B205">
            <v>39513</v>
          </cell>
          <cell r="C205" t="str">
            <v>Past</v>
          </cell>
          <cell r="D205">
            <v>83.22</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83.22</v>
          </cell>
          <cell r="Q205">
            <v>2.3144589999999998</v>
          </cell>
          <cell r="R205" t="e">
            <v>#N/A</v>
          </cell>
        </row>
        <row r="206">
          <cell r="A206">
            <v>39514</v>
          </cell>
          <cell r="B206">
            <v>39514</v>
          </cell>
          <cell r="C206" t="str">
            <v>Past</v>
          </cell>
          <cell r="D206">
            <v>82.81</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82.81</v>
          </cell>
          <cell r="Q206">
            <v>2.1210339999999999</v>
          </cell>
          <cell r="R206" t="e">
            <v>#N/A</v>
          </cell>
        </row>
        <row r="207">
          <cell r="A207">
            <v>39517</v>
          </cell>
          <cell r="B207">
            <v>39517</v>
          </cell>
          <cell r="C207" t="str">
            <v>Past</v>
          </cell>
          <cell r="D207">
            <v>81.78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81.78</v>
          </cell>
          <cell r="Q207">
            <v>1.9101119999999998</v>
          </cell>
          <cell r="R207" t="e">
            <v>#N/A</v>
          </cell>
        </row>
        <row r="208">
          <cell r="A208">
            <v>39518</v>
          </cell>
          <cell r="B208">
            <v>39518</v>
          </cell>
          <cell r="C208" t="str">
            <v>Past</v>
          </cell>
          <cell r="D208">
            <v>83.33</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83.33</v>
          </cell>
          <cell r="Q208">
            <v>1.9449559999999999</v>
          </cell>
          <cell r="R208" t="e">
            <v>#N/A</v>
          </cell>
        </row>
        <row r="209">
          <cell r="A209">
            <v>39519</v>
          </cell>
          <cell r="B209">
            <v>39519</v>
          </cell>
          <cell r="C209" t="str">
            <v>Past</v>
          </cell>
          <cell r="D209">
            <v>84.62</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84.62</v>
          </cell>
          <cell r="Q209">
            <v>1.885138</v>
          </cell>
          <cell r="R209" t="e">
            <v>#N/A</v>
          </cell>
        </row>
        <row r="210">
          <cell r="A210">
            <v>39520</v>
          </cell>
          <cell r="B210">
            <v>39520</v>
          </cell>
          <cell r="C210" t="str">
            <v>Past</v>
          </cell>
          <cell r="D210">
            <v>86.1</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86.1</v>
          </cell>
          <cell r="Q210">
            <v>3.220783</v>
          </cell>
          <cell r="R210" t="e">
            <v>#N/A</v>
          </cell>
        </row>
        <row r="211">
          <cell r="A211">
            <v>39521</v>
          </cell>
          <cell r="B211">
            <v>39521</v>
          </cell>
          <cell r="C211" t="str">
            <v>Past</v>
          </cell>
          <cell r="D211">
            <v>84.39</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84.39</v>
          </cell>
          <cell r="Q211">
            <v>2.4404269999999997</v>
          </cell>
          <cell r="R211" t="e">
            <v>#N/A</v>
          </cell>
        </row>
        <row r="212">
          <cell r="A212">
            <v>39524</v>
          </cell>
          <cell r="B212">
            <v>39524</v>
          </cell>
          <cell r="C212" t="str">
            <v>Past</v>
          </cell>
          <cell r="D212">
            <v>84.28</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84.28</v>
          </cell>
          <cell r="Q212">
            <v>2.1918379999999997</v>
          </cell>
          <cell r="R212" t="e">
            <v>#N/A</v>
          </cell>
        </row>
        <row r="213">
          <cell r="A213">
            <v>39525</v>
          </cell>
          <cell r="B213">
            <v>39525</v>
          </cell>
          <cell r="C213" t="str">
            <v>Past</v>
          </cell>
          <cell r="D213">
            <v>85.35</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85.35</v>
          </cell>
          <cell r="Q213">
            <v>2.5675490000000001</v>
          </cell>
          <cell r="R213" t="e">
            <v>#N/A</v>
          </cell>
        </row>
        <row r="214">
          <cell r="A214">
            <v>39526</v>
          </cell>
          <cell r="B214">
            <v>39526</v>
          </cell>
          <cell r="C214" t="str">
            <v>Past</v>
          </cell>
          <cell r="D214">
            <v>85.04</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85.04</v>
          </cell>
          <cell r="Q214">
            <v>2.1065260000000001</v>
          </cell>
          <cell r="R214" t="e">
            <v>#N/A</v>
          </cell>
        </row>
        <row r="215">
          <cell r="A215">
            <v>39527</v>
          </cell>
          <cell r="B215">
            <v>39527</v>
          </cell>
          <cell r="C215" t="str">
            <v>Past</v>
          </cell>
          <cell r="D215">
            <v>85.66</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85.66</v>
          </cell>
          <cell r="Q215">
            <v>1.8961329999999998</v>
          </cell>
          <cell r="R215" t="e">
            <v>#N/A</v>
          </cell>
        </row>
        <row r="216">
          <cell r="A216">
            <v>39531</v>
          </cell>
          <cell r="B216">
            <v>39531</v>
          </cell>
          <cell r="C216" t="str">
            <v>Past</v>
          </cell>
          <cell r="D216">
            <v>85.36</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85.36</v>
          </cell>
          <cell r="Q216">
            <v>1.7043869999999999</v>
          </cell>
          <cell r="R216" t="e">
            <v>#N/A</v>
          </cell>
        </row>
        <row r="217">
          <cell r="A217">
            <v>39532</v>
          </cell>
          <cell r="B217">
            <v>39532</v>
          </cell>
          <cell r="C217" t="str">
            <v>Past</v>
          </cell>
          <cell r="D217">
            <v>85.01</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85.01</v>
          </cell>
          <cell r="Q217">
            <v>1.959187</v>
          </cell>
          <cell r="R217" t="e">
            <v>#N/A</v>
          </cell>
        </row>
        <row r="218">
          <cell r="A218">
            <v>39533</v>
          </cell>
          <cell r="B218">
            <v>39533</v>
          </cell>
          <cell r="C218" t="str">
            <v>Past</v>
          </cell>
          <cell r="D218">
            <v>84.04</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84.04</v>
          </cell>
          <cell r="Q218">
            <v>1.5941129999999999</v>
          </cell>
          <cell r="R218" t="e">
            <v>#N/A</v>
          </cell>
        </row>
        <row r="219">
          <cell r="A219">
            <v>39534</v>
          </cell>
          <cell r="B219">
            <v>39534</v>
          </cell>
          <cell r="C219" t="str">
            <v>Past</v>
          </cell>
          <cell r="D219">
            <v>83.12</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83.12</v>
          </cell>
          <cell r="Q219">
            <v>1.367575</v>
          </cell>
          <cell r="R219" t="e">
            <v>#N/A</v>
          </cell>
        </row>
        <row r="220">
          <cell r="A220">
            <v>39535</v>
          </cell>
          <cell r="B220">
            <v>39535</v>
          </cell>
          <cell r="C220" t="str">
            <v>Past</v>
          </cell>
          <cell r="D220">
            <v>83.36</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83.36</v>
          </cell>
          <cell r="Q220">
            <v>1.3203779999999998</v>
          </cell>
          <cell r="R220" t="e">
            <v>#N/A</v>
          </cell>
        </row>
        <row r="221">
          <cell r="A221">
            <v>39538</v>
          </cell>
          <cell r="B221">
            <v>39538</v>
          </cell>
          <cell r="C221" t="str">
            <v>Past</v>
          </cell>
          <cell r="D221">
            <v>83.37</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83.37</v>
          </cell>
          <cell r="Q221">
            <v>2.1094749999999998</v>
          </cell>
          <cell r="R221" t="e">
            <v>#N/A</v>
          </cell>
        </row>
        <row r="222">
          <cell r="A222">
            <v>39539</v>
          </cell>
          <cell r="B222">
            <v>39539</v>
          </cell>
          <cell r="C222" t="str">
            <v>Past</v>
          </cell>
          <cell r="D222">
            <v>85.9</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85.9</v>
          </cell>
          <cell r="Q222">
            <v>1.9092</v>
          </cell>
          <cell r="R222" t="e">
            <v>#N/A</v>
          </cell>
        </row>
        <row r="223">
          <cell r="A223">
            <v>39540</v>
          </cell>
          <cell r="B223">
            <v>39540</v>
          </cell>
          <cell r="C223" t="str">
            <v>Past</v>
          </cell>
          <cell r="D223">
            <v>85.44</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85.44</v>
          </cell>
          <cell r="Q223">
            <v>2.0366139999999997</v>
          </cell>
          <cell r="R223" t="e">
            <v>#N/A</v>
          </cell>
        </row>
        <row r="224">
          <cell r="A224">
            <v>39541</v>
          </cell>
          <cell r="B224">
            <v>39541</v>
          </cell>
          <cell r="C224" t="str">
            <v>Past</v>
          </cell>
          <cell r="D224">
            <v>84.65</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84.65</v>
          </cell>
          <cell r="Q224">
            <v>2.120139</v>
          </cell>
          <cell r="R224" t="e">
            <v>#N/A</v>
          </cell>
        </row>
        <row r="225">
          <cell r="A225">
            <v>39542</v>
          </cell>
          <cell r="B225">
            <v>39542</v>
          </cell>
          <cell r="C225" t="str">
            <v>Past</v>
          </cell>
          <cell r="D225">
            <v>85.42</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85.42</v>
          </cell>
          <cell r="Q225">
            <v>1.3739169999999998</v>
          </cell>
          <cell r="R225" t="e">
            <v>#N/A</v>
          </cell>
        </row>
        <row r="226">
          <cell r="A226">
            <v>39545</v>
          </cell>
          <cell r="B226">
            <v>39545</v>
          </cell>
          <cell r="C226" t="str">
            <v>Past</v>
          </cell>
          <cell r="D226">
            <v>85.51</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85.51</v>
          </cell>
          <cell r="Q226">
            <v>1.5136859999999999</v>
          </cell>
          <cell r="R226" t="e">
            <v>#N/A</v>
          </cell>
        </row>
        <row r="227">
          <cell r="A227">
            <v>39546</v>
          </cell>
          <cell r="B227">
            <v>39546</v>
          </cell>
          <cell r="C227" t="str">
            <v>Past</v>
          </cell>
          <cell r="D227">
            <v>84.8</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84.8</v>
          </cell>
          <cell r="Q227">
            <v>1.442569</v>
          </cell>
          <cell r="R227" t="e">
            <v>#N/A</v>
          </cell>
        </row>
        <row r="228">
          <cell r="A228">
            <v>39547</v>
          </cell>
          <cell r="B228">
            <v>39547</v>
          </cell>
          <cell r="C228" t="str">
            <v>Past</v>
          </cell>
          <cell r="D228">
            <v>84.97</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84.97</v>
          </cell>
          <cell r="Q228">
            <v>1.8538589999999999</v>
          </cell>
          <cell r="R228" t="e">
            <v>#N/A</v>
          </cell>
        </row>
        <row r="229">
          <cell r="A229">
            <v>39548</v>
          </cell>
          <cell r="B229">
            <v>39548</v>
          </cell>
          <cell r="C229" t="str">
            <v>Past</v>
          </cell>
          <cell r="D229">
            <v>84.76</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84.76</v>
          </cell>
          <cell r="Q229">
            <v>1.415316</v>
          </cell>
          <cell r="R229" t="e">
            <v>#N/A</v>
          </cell>
        </row>
        <row r="230">
          <cell r="A230">
            <v>39549</v>
          </cell>
          <cell r="B230">
            <v>39549</v>
          </cell>
          <cell r="C230" t="str">
            <v>Past</v>
          </cell>
          <cell r="D230">
            <v>83.65</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83.65</v>
          </cell>
          <cell r="Q230">
            <v>1.162792</v>
          </cell>
          <cell r="R230" t="e">
            <v>#N/A</v>
          </cell>
        </row>
        <row r="231">
          <cell r="A231">
            <v>39552</v>
          </cell>
          <cell r="B231">
            <v>39552</v>
          </cell>
          <cell r="C231" t="str">
            <v>Past</v>
          </cell>
          <cell r="D231">
            <v>83.9</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83.9</v>
          </cell>
          <cell r="Q231">
            <v>1.316856</v>
          </cell>
          <cell r="R231" t="e">
            <v>#N/A</v>
          </cell>
        </row>
        <row r="232">
          <cell r="A232">
            <v>39553</v>
          </cell>
          <cell r="B232">
            <v>39553</v>
          </cell>
          <cell r="C232" t="str">
            <v>Past</v>
          </cell>
          <cell r="D232">
            <v>82.9</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82.9</v>
          </cell>
          <cell r="Q232">
            <v>2.068505</v>
          </cell>
          <cell r="R232" t="e">
            <v>#N/A</v>
          </cell>
        </row>
        <row r="233">
          <cell r="A233">
            <v>39554</v>
          </cell>
          <cell r="B233">
            <v>39554</v>
          </cell>
          <cell r="C233" t="str">
            <v>Past</v>
          </cell>
          <cell r="D233">
            <v>86.03</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86.03</v>
          </cell>
          <cell r="Q233">
            <v>2.4338789999999997</v>
          </cell>
          <cell r="R233" t="e">
            <v>#N/A</v>
          </cell>
        </row>
        <row r="234">
          <cell r="A234">
            <v>39555</v>
          </cell>
          <cell r="B234">
            <v>39555</v>
          </cell>
          <cell r="C234" t="str">
            <v>Past</v>
          </cell>
          <cell r="D234">
            <v>86.21</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86.21</v>
          </cell>
          <cell r="Q234">
            <v>1.9224219999999999</v>
          </cell>
          <cell r="R234" t="e">
            <v>#N/A</v>
          </cell>
        </row>
        <row r="235">
          <cell r="A235">
            <v>39556</v>
          </cell>
          <cell r="B235">
            <v>39556</v>
          </cell>
          <cell r="C235" t="str">
            <v>Past</v>
          </cell>
          <cell r="D235">
            <v>88.98</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88.98</v>
          </cell>
          <cell r="Q235">
            <v>2.4151509999999998</v>
          </cell>
          <cell r="R235" t="e">
            <v>#N/A</v>
          </cell>
        </row>
        <row r="236">
          <cell r="A236">
            <v>39559</v>
          </cell>
          <cell r="B236">
            <v>39559</v>
          </cell>
          <cell r="C236" t="str">
            <v>Past</v>
          </cell>
          <cell r="D236">
            <v>88.01</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88.01</v>
          </cell>
          <cell r="Q236">
            <v>2.0028649999999999</v>
          </cell>
          <cell r="R236" t="e">
            <v>#N/A</v>
          </cell>
        </row>
        <row r="237">
          <cell r="A237">
            <v>39560</v>
          </cell>
          <cell r="B237">
            <v>39560</v>
          </cell>
          <cell r="C237" t="str">
            <v>Past</v>
          </cell>
          <cell r="D237">
            <v>88.01</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88.01</v>
          </cell>
          <cell r="Q237">
            <v>1.7737849999999999</v>
          </cell>
          <cell r="R237" t="e">
            <v>#N/A</v>
          </cell>
        </row>
        <row r="238">
          <cell r="A238">
            <v>39561</v>
          </cell>
          <cell r="B238">
            <v>39561</v>
          </cell>
          <cell r="C238" t="str">
            <v>Past</v>
          </cell>
          <cell r="D238">
            <v>87.69</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87.69</v>
          </cell>
          <cell r="Q238">
            <v>3.192761</v>
          </cell>
          <cell r="R238" t="e">
            <v>#N/A</v>
          </cell>
        </row>
        <row r="239">
          <cell r="A239">
            <v>39562</v>
          </cell>
          <cell r="B239">
            <v>39562</v>
          </cell>
          <cell r="C239" t="str">
            <v>Past</v>
          </cell>
          <cell r="D239">
            <v>88.7</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88.7</v>
          </cell>
          <cell r="Q239">
            <v>2.1736960000000001</v>
          </cell>
          <cell r="R239" t="e">
            <v>#N/A</v>
          </cell>
        </row>
        <row r="240">
          <cell r="A240">
            <v>39563</v>
          </cell>
          <cell r="B240">
            <v>39563</v>
          </cell>
          <cell r="C240" t="str">
            <v>Past</v>
          </cell>
          <cell r="D240">
            <v>90.92</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90.92</v>
          </cell>
          <cell r="Q240">
            <v>1.7363839999999999</v>
          </cell>
          <cell r="R240" t="e">
            <v>#N/A</v>
          </cell>
        </row>
        <row r="241">
          <cell r="A241">
            <v>39566</v>
          </cell>
          <cell r="B241">
            <v>39566</v>
          </cell>
          <cell r="C241" t="str">
            <v>Past</v>
          </cell>
          <cell r="D241">
            <v>90.23</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90.23</v>
          </cell>
          <cell r="Q241">
            <v>1.3298109999999999</v>
          </cell>
          <cell r="R241" t="e">
            <v>#N/A</v>
          </cell>
        </row>
        <row r="242">
          <cell r="A242">
            <v>39567</v>
          </cell>
          <cell r="B242">
            <v>39567</v>
          </cell>
          <cell r="C242" t="str">
            <v>Past</v>
          </cell>
          <cell r="D242">
            <v>90.35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90.35</v>
          </cell>
          <cell r="Q242">
            <v>1.200882</v>
          </cell>
          <cell r="R242" t="e">
            <v>#N/A</v>
          </cell>
        </row>
        <row r="243">
          <cell r="A243">
            <v>39568</v>
          </cell>
          <cell r="B243">
            <v>39568</v>
          </cell>
          <cell r="C243" t="str">
            <v>Past</v>
          </cell>
          <cell r="D243">
            <v>90.42</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90.42</v>
          </cell>
          <cell r="Q243">
            <v>1.4589200000000002</v>
          </cell>
          <cell r="R243" t="e">
            <v>#N/A</v>
          </cell>
        </row>
        <row r="244">
          <cell r="A244">
            <v>39569</v>
          </cell>
          <cell r="B244">
            <v>39569</v>
          </cell>
          <cell r="C244" t="str">
            <v>Past</v>
          </cell>
          <cell r="D244">
            <v>90.51</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90.51</v>
          </cell>
          <cell r="Q244">
            <v>1.8733309999999999</v>
          </cell>
          <cell r="R244" t="e">
            <v>#N/A</v>
          </cell>
        </row>
        <row r="245">
          <cell r="A245">
            <v>39570</v>
          </cell>
          <cell r="B245">
            <v>39570</v>
          </cell>
          <cell r="C245" t="str">
            <v>Past</v>
          </cell>
          <cell r="D245">
            <v>90.69</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90.69</v>
          </cell>
          <cell r="Q245">
            <v>1.519944</v>
          </cell>
          <cell r="R245" t="e">
            <v>#N/A</v>
          </cell>
        </row>
        <row r="246">
          <cell r="A246">
            <v>39573</v>
          </cell>
          <cell r="B246">
            <v>39573</v>
          </cell>
          <cell r="C246" t="str">
            <v>Past</v>
          </cell>
          <cell r="D246">
            <v>90.31</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90.31</v>
          </cell>
          <cell r="Q246">
            <v>1.284035</v>
          </cell>
          <cell r="R246" t="e">
            <v>#N/A</v>
          </cell>
        </row>
        <row r="247">
          <cell r="A247">
            <v>39574</v>
          </cell>
          <cell r="B247">
            <v>39574</v>
          </cell>
          <cell r="C247" t="str">
            <v>Past</v>
          </cell>
          <cell r="D247">
            <v>90.16</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90.16</v>
          </cell>
          <cell r="Q247">
            <v>2.1639369999999998</v>
          </cell>
          <cell r="R247" t="e">
            <v>#N/A</v>
          </cell>
        </row>
        <row r="248">
          <cell r="A248">
            <v>39575</v>
          </cell>
          <cell r="B248">
            <v>39575</v>
          </cell>
          <cell r="C248" t="str">
            <v>Past</v>
          </cell>
          <cell r="D248">
            <v>89.68</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89.68</v>
          </cell>
          <cell r="Q248">
            <v>2.0969200000000003</v>
          </cell>
          <cell r="R248" t="e">
            <v>#N/A</v>
          </cell>
        </row>
        <row r="249">
          <cell r="A249">
            <v>39576</v>
          </cell>
          <cell r="B249">
            <v>39576</v>
          </cell>
          <cell r="C249" t="str">
            <v>Past</v>
          </cell>
          <cell r="D249">
            <v>91.46</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91.46</v>
          </cell>
          <cell r="Q249">
            <v>1.846376</v>
          </cell>
          <cell r="R249" t="e">
            <v>#N/A</v>
          </cell>
        </row>
        <row r="250">
          <cell r="A250">
            <v>39577</v>
          </cell>
          <cell r="B250">
            <v>39577</v>
          </cell>
          <cell r="C250" t="str">
            <v>Past</v>
          </cell>
          <cell r="D250">
            <v>90.92</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90.92</v>
          </cell>
          <cell r="Q250">
            <v>2.1435390000000001</v>
          </cell>
          <cell r="R250" t="e">
            <v>#N/A</v>
          </cell>
        </row>
        <row r="251">
          <cell r="A251">
            <v>39580</v>
          </cell>
          <cell r="B251">
            <v>39580</v>
          </cell>
          <cell r="C251" t="str">
            <v>Past</v>
          </cell>
          <cell r="D251">
            <v>92.6</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92.6</v>
          </cell>
          <cell r="Q251">
            <v>2.4043209999999999</v>
          </cell>
          <cell r="R251" t="e">
            <v>#N/A</v>
          </cell>
        </row>
        <row r="252">
          <cell r="A252">
            <v>39581</v>
          </cell>
          <cell r="B252">
            <v>39581</v>
          </cell>
          <cell r="C252" t="str">
            <v>Past</v>
          </cell>
          <cell r="D252">
            <v>92.91</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92.91</v>
          </cell>
          <cell r="Q252">
            <v>1.890695</v>
          </cell>
          <cell r="R252" t="e">
            <v>#N/A</v>
          </cell>
        </row>
        <row r="253">
          <cell r="A253">
            <v>39582</v>
          </cell>
          <cell r="B253">
            <v>39582</v>
          </cell>
          <cell r="C253" t="str">
            <v>Past</v>
          </cell>
          <cell r="D253">
            <v>93.24</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93.24</v>
          </cell>
          <cell r="Q253">
            <v>2.248138</v>
          </cell>
          <cell r="R253" t="e">
            <v>#N/A</v>
          </cell>
        </row>
        <row r="254">
          <cell r="A254">
            <v>39583</v>
          </cell>
          <cell r="B254">
            <v>39583</v>
          </cell>
          <cell r="C254" t="str">
            <v>Past</v>
          </cell>
          <cell r="D254">
            <v>93.23</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93.23</v>
          </cell>
          <cell r="Q254">
            <v>1.6802000000000001</v>
          </cell>
          <cell r="R254" t="e">
            <v>#N/A</v>
          </cell>
        </row>
        <row r="255">
          <cell r="A255">
            <v>39584</v>
          </cell>
          <cell r="B255">
            <v>39584</v>
          </cell>
          <cell r="C255" t="str">
            <v>Past</v>
          </cell>
          <cell r="D255">
            <v>92.93</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92.93</v>
          </cell>
          <cell r="Q255">
            <v>2.2702049999999998</v>
          </cell>
          <cell r="R255" t="e">
            <v>#N/A</v>
          </cell>
        </row>
        <row r="256">
          <cell r="A256">
            <v>39587</v>
          </cell>
          <cell r="B256">
            <v>39587</v>
          </cell>
          <cell r="C256" t="str">
            <v>Past</v>
          </cell>
          <cell r="D256">
            <v>94.6</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94.6</v>
          </cell>
          <cell r="Q256">
            <v>2.074551</v>
          </cell>
          <cell r="R256" t="e">
            <v>#N/A</v>
          </cell>
        </row>
        <row r="257">
          <cell r="A257">
            <v>39588</v>
          </cell>
          <cell r="B257">
            <v>39588</v>
          </cell>
          <cell r="C257" t="str">
            <v>Past</v>
          </cell>
          <cell r="D257">
            <v>93.72</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93.72</v>
          </cell>
          <cell r="Q257">
            <v>1.5382600000000002</v>
          </cell>
          <cell r="R257" t="e">
            <v>#N/A</v>
          </cell>
        </row>
        <row r="258">
          <cell r="A258">
            <v>39589</v>
          </cell>
          <cell r="B258">
            <v>39589</v>
          </cell>
          <cell r="C258" t="str">
            <v>Past</v>
          </cell>
          <cell r="D258">
            <v>91.64</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91.64</v>
          </cell>
          <cell r="Q258">
            <v>1.8667100000000001</v>
          </cell>
          <cell r="R258" t="e">
            <v>#N/A</v>
          </cell>
        </row>
        <row r="259">
          <cell r="A259">
            <v>39590</v>
          </cell>
          <cell r="B259">
            <v>39590</v>
          </cell>
          <cell r="C259" t="str">
            <v>Past</v>
          </cell>
          <cell r="D259">
            <v>91.49</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91.49</v>
          </cell>
          <cell r="Q259">
            <v>1.140315</v>
          </cell>
          <cell r="R259" t="e">
            <v>#N/A</v>
          </cell>
        </row>
        <row r="260">
          <cell r="A260">
            <v>39591</v>
          </cell>
          <cell r="B260">
            <v>39591</v>
          </cell>
          <cell r="C260" t="str">
            <v>Past</v>
          </cell>
          <cell r="D260">
            <v>90.37</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90.37</v>
          </cell>
          <cell r="Q260">
            <v>1.1197489999999999</v>
          </cell>
          <cell r="R260" t="e">
            <v>#N/A</v>
          </cell>
        </row>
        <row r="261">
          <cell r="A261">
            <v>39595</v>
          </cell>
          <cell r="B261">
            <v>39595</v>
          </cell>
          <cell r="C261" t="str">
            <v>Past</v>
          </cell>
          <cell r="D261">
            <v>90.55</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90.55</v>
          </cell>
          <cell r="Q261">
            <v>1.074484</v>
          </cell>
          <cell r="R261" t="e">
            <v>#N/A</v>
          </cell>
        </row>
        <row r="262">
          <cell r="A262">
            <v>39596</v>
          </cell>
          <cell r="B262">
            <v>39596</v>
          </cell>
          <cell r="C262" t="str">
            <v>Past</v>
          </cell>
          <cell r="D262">
            <v>92.1</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92.1</v>
          </cell>
          <cell r="Q262">
            <v>1.4803419999999998</v>
          </cell>
          <cell r="R262" t="e">
            <v>#N/A</v>
          </cell>
        </row>
        <row r="263">
          <cell r="A263">
            <v>39597</v>
          </cell>
          <cell r="B263">
            <v>39597</v>
          </cell>
          <cell r="C263" t="str">
            <v>Past</v>
          </cell>
          <cell r="D263">
            <v>91.85</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91.85</v>
          </cell>
          <cell r="Q263">
            <v>1.888552</v>
          </cell>
          <cell r="R263" t="e">
            <v>#N/A</v>
          </cell>
        </row>
        <row r="264">
          <cell r="A264">
            <v>39598</v>
          </cell>
          <cell r="B264">
            <v>39598</v>
          </cell>
          <cell r="C264" t="str">
            <v>Past</v>
          </cell>
          <cell r="D264">
            <v>92.15</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92.15</v>
          </cell>
          <cell r="Q264">
            <v>1.6830889999999998</v>
          </cell>
          <cell r="R264" t="e">
            <v>#N/A</v>
          </cell>
        </row>
        <row r="265">
          <cell r="A265">
            <v>39601</v>
          </cell>
          <cell r="B265">
            <v>39601</v>
          </cell>
          <cell r="C265" t="str">
            <v>Past</v>
          </cell>
          <cell r="D265">
            <v>91.33</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91.33</v>
          </cell>
          <cell r="Q265">
            <v>1.7745229999999999</v>
          </cell>
          <cell r="R265" t="e">
            <v>#N/A</v>
          </cell>
        </row>
        <row r="266">
          <cell r="A266">
            <v>39602</v>
          </cell>
          <cell r="B266">
            <v>39602</v>
          </cell>
          <cell r="C266" t="str">
            <v>Past</v>
          </cell>
          <cell r="D266">
            <v>89.83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89.83</v>
          </cell>
          <cell r="Q266">
            <v>1.9371779999999998</v>
          </cell>
          <cell r="R266" t="e">
            <v>#N/A</v>
          </cell>
        </row>
        <row r="267">
          <cell r="A267">
            <v>39603</v>
          </cell>
          <cell r="B267">
            <v>39603</v>
          </cell>
          <cell r="C267" t="str">
            <v>Past</v>
          </cell>
          <cell r="D267">
            <v>88.71</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88.71</v>
          </cell>
          <cell r="Q267">
            <v>1.8012359999999998</v>
          </cell>
          <cell r="R267" t="e">
            <v>#N/A</v>
          </cell>
        </row>
        <row r="268">
          <cell r="A268">
            <v>39604</v>
          </cell>
          <cell r="B268">
            <v>39604</v>
          </cell>
          <cell r="C268" t="str">
            <v>Past</v>
          </cell>
          <cell r="D268">
            <v>89.64</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89.64</v>
          </cell>
          <cell r="Q268">
            <v>2.2385569999999997</v>
          </cell>
          <cell r="R268" t="e">
            <v>#N/A</v>
          </cell>
        </row>
        <row r="269">
          <cell r="A269">
            <v>39605</v>
          </cell>
          <cell r="B269">
            <v>39605</v>
          </cell>
          <cell r="C269" t="str">
            <v>Past</v>
          </cell>
          <cell r="D269">
            <v>86.65</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86.65</v>
          </cell>
          <cell r="Q269">
            <v>2.326524</v>
          </cell>
          <cell r="R269" t="e">
            <v>#N/A</v>
          </cell>
        </row>
        <row r="270">
          <cell r="A270">
            <v>39608</v>
          </cell>
          <cell r="B270">
            <v>39608</v>
          </cell>
          <cell r="C270" t="str">
            <v>Past</v>
          </cell>
          <cell r="D270">
            <v>86.13</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86.13</v>
          </cell>
          <cell r="Q270">
            <v>2.9393829999999999</v>
          </cell>
          <cell r="R270" t="e">
            <v>#N/A</v>
          </cell>
        </row>
        <row r="271">
          <cell r="A271">
            <v>39609</v>
          </cell>
          <cell r="B271">
            <v>39609</v>
          </cell>
          <cell r="C271" t="str">
            <v>Past</v>
          </cell>
          <cell r="D271">
            <v>85.99</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85.99</v>
          </cell>
          <cell r="Q271">
            <v>2.1200060000000001</v>
          </cell>
          <cell r="R271" t="e">
            <v>#N/A</v>
          </cell>
        </row>
        <row r="272">
          <cell r="A272">
            <v>39610</v>
          </cell>
          <cell r="B272">
            <v>39610</v>
          </cell>
          <cell r="C272" t="str">
            <v>Past</v>
          </cell>
          <cell r="D272">
            <v>85.33</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85.33</v>
          </cell>
          <cell r="Q272">
            <v>2.2012109999999998</v>
          </cell>
          <cell r="R272" t="e">
            <v>#N/A</v>
          </cell>
        </row>
        <row r="273">
          <cell r="A273">
            <v>39611</v>
          </cell>
          <cell r="B273">
            <v>39611</v>
          </cell>
          <cell r="C273" t="str">
            <v>Past</v>
          </cell>
          <cell r="D273">
            <v>85.71</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85.71</v>
          </cell>
          <cell r="Q273">
            <v>1.8174600000000001</v>
          </cell>
          <cell r="R273" t="e">
            <v>#N/A</v>
          </cell>
        </row>
        <row r="274">
          <cell r="A274">
            <v>39612</v>
          </cell>
          <cell r="B274">
            <v>39612</v>
          </cell>
          <cell r="C274" t="str">
            <v>Past</v>
          </cell>
          <cell r="D274">
            <v>86.45</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86.45</v>
          </cell>
          <cell r="Q274">
            <v>1.3249</v>
          </cell>
          <cell r="R274" t="e">
            <v>#N/A</v>
          </cell>
        </row>
        <row r="275">
          <cell r="A275">
            <v>39615</v>
          </cell>
          <cell r="B275">
            <v>39615</v>
          </cell>
          <cell r="C275" t="str">
            <v>Past</v>
          </cell>
          <cell r="D275">
            <v>86.1</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86.1</v>
          </cell>
          <cell r="Q275">
            <v>1.7950219999999999</v>
          </cell>
          <cell r="R275" t="e">
            <v>#N/A</v>
          </cell>
        </row>
        <row r="276">
          <cell r="A276">
            <v>39616</v>
          </cell>
          <cell r="B276">
            <v>39616</v>
          </cell>
          <cell r="C276" t="str">
            <v>Past</v>
          </cell>
          <cell r="D276">
            <v>85.35</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85.35</v>
          </cell>
          <cell r="Q276">
            <v>1.5703449999999999</v>
          </cell>
          <cell r="R276" t="e">
            <v>#N/A</v>
          </cell>
        </row>
        <row r="277">
          <cell r="A277">
            <v>39617</v>
          </cell>
          <cell r="B277">
            <v>39617</v>
          </cell>
          <cell r="C277" t="str">
            <v>Past</v>
          </cell>
          <cell r="D277">
            <v>85.48</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85.48</v>
          </cell>
          <cell r="Q277">
            <v>1.662857</v>
          </cell>
          <cell r="R277" t="e">
            <v>#N/A</v>
          </cell>
        </row>
        <row r="278">
          <cell r="A278">
            <v>39618</v>
          </cell>
          <cell r="B278">
            <v>39618</v>
          </cell>
          <cell r="C278" t="str">
            <v>Past</v>
          </cell>
          <cell r="D278">
            <v>87.59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87.59</v>
          </cell>
          <cell r="Q278">
            <v>1.9655469999999999</v>
          </cell>
          <cell r="R278" t="e">
            <v>#N/A</v>
          </cell>
        </row>
        <row r="279">
          <cell r="A279">
            <v>39619</v>
          </cell>
          <cell r="B279">
            <v>39619</v>
          </cell>
          <cell r="C279" t="str">
            <v>Past</v>
          </cell>
          <cell r="D279">
            <v>85.5</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85.5</v>
          </cell>
          <cell r="Q279">
            <v>2.8041969999999998</v>
          </cell>
          <cell r="R279" t="e">
            <v>#N/A</v>
          </cell>
        </row>
        <row r="280">
          <cell r="A280">
            <v>39622</v>
          </cell>
          <cell r="B280">
            <v>39622</v>
          </cell>
          <cell r="C280" t="str">
            <v>Past</v>
          </cell>
          <cell r="D280">
            <v>87.25</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87.25</v>
          </cell>
          <cell r="Q280">
            <v>1.9534429999999998</v>
          </cell>
          <cell r="R280" t="e">
            <v>#N/A</v>
          </cell>
        </row>
        <row r="281">
          <cell r="A281">
            <v>39623</v>
          </cell>
          <cell r="B281">
            <v>39623</v>
          </cell>
          <cell r="C281" t="str">
            <v>Past</v>
          </cell>
          <cell r="D281">
            <v>86.81</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86.81</v>
          </cell>
          <cell r="Q281">
            <v>1.7384959999999998</v>
          </cell>
          <cell r="R281" t="e">
            <v>#N/A</v>
          </cell>
        </row>
        <row r="282">
          <cell r="A282">
            <v>39624</v>
          </cell>
          <cell r="B282">
            <v>39624</v>
          </cell>
          <cell r="C282" t="str">
            <v>Past</v>
          </cell>
          <cell r="D282">
            <v>86.05</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86.05</v>
          </cell>
          <cell r="Q282">
            <v>2.4657600000000004</v>
          </cell>
          <cell r="R282" t="e">
            <v>#N/A</v>
          </cell>
        </row>
        <row r="283">
          <cell r="A283">
            <v>39625</v>
          </cell>
          <cell r="B283">
            <v>39625</v>
          </cell>
          <cell r="C283" t="str">
            <v>Past</v>
          </cell>
          <cell r="D283">
            <v>82.94</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82.94</v>
          </cell>
          <cell r="Q283">
            <v>3.3067929999999999</v>
          </cell>
          <cell r="R283" t="e">
            <v>#N/A</v>
          </cell>
        </row>
        <row r="284">
          <cell r="A284">
            <v>39626</v>
          </cell>
          <cell r="B284">
            <v>39626</v>
          </cell>
          <cell r="C284" t="str">
            <v>Past</v>
          </cell>
          <cell r="D284">
            <v>83.28</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83.28</v>
          </cell>
          <cell r="Q284">
            <v>2.826959</v>
          </cell>
          <cell r="R284" t="e">
            <v>#N/A</v>
          </cell>
        </row>
        <row r="285">
          <cell r="A285">
            <v>39629</v>
          </cell>
          <cell r="B285">
            <v>39629</v>
          </cell>
          <cell r="C285" t="str">
            <v>Past</v>
          </cell>
          <cell r="D285">
            <v>84.2</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84.2</v>
          </cell>
          <cell r="Q285">
            <v>3.0457529999999999</v>
          </cell>
          <cell r="R285" t="e">
            <v>#N/A</v>
          </cell>
        </row>
        <row r="286">
          <cell r="A286">
            <v>39630</v>
          </cell>
          <cell r="B286">
            <v>39630</v>
          </cell>
          <cell r="C286" t="str">
            <v>Past</v>
          </cell>
          <cell r="D286">
            <v>83.61</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83.61</v>
          </cell>
          <cell r="Q286">
            <v>2.3231000000000002</v>
          </cell>
          <cell r="R286" t="e">
            <v>#N/A</v>
          </cell>
        </row>
        <row r="287">
          <cell r="A287">
            <v>39631</v>
          </cell>
          <cell r="B287">
            <v>39631</v>
          </cell>
          <cell r="C287" t="str">
            <v>Past</v>
          </cell>
          <cell r="D287">
            <v>81.86</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81.86</v>
          </cell>
          <cell r="Q287">
            <v>1.575693</v>
          </cell>
          <cell r="R287" t="e">
            <v>#N/A</v>
          </cell>
        </row>
        <row r="288">
          <cell r="A288">
            <v>39632</v>
          </cell>
          <cell r="B288">
            <v>39632</v>
          </cell>
          <cell r="C288" t="str">
            <v>Past</v>
          </cell>
          <cell r="D288">
            <v>83.22</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83.22</v>
          </cell>
          <cell r="Q288">
            <v>1.2485729999999999</v>
          </cell>
          <cell r="R288" t="e">
            <v>#N/A</v>
          </cell>
        </row>
        <row r="289">
          <cell r="A289">
            <v>39636</v>
          </cell>
          <cell r="B289">
            <v>39636</v>
          </cell>
          <cell r="C289" t="str">
            <v>Past</v>
          </cell>
          <cell r="D289">
            <v>81.790000000000006</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81.790000000000006</v>
          </cell>
          <cell r="Q289">
            <v>2.7581300000000004</v>
          </cell>
          <cell r="R289" t="e">
            <v>#N/A</v>
          </cell>
        </row>
        <row r="290">
          <cell r="A290">
            <v>39637</v>
          </cell>
          <cell r="B290">
            <v>39637</v>
          </cell>
          <cell r="C290" t="str">
            <v>Past</v>
          </cell>
          <cell r="D290">
            <v>83.64</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83.64</v>
          </cell>
          <cell r="Q290">
            <v>2.5590660000000001</v>
          </cell>
          <cell r="R290" t="e">
            <v>#N/A</v>
          </cell>
        </row>
        <row r="291">
          <cell r="A291">
            <v>39638</v>
          </cell>
          <cell r="B291">
            <v>39638</v>
          </cell>
          <cell r="C291" t="str">
            <v>Past</v>
          </cell>
          <cell r="D291">
            <v>81.87</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81.87</v>
          </cell>
          <cell r="Q291">
            <v>2.3185769999999999</v>
          </cell>
          <cell r="R291" t="e">
            <v>#N/A</v>
          </cell>
        </row>
        <row r="292">
          <cell r="A292">
            <v>39639</v>
          </cell>
          <cell r="B292">
            <v>39639</v>
          </cell>
          <cell r="C292" t="str">
            <v>Past</v>
          </cell>
          <cell r="D292">
            <v>81.69</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81.69</v>
          </cell>
          <cell r="Q292">
            <v>3.265641</v>
          </cell>
          <cell r="R292" t="e">
            <v>#N/A</v>
          </cell>
        </row>
        <row r="293">
          <cell r="A293">
            <v>39640</v>
          </cell>
          <cell r="B293">
            <v>39640</v>
          </cell>
          <cell r="C293" t="str">
            <v>Past</v>
          </cell>
          <cell r="D293">
            <v>81.05</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81.05</v>
          </cell>
          <cell r="Q293">
            <v>1.9883469999999999</v>
          </cell>
          <cell r="R293" t="e">
            <v>#N/A</v>
          </cell>
        </row>
        <row r="294">
          <cell r="A294">
            <v>39643</v>
          </cell>
          <cell r="B294">
            <v>39643</v>
          </cell>
          <cell r="C294" t="str">
            <v>Past</v>
          </cell>
          <cell r="D294">
            <v>81.69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81.69</v>
          </cell>
          <cell r="Q294">
            <v>1.8061100000000001</v>
          </cell>
          <cell r="R294" t="e">
            <v>#N/A</v>
          </cell>
        </row>
        <row r="295">
          <cell r="A295">
            <v>39644</v>
          </cell>
          <cell r="B295">
            <v>39644</v>
          </cell>
          <cell r="C295" t="str">
            <v>Past</v>
          </cell>
          <cell r="D295">
            <v>81.540000000000006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81.540000000000006</v>
          </cell>
          <cell r="Q295">
            <v>2.7887230000000001</v>
          </cell>
          <cell r="R295" t="e">
            <v>#N/A</v>
          </cell>
        </row>
        <row r="296">
          <cell r="A296">
            <v>39645</v>
          </cell>
          <cell r="B296">
            <v>39645</v>
          </cell>
          <cell r="C296" t="str">
            <v>Past</v>
          </cell>
          <cell r="D296">
            <v>82.17</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82.17</v>
          </cell>
          <cell r="Q296">
            <v>1.6487729999999998</v>
          </cell>
          <cell r="R296" t="e">
            <v>#N/A</v>
          </cell>
        </row>
        <row r="297">
          <cell r="A297">
            <v>39646</v>
          </cell>
          <cell r="B297">
            <v>39646</v>
          </cell>
          <cell r="C297" t="str">
            <v>Past</v>
          </cell>
          <cell r="D297">
            <v>81.209999999999994</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81.209999999999994</v>
          </cell>
          <cell r="Q297">
            <v>2.8331849999999998</v>
          </cell>
          <cell r="R297" t="e">
            <v>#N/A</v>
          </cell>
        </row>
        <row r="298">
          <cell r="A298">
            <v>39647</v>
          </cell>
          <cell r="B298">
            <v>39647</v>
          </cell>
          <cell r="C298" t="str">
            <v>Past</v>
          </cell>
          <cell r="D298">
            <v>82.07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82.07</v>
          </cell>
          <cell r="Q298">
            <v>1.9940389999999999</v>
          </cell>
          <cell r="R298" t="e">
            <v>#N/A</v>
          </cell>
        </row>
        <row r="299">
          <cell r="A299">
            <v>39650</v>
          </cell>
          <cell r="B299">
            <v>39650</v>
          </cell>
          <cell r="C299" t="str">
            <v>Past</v>
          </cell>
          <cell r="D299">
            <v>82.02</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82.02</v>
          </cell>
          <cell r="Q299">
            <v>1.5304089999999999</v>
          </cell>
          <cell r="R299" t="e">
            <v>#N/A</v>
          </cell>
        </row>
        <row r="300">
          <cell r="A300">
            <v>39651</v>
          </cell>
          <cell r="B300">
            <v>39651</v>
          </cell>
          <cell r="C300" t="str">
            <v>Past</v>
          </cell>
          <cell r="D300">
            <v>83.45</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83.45</v>
          </cell>
          <cell r="Q300">
            <v>1.995147</v>
          </cell>
          <cell r="R300" t="e">
            <v>#N/A</v>
          </cell>
        </row>
        <row r="301">
          <cell r="A301">
            <v>39652</v>
          </cell>
          <cell r="B301">
            <v>39652</v>
          </cell>
          <cell r="C301" t="str">
            <v>Past</v>
          </cell>
          <cell r="D301">
            <v>89.27</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89.27</v>
          </cell>
          <cell r="Q301">
            <v>5.9495700000000005</v>
          </cell>
          <cell r="R301" t="e">
            <v>#N/A</v>
          </cell>
        </row>
        <row r="302">
          <cell r="A302">
            <v>39653</v>
          </cell>
          <cell r="B302">
            <v>39653</v>
          </cell>
          <cell r="C302" t="str">
            <v>Past</v>
          </cell>
          <cell r="D302">
            <v>87.06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87.06</v>
          </cell>
          <cell r="Q302">
            <v>3.4409000000000001</v>
          </cell>
          <cell r="R302" t="e">
            <v>#N/A</v>
          </cell>
        </row>
        <row r="303">
          <cell r="A303">
            <v>39654</v>
          </cell>
          <cell r="B303">
            <v>39654</v>
          </cell>
          <cell r="C303" t="str">
            <v>Past</v>
          </cell>
          <cell r="D303">
            <v>89.19</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89.19</v>
          </cell>
          <cell r="Q303">
            <v>2.1514000000000002</v>
          </cell>
          <cell r="R303" t="e">
            <v>#N/A</v>
          </cell>
        </row>
        <row r="304">
          <cell r="A304">
            <v>39657</v>
          </cell>
          <cell r="B304">
            <v>39657</v>
          </cell>
          <cell r="C304" t="str">
            <v>Past</v>
          </cell>
          <cell r="D304">
            <v>87.91</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87.91</v>
          </cell>
          <cell r="Q304">
            <v>2.2774100000000002</v>
          </cell>
          <cell r="R304" t="e">
            <v>#N/A</v>
          </cell>
        </row>
        <row r="305">
          <cell r="A305">
            <v>39658</v>
          </cell>
          <cell r="B305">
            <v>39658</v>
          </cell>
          <cell r="C305" t="str">
            <v>Past</v>
          </cell>
          <cell r="D305">
            <v>89.94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89.94</v>
          </cell>
          <cell r="Q305">
            <v>2.617604</v>
          </cell>
          <cell r="R305" t="e">
            <v>#N/A</v>
          </cell>
        </row>
        <row r="306">
          <cell r="A306">
            <v>39659</v>
          </cell>
          <cell r="B306">
            <v>39659</v>
          </cell>
          <cell r="C306" t="str">
            <v>Past</v>
          </cell>
          <cell r="D306">
            <v>90</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90</v>
          </cell>
          <cell r="Q306">
            <v>2.4593900000000004</v>
          </cell>
          <cell r="R306" t="e">
            <v>#N/A</v>
          </cell>
        </row>
        <row r="307">
          <cell r="A307">
            <v>39660</v>
          </cell>
          <cell r="B307">
            <v>39660</v>
          </cell>
          <cell r="C307" t="str">
            <v>Past</v>
          </cell>
          <cell r="D307">
            <v>89.14</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89.14</v>
          </cell>
          <cell r="Q307">
            <v>2.444903</v>
          </cell>
          <cell r="R307" t="e">
            <v>#N/A</v>
          </cell>
        </row>
        <row r="308">
          <cell r="A308">
            <v>39661</v>
          </cell>
          <cell r="B308">
            <v>39661</v>
          </cell>
          <cell r="C308" t="str">
            <v>Past</v>
          </cell>
          <cell r="D308">
            <v>89.58</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89.58</v>
          </cell>
          <cell r="Q308">
            <v>2.1038000000000001</v>
          </cell>
          <cell r="R308" t="e">
            <v>#N/A</v>
          </cell>
        </row>
        <row r="309">
          <cell r="A309">
            <v>39664</v>
          </cell>
          <cell r="B309">
            <v>39664</v>
          </cell>
          <cell r="C309" t="str">
            <v>Past</v>
          </cell>
          <cell r="D309">
            <v>89.07</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89.07</v>
          </cell>
          <cell r="Q309">
            <v>1.339715</v>
          </cell>
          <cell r="R309" t="e">
            <v>#N/A</v>
          </cell>
        </row>
        <row r="310">
          <cell r="A310">
            <v>39665</v>
          </cell>
          <cell r="B310">
            <v>39665</v>
          </cell>
          <cell r="C310" t="str">
            <v>Past</v>
          </cell>
          <cell r="D310">
            <v>90.79</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90.79</v>
          </cell>
          <cell r="Q310">
            <v>1.965128</v>
          </cell>
          <cell r="R310" t="e">
            <v>#N/A</v>
          </cell>
        </row>
        <row r="311">
          <cell r="A311">
            <v>39666</v>
          </cell>
          <cell r="B311">
            <v>39666</v>
          </cell>
          <cell r="C311" t="str">
            <v>Past</v>
          </cell>
          <cell r="D311">
            <v>90.98</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90.98</v>
          </cell>
          <cell r="Q311">
            <v>1.562692</v>
          </cell>
          <cell r="R311" t="e">
            <v>#N/A</v>
          </cell>
        </row>
        <row r="312">
          <cell r="A312">
            <v>39667</v>
          </cell>
          <cell r="B312">
            <v>39667</v>
          </cell>
          <cell r="C312" t="str">
            <v>Past</v>
          </cell>
          <cell r="D312">
            <v>90.27</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90.27</v>
          </cell>
          <cell r="Q312">
            <v>1.7120579999999999</v>
          </cell>
          <cell r="R312" t="e">
            <v>#N/A</v>
          </cell>
        </row>
        <row r="313">
          <cell r="A313">
            <v>39668</v>
          </cell>
          <cell r="B313">
            <v>39668</v>
          </cell>
          <cell r="C313" t="str">
            <v>Past</v>
          </cell>
          <cell r="D313">
            <v>92.81</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92.81</v>
          </cell>
          <cell r="Q313">
            <v>2.4893700000000001</v>
          </cell>
          <cell r="R313" t="e">
            <v>#N/A</v>
          </cell>
        </row>
        <row r="314">
          <cell r="A314">
            <v>39671</v>
          </cell>
          <cell r="B314">
            <v>39671</v>
          </cell>
          <cell r="C314" t="str">
            <v>Past</v>
          </cell>
          <cell r="D314">
            <v>93.92</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93.92</v>
          </cell>
          <cell r="Q314">
            <v>2.239214</v>
          </cell>
          <cell r="R314" t="e">
            <v>#N/A</v>
          </cell>
        </row>
        <row r="315">
          <cell r="A315">
            <v>39672</v>
          </cell>
          <cell r="B315">
            <v>39672</v>
          </cell>
          <cell r="C315" t="str">
            <v>Past</v>
          </cell>
          <cell r="D315">
            <v>94.25</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94.25</v>
          </cell>
          <cell r="Q315">
            <v>2.665762</v>
          </cell>
          <cell r="R315" t="e">
            <v>#N/A</v>
          </cell>
        </row>
        <row r="316">
          <cell r="A316">
            <v>39673</v>
          </cell>
          <cell r="B316">
            <v>39673</v>
          </cell>
          <cell r="C316" t="str">
            <v>Past</v>
          </cell>
          <cell r="D316">
            <v>93.46</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93.46</v>
          </cell>
          <cell r="Q316">
            <v>2.6415539999999997</v>
          </cell>
          <cell r="R316" t="e">
            <v>#N/A</v>
          </cell>
        </row>
        <row r="317">
          <cell r="A317">
            <v>39674</v>
          </cell>
          <cell r="B317">
            <v>39674</v>
          </cell>
          <cell r="C317" t="str">
            <v>Past</v>
          </cell>
          <cell r="D317">
            <v>92.46</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92.46</v>
          </cell>
          <cell r="Q317">
            <v>3.920639</v>
          </cell>
          <cell r="R317" t="e">
            <v>#N/A</v>
          </cell>
        </row>
        <row r="318">
          <cell r="A318">
            <v>39675</v>
          </cell>
          <cell r="B318">
            <v>39675</v>
          </cell>
          <cell r="C318" t="str">
            <v>Past</v>
          </cell>
          <cell r="D318">
            <v>93.41</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93.41</v>
          </cell>
          <cell r="Q318">
            <v>2.6591109999999998</v>
          </cell>
          <cell r="R318" t="e">
            <v>#N/A</v>
          </cell>
        </row>
        <row r="319">
          <cell r="A319">
            <v>39678</v>
          </cell>
          <cell r="B319">
            <v>39678</v>
          </cell>
          <cell r="C319" t="str">
            <v>Past</v>
          </cell>
          <cell r="D319">
            <v>92.24</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92.24</v>
          </cell>
          <cell r="Q319">
            <v>1.8523609999999999</v>
          </cell>
          <cell r="R319" t="e">
            <v>#N/A</v>
          </cell>
        </row>
        <row r="320">
          <cell r="A320">
            <v>39679</v>
          </cell>
          <cell r="B320">
            <v>39679</v>
          </cell>
          <cell r="C320" t="str">
            <v>Past</v>
          </cell>
          <cell r="D320">
            <v>91.99</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91.99</v>
          </cell>
          <cell r="Q320">
            <v>2.9586679999999999</v>
          </cell>
          <cell r="R320" t="e">
            <v>#N/A</v>
          </cell>
        </row>
        <row r="321">
          <cell r="A321">
            <v>39680</v>
          </cell>
          <cell r="B321">
            <v>39680</v>
          </cell>
          <cell r="C321" t="str">
            <v>Past</v>
          </cell>
          <cell r="D321">
            <v>91.26</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91.26</v>
          </cell>
          <cell r="Q321">
            <v>2.2439739999999997</v>
          </cell>
          <cell r="R321" t="e">
            <v>#N/A</v>
          </cell>
        </row>
        <row r="322">
          <cell r="A322">
            <v>39681</v>
          </cell>
          <cell r="B322">
            <v>39681</v>
          </cell>
          <cell r="C322" t="str">
            <v>Past</v>
          </cell>
          <cell r="D322">
            <v>91.77</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91.77</v>
          </cell>
          <cell r="Q322">
            <v>2.641966</v>
          </cell>
          <cell r="R322" t="e">
            <v>#N/A</v>
          </cell>
        </row>
        <row r="323">
          <cell r="A323">
            <v>39682</v>
          </cell>
          <cell r="B323">
            <v>39682</v>
          </cell>
          <cell r="C323" t="str">
            <v>Past</v>
          </cell>
          <cell r="D323">
            <v>92</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92</v>
          </cell>
          <cell r="Q323">
            <v>2.157832</v>
          </cell>
          <cell r="R323" t="e">
            <v>#N/A</v>
          </cell>
        </row>
        <row r="324">
          <cell r="A324">
            <v>39685</v>
          </cell>
          <cell r="B324">
            <v>39685</v>
          </cell>
          <cell r="C324" t="str">
            <v>Past</v>
          </cell>
          <cell r="D324">
            <v>91.12</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91.12</v>
          </cell>
          <cell r="Q324">
            <v>2.2415859999999999</v>
          </cell>
          <cell r="R324" t="e">
            <v>#N/A</v>
          </cell>
        </row>
        <row r="325">
          <cell r="A325">
            <v>39686</v>
          </cell>
          <cell r="B325">
            <v>39686</v>
          </cell>
          <cell r="C325" t="str">
            <v>Past</v>
          </cell>
          <cell r="D325">
            <v>92.21</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92.21</v>
          </cell>
          <cell r="Q325">
            <v>1.5725419999999999</v>
          </cell>
          <cell r="R325" t="e">
            <v>#N/A</v>
          </cell>
        </row>
        <row r="326">
          <cell r="A326">
            <v>39687</v>
          </cell>
          <cell r="B326">
            <v>39687</v>
          </cell>
          <cell r="C326" t="str">
            <v>Past</v>
          </cell>
          <cell r="D326">
            <v>92.31</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92.31</v>
          </cell>
          <cell r="Q326">
            <v>1.383489</v>
          </cell>
          <cell r="R326" t="e">
            <v>#N/A</v>
          </cell>
        </row>
        <row r="327">
          <cell r="A327">
            <v>39688</v>
          </cell>
          <cell r="B327">
            <v>39688</v>
          </cell>
          <cell r="C327" t="str">
            <v>Past</v>
          </cell>
          <cell r="D327">
            <v>94.01</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94.01</v>
          </cell>
          <cell r="Q327">
            <v>2.107221</v>
          </cell>
          <cell r="R327" t="e">
            <v>#N/A</v>
          </cell>
        </row>
        <row r="328">
          <cell r="A328">
            <v>39689</v>
          </cell>
          <cell r="B328">
            <v>39689</v>
          </cell>
          <cell r="C328" t="str">
            <v>Past</v>
          </cell>
          <cell r="D328">
            <v>92.3</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92.3</v>
          </cell>
          <cell r="Q328">
            <v>1.6965049999999999</v>
          </cell>
          <cell r="R328" t="e">
            <v>#N/A</v>
          </cell>
        </row>
        <row r="329">
          <cell r="A329">
            <v>39693</v>
          </cell>
          <cell r="B329">
            <v>39693</v>
          </cell>
          <cell r="C329" t="str">
            <v>Past</v>
          </cell>
          <cell r="D329">
            <v>92.56</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92.56</v>
          </cell>
          <cell r="Q329">
            <v>2.0724089999999999</v>
          </cell>
          <cell r="R329" t="e">
            <v>#N/A</v>
          </cell>
        </row>
        <row r="330">
          <cell r="A330">
            <v>39694</v>
          </cell>
          <cell r="B330">
            <v>39694</v>
          </cell>
          <cell r="C330" t="str">
            <v>Past</v>
          </cell>
          <cell r="D330">
            <v>91.17</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91.17</v>
          </cell>
          <cell r="Q330">
            <v>2.44177</v>
          </cell>
          <cell r="R330" t="e">
            <v>#N/A</v>
          </cell>
        </row>
        <row r="331">
          <cell r="A331">
            <v>39695</v>
          </cell>
          <cell r="B331">
            <v>39695</v>
          </cell>
          <cell r="C331" t="str">
            <v>Past</v>
          </cell>
          <cell r="D331">
            <v>85.29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85.29</v>
          </cell>
          <cell r="Q331">
            <v>7.3636659999999994</v>
          </cell>
          <cell r="R331" t="e">
            <v>#N/A</v>
          </cell>
        </row>
        <row r="332">
          <cell r="A332">
            <v>39696</v>
          </cell>
          <cell r="B332">
            <v>39696</v>
          </cell>
          <cell r="C332" t="str">
            <v>Past</v>
          </cell>
          <cell r="D332">
            <v>85.64</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85.64</v>
          </cell>
          <cell r="Q332">
            <v>2.8914749999999998</v>
          </cell>
          <cell r="R332" t="e">
            <v>#N/A</v>
          </cell>
        </row>
        <row r="333">
          <cell r="A333">
            <v>39699</v>
          </cell>
          <cell r="B333">
            <v>39699</v>
          </cell>
          <cell r="C333" t="str">
            <v>Past</v>
          </cell>
          <cell r="D333">
            <v>86.21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86.21</v>
          </cell>
          <cell r="Q333">
            <v>3.8600659999999998</v>
          </cell>
          <cell r="R333" t="e">
            <v>#N/A</v>
          </cell>
        </row>
        <row r="334">
          <cell r="A334">
            <v>39700</v>
          </cell>
          <cell r="B334">
            <v>39700</v>
          </cell>
          <cell r="C334" t="str">
            <v>Past</v>
          </cell>
          <cell r="D334">
            <v>84.55</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84.55</v>
          </cell>
          <cell r="Q334">
            <v>3.6430539999999998</v>
          </cell>
          <cell r="R334" t="e">
            <v>#N/A</v>
          </cell>
        </row>
        <row r="335">
          <cell r="A335">
            <v>39701</v>
          </cell>
          <cell r="B335">
            <v>39701</v>
          </cell>
          <cell r="C335" t="str">
            <v>Past</v>
          </cell>
          <cell r="D335">
            <v>83.02</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83.02</v>
          </cell>
          <cell r="Q335">
            <v>4.443816</v>
          </cell>
          <cell r="R335" t="e">
            <v>#N/A</v>
          </cell>
        </row>
        <row r="336">
          <cell r="A336">
            <v>39702</v>
          </cell>
          <cell r="B336">
            <v>39702</v>
          </cell>
          <cell r="C336" t="str">
            <v>Past</v>
          </cell>
          <cell r="D336">
            <v>84.77</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84.77</v>
          </cell>
          <cell r="Q336">
            <v>4.2162709999999999</v>
          </cell>
          <cell r="R336" t="e">
            <v>#N/A</v>
          </cell>
        </row>
        <row r="337">
          <cell r="A337">
            <v>39703</v>
          </cell>
          <cell r="B337">
            <v>39703</v>
          </cell>
          <cell r="C337" t="str">
            <v>Past</v>
          </cell>
          <cell r="D337">
            <v>84.93</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84.93</v>
          </cell>
          <cell r="Q337">
            <v>2.2859089999999997</v>
          </cell>
          <cell r="R337" t="e">
            <v>#N/A</v>
          </cell>
        </row>
        <row r="338">
          <cell r="A338">
            <v>39706</v>
          </cell>
          <cell r="B338">
            <v>39706</v>
          </cell>
          <cell r="C338" t="str">
            <v>Past</v>
          </cell>
          <cell r="D338">
            <v>83.91</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83.91</v>
          </cell>
          <cell r="Q338">
            <v>3.7290749999999999</v>
          </cell>
          <cell r="R338" t="e">
            <v>#N/A</v>
          </cell>
        </row>
        <row r="339">
          <cell r="A339">
            <v>39707</v>
          </cell>
          <cell r="B339">
            <v>39707</v>
          </cell>
          <cell r="C339" t="str">
            <v>Past</v>
          </cell>
          <cell r="D339">
            <v>85.09</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85.09</v>
          </cell>
          <cell r="Q339">
            <v>3.8579849999999998</v>
          </cell>
          <cell r="R339" t="e">
            <v>#N/A</v>
          </cell>
        </row>
        <row r="340">
          <cell r="A340">
            <v>39708</v>
          </cell>
          <cell r="B340">
            <v>39708</v>
          </cell>
          <cell r="C340" t="str">
            <v>Past</v>
          </cell>
          <cell r="D340">
            <v>82.28</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82.28</v>
          </cell>
          <cell r="Q340">
            <v>3.333132</v>
          </cell>
          <cell r="R340" t="e">
            <v>#N/A</v>
          </cell>
        </row>
        <row r="341">
          <cell r="A341">
            <v>39709</v>
          </cell>
          <cell r="B341">
            <v>39709</v>
          </cell>
          <cell r="C341" t="str">
            <v>Past</v>
          </cell>
          <cell r="D341">
            <v>83.84</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83.84</v>
          </cell>
          <cell r="Q341">
            <v>4.899</v>
          </cell>
          <cell r="R341" t="e">
            <v>#N/A</v>
          </cell>
        </row>
        <row r="342">
          <cell r="A342">
            <v>39710</v>
          </cell>
          <cell r="B342">
            <v>39710</v>
          </cell>
          <cell r="C342" t="str">
            <v>Past</v>
          </cell>
          <cell r="D342">
            <v>82.39</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82.39</v>
          </cell>
          <cell r="Q342">
            <v>4.1052279999999994</v>
          </cell>
          <cell r="R342" t="e">
            <v>#N/A</v>
          </cell>
        </row>
        <row r="343">
          <cell r="A343">
            <v>39713</v>
          </cell>
          <cell r="B343">
            <v>39713</v>
          </cell>
          <cell r="C343" t="str">
            <v>Past</v>
          </cell>
          <cell r="D343">
            <v>81.260000000000005</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81.260000000000005</v>
          </cell>
          <cell r="Q343">
            <v>2.560854</v>
          </cell>
          <cell r="R343" t="e">
            <v>#N/A</v>
          </cell>
        </row>
        <row r="344">
          <cell r="A344">
            <v>39714</v>
          </cell>
          <cell r="B344">
            <v>39714</v>
          </cell>
          <cell r="C344" t="str">
            <v>Past</v>
          </cell>
          <cell r="D344">
            <v>79.91</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79.91</v>
          </cell>
          <cell r="Q344">
            <v>1.9694900000000002</v>
          </cell>
          <cell r="R344" t="e">
            <v>#N/A</v>
          </cell>
        </row>
        <row r="345">
          <cell r="A345">
            <v>39715</v>
          </cell>
          <cell r="B345">
            <v>39715</v>
          </cell>
          <cell r="C345" t="str">
            <v>Past</v>
          </cell>
          <cell r="D345">
            <v>77.73</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77.73</v>
          </cell>
          <cell r="Q345">
            <v>4.6689539999999994</v>
          </cell>
          <cell r="R345" t="e">
            <v>#N/A</v>
          </cell>
        </row>
        <row r="346">
          <cell r="A346">
            <v>39716</v>
          </cell>
          <cell r="B346">
            <v>39716</v>
          </cell>
          <cell r="C346" t="str">
            <v>Past</v>
          </cell>
          <cell r="D346">
            <v>76.739999999999995</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76.739999999999995</v>
          </cell>
          <cell r="Q346">
            <v>4.6660389999999996</v>
          </cell>
          <cell r="R346" t="e">
            <v>#N/A</v>
          </cell>
        </row>
        <row r="347">
          <cell r="A347">
            <v>39717</v>
          </cell>
          <cell r="B347">
            <v>39717</v>
          </cell>
          <cell r="C347" t="str">
            <v>Past</v>
          </cell>
          <cell r="D347">
            <v>74.92</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74.92</v>
          </cell>
          <cell r="Q347">
            <v>6.1400419999999993</v>
          </cell>
          <cell r="R347" t="e">
            <v>#N/A</v>
          </cell>
        </row>
        <row r="348">
          <cell r="A348">
            <v>39720</v>
          </cell>
          <cell r="B348">
            <v>39720</v>
          </cell>
          <cell r="C348" t="str">
            <v>Past</v>
          </cell>
          <cell r="D348">
            <v>71.400000000000006</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71.400000000000006</v>
          </cell>
          <cell r="Q348">
            <v>5.5684589999999998</v>
          </cell>
          <cell r="R348" t="e">
            <v>#N/A</v>
          </cell>
        </row>
        <row r="349">
          <cell r="A349">
            <v>39721</v>
          </cell>
          <cell r="B349">
            <v>39721</v>
          </cell>
          <cell r="C349" t="str">
            <v>Past</v>
          </cell>
          <cell r="D349">
            <v>73.62</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73.62</v>
          </cell>
          <cell r="Q349">
            <v>3.7996649999999996</v>
          </cell>
          <cell r="R349" t="e">
            <v>#N/A</v>
          </cell>
        </row>
        <row r="350">
          <cell r="A350">
            <v>39722</v>
          </cell>
          <cell r="B350">
            <v>39722</v>
          </cell>
          <cell r="C350" t="str">
            <v>Past</v>
          </cell>
          <cell r="D350">
            <v>72</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72</v>
          </cell>
          <cell r="Q350">
            <v>4.4272400000000003</v>
          </cell>
          <cell r="R350" t="e">
            <v>#N/A</v>
          </cell>
        </row>
        <row r="351">
          <cell r="A351">
            <v>39723</v>
          </cell>
          <cell r="B351">
            <v>39723</v>
          </cell>
          <cell r="C351" t="str">
            <v>Past</v>
          </cell>
          <cell r="D351">
            <v>70.260000000000005</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70.260000000000005</v>
          </cell>
          <cell r="Q351">
            <v>5.5225439999999999</v>
          </cell>
          <cell r="R351" t="e">
            <v>#N/A</v>
          </cell>
        </row>
        <row r="352">
          <cell r="A352">
            <v>39724</v>
          </cell>
          <cell r="B352">
            <v>39724</v>
          </cell>
          <cell r="C352" t="str">
            <v>Past</v>
          </cell>
          <cell r="D352">
            <v>68.2</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68.2</v>
          </cell>
          <cell r="Q352">
            <v>4.8322069999999995</v>
          </cell>
          <cell r="R352" t="e">
            <v>#N/A</v>
          </cell>
        </row>
        <row r="353">
          <cell r="A353">
            <v>39727</v>
          </cell>
          <cell r="B353">
            <v>39727</v>
          </cell>
          <cell r="C353" t="str">
            <v>Past</v>
          </cell>
          <cell r="D353">
            <v>65.92</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65.92</v>
          </cell>
          <cell r="Q353">
            <v>4.804494</v>
          </cell>
          <cell r="R353" t="e">
            <v>#N/A</v>
          </cell>
        </row>
        <row r="354">
          <cell r="A354">
            <v>39728</v>
          </cell>
          <cell r="B354">
            <v>39728</v>
          </cell>
          <cell r="C354" t="str">
            <v>Past</v>
          </cell>
          <cell r="D354">
            <v>65.05</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65.05</v>
          </cell>
          <cell r="Q354">
            <v>4.3419889999999999</v>
          </cell>
          <cell r="R354" t="e">
            <v>#N/A</v>
          </cell>
        </row>
        <row r="355">
          <cell r="A355">
            <v>39729</v>
          </cell>
          <cell r="B355">
            <v>39729</v>
          </cell>
          <cell r="C355" t="str">
            <v>Past</v>
          </cell>
          <cell r="D355">
            <v>65.56</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65.56</v>
          </cell>
          <cell r="Q355">
            <v>5.4856700000000007</v>
          </cell>
          <cell r="R355" t="e">
            <v>#N/A</v>
          </cell>
        </row>
        <row r="356">
          <cell r="A356">
            <v>39730</v>
          </cell>
          <cell r="B356">
            <v>39730</v>
          </cell>
          <cell r="C356" t="str">
            <v>Past</v>
          </cell>
          <cell r="D356">
            <v>60.92</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60.92</v>
          </cell>
          <cell r="Q356">
            <v>4.1366459999999998</v>
          </cell>
          <cell r="R356" t="e">
            <v>#N/A</v>
          </cell>
        </row>
        <row r="357">
          <cell r="A357">
            <v>39731</v>
          </cell>
          <cell r="B357">
            <v>39731</v>
          </cell>
          <cell r="C357" t="str">
            <v>Past</v>
          </cell>
          <cell r="D357">
            <v>57.39</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57.39</v>
          </cell>
          <cell r="Q357">
            <v>7.3768689999999992</v>
          </cell>
          <cell r="R357" t="e">
            <v>#N/A</v>
          </cell>
        </row>
        <row r="358">
          <cell r="A358">
            <v>39734</v>
          </cell>
          <cell r="B358">
            <v>39734</v>
          </cell>
          <cell r="C358" t="str">
            <v>Past</v>
          </cell>
          <cell r="D358">
            <v>61.1</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61.1</v>
          </cell>
          <cell r="Q358">
            <v>3.5602559999999999</v>
          </cell>
          <cell r="R358" t="e">
            <v>#N/A</v>
          </cell>
        </row>
        <row r="359">
          <cell r="A359">
            <v>39735</v>
          </cell>
          <cell r="B359">
            <v>39735</v>
          </cell>
          <cell r="C359" t="str">
            <v>Past</v>
          </cell>
          <cell r="D359">
            <v>61.49</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61.49</v>
          </cell>
          <cell r="Q359">
            <v>4.3580360000000002</v>
          </cell>
          <cell r="R359" t="e">
            <v>#N/A</v>
          </cell>
        </row>
        <row r="360">
          <cell r="A360">
            <v>39736</v>
          </cell>
          <cell r="B360">
            <v>39736</v>
          </cell>
          <cell r="C360" t="str">
            <v>Past</v>
          </cell>
          <cell r="D360">
            <v>56.36</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56.36</v>
          </cell>
          <cell r="Q360">
            <v>3.1787289999999997</v>
          </cell>
          <cell r="R360" t="e">
            <v>#N/A</v>
          </cell>
        </row>
        <row r="361">
          <cell r="A361">
            <v>39737</v>
          </cell>
          <cell r="B361">
            <v>39737</v>
          </cell>
          <cell r="C361" t="str">
            <v>Past</v>
          </cell>
          <cell r="D361">
            <v>59.84</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59.84</v>
          </cell>
          <cell r="Q361">
            <v>4.29894</v>
          </cell>
          <cell r="R361" t="e">
            <v>#N/A</v>
          </cell>
        </row>
        <row r="362">
          <cell r="A362">
            <v>39738</v>
          </cell>
          <cell r="B362">
            <v>39738</v>
          </cell>
          <cell r="C362" t="str">
            <v>Past</v>
          </cell>
          <cell r="D362">
            <v>57.12</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57.12</v>
          </cell>
          <cell r="Q362">
            <v>4.0817679999999994</v>
          </cell>
          <cell r="R362" t="e">
            <v>#N/A</v>
          </cell>
        </row>
        <row r="363">
          <cell r="A363">
            <v>39741</v>
          </cell>
          <cell r="B363">
            <v>39741</v>
          </cell>
          <cell r="C363" t="str">
            <v>Past</v>
          </cell>
          <cell r="D363">
            <v>60.3</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60.3</v>
          </cell>
          <cell r="Q363">
            <v>2.4349029999999998</v>
          </cell>
          <cell r="R363" t="e">
            <v>#N/A</v>
          </cell>
        </row>
        <row r="364">
          <cell r="A364">
            <v>39742</v>
          </cell>
          <cell r="B364">
            <v>39742</v>
          </cell>
          <cell r="C364" t="str">
            <v>Past</v>
          </cell>
          <cell r="D364">
            <v>55.48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55.48</v>
          </cell>
          <cell r="Q364">
            <v>4.293939</v>
          </cell>
          <cell r="R364" t="e">
            <v>#N/A</v>
          </cell>
        </row>
        <row r="365">
          <cell r="A365">
            <v>39743</v>
          </cell>
          <cell r="B365">
            <v>39743</v>
          </cell>
          <cell r="C365" t="str">
            <v>Past</v>
          </cell>
          <cell r="D365">
            <v>56.49</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56.49</v>
          </cell>
          <cell r="Q365">
            <v>5.4015759999999995</v>
          </cell>
          <cell r="R365" t="e">
            <v>#N/A</v>
          </cell>
        </row>
        <row r="366">
          <cell r="A366">
            <v>39744</v>
          </cell>
          <cell r="B366">
            <v>39744</v>
          </cell>
          <cell r="C366" t="str">
            <v>Past</v>
          </cell>
          <cell r="D366">
            <v>56.96</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56.96</v>
          </cell>
          <cell r="Q366">
            <v>3.507927</v>
          </cell>
          <cell r="R366" t="e">
            <v>#N/A</v>
          </cell>
        </row>
        <row r="367">
          <cell r="A367">
            <v>39745</v>
          </cell>
          <cell r="B367">
            <v>39745</v>
          </cell>
          <cell r="C367" t="str">
            <v>Past</v>
          </cell>
          <cell r="D367">
            <v>54.7</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54.7</v>
          </cell>
          <cell r="Q367">
            <v>3.3447429999999998</v>
          </cell>
          <cell r="R367" t="e">
            <v>#N/A</v>
          </cell>
        </row>
        <row r="368">
          <cell r="A368">
            <v>39748</v>
          </cell>
          <cell r="B368">
            <v>39748</v>
          </cell>
          <cell r="C368" t="str">
            <v>Past</v>
          </cell>
          <cell r="D368">
            <v>52.27</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52.27</v>
          </cell>
          <cell r="Q368">
            <v>3.4433149999999997</v>
          </cell>
          <cell r="R368" t="e">
            <v>#N/A</v>
          </cell>
        </row>
        <row r="369">
          <cell r="A369">
            <v>39749</v>
          </cell>
          <cell r="B369">
            <v>39749</v>
          </cell>
          <cell r="C369" t="str">
            <v>Past</v>
          </cell>
          <cell r="D369">
            <v>58.4</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58.4</v>
          </cell>
          <cell r="Q369">
            <v>2.796513</v>
          </cell>
          <cell r="R369" t="e">
            <v>#N/A</v>
          </cell>
        </row>
        <row r="370">
          <cell r="A370">
            <v>39750</v>
          </cell>
          <cell r="B370">
            <v>39750</v>
          </cell>
          <cell r="C370" t="str">
            <v>Past</v>
          </cell>
          <cell r="D370">
            <v>58.24</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58.24</v>
          </cell>
          <cell r="Q370">
            <v>3.8592</v>
          </cell>
          <cell r="R370" t="e">
            <v>#N/A</v>
          </cell>
        </row>
        <row r="371">
          <cell r="A371">
            <v>39751</v>
          </cell>
          <cell r="B371">
            <v>39751</v>
          </cell>
          <cell r="C371" t="str">
            <v>Past</v>
          </cell>
          <cell r="D371">
            <v>60.71</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60.71</v>
          </cell>
          <cell r="Q371">
            <v>2.9009369999999999</v>
          </cell>
          <cell r="R371" t="e">
            <v>#N/A</v>
          </cell>
        </row>
        <row r="372">
          <cell r="A372">
            <v>39752</v>
          </cell>
          <cell r="B372">
            <v>39752</v>
          </cell>
          <cell r="C372" t="str">
            <v>Past</v>
          </cell>
          <cell r="D372">
            <v>60.32</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60.32</v>
          </cell>
          <cell r="Q372">
            <v>2.8072309999999998</v>
          </cell>
          <cell r="R372" t="e">
            <v>#N/A</v>
          </cell>
        </row>
        <row r="373">
          <cell r="A373">
            <v>39755</v>
          </cell>
          <cell r="B373">
            <v>39755</v>
          </cell>
          <cell r="C373" t="str">
            <v>Past</v>
          </cell>
          <cell r="D373">
            <v>61.02</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61.02</v>
          </cell>
          <cell r="Q373">
            <v>2.367718</v>
          </cell>
          <cell r="R373" t="e">
            <v>#N/A</v>
          </cell>
        </row>
        <row r="374">
          <cell r="A374">
            <v>39756</v>
          </cell>
          <cell r="B374">
            <v>39756</v>
          </cell>
          <cell r="C374" t="str">
            <v>Past</v>
          </cell>
          <cell r="D374">
            <v>63.77</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63.77</v>
          </cell>
          <cell r="Q374">
            <v>2.575269</v>
          </cell>
          <cell r="R374" t="e">
            <v>#N/A</v>
          </cell>
        </row>
        <row r="375">
          <cell r="A375">
            <v>39757</v>
          </cell>
          <cell r="B375">
            <v>39757</v>
          </cell>
          <cell r="C375" t="str">
            <v>Past</v>
          </cell>
          <cell r="D375">
            <v>62.11</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62.11</v>
          </cell>
          <cell r="Q375">
            <v>3.462672</v>
          </cell>
          <cell r="R375" t="e">
            <v>#N/A</v>
          </cell>
        </row>
        <row r="376">
          <cell r="A376">
            <v>39758</v>
          </cell>
          <cell r="B376">
            <v>39758</v>
          </cell>
          <cell r="C376" t="str">
            <v>Past</v>
          </cell>
          <cell r="D376">
            <v>60.43</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60.43</v>
          </cell>
          <cell r="Q376">
            <v>4.9695999999999998</v>
          </cell>
          <cell r="R376" t="e">
            <v>#N/A</v>
          </cell>
        </row>
        <row r="377">
          <cell r="A377">
            <v>39759</v>
          </cell>
          <cell r="B377">
            <v>39759</v>
          </cell>
          <cell r="C377" t="str">
            <v>Past</v>
          </cell>
          <cell r="D377">
            <v>61.43</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61.43</v>
          </cell>
          <cell r="Q377">
            <v>3.0067300000000001</v>
          </cell>
          <cell r="R377" t="e">
            <v>#N/A</v>
          </cell>
        </row>
        <row r="378">
          <cell r="A378">
            <v>39762</v>
          </cell>
          <cell r="B378">
            <v>39762</v>
          </cell>
          <cell r="C378" t="str">
            <v>Past</v>
          </cell>
          <cell r="D378">
            <v>60.93</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60.93</v>
          </cell>
          <cell r="Q378">
            <v>2.1400200000000003</v>
          </cell>
          <cell r="R378" t="e">
            <v>#N/A</v>
          </cell>
        </row>
        <row r="379">
          <cell r="A379">
            <v>39763</v>
          </cell>
          <cell r="B379">
            <v>39763</v>
          </cell>
          <cell r="C379" t="str">
            <v>Past</v>
          </cell>
          <cell r="D379">
            <v>59.29</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59.29</v>
          </cell>
          <cell r="Q379">
            <v>2.5001869999999999</v>
          </cell>
          <cell r="R379" t="e">
            <v>#N/A</v>
          </cell>
        </row>
        <row r="380">
          <cell r="A380">
            <v>39764</v>
          </cell>
          <cell r="B380">
            <v>39764</v>
          </cell>
          <cell r="C380" t="str">
            <v>Past</v>
          </cell>
          <cell r="D380">
            <v>57.55</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57.55</v>
          </cell>
          <cell r="Q380">
            <v>4.0722149999999999</v>
          </cell>
          <cell r="R380" t="e">
            <v>#N/A</v>
          </cell>
        </row>
        <row r="381">
          <cell r="A381">
            <v>39765</v>
          </cell>
          <cell r="B381">
            <v>39765</v>
          </cell>
          <cell r="C381" t="str">
            <v>Past</v>
          </cell>
          <cell r="D381">
            <v>56.2</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56.2</v>
          </cell>
          <cell r="Q381">
            <v>7.8744229999999993</v>
          </cell>
          <cell r="R381" t="e">
            <v>#N/A</v>
          </cell>
        </row>
        <row r="382">
          <cell r="A382">
            <v>39766</v>
          </cell>
          <cell r="B382">
            <v>39766</v>
          </cell>
          <cell r="C382" t="str">
            <v>Past</v>
          </cell>
          <cell r="D382">
            <v>55.51</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55.51</v>
          </cell>
          <cell r="Q382">
            <v>3.4969519999999998</v>
          </cell>
          <cell r="R382" t="e">
            <v>#N/A</v>
          </cell>
        </row>
        <row r="383">
          <cell r="A383">
            <v>39769</v>
          </cell>
          <cell r="B383">
            <v>39769</v>
          </cell>
          <cell r="C383" t="str">
            <v>Past</v>
          </cell>
          <cell r="D383">
            <v>53.51</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53.51</v>
          </cell>
          <cell r="Q383">
            <v>3.5855100000000002</v>
          </cell>
          <cell r="R383" t="e">
            <v>#N/A</v>
          </cell>
        </row>
        <row r="384">
          <cell r="A384">
            <v>39770</v>
          </cell>
          <cell r="B384">
            <v>39770</v>
          </cell>
          <cell r="C384" t="str">
            <v>Past</v>
          </cell>
          <cell r="D384">
            <v>53.24</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53.24</v>
          </cell>
          <cell r="Q384">
            <v>4.4429150000000002</v>
          </cell>
          <cell r="R384" t="e">
            <v>#N/A</v>
          </cell>
        </row>
        <row r="385">
          <cell r="A385">
            <v>39771</v>
          </cell>
          <cell r="B385">
            <v>39771</v>
          </cell>
          <cell r="C385" t="str">
            <v>Past</v>
          </cell>
          <cell r="D385">
            <v>49.25</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49.25</v>
          </cell>
          <cell r="Q385">
            <v>4.6047739999999999</v>
          </cell>
          <cell r="R385" t="e">
            <v>#N/A</v>
          </cell>
        </row>
        <row r="386">
          <cell r="A386">
            <v>39772</v>
          </cell>
          <cell r="B386">
            <v>39772</v>
          </cell>
          <cell r="C386" t="str">
            <v>Past</v>
          </cell>
          <cell r="D386">
            <v>48.8</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48.8</v>
          </cell>
          <cell r="Q386">
            <v>5.7138269999999993</v>
          </cell>
          <cell r="R386" t="e">
            <v>#N/A</v>
          </cell>
        </row>
        <row r="387">
          <cell r="A387">
            <v>39773</v>
          </cell>
          <cell r="B387">
            <v>39773</v>
          </cell>
          <cell r="C387" t="str">
            <v>Past</v>
          </cell>
          <cell r="D387">
            <v>51.95</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51.95</v>
          </cell>
          <cell r="Q387">
            <v>4.7500669999999996</v>
          </cell>
          <cell r="R387" t="e">
            <v>#N/A</v>
          </cell>
        </row>
        <row r="388">
          <cell r="A388">
            <v>39776</v>
          </cell>
          <cell r="B388">
            <v>39776</v>
          </cell>
          <cell r="C388" t="str">
            <v>Past</v>
          </cell>
          <cell r="D388">
            <v>50.21</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50.21</v>
          </cell>
          <cell r="Q388">
            <v>4.7202999999999999</v>
          </cell>
          <cell r="R388" t="e">
            <v>#N/A</v>
          </cell>
        </row>
        <row r="389">
          <cell r="A389">
            <v>39777</v>
          </cell>
          <cell r="B389">
            <v>39777</v>
          </cell>
          <cell r="C389" t="str">
            <v>Past</v>
          </cell>
          <cell r="D389">
            <v>49.61</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49.61</v>
          </cell>
          <cell r="Q389">
            <v>4.5674450000000002</v>
          </cell>
          <cell r="R389" t="e">
            <v>#N/A</v>
          </cell>
        </row>
        <row r="390">
          <cell r="A390">
            <v>39778</v>
          </cell>
          <cell r="B390">
            <v>39778</v>
          </cell>
          <cell r="C390" t="str">
            <v>Past</v>
          </cell>
          <cell r="D390">
            <v>50.18</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50.18</v>
          </cell>
          <cell r="Q390">
            <v>3.3379800000000004</v>
          </cell>
          <cell r="R390" t="e">
            <v>#N/A</v>
          </cell>
        </row>
        <row r="391">
          <cell r="A391">
            <v>39780</v>
          </cell>
          <cell r="B391">
            <v>39780</v>
          </cell>
          <cell r="C391" t="str">
            <v>Past</v>
          </cell>
          <cell r="D391">
            <v>51.67</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51.67</v>
          </cell>
          <cell r="Q391">
            <v>1.0572109999999999</v>
          </cell>
          <cell r="R391" t="e">
            <v>#N/A</v>
          </cell>
        </row>
        <row r="392">
          <cell r="A392">
            <v>39783</v>
          </cell>
          <cell r="B392">
            <v>39783</v>
          </cell>
          <cell r="C392" t="str">
            <v>Past</v>
          </cell>
          <cell r="D392">
            <v>48.54</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48.54</v>
          </cell>
          <cell r="Q392">
            <v>3.290829</v>
          </cell>
          <cell r="R392" t="e">
            <v>#N/A</v>
          </cell>
        </row>
        <row r="393">
          <cell r="A393">
            <v>39784</v>
          </cell>
          <cell r="B393">
            <v>39784</v>
          </cell>
          <cell r="C393" t="str">
            <v>Past</v>
          </cell>
          <cell r="D393">
            <v>50.11</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50.11</v>
          </cell>
          <cell r="Q393">
            <v>3.0361229999999999</v>
          </cell>
          <cell r="R393" t="e">
            <v>#N/A</v>
          </cell>
        </row>
        <row r="394">
          <cell r="A394">
            <v>39785</v>
          </cell>
          <cell r="B394">
            <v>39785</v>
          </cell>
          <cell r="C394" t="str">
            <v>Past</v>
          </cell>
          <cell r="D394">
            <v>51.65</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51.65</v>
          </cell>
          <cell r="Q394">
            <v>3.4667000000000003</v>
          </cell>
          <cell r="R394" t="e">
            <v>#N/A</v>
          </cell>
        </row>
        <row r="395">
          <cell r="A395">
            <v>39786</v>
          </cell>
          <cell r="B395">
            <v>39786</v>
          </cell>
          <cell r="C395" t="str">
            <v>Past</v>
          </cell>
          <cell r="D395">
            <v>49.95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49.95</v>
          </cell>
          <cell r="Q395">
            <v>3.253546</v>
          </cell>
          <cell r="R395" t="e">
            <v>#N/A</v>
          </cell>
        </row>
        <row r="396">
          <cell r="A396">
            <v>39787</v>
          </cell>
          <cell r="B396">
            <v>39787</v>
          </cell>
          <cell r="C396" t="str">
            <v>Past</v>
          </cell>
          <cell r="D396">
            <v>51.5</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51.5</v>
          </cell>
          <cell r="Q396">
            <v>3.0085869999999999</v>
          </cell>
          <cell r="R396" t="e">
            <v>#N/A</v>
          </cell>
        </row>
        <row r="397">
          <cell r="A397">
            <v>39790</v>
          </cell>
          <cell r="B397">
            <v>39790</v>
          </cell>
          <cell r="C397" t="str">
            <v>Past</v>
          </cell>
          <cell r="D397">
            <v>54.23</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54.23</v>
          </cell>
          <cell r="Q397">
            <v>3.7161949999999999</v>
          </cell>
          <cell r="R397" t="e">
            <v>#N/A</v>
          </cell>
        </row>
        <row r="398">
          <cell r="A398">
            <v>39791</v>
          </cell>
          <cell r="B398">
            <v>39791</v>
          </cell>
          <cell r="C398" t="str">
            <v>Past</v>
          </cell>
          <cell r="D398">
            <v>54.25</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54.25</v>
          </cell>
          <cell r="Q398">
            <v>2.7077589999999998</v>
          </cell>
          <cell r="R398" t="e">
            <v>#N/A</v>
          </cell>
        </row>
        <row r="399">
          <cell r="A399">
            <v>39792</v>
          </cell>
          <cell r="B399">
            <v>39792</v>
          </cell>
          <cell r="C399" t="str">
            <v>Past</v>
          </cell>
          <cell r="D399">
            <v>54.29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54.29</v>
          </cell>
          <cell r="Q399">
            <v>2.7727589999999998</v>
          </cell>
          <cell r="R399" t="e">
            <v>#N/A</v>
          </cell>
        </row>
        <row r="400">
          <cell r="A400">
            <v>39793</v>
          </cell>
          <cell r="B400">
            <v>39793</v>
          </cell>
          <cell r="C400" t="str">
            <v>Past</v>
          </cell>
          <cell r="D400">
            <v>53.81</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53.81</v>
          </cell>
          <cell r="Q400">
            <v>2.4783939999999998</v>
          </cell>
          <cell r="R400" t="e">
            <v>#N/A</v>
          </cell>
        </row>
        <row r="401">
          <cell r="A401">
            <v>39794</v>
          </cell>
          <cell r="B401">
            <v>39794</v>
          </cell>
          <cell r="C401" t="str">
            <v>Past</v>
          </cell>
          <cell r="D401">
            <v>53.28</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53.28</v>
          </cell>
          <cell r="Q401">
            <v>2.8755439999999997</v>
          </cell>
          <cell r="R401" t="e">
            <v>#N/A</v>
          </cell>
        </row>
        <row r="402">
          <cell r="A402">
            <v>39797</v>
          </cell>
          <cell r="B402">
            <v>39797</v>
          </cell>
          <cell r="C402" t="str">
            <v>Past</v>
          </cell>
          <cell r="D402">
            <v>53.11</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53.11</v>
          </cell>
          <cell r="Q402">
            <v>2.7179319999999998</v>
          </cell>
          <cell r="R402" t="e">
            <v>#N/A</v>
          </cell>
        </row>
        <row r="403">
          <cell r="A403">
            <v>39798</v>
          </cell>
          <cell r="B403">
            <v>39798</v>
          </cell>
          <cell r="C403" t="str">
            <v>Past</v>
          </cell>
          <cell r="D403">
            <v>56.34</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56.34</v>
          </cell>
          <cell r="Q403">
            <v>2.4507379999999999</v>
          </cell>
          <cell r="R403" t="e">
            <v>#N/A</v>
          </cell>
        </row>
        <row r="404">
          <cell r="A404">
            <v>39799</v>
          </cell>
          <cell r="B404">
            <v>39799</v>
          </cell>
          <cell r="C404" t="str">
            <v>Past</v>
          </cell>
          <cell r="D404">
            <v>55.49</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55.49</v>
          </cell>
          <cell r="Q404">
            <v>2.006948</v>
          </cell>
          <cell r="R404" t="e">
            <v>#N/A</v>
          </cell>
        </row>
        <row r="405">
          <cell r="A405">
            <v>39800</v>
          </cell>
          <cell r="B405">
            <v>39800</v>
          </cell>
          <cell r="C405" t="str">
            <v>Past</v>
          </cell>
          <cell r="D405">
            <v>55.87</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55.87</v>
          </cell>
          <cell r="Q405">
            <v>3.1112349999999998</v>
          </cell>
          <cell r="R405" t="e">
            <v>#N/A</v>
          </cell>
        </row>
        <row r="406">
          <cell r="A406">
            <v>39801</v>
          </cell>
          <cell r="B406">
            <v>39801</v>
          </cell>
          <cell r="C406" t="str">
            <v>Past</v>
          </cell>
          <cell r="D406">
            <v>55.86</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55.86</v>
          </cell>
          <cell r="Q406">
            <v>3.693365</v>
          </cell>
          <cell r="R406" t="e">
            <v>#N/A</v>
          </cell>
        </row>
        <row r="407">
          <cell r="A407">
            <v>39804</v>
          </cell>
          <cell r="B407">
            <v>39804</v>
          </cell>
          <cell r="C407" t="str">
            <v>Past</v>
          </cell>
          <cell r="D407">
            <v>55.48</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55.48</v>
          </cell>
          <cell r="Q407">
            <v>2.3531749999999998</v>
          </cell>
          <cell r="R407" t="e">
            <v>#N/A</v>
          </cell>
        </row>
        <row r="408">
          <cell r="A408">
            <v>39805</v>
          </cell>
          <cell r="B408">
            <v>39805</v>
          </cell>
          <cell r="C408" t="str">
            <v>Past</v>
          </cell>
          <cell r="D408">
            <v>54.73</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54.73</v>
          </cell>
          <cell r="Q408">
            <v>1.7628600000000001</v>
          </cell>
          <cell r="R408" t="e">
            <v>#N/A</v>
          </cell>
        </row>
        <row r="409">
          <cell r="A409">
            <v>39806</v>
          </cell>
          <cell r="B409">
            <v>39806</v>
          </cell>
          <cell r="C409" t="str">
            <v>Past</v>
          </cell>
          <cell r="D409">
            <v>55.26</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55.26</v>
          </cell>
          <cell r="Q409">
            <v>0.51195599999999997</v>
          </cell>
          <cell r="R409" t="e">
            <v>#N/A</v>
          </cell>
        </row>
        <row r="410">
          <cell r="A410">
            <v>39808</v>
          </cell>
          <cell r="B410">
            <v>39808</v>
          </cell>
          <cell r="C410" t="str">
            <v>Past</v>
          </cell>
          <cell r="D410">
            <v>55.91</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55.91</v>
          </cell>
          <cell r="Q410">
            <v>0.70707199999999992</v>
          </cell>
          <cell r="R410" t="e">
            <v>#N/A</v>
          </cell>
        </row>
        <row r="411">
          <cell r="A411">
            <v>39811</v>
          </cell>
          <cell r="B411">
            <v>39811</v>
          </cell>
          <cell r="C411" t="str">
            <v>Past</v>
          </cell>
          <cell r="D411">
            <v>54.53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54.53</v>
          </cell>
          <cell r="Q411">
            <v>1.8301239999999999</v>
          </cell>
          <cell r="R411" t="e">
            <v>#N/A</v>
          </cell>
        </row>
        <row r="412">
          <cell r="A412">
            <v>39812</v>
          </cell>
          <cell r="B412">
            <v>39812</v>
          </cell>
          <cell r="C412" t="str">
            <v>Past</v>
          </cell>
          <cell r="D412">
            <v>56.41</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56.41</v>
          </cell>
          <cell r="Q412">
            <v>1.36426</v>
          </cell>
          <cell r="R412" t="e">
            <v>#N/A</v>
          </cell>
        </row>
        <row r="413">
          <cell r="A413">
            <v>39813</v>
          </cell>
          <cell r="B413">
            <v>39813</v>
          </cell>
          <cell r="C413" t="str">
            <v>Past</v>
          </cell>
          <cell r="D413">
            <v>57.59</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57.59</v>
          </cell>
          <cell r="Q413">
            <v>1.626636</v>
          </cell>
          <cell r="R413" t="e">
            <v>#N/A</v>
          </cell>
        </row>
        <row r="414">
          <cell r="A414">
            <v>39815</v>
          </cell>
          <cell r="B414">
            <v>39815</v>
          </cell>
          <cell r="C414" t="str">
            <v>Past</v>
          </cell>
          <cell r="D414">
            <v>59.76</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59.76</v>
          </cell>
          <cell r="Q414">
            <v>1.649057</v>
          </cell>
          <cell r="R414" t="e">
            <v>#N/A</v>
          </cell>
        </row>
        <row r="415">
          <cell r="A415">
            <v>39818</v>
          </cell>
          <cell r="B415">
            <v>39818</v>
          </cell>
          <cell r="C415" t="str">
            <v>Past</v>
          </cell>
          <cell r="D415">
            <v>59.74</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59.74</v>
          </cell>
          <cell r="Q415">
            <v>1.467122</v>
          </cell>
          <cell r="R415" t="e">
            <v>#N/A</v>
          </cell>
        </row>
        <row r="416">
          <cell r="A416">
            <v>39819</v>
          </cell>
          <cell r="B416">
            <v>39819</v>
          </cell>
          <cell r="C416" t="str">
            <v>Past</v>
          </cell>
          <cell r="D416">
            <v>61.23</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61.23</v>
          </cell>
          <cell r="Q416">
            <v>2.2565919999999999</v>
          </cell>
          <cell r="R416" t="e">
            <v>#N/A</v>
          </cell>
        </row>
        <row r="417">
          <cell r="A417">
            <v>39820</v>
          </cell>
          <cell r="B417">
            <v>39820</v>
          </cell>
          <cell r="C417" t="str">
            <v>Past</v>
          </cell>
          <cell r="D417">
            <v>58.83</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58.83</v>
          </cell>
          <cell r="Q417">
            <v>1.7511219999999998</v>
          </cell>
          <cell r="R417" t="e">
            <v>#N/A</v>
          </cell>
        </row>
        <row r="418">
          <cell r="A418">
            <v>39821</v>
          </cell>
          <cell r="B418">
            <v>39821</v>
          </cell>
          <cell r="C418" t="str">
            <v>Past</v>
          </cell>
          <cell r="D418">
            <v>59.21</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59.21</v>
          </cell>
          <cell r="Q418">
            <v>1.929373</v>
          </cell>
          <cell r="R418" t="e">
            <v>#N/A</v>
          </cell>
        </row>
        <row r="419">
          <cell r="A419">
            <v>39822</v>
          </cell>
          <cell r="B419">
            <v>39822</v>
          </cell>
          <cell r="C419" t="str">
            <v>Past</v>
          </cell>
          <cell r="D419">
            <v>57.92</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57.92</v>
          </cell>
          <cell r="Q419">
            <v>1.7613179999999999</v>
          </cell>
          <cell r="R419" t="e">
            <v>#N/A</v>
          </cell>
        </row>
        <row r="420">
          <cell r="A420">
            <v>39825</v>
          </cell>
          <cell r="B420">
            <v>39825</v>
          </cell>
          <cell r="C420" t="str">
            <v>Past</v>
          </cell>
          <cell r="D420">
            <v>57.68</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57.68</v>
          </cell>
          <cell r="Q420">
            <v>1.8068689999999998</v>
          </cell>
          <cell r="R420" t="e">
            <v>#N/A</v>
          </cell>
        </row>
        <row r="421">
          <cell r="A421">
            <v>39826</v>
          </cell>
          <cell r="B421">
            <v>39826</v>
          </cell>
          <cell r="C421" t="str">
            <v>Past</v>
          </cell>
          <cell r="D421">
            <v>55.1</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55.1</v>
          </cell>
          <cell r="Q421">
            <v>4.1611349999999998</v>
          </cell>
          <cell r="R421" t="e">
            <v>#N/A</v>
          </cell>
        </row>
        <row r="422">
          <cell r="A422">
            <v>39827</v>
          </cell>
          <cell r="B422">
            <v>39827</v>
          </cell>
          <cell r="C422" t="str">
            <v>Past</v>
          </cell>
          <cell r="D422">
            <v>54.47</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54.47</v>
          </cell>
          <cell r="Q422">
            <v>4.0762580000000002</v>
          </cell>
          <cell r="R422" t="e">
            <v>#N/A</v>
          </cell>
        </row>
        <row r="423">
          <cell r="A423">
            <v>39828</v>
          </cell>
          <cell r="B423">
            <v>39828</v>
          </cell>
          <cell r="C423" t="str">
            <v>Past</v>
          </cell>
          <cell r="D423">
            <v>53.06</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53.06</v>
          </cell>
          <cell r="Q423">
            <v>3.9531139999999998</v>
          </cell>
          <cell r="R423" t="e">
            <v>#N/A</v>
          </cell>
        </row>
        <row r="424">
          <cell r="A424">
            <v>39829</v>
          </cell>
          <cell r="B424">
            <v>39829</v>
          </cell>
          <cell r="C424" t="str">
            <v>Past</v>
          </cell>
          <cell r="D424">
            <v>54.59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54.59</v>
          </cell>
          <cell r="Q424">
            <v>2.9543119999999998</v>
          </cell>
          <cell r="R424" t="e">
            <v>#N/A</v>
          </cell>
        </row>
        <row r="425">
          <cell r="A425">
            <v>39833</v>
          </cell>
          <cell r="B425">
            <v>39833</v>
          </cell>
          <cell r="C425" t="str">
            <v>Past</v>
          </cell>
          <cell r="D425">
            <v>52.2</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52.2</v>
          </cell>
          <cell r="Q425">
            <v>4.0216789999999998</v>
          </cell>
          <cell r="R425" t="e">
            <v>#N/A</v>
          </cell>
        </row>
        <row r="426">
          <cell r="A426">
            <v>39834</v>
          </cell>
          <cell r="B426">
            <v>39834</v>
          </cell>
          <cell r="C426" t="str">
            <v>Past</v>
          </cell>
          <cell r="D426">
            <v>54.01</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54.01</v>
          </cell>
          <cell r="Q426">
            <v>2.4818039999999999</v>
          </cell>
          <cell r="R426" t="e">
            <v>#N/A</v>
          </cell>
        </row>
        <row r="427">
          <cell r="A427">
            <v>39835</v>
          </cell>
          <cell r="B427">
            <v>39835</v>
          </cell>
          <cell r="C427" t="str">
            <v>Past</v>
          </cell>
          <cell r="D427">
            <v>53.88</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53.88</v>
          </cell>
          <cell r="Q427">
            <v>2.8272219999999999</v>
          </cell>
          <cell r="R427" t="e">
            <v>#N/A</v>
          </cell>
        </row>
        <row r="428">
          <cell r="A428">
            <v>39836</v>
          </cell>
          <cell r="B428">
            <v>39836</v>
          </cell>
          <cell r="C428" t="str">
            <v>Past</v>
          </cell>
          <cell r="D428">
            <v>53.32</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53.32</v>
          </cell>
          <cell r="Q428">
            <v>2.1626349999999999</v>
          </cell>
          <cell r="R428" t="e">
            <v>#N/A</v>
          </cell>
        </row>
        <row r="429">
          <cell r="A429">
            <v>39839</v>
          </cell>
          <cell r="B429">
            <v>39839</v>
          </cell>
          <cell r="C429" t="str">
            <v>Past</v>
          </cell>
          <cell r="D429">
            <v>54.6</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54.6</v>
          </cell>
          <cell r="Q429">
            <v>3.3388</v>
          </cell>
          <cell r="R429" t="e">
            <v>#N/A</v>
          </cell>
        </row>
        <row r="430">
          <cell r="A430">
            <v>39840</v>
          </cell>
          <cell r="B430">
            <v>39840</v>
          </cell>
          <cell r="C430" t="str">
            <v>Past</v>
          </cell>
          <cell r="D430">
            <v>55.72</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55.72</v>
          </cell>
          <cell r="Q430">
            <v>2.636682</v>
          </cell>
          <cell r="R430" t="e">
            <v>#N/A</v>
          </cell>
        </row>
        <row r="431">
          <cell r="A431">
            <v>39841</v>
          </cell>
          <cell r="B431">
            <v>39841</v>
          </cell>
          <cell r="C431" t="str">
            <v>Past</v>
          </cell>
          <cell r="D431">
            <v>60.01</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60.01</v>
          </cell>
          <cell r="Q431">
            <v>5.3191379999999997</v>
          </cell>
          <cell r="R431" t="e">
            <v>#N/A</v>
          </cell>
        </row>
        <row r="432">
          <cell r="A432">
            <v>39842</v>
          </cell>
          <cell r="B432">
            <v>39842</v>
          </cell>
          <cell r="C432" t="str">
            <v>Past</v>
          </cell>
          <cell r="D432">
            <v>58.24</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58.24</v>
          </cell>
          <cell r="Q432">
            <v>5.1890100000000006</v>
          </cell>
          <cell r="R432" t="e">
            <v>#N/A</v>
          </cell>
        </row>
        <row r="433">
          <cell r="A433">
            <v>39843</v>
          </cell>
          <cell r="B433">
            <v>39843</v>
          </cell>
          <cell r="C433" t="str">
            <v>Past</v>
          </cell>
          <cell r="D433">
            <v>56.73</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56.73</v>
          </cell>
          <cell r="Q433">
            <v>2.683745</v>
          </cell>
          <cell r="R433" t="e">
            <v>#N/A</v>
          </cell>
        </row>
        <row r="434">
          <cell r="A434">
            <v>39846</v>
          </cell>
          <cell r="B434">
            <v>39846</v>
          </cell>
          <cell r="C434" t="str">
            <v>Past</v>
          </cell>
          <cell r="D434">
            <v>55.29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55.29</v>
          </cell>
          <cell r="Q434">
            <v>2.578182</v>
          </cell>
          <cell r="R434" t="e">
            <v>#N/A</v>
          </cell>
        </row>
        <row r="435">
          <cell r="A435">
            <v>39847</v>
          </cell>
          <cell r="B435">
            <v>39847</v>
          </cell>
          <cell r="C435" t="str">
            <v>Past</v>
          </cell>
          <cell r="D435">
            <v>55.3</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55.3</v>
          </cell>
          <cell r="Q435">
            <v>3.5140789999999997</v>
          </cell>
          <cell r="R435" t="e">
            <v>#N/A</v>
          </cell>
        </row>
        <row r="436">
          <cell r="A436">
            <v>39848</v>
          </cell>
          <cell r="B436">
            <v>39848</v>
          </cell>
          <cell r="C436" t="str">
            <v>Past</v>
          </cell>
          <cell r="D436">
            <v>55.05</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55.05</v>
          </cell>
          <cell r="Q436">
            <v>2.4665319999999999</v>
          </cell>
          <cell r="R436" t="e">
            <v>#N/A</v>
          </cell>
        </row>
        <row r="437">
          <cell r="A437">
            <v>39849</v>
          </cell>
          <cell r="B437">
            <v>39849</v>
          </cell>
          <cell r="C437" t="str">
            <v>Past</v>
          </cell>
          <cell r="D437">
            <v>56.23</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56.23</v>
          </cell>
          <cell r="Q437">
            <v>2.357888</v>
          </cell>
          <cell r="R437" t="e">
            <v>#N/A</v>
          </cell>
        </row>
        <row r="438">
          <cell r="A438">
            <v>39850</v>
          </cell>
          <cell r="B438">
            <v>39850</v>
          </cell>
          <cell r="C438" t="str">
            <v>Past</v>
          </cell>
          <cell r="D438">
            <v>57.21</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57.21</v>
          </cell>
          <cell r="Q438">
            <v>3.2541959999999999</v>
          </cell>
          <cell r="R438" t="e">
            <v>#N/A</v>
          </cell>
        </row>
        <row r="439">
          <cell r="A439">
            <v>39853</v>
          </cell>
          <cell r="B439">
            <v>39853</v>
          </cell>
          <cell r="C439" t="str">
            <v>Past</v>
          </cell>
          <cell r="D439">
            <v>56.75</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56.75</v>
          </cell>
          <cell r="Q439">
            <v>2.4471039999999999</v>
          </cell>
          <cell r="R439" t="e">
            <v>#N/A</v>
          </cell>
        </row>
        <row r="440">
          <cell r="A440">
            <v>39854</v>
          </cell>
          <cell r="B440">
            <v>39854</v>
          </cell>
          <cell r="C440" t="str">
            <v>Past</v>
          </cell>
          <cell r="D440">
            <v>54.44</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54.44</v>
          </cell>
          <cell r="Q440">
            <v>2.6316739999999998</v>
          </cell>
          <cell r="R440" t="e">
            <v>#N/A</v>
          </cell>
        </row>
        <row r="441">
          <cell r="A441">
            <v>39855</v>
          </cell>
          <cell r="B441">
            <v>39855</v>
          </cell>
          <cell r="C441" t="str">
            <v>Past</v>
          </cell>
          <cell r="D441">
            <v>53.89</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53.89</v>
          </cell>
          <cell r="Q441">
            <v>2.8348260000000001</v>
          </cell>
          <cell r="R441" t="e">
            <v>#N/A</v>
          </cell>
        </row>
        <row r="442">
          <cell r="A442">
            <v>39856</v>
          </cell>
          <cell r="B442">
            <v>39856</v>
          </cell>
          <cell r="C442" t="str">
            <v>Past</v>
          </cell>
          <cell r="D442">
            <v>53.83</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53.83</v>
          </cell>
          <cell r="Q442">
            <v>3.5099339999999999</v>
          </cell>
          <cell r="R442" t="e">
            <v>#N/A</v>
          </cell>
        </row>
        <row r="443">
          <cell r="A443">
            <v>39857</v>
          </cell>
          <cell r="B443">
            <v>39857</v>
          </cell>
          <cell r="C443" t="str">
            <v>Past</v>
          </cell>
          <cell r="D443">
            <v>54.49</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54.49</v>
          </cell>
          <cell r="Q443">
            <v>2.0370589999999997</v>
          </cell>
          <cell r="R443" t="e">
            <v>#N/A</v>
          </cell>
        </row>
        <row r="444">
          <cell r="A444">
            <v>39861</v>
          </cell>
          <cell r="B444">
            <v>39861</v>
          </cell>
          <cell r="C444" t="str">
            <v>Past</v>
          </cell>
          <cell r="D444">
            <v>52.88</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52.88</v>
          </cell>
          <cell r="Q444">
            <v>3.1036519999999999</v>
          </cell>
          <cell r="R444" t="e">
            <v>#N/A</v>
          </cell>
        </row>
        <row r="445">
          <cell r="A445">
            <v>39862</v>
          </cell>
          <cell r="B445">
            <v>39862</v>
          </cell>
          <cell r="C445" t="str">
            <v>Past</v>
          </cell>
          <cell r="D445">
            <v>51.96</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51.96</v>
          </cell>
          <cell r="Q445">
            <v>2.690836</v>
          </cell>
          <cell r="R445" t="e">
            <v>#N/A</v>
          </cell>
        </row>
        <row r="446">
          <cell r="A446">
            <v>39863</v>
          </cell>
          <cell r="B446">
            <v>39863</v>
          </cell>
          <cell r="C446" t="str">
            <v>Past</v>
          </cell>
          <cell r="D446">
            <v>51.87</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51.87</v>
          </cell>
          <cell r="Q446">
            <v>3.0400959999999997</v>
          </cell>
          <cell r="R446" t="e">
            <v>#N/A</v>
          </cell>
        </row>
        <row r="447">
          <cell r="A447">
            <v>39864</v>
          </cell>
          <cell r="B447">
            <v>39864</v>
          </cell>
          <cell r="C447" t="str">
            <v>Past</v>
          </cell>
          <cell r="D447">
            <v>50.82</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50.82</v>
          </cell>
          <cell r="Q447">
            <v>4.0806040000000001</v>
          </cell>
          <cell r="R447" t="e">
            <v>#N/A</v>
          </cell>
        </row>
        <row r="448">
          <cell r="A448">
            <v>39867</v>
          </cell>
          <cell r="B448">
            <v>39867</v>
          </cell>
          <cell r="C448" t="str">
            <v>Past</v>
          </cell>
          <cell r="D448">
            <v>48.94</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48.94</v>
          </cell>
          <cell r="Q448">
            <v>2.2190949999999998</v>
          </cell>
          <cell r="R448" t="e">
            <v>#N/A</v>
          </cell>
        </row>
        <row r="449">
          <cell r="A449">
            <v>39868</v>
          </cell>
          <cell r="B449">
            <v>39868</v>
          </cell>
          <cell r="C449" t="str">
            <v>Past</v>
          </cell>
          <cell r="D449">
            <v>49.02</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49.02</v>
          </cell>
          <cell r="Q449">
            <v>3.9338469999999996</v>
          </cell>
          <cell r="R449" t="e">
            <v>#N/A</v>
          </cell>
        </row>
        <row r="450">
          <cell r="A450">
            <v>39869</v>
          </cell>
          <cell r="B450">
            <v>39869</v>
          </cell>
          <cell r="C450" t="str">
            <v>Past</v>
          </cell>
          <cell r="D450">
            <v>46.54</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46.54</v>
          </cell>
          <cell r="Q450">
            <v>5.0784760000000002</v>
          </cell>
          <cell r="R450" t="e">
            <v>#N/A</v>
          </cell>
        </row>
        <row r="451">
          <cell r="A451">
            <v>39870</v>
          </cell>
          <cell r="B451">
            <v>39870</v>
          </cell>
          <cell r="C451" t="str">
            <v>Past</v>
          </cell>
          <cell r="D451">
            <v>45.68</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45.68</v>
          </cell>
          <cell r="Q451">
            <v>2.8676969999999997</v>
          </cell>
          <cell r="R451" t="e">
            <v>#N/A</v>
          </cell>
        </row>
        <row r="452">
          <cell r="A452">
            <v>39871</v>
          </cell>
          <cell r="B452">
            <v>39871</v>
          </cell>
          <cell r="C452" t="str">
            <v>Past</v>
          </cell>
          <cell r="D452">
            <v>43.82</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43.82</v>
          </cell>
          <cell r="Q452">
            <v>3.5662849999999997</v>
          </cell>
          <cell r="R452" t="e">
            <v>#N/A</v>
          </cell>
        </row>
        <row r="453">
          <cell r="A453">
            <v>39874</v>
          </cell>
          <cell r="B453">
            <v>39874</v>
          </cell>
          <cell r="C453" t="str">
            <v>Past</v>
          </cell>
          <cell r="D453">
            <v>41.05</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41.05</v>
          </cell>
          <cell r="Q453">
            <v>5.0633080000000001</v>
          </cell>
          <cell r="R453" t="e">
            <v>#N/A</v>
          </cell>
        </row>
        <row r="454">
          <cell r="A454">
            <v>39875</v>
          </cell>
          <cell r="B454">
            <v>39875</v>
          </cell>
          <cell r="C454" t="str">
            <v>Past</v>
          </cell>
          <cell r="D454">
            <v>39.83</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39.83</v>
          </cell>
          <cell r="Q454">
            <v>4.8762219999999994</v>
          </cell>
          <cell r="R454" t="e">
            <v>#N/A</v>
          </cell>
        </row>
        <row r="455">
          <cell r="A455">
            <v>39876</v>
          </cell>
          <cell r="B455">
            <v>39876</v>
          </cell>
          <cell r="C455" t="str">
            <v>Past</v>
          </cell>
          <cell r="D455">
            <v>40.22</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40.22</v>
          </cell>
          <cell r="Q455">
            <v>7.1071929999999996</v>
          </cell>
          <cell r="R455" t="e">
            <v>#N/A</v>
          </cell>
        </row>
        <row r="456">
          <cell r="A456">
            <v>39877</v>
          </cell>
          <cell r="B456">
            <v>39877</v>
          </cell>
          <cell r="C456" t="str">
            <v>Past</v>
          </cell>
          <cell r="D456">
            <v>37.380000000000003</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37.380000000000003</v>
          </cell>
          <cell r="Q456">
            <v>10.6652</v>
          </cell>
          <cell r="R456" t="e">
            <v>#N/A</v>
          </cell>
        </row>
        <row r="457">
          <cell r="A457">
            <v>39878</v>
          </cell>
          <cell r="B457">
            <v>39878</v>
          </cell>
          <cell r="C457" t="str">
            <v>Past</v>
          </cell>
          <cell r="D457">
            <v>36.49</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36.49</v>
          </cell>
          <cell r="Q457">
            <v>7.4985349999999995</v>
          </cell>
          <cell r="R457" t="e">
            <v>#N/A</v>
          </cell>
        </row>
        <row r="458">
          <cell r="A458">
            <v>39881</v>
          </cell>
          <cell r="B458">
            <v>39881</v>
          </cell>
          <cell r="C458" t="str">
            <v>Past</v>
          </cell>
          <cell r="D458">
            <v>36.31</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36.31</v>
          </cell>
          <cell r="Q458">
            <v>5.2917779999999999</v>
          </cell>
          <cell r="R458" t="e">
            <v>#N/A</v>
          </cell>
        </row>
        <row r="459">
          <cell r="A459">
            <v>39882</v>
          </cell>
          <cell r="B459">
            <v>39882</v>
          </cell>
          <cell r="C459" t="str">
            <v>Past</v>
          </cell>
          <cell r="D459">
            <v>37.6</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37.6</v>
          </cell>
          <cell r="Q459">
            <v>4.2916369999999997</v>
          </cell>
          <cell r="R459" t="e">
            <v>#N/A</v>
          </cell>
        </row>
        <row r="460">
          <cell r="A460">
            <v>39883</v>
          </cell>
          <cell r="B460">
            <v>39883</v>
          </cell>
          <cell r="C460" t="str">
            <v>Past</v>
          </cell>
          <cell r="D460">
            <v>36.409999999999997</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36.409999999999997</v>
          </cell>
          <cell r="Q460">
            <v>4.4459629999999999</v>
          </cell>
          <cell r="R460" t="e">
            <v>#N/A</v>
          </cell>
        </row>
        <row r="461">
          <cell r="A461">
            <v>39884</v>
          </cell>
          <cell r="B461">
            <v>39884</v>
          </cell>
          <cell r="C461" t="str">
            <v>Past</v>
          </cell>
          <cell r="D461">
            <v>37.57</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37.57</v>
          </cell>
          <cell r="Q461">
            <v>4.2113809999999994</v>
          </cell>
          <cell r="R461" t="e">
            <v>#N/A</v>
          </cell>
        </row>
        <row r="462">
          <cell r="A462">
            <v>39885</v>
          </cell>
          <cell r="B462">
            <v>39885</v>
          </cell>
          <cell r="C462" t="str">
            <v>Past</v>
          </cell>
          <cell r="D462">
            <v>37.6</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37.6</v>
          </cell>
          <cell r="Q462">
            <v>3.9677529999999996</v>
          </cell>
          <cell r="R462" t="e">
            <v>#N/A</v>
          </cell>
        </row>
        <row r="463">
          <cell r="A463">
            <v>39888</v>
          </cell>
          <cell r="B463">
            <v>39888</v>
          </cell>
          <cell r="C463" t="str">
            <v>Past</v>
          </cell>
          <cell r="D463">
            <v>39.049999999999997</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39.049999999999997</v>
          </cell>
          <cell r="Q463">
            <v>4.3051309999999994</v>
          </cell>
          <cell r="R463" t="e">
            <v>#N/A</v>
          </cell>
        </row>
        <row r="464">
          <cell r="A464">
            <v>39889</v>
          </cell>
          <cell r="B464">
            <v>39889</v>
          </cell>
          <cell r="C464" t="str">
            <v>Past</v>
          </cell>
          <cell r="D464">
            <v>39.549999999999997</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39.549999999999997</v>
          </cell>
          <cell r="Q464">
            <v>3.4064600000000005</v>
          </cell>
          <cell r="R464" t="e">
            <v>#N/A</v>
          </cell>
        </row>
        <row r="465">
          <cell r="A465">
            <v>39890</v>
          </cell>
          <cell r="B465">
            <v>39890</v>
          </cell>
          <cell r="C465" t="str">
            <v>Past</v>
          </cell>
          <cell r="D465">
            <v>39.22</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39.22</v>
          </cell>
          <cell r="Q465">
            <v>4.4639049999999996</v>
          </cell>
          <cell r="R465" t="e">
            <v>#N/A</v>
          </cell>
        </row>
        <row r="466">
          <cell r="A466">
            <v>39891</v>
          </cell>
          <cell r="B466">
            <v>39891</v>
          </cell>
          <cell r="C466" t="str">
            <v>Past</v>
          </cell>
          <cell r="D466">
            <v>37.86</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37.86</v>
          </cell>
          <cell r="Q466">
            <v>5.6530909999999999</v>
          </cell>
          <cell r="R466" t="e">
            <v>#N/A</v>
          </cell>
        </row>
        <row r="467">
          <cell r="A467">
            <v>39892</v>
          </cell>
          <cell r="B467">
            <v>39892</v>
          </cell>
          <cell r="C467" t="str">
            <v>Past</v>
          </cell>
          <cell r="D467">
            <v>37.65</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37.65</v>
          </cell>
          <cell r="Q467">
            <v>4.4139039999999996</v>
          </cell>
          <cell r="R467" t="e">
            <v>#N/A</v>
          </cell>
        </row>
        <row r="468">
          <cell r="A468">
            <v>39895</v>
          </cell>
          <cell r="B468">
            <v>39895</v>
          </cell>
          <cell r="C468" t="str">
            <v>Past</v>
          </cell>
          <cell r="D468">
            <v>39.64</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39.64</v>
          </cell>
          <cell r="Q468">
            <v>4.3599449999999997</v>
          </cell>
          <cell r="R468" t="e">
            <v>#N/A</v>
          </cell>
        </row>
        <row r="469">
          <cell r="A469">
            <v>39896</v>
          </cell>
          <cell r="B469">
            <v>39896</v>
          </cell>
          <cell r="C469" t="str">
            <v>Past</v>
          </cell>
          <cell r="D469">
            <v>39.5</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39.5</v>
          </cell>
          <cell r="Q469">
            <v>4.2064969999999997</v>
          </cell>
          <cell r="R469" t="e">
            <v>#N/A</v>
          </cell>
        </row>
        <row r="470">
          <cell r="A470">
            <v>39897</v>
          </cell>
          <cell r="B470">
            <v>39897</v>
          </cell>
          <cell r="C470" t="str">
            <v>Past</v>
          </cell>
          <cell r="D470">
            <v>40.31</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40.31</v>
          </cell>
          <cell r="Q470">
            <v>3.6856589999999998</v>
          </cell>
          <cell r="R470" t="e">
            <v>#N/A</v>
          </cell>
        </row>
        <row r="471">
          <cell r="A471">
            <v>39898</v>
          </cell>
          <cell r="B471">
            <v>39898</v>
          </cell>
          <cell r="C471" t="str">
            <v>Past</v>
          </cell>
          <cell r="D471">
            <v>43.07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43.07</v>
          </cell>
          <cell r="Q471">
            <v>4.8744319999999997</v>
          </cell>
          <cell r="R471" t="e">
            <v>#N/A</v>
          </cell>
        </row>
        <row r="472">
          <cell r="A472">
            <v>39899</v>
          </cell>
          <cell r="B472">
            <v>39899</v>
          </cell>
          <cell r="C472" t="str">
            <v>Past</v>
          </cell>
          <cell r="D472">
            <v>43.12</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43.12</v>
          </cell>
          <cell r="Q472">
            <v>4.6524919999999996</v>
          </cell>
          <cell r="R472" t="e">
            <v>#N/A</v>
          </cell>
        </row>
        <row r="473">
          <cell r="A473">
            <v>39902</v>
          </cell>
          <cell r="B473">
            <v>39902</v>
          </cell>
          <cell r="C473" t="str">
            <v>Past</v>
          </cell>
          <cell r="D473">
            <v>42.34</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42.34</v>
          </cell>
          <cell r="Q473">
            <v>5.5851159999999993</v>
          </cell>
          <cell r="R473" t="e">
            <v>#N/A</v>
          </cell>
        </row>
        <row r="474">
          <cell r="A474">
            <v>39903</v>
          </cell>
          <cell r="B474">
            <v>39903</v>
          </cell>
          <cell r="C474" t="str">
            <v>Past</v>
          </cell>
          <cell r="D474">
            <v>41.59</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41.59</v>
          </cell>
          <cell r="Q474">
            <v>4.7996449999999999</v>
          </cell>
          <cell r="R474" t="e">
            <v>#N/A</v>
          </cell>
        </row>
        <row r="475">
          <cell r="A475">
            <v>39904</v>
          </cell>
          <cell r="B475">
            <v>39904</v>
          </cell>
          <cell r="C475" t="str">
            <v>Past</v>
          </cell>
          <cell r="D475">
            <v>42.19</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42.19</v>
          </cell>
          <cell r="Q475">
            <v>3.3985559999999997</v>
          </cell>
          <cell r="R475" t="e">
            <v>#N/A</v>
          </cell>
        </row>
        <row r="476">
          <cell r="A476">
            <v>39905</v>
          </cell>
          <cell r="B476">
            <v>39905</v>
          </cell>
          <cell r="C476" t="str">
            <v>Past</v>
          </cell>
          <cell r="D476">
            <v>43.12</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43.12</v>
          </cell>
          <cell r="Q476">
            <v>4.05288</v>
          </cell>
          <cell r="R476" t="e">
            <v>#N/A</v>
          </cell>
        </row>
        <row r="477">
          <cell r="A477">
            <v>39906</v>
          </cell>
          <cell r="B477">
            <v>39906</v>
          </cell>
          <cell r="C477" t="str">
            <v>Past</v>
          </cell>
          <cell r="D477">
            <v>42.66</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42.66</v>
          </cell>
          <cell r="Q477">
            <v>3.4079959999999998</v>
          </cell>
          <cell r="R477" t="e">
            <v>#N/A</v>
          </cell>
        </row>
        <row r="478">
          <cell r="A478">
            <v>39909</v>
          </cell>
          <cell r="B478">
            <v>39909</v>
          </cell>
          <cell r="C478" t="str">
            <v>Past</v>
          </cell>
          <cell r="D478">
            <v>45.56</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45.56</v>
          </cell>
          <cell r="Q478">
            <v>5.8816079999999999</v>
          </cell>
          <cell r="R478" t="e">
            <v>#N/A</v>
          </cell>
        </row>
        <row r="479">
          <cell r="A479">
            <v>39910</v>
          </cell>
          <cell r="B479">
            <v>39910</v>
          </cell>
          <cell r="C479" t="str">
            <v>Past</v>
          </cell>
          <cell r="D479">
            <v>43.55</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43.55</v>
          </cell>
          <cell r="Q479">
            <v>4.3181779999999996</v>
          </cell>
          <cell r="R479" t="e">
            <v>#N/A</v>
          </cell>
        </row>
        <row r="480">
          <cell r="A480">
            <v>39911</v>
          </cell>
          <cell r="B480">
            <v>39911</v>
          </cell>
          <cell r="C480" t="str">
            <v>Past</v>
          </cell>
          <cell r="D480">
            <v>44</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44</v>
          </cell>
          <cell r="Q480">
            <v>2.6753749999999998</v>
          </cell>
          <cell r="R480" t="e">
            <v>#N/A</v>
          </cell>
        </row>
        <row r="481">
          <cell r="A481">
            <v>39912</v>
          </cell>
          <cell r="B481">
            <v>39912</v>
          </cell>
          <cell r="C481" t="str">
            <v>Past</v>
          </cell>
          <cell r="D481">
            <v>44.94</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44.94</v>
          </cell>
          <cell r="Q481">
            <v>3.582627</v>
          </cell>
          <cell r="R481" t="e">
            <v>#N/A</v>
          </cell>
        </row>
        <row r="482">
          <cell r="A482">
            <v>39916</v>
          </cell>
          <cell r="B482">
            <v>39916</v>
          </cell>
          <cell r="C482" t="str">
            <v>Past</v>
          </cell>
          <cell r="D482">
            <v>44.01</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44.01</v>
          </cell>
          <cell r="Q482">
            <v>2.8987909999999997</v>
          </cell>
          <cell r="R482" t="e">
            <v>#N/A</v>
          </cell>
        </row>
        <row r="483">
          <cell r="A483">
            <v>39917</v>
          </cell>
          <cell r="B483">
            <v>39917</v>
          </cell>
          <cell r="C483" t="str">
            <v>Past</v>
          </cell>
          <cell r="D483">
            <v>43.93</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43.93</v>
          </cell>
          <cell r="Q483">
            <v>2.6540189999999999</v>
          </cell>
          <cell r="R483" t="e">
            <v>#N/A</v>
          </cell>
        </row>
        <row r="484">
          <cell r="A484">
            <v>39918</v>
          </cell>
          <cell r="B484">
            <v>39918</v>
          </cell>
          <cell r="C484" t="str">
            <v>Past</v>
          </cell>
          <cell r="D484">
            <v>44.3</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44.3</v>
          </cell>
          <cell r="Q484">
            <v>2.3003139999999997</v>
          </cell>
          <cell r="R484" t="e">
            <v>#N/A</v>
          </cell>
        </row>
        <row r="485">
          <cell r="A485">
            <v>39919</v>
          </cell>
          <cell r="B485">
            <v>39919</v>
          </cell>
          <cell r="C485" t="str">
            <v>Past</v>
          </cell>
          <cell r="D485">
            <v>45.54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45.54</v>
          </cell>
          <cell r="Q485">
            <v>3.1398319999999997</v>
          </cell>
          <cell r="R485" t="e">
            <v>#N/A</v>
          </cell>
        </row>
        <row r="486">
          <cell r="A486">
            <v>39920</v>
          </cell>
          <cell r="B486">
            <v>39920</v>
          </cell>
          <cell r="C486" t="str">
            <v>Past</v>
          </cell>
          <cell r="D486">
            <v>46.55</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46.55</v>
          </cell>
          <cell r="Q486">
            <v>4.0767379999999998</v>
          </cell>
          <cell r="R486" t="e">
            <v>#N/A</v>
          </cell>
        </row>
        <row r="487">
          <cell r="A487">
            <v>39923</v>
          </cell>
          <cell r="B487">
            <v>39923</v>
          </cell>
          <cell r="C487" t="str">
            <v>Past</v>
          </cell>
          <cell r="D487">
            <v>45.37</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45.37</v>
          </cell>
          <cell r="Q487">
            <v>3.5436189999999996</v>
          </cell>
          <cell r="R487" t="e">
            <v>#N/A</v>
          </cell>
        </row>
        <row r="488">
          <cell r="A488">
            <v>39924</v>
          </cell>
          <cell r="B488">
            <v>39924</v>
          </cell>
          <cell r="C488" t="str">
            <v>Past</v>
          </cell>
          <cell r="D488">
            <v>46.47</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46.47</v>
          </cell>
          <cell r="Q488">
            <v>4.226712</v>
          </cell>
          <cell r="R488" t="e">
            <v>#N/A</v>
          </cell>
        </row>
        <row r="489">
          <cell r="A489">
            <v>39925</v>
          </cell>
          <cell r="B489">
            <v>39925</v>
          </cell>
          <cell r="C489" t="str">
            <v>Past</v>
          </cell>
          <cell r="D489">
            <v>48.23</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48.23</v>
          </cell>
          <cell r="Q489">
            <v>4.1012170000000001</v>
          </cell>
          <cell r="R489" t="e">
            <v>#N/A</v>
          </cell>
        </row>
        <row r="490">
          <cell r="A490">
            <v>39926</v>
          </cell>
          <cell r="B490">
            <v>39926</v>
          </cell>
          <cell r="C490" t="str">
            <v>Past</v>
          </cell>
          <cell r="D490">
            <v>49.5</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49.5</v>
          </cell>
          <cell r="Q490">
            <v>4.6396439999999997</v>
          </cell>
          <cell r="R490" t="e">
            <v>#N/A</v>
          </cell>
        </row>
        <row r="491">
          <cell r="A491">
            <v>39927</v>
          </cell>
          <cell r="B491">
            <v>39927</v>
          </cell>
          <cell r="C491" t="str">
            <v>Past</v>
          </cell>
          <cell r="D491">
            <v>49.18</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49.18</v>
          </cell>
          <cell r="Q491">
            <v>3.3718000000000004</v>
          </cell>
          <cell r="R491" t="e">
            <v>#N/A</v>
          </cell>
        </row>
        <row r="492">
          <cell r="A492">
            <v>39930</v>
          </cell>
          <cell r="B492">
            <v>39930</v>
          </cell>
          <cell r="C492" t="str">
            <v>Past</v>
          </cell>
          <cell r="D492">
            <v>51.28</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51.28</v>
          </cell>
          <cell r="Q492">
            <v>4.0476209999999995</v>
          </cell>
          <cell r="R492" t="e">
            <v>#N/A</v>
          </cell>
        </row>
        <row r="493">
          <cell r="A493">
            <v>39931</v>
          </cell>
          <cell r="B493">
            <v>39931</v>
          </cell>
          <cell r="C493" t="str">
            <v>Past</v>
          </cell>
          <cell r="D493">
            <v>50.61</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50.61</v>
          </cell>
          <cell r="Q493">
            <v>2.5002649999999997</v>
          </cell>
          <cell r="R493" t="e">
            <v>#N/A</v>
          </cell>
        </row>
        <row r="494">
          <cell r="A494">
            <v>39932</v>
          </cell>
          <cell r="B494">
            <v>39932</v>
          </cell>
          <cell r="C494" t="str">
            <v>Past</v>
          </cell>
          <cell r="D494">
            <v>53.34</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53.34</v>
          </cell>
          <cell r="Q494">
            <v>4.2113059999999995</v>
          </cell>
          <cell r="R494" t="e">
            <v>#N/A</v>
          </cell>
        </row>
        <row r="495">
          <cell r="A495">
            <v>39933</v>
          </cell>
          <cell r="B495">
            <v>39933</v>
          </cell>
          <cell r="C495" t="str">
            <v>Past</v>
          </cell>
          <cell r="D495">
            <v>51.67</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51.67</v>
          </cell>
          <cell r="Q495">
            <v>4.6450179999999994</v>
          </cell>
          <cell r="R495" t="e">
            <v>#N/A</v>
          </cell>
        </row>
        <row r="496">
          <cell r="A496">
            <v>39934</v>
          </cell>
          <cell r="B496">
            <v>39934</v>
          </cell>
          <cell r="C496" t="str">
            <v>Past</v>
          </cell>
          <cell r="D496">
            <v>52.38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52.38</v>
          </cell>
          <cell r="Q496">
            <v>3.303572</v>
          </cell>
          <cell r="R496" t="e">
            <v>#N/A</v>
          </cell>
        </row>
        <row r="497">
          <cell r="A497">
            <v>39937</v>
          </cell>
          <cell r="B497">
            <v>39937</v>
          </cell>
          <cell r="C497" t="str">
            <v>Past</v>
          </cell>
          <cell r="D497">
            <v>54</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54</v>
          </cell>
          <cell r="Q497">
            <v>2.9000849999999998</v>
          </cell>
          <cell r="R497" t="e">
            <v>#N/A</v>
          </cell>
        </row>
        <row r="498">
          <cell r="A498">
            <v>39938</v>
          </cell>
          <cell r="B498">
            <v>39938</v>
          </cell>
          <cell r="C498" t="str">
            <v>Past</v>
          </cell>
          <cell r="D498">
            <v>53.62</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53.62</v>
          </cell>
          <cell r="Q498">
            <v>2.1525339999999997</v>
          </cell>
          <cell r="R498" t="e">
            <v>#N/A</v>
          </cell>
        </row>
        <row r="499">
          <cell r="A499">
            <v>39939</v>
          </cell>
          <cell r="B499">
            <v>39939</v>
          </cell>
          <cell r="C499" t="str">
            <v>Past</v>
          </cell>
          <cell r="D499">
            <v>54.24</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54.24</v>
          </cell>
          <cell r="Q499">
            <v>2.1520139999999999</v>
          </cell>
          <cell r="R499" t="e">
            <v>#N/A</v>
          </cell>
        </row>
        <row r="500">
          <cell r="A500">
            <v>39940</v>
          </cell>
          <cell r="B500">
            <v>39940</v>
          </cell>
          <cell r="C500" t="str">
            <v>Past</v>
          </cell>
          <cell r="D500">
            <v>53.66</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53.66</v>
          </cell>
          <cell r="Q500">
            <v>3.3123869999999997</v>
          </cell>
          <cell r="R500" t="e">
            <v>#N/A</v>
          </cell>
        </row>
        <row r="501">
          <cell r="A501">
            <v>39941</v>
          </cell>
          <cell r="B501">
            <v>39941</v>
          </cell>
          <cell r="C501" t="str">
            <v>Past</v>
          </cell>
          <cell r="D501">
            <v>55.88</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55.88</v>
          </cell>
          <cell r="Q501">
            <v>3.2748359999999996</v>
          </cell>
          <cell r="R501" t="e">
            <v>#N/A</v>
          </cell>
        </row>
        <row r="502">
          <cell r="A502">
            <v>39944</v>
          </cell>
          <cell r="B502">
            <v>39944</v>
          </cell>
          <cell r="C502" t="str">
            <v>Past</v>
          </cell>
          <cell r="D502">
            <v>54.13</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54.13</v>
          </cell>
          <cell r="Q502">
            <v>2.5372859999999999</v>
          </cell>
          <cell r="R502" t="e">
            <v>#N/A</v>
          </cell>
        </row>
        <row r="503">
          <cell r="A503">
            <v>39945</v>
          </cell>
          <cell r="B503">
            <v>39945</v>
          </cell>
          <cell r="C503" t="str">
            <v>Past</v>
          </cell>
          <cell r="D503">
            <v>55.3</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55.3</v>
          </cell>
          <cell r="Q503">
            <v>2.4634589999999998</v>
          </cell>
          <cell r="R503" t="e">
            <v>#N/A</v>
          </cell>
        </row>
        <row r="504">
          <cell r="A504">
            <v>39946</v>
          </cell>
          <cell r="B504">
            <v>39946</v>
          </cell>
          <cell r="C504" t="str">
            <v>Past</v>
          </cell>
          <cell r="D504">
            <v>55.3</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55.3</v>
          </cell>
          <cell r="Q504">
            <v>3.4822729999999997</v>
          </cell>
          <cell r="R504" t="e">
            <v>#N/A</v>
          </cell>
        </row>
        <row r="505">
          <cell r="A505">
            <v>39947</v>
          </cell>
          <cell r="B505">
            <v>39947</v>
          </cell>
          <cell r="C505" t="str">
            <v>Past</v>
          </cell>
          <cell r="D505">
            <v>55.84</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55.84</v>
          </cell>
          <cell r="Q505">
            <v>3.1050469999999999</v>
          </cell>
          <cell r="R505" t="e">
            <v>#N/A</v>
          </cell>
        </row>
        <row r="506">
          <cell r="A506">
            <v>39948</v>
          </cell>
          <cell r="B506">
            <v>39948</v>
          </cell>
          <cell r="C506" t="str">
            <v>Past</v>
          </cell>
          <cell r="D506">
            <v>55.01</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55.01</v>
          </cell>
          <cell r="Q506">
            <v>3.4888439999999998</v>
          </cell>
          <cell r="R506" t="e">
            <v>#N/A</v>
          </cell>
        </row>
        <row r="507">
          <cell r="A507">
            <v>39951</v>
          </cell>
          <cell r="B507">
            <v>39951</v>
          </cell>
          <cell r="C507" t="str">
            <v>Past</v>
          </cell>
          <cell r="D507">
            <v>55.46</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55.46</v>
          </cell>
          <cell r="Q507">
            <v>3.3032569999999999</v>
          </cell>
          <cell r="R507" t="e">
            <v>#N/A</v>
          </cell>
        </row>
        <row r="508">
          <cell r="A508">
            <v>39952</v>
          </cell>
          <cell r="B508">
            <v>39952</v>
          </cell>
          <cell r="C508" t="str">
            <v>Past</v>
          </cell>
          <cell r="D508">
            <v>56.87</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56.87</v>
          </cell>
          <cell r="Q508">
            <v>2.9326460000000001</v>
          </cell>
          <cell r="R508" t="e">
            <v>#N/A</v>
          </cell>
        </row>
        <row r="509">
          <cell r="A509">
            <v>39953</v>
          </cell>
          <cell r="B509">
            <v>39953</v>
          </cell>
          <cell r="C509" t="str">
            <v>Past</v>
          </cell>
          <cell r="D509">
            <v>57.17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57.17</v>
          </cell>
          <cell r="Q509">
            <v>2.5432739999999998</v>
          </cell>
          <cell r="R509" t="e">
            <v>#N/A</v>
          </cell>
        </row>
        <row r="510">
          <cell r="A510">
            <v>39954</v>
          </cell>
          <cell r="B510">
            <v>39954</v>
          </cell>
          <cell r="C510" t="str">
            <v>Past</v>
          </cell>
          <cell r="D510">
            <v>55.7</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55.7</v>
          </cell>
          <cell r="Q510">
            <v>2.202677</v>
          </cell>
          <cell r="R510" t="e">
            <v>#N/A</v>
          </cell>
        </row>
        <row r="511">
          <cell r="A511">
            <v>39955</v>
          </cell>
          <cell r="B511">
            <v>39955</v>
          </cell>
          <cell r="C511" t="str">
            <v>Past</v>
          </cell>
          <cell r="D511">
            <v>55.7</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55.7</v>
          </cell>
          <cell r="Q511">
            <v>1.8300139999999998</v>
          </cell>
          <cell r="R511" t="e">
            <v>#N/A</v>
          </cell>
        </row>
        <row r="512">
          <cell r="A512">
            <v>39959</v>
          </cell>
          <cell r="B512">
            <v>39959</v>
          </cell>
          <cell r="C512" t="str">
            <v>Past</v>
          </cell>
          <cell r="D512">
            <v>56.27</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56.27</v>
          </cell>
          <cell r="Q512">
            <v>4.6037609999999995</v>
          </cell>
          <cell r="R512" t="e">
            <v>#N/A</v>
          </cell>
        </row>
        <row r="513">
          <cell r="A513">
            <v>39960</v>
          </cell>
          <cell r="B513">
            <v>39960</v>
          </cell>
          <cell r="C513" t="str">
            <v>Past</v>
          </cell>
          <cell r="D513">
            <v>55.72</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55.72</v>
          </cell>
          <cell r="Q513">
            <v>2.2418269999999998</v>
          </cell>
          <cell r="R513" t="e">
            <v>#N/A</v>
          </cell>
        </row>
        <row r="514">
          <cell r="A514">
            <v>39961</v>
          </cell>
          <cell r="B514">
            <v>39961</v>
          </cell>
          <cell r="C514" t="str">
            <v>Past</v>
          </cell>
          <cell r="D514">
            <v>57.04</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57.04</v>
          </cell>
          <cell r="Q514">
            <v>2.3433660000000001</v>
          </cell>
          <cell r="R514" t="e">
            <v>#N/A</v>
          </cell>
        </row>
        <row r="515">
          <cell r="A515">
            <v>39962</v>
          </cell>
          <cell r="B515">
            <v>39962</v>
          </cell>
          <cell r="C515" t="str">
            <v>Past</v>
          </cell>
          <cell r="D515">
            <v>56.9</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56.9</v>
          </cell>
          <cell r="Q515">
            <v>2.3618669999999997</v>
          </cell>
          <cell r="R515" t="e">
            <v>#N/A</v>
          </cell>
        </row>
        <row r="516">
          <cell r="A516">
            <v>39965</v>
          </cell>
          <cell r="B516">
            <v>39965</v>
          </cell>
          <cell r="C516" t="str">
            <v>Past</v>
          </cell>
          <cell r="D516">
            <v>59.31</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59.31</v>
          </cell>
          <cell r="Q516">
            <v>2.066103</v>
          </cell>
          <cell r="R516" t="e">
            <v>#N/A</v>
          </cell>
        </row>
        <row r="517">
          <cell r="A517">
            <v>39966</v>
          </cell>
          <cell r="B517">
            <v>39966</v>
          </cell>
          <cell r="C517" t="str">
            <v>Past</v>
          </cell>
          <cell r="D517">
            <v>59.98</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59.98</v>
          </cell>
          <cell r="Q517">
            <v>2.1165100000000003</v>
          </cell>
          <cell r="R517" t="e">
            <v>#N/A</v>
          </cell>
        </row>
        <row r="518">
          <cell r="A518">
            <v>39967</v>
          </cell>
          <cell r="B518">
            <v>39967</v>
          </cell>
          <cell r="C518" t="str">
            <v>Past</v>
          </cell>
          <cell r="D518">
            <v>58.59</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58.59</v>
          </cell>
          <cell r="Q518">
            <v>2.3009659999999998</v>
          </cell>
          <cell r="R518" t="e">
            <v>#N/A</v>
          </cell>
        </row>
        <row r="519">
          <cell r="A519">
            <v>39968</v>
          </cell>
          <cell r="B519">
            <v>39968</v>
          </cell>
          <cell r="C519" t="str">
            <v>Past</v>
          </cell>
          <cell r="D519">
            <v>59.1</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59.1</v>
          </cell>
          <cell r="Q519">
            <v>2.0281829999999998</v>
          </cell>
          <cell r="R519" t="e">
            <v>#N/A</v>
          </cell>
        </row>
        <row r="520">
          <cell r="A520">
            <v>39969</v>
          </cell>
          <cell r="B520">
            <v>39969</v>
          </cell>
          <cell r="C520" t="str">
            <v>Past</v>
          </cell>
          <cell r="D520">
            <v>60.45</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60.45</v>
          </cell>
          <cell r="Q520">
            <v>2.7689909999999998</v>
          </cell>
          <cell r="R520" t="e">
            <v>#N/A</v>
          </cell>
        </row>
        <row r="521">
          <cell r="A521">
            <v>39972</v>
          </cell>
          <cell r="B521">
            <v>39972</v>
          </cell>
          <cell r="C521" t="str">
            <v>Past</v>
          </cell>
          <cell r="D521">
            <v>60.46</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60.46</v>
          </cell>
          <cell r="Q521">
            <v>2.2860529999999999</v>
          </cell>
          <cell r="R521" t="e">
            <v>#N/A</v>
          </cell>
        </row>
        <row r="522">
          <cell r="A522">
            <v>39973</v>
          </cell>
          <cell r="B522">
            <v>39973</v>
          </cell>
          <cell r="C522" t="str">
            <v>Past</v>
          </cell>
          <cell r="D522">
            <v>59.25</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59.25</v>
          </cell>
          <cell r="Q522">
            <v>2.8197169999999998</v>
          </cell>
          <cell r="R522" t="e">
            <v>#N/A</v>
          </cell>
        </row>
        <row r="523">
          <cell r="A523">
            <v>39974</v>
          </cell>
          <cell r="B523">
            <v>39974</v>
          </cell>
          <cell r="C523" t="str">
            <v>Past</v>
          </cell>
          <cell r="D523">
            <v>59.04</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59.04</v>
          </cell>
          <cell r="Q523">
            <v>2.0353509999999999</v>
          </cell>
          <cell r="R523" t="e">
            <v>#N/A</v>
          </cell>
        </row>
        <row r="524">
          <cell r="A524">
            <v>39975</v>
          </cell>
          <cell r="B524">
            <v>39975</v>
          </cell>
          <cell r="C524" t="str">
            <v>Past</v>
          </cell>
          <cell r="D524">
            <v>59.29</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59.29</v>
          </cell>
          <cell r="Q524">
            <v>2.0232999999999999</v>
          </cell>
          <cell r="R524" t="e">
            <v>#N/A</v>
          </cell>
        </row>
        <row r="525">
          <cell r="A525">
            <v>39976</v>
          </cell>
          <cell r="B525">
            <v>39976</v>
          </cell>
          <cell r="C525" t="str">
            <v>Past</v>
          </cell>
          <cell r="D525">
            <v>59.76</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59.76</v>
          </cell>
          <cell r="Q525">
            <v>1.5357829999999999</v>
          </cell>
          <cell r="R525" t="e">
            <v>#N/A</v>
          </cell>
        </row>
        <row r="526">
          <cell r="A526">
            <v>39979</v>
          </cell>
          <cell r="B526">
            <v>39979</v>
          </cell>
          <cell r="C526" t="str">
            <v>Past</v>
          </cell>
          <cell r="D526">
            <v>58.08</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58.08</v>
          </cell>
          <cell r="Q526">
            <v>1.9122209999999999</v>
          </cell>
          <cell r="R526" t="e">
            <v>#N/A</v>
          </cell>
        </row>
        <row r="527">
          <cell r="A527">
            <v>39980</v>
          </cell>
          <cell r="B527">
            <v>39980</v>
          </cell>
          <cell r="C527" t="str">
            <v>Past</v>
          </cell>
          <cell r="D527">
            <v>57.46</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57.46</v>
          </cell>
          <cell r="Q527">
            <v>1.850536</v>
          </cell>
          <cell r="R527" t="e">
            <v>#N/A</v>
          </cell>
        </row>
        <row r="528">
          <cell r="A528">
            <v>39981</v>
          </cell>
          <cell r="B528">
            <v>39981</v>
          </cell>
          <cell r="C528" t="str">
            <v>Past</v>
          </cell>
          <cell r="D528">
            <v>57.62</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57.62</v>
          </cell>
          <cell r="Q528">
            <v>1.4562759999999999</v>
          </cell>
          <cell r="R528" t="e">
            <v>#N/A</v>
          </cell>
        </row>
        <row r="529">
          <cell r="A529">
            <v>39982</v>
          </cell>
          <cell r="B529">
            <v>39982</v>
          </cell>
          <cell r="C529" t="str">
            <v>Past</v>
          </cell>
          <cell r="D529">
            <v>58.21</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58.21</v>
          </cell>
          <cell r="Q529">
            <v>1.646644</v>
          </cell>
          <cell r="R529" t="e">
            <v>#N/A</v>
          </cell>
        </row>
        <row r="530">
          <cell r="A530">
            <v>39983</v>
          </cell>
          <cell r="B530">
            <v>39983</v>
          </cell>
          <cell r="C530" t="str">
            <v>Past</v>
          </cell>
          <cell r="D530">
            <v>58.74</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58.74</v>
          </cell>
          <cell r="Q530">
            <v>3.212421</v>
          </cell>
          <cell r="R530" t="e">
            <v>#N/A</v>
          </cell>
        </row>
        <row r="531">
          <cell r="A531">
            <v>39986</v>
          </cell>
          <cell r="B531">
            <v>39986</v>
          </cell>
          <cell r="C531" t="str">
            <v>Past</v>
          </cell>
          <cell r="D531">
            <v>57.45</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57.45</v>
          </cell>
          <cell r="Q531">
            <v>2.689813</v>
          </cell>
          <cell r="R531" t="e">
            <v>#N/A</v>
          </cell>
        </row>
        <row r="532">
          <cell r="A532">
            <v>39987</v>
          </cell>
          <cell r="B532">
            <v>39987</v>
          </cell>
          <cell r="C532" t="str">
            <v>Past</v>
          </cell>
          <cell r="D532">
            <v>55.99</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55.99</v>
          </cell>
          <cell r="Q532">
            <v>2.3772439999999997</v>
          </cell>
          <cell r="R532" t="e">
            <v>#N/A</v>
          </cell>
        </row>
        <row r="533">
          <cell r="A533">
            <v>39988</v>
          </cell>
          <cell r="B533">
            <v>39988</v>
          </cell>
          <cell r="C533" t="str">
            <v>Past</v>
          </cell>
          <cell r="D533">
            <v>54.54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54.54</v>
          </cell>
          <cell r="Q533">
            <v>2.653483</v>
          </cell>
          <cell r="R533" t="e">
            <v>#N/A</v>
          </cell>
        </row>
        <row r="534">
          <cell r="A534">
            <v>39989</v>
          </cell>
          <cell r="B534">
            <v>39989</v>
          </cell>
          <cell r="C534" t="str">
            <v>Past</v>
          </cell>
          <cell r="D534">
            <v>55.82</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55.82</v>
          </cell>
          <cell r="Q534">
            <v>2.511037</v>
          </cell>
          <cell r="R534" t="e">
            <v>#N/A</v>
          </cell>
        </row>
        <row r="535">
          <cell r="A535">
            <v>39990</v>
          </cell>
          <cell r="B535">
            <v>39990</v>
          </cell>
          <cell r="C535" t="str">
            <v>Past</v>
          </cell>
          <cell r="D535">
            <v>55.46</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55.46</v>
          </cell>
          <cell r="Q535">
            <v>4.4194079999999998</v>
          </cell>
          <cell r="R535" t="e">
            <v>#N/A</v>
          </cell>
        </row>
        <row r="536">
          <cell r="A536">
            <v>39993</v>
          </cell>
          <cell r="B536">
            <v>39993</v>
          </cell>
          <cell r="C536" t="str">
            <v>Past</v>
          </cell>
          <cell r="D536">
            <v>57</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57</v>
          </cell>
          <cell r="Q536">
            <v>2.9721229999999998</v>
          </cell>
          <cell r="R536" t="e">
            <v>#N/A</v>
          </cell>
        </row>
        <row r="537">
          <cell r="A537">
            <v>39994</v>
          </cell>
          <cell r="B537">
            <v>39994</v>
          </cell>
          <cell r="C537" t="str">
            <v>Past</v>
          </cell>
          <cell r="D537">
            <v>55.39</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55.39</v>
          </cell>
          <cell r="Q537">
            <v>2.4120360000000001</v>
          </cell>
          <cell r="R537" t="e">
            <v>#N/A</v>
          </cell>
        </row>
        <row r="538">
          <cell r="A538">
            <v>39995</v>
          </cell>
          <cell r="B538">
            <v>39995</v>
          </cell>
          <cell r="C538" t="str">
            <v>Past</v>
          </cell>
          <cell r="D538">
            <v>55.68</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55.68</v>
          </cell>
          <cell r="Q538">
            <v>1.9950000000000001</v>
          </cell>
          <cell r="R538" t="e">
            <v>#N/A</v>
          </cell>
        </row>
        <row r="539">
          <cell r="A539">
            <v>39996</v>
          </cell>
          <cell r="B539">
            <v>39996</v>
          </cell>
          <cell r="C539" t="str">
            <v>Past</v>
          </cell>
          <cell r="D539">
            <v>53.62</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53.62</v>
          </cell>
          <cell r="Q539">
            <v>2.0670470000000001</v>
          </cell>
          <cell r="R539" t="e">
            <v>#N/A</v>
          </cell>
        </row>
        <row r="540">
          <cell r="A540">
            <v>40000</v>
          </cell>
          <cell r="B540">
            <v>40000</v>
          </cell>
          <cell r="C540" t="str">
            <v>Past</v>
          </cell>
          <cell r="D540">
            <v>53.93</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53.93</v>
          </cell>
          <cell r="Q540">
            <v>1.866177</v>
          </cell>
          <cell r="R540" t="e">
            <v>#N/A</v>
          </cell>
        </row>
        <row r="541">
          <cell r="A541">
            <v>40001</v>
          </cell>
          <cell r="B541">
            <v>40001</v>
          </cell>
          <cell r="C541" t="str">
            <v>Past</v>
          </cell>
          <cell r="D541">
            <v>52.06</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52.06</v>
          </cell>
          <cell r="Q541">
            <v>2.4891509999999997</v>
          </cell>
          <cell r="R541" t="e">
            <v>#N/A</v>
          </cell>
        </row>
        <row r="542">
          <cell r="A542">
            <v>40002</v>
          </cell>
          <cell r="B542">
            <v>40002</v>
          </cell>
          <cell r="C542" t="str">
            <v>Past</v>
          </cell>
          <cell r="D542">
            <v>51.91</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51.91</v>
          </cell>
          <cell r="Q542">
            <v>2.3313300000000003</v>
          </cell>
          <cell r="R542" t="e">
            <v>#N/A</v>
          </cell>
        </row>
        <row r="543">
          <cell r="A543">
            <v>40003</v>
          </cell>
          <cell r="B543">
            <v>40003</v>
          </cell>
          <cell r="C543" t="str">
            <v>Past</v>
          </cell>
          <cell r="D543">
            <v>51.54</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51.54</v>
          </cell>
          <cell r="Q543">
            <v>1.995444</v>
          </cell>
          <cell r="R543" t="e">
            <v>#N/A</v>
          </cell>
        </row>
        <row r="544">
          <cell r="A544">
            <v>40004</v>
          </cell>
          <cell r="B544">
            <v>40004</v>
          </cell>
          <cell r="C544" t="str">
            <v>Past</v>
          </cell>
          <cell r="D544">
            <v>51.59</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51.59</v>
          </cell>
          <cell r="Q544">
            <v>1.928804</v>
          </cell>
          <cell r="R544" t="e">
            <v>#N/A</v>
          </cell>
        </row>
        <row r="545">
          <cell r="A545">
            <v>40007</v>
          </cell>
          <cell r="B545">
            <v>40007</v>
          </cell>
          <cell r="C545" t="str">
            <v>Past</v>
          </cell>
          <cell r="D545">
            <v>52.29</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52.29</v>
          </cell>
          <cell r="Q545">
            <v>2.4747509999999999</v>
          </cell>
          <cell r="R545" t="e">
            <v>#N/A</v>
          </cell>
        </row>
        <row r="546">
          <cell r="A546">
            <v>40008</v>
          </cell>
          <cell r="B546">
            <v>40008</v>
          </cell>
          <cell r="C546" t="str">
            <v>Past</v>
          </cell>
          <cell r="D546">
            <v>53.1</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53.1</v>
          </cell>
          <cell r="Q546">
            <v>2.1884889999999997</v>
          </cell>
          <cell r="R546" t="e">
            <v>#N/A</v>
          </cell>
        </row>
        <row r="547">
          <cell r="A547">
            <v>40009</v>
          </cell>
          <cell r="B547">
            <v>40009</v>
          </cell>
          <cell r="C547" t="str">
            <v>Past</v>
          </cell>
          <cell r="D547">
            <v>54.14</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54.14</v>
          </cell>
          <cell r="Q547">
            <v>1.6477709999999999</v>
          </cell>
          <cell r="R547" t="e">
            <v>#N/A</v>
          </cell>
        </row>
        <row r="548">
          <cell r="A548">
            <v>40010</v>
          </cell>
          <cell r="B548">
            <v>40010</v>
          </cell>
          <cell r="C548" t="str">
            <v>Past</v>
          </cell>
          <cell r="D548">
            <v>54.76</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54.76</v>
          </cell>
          <cell r="Q548">
            <v>2.2277269999999998</v>
          </cell>
          <cell r="R548" t="e">
            <v>#N/A</v>
          </cell>
        </row>
        <row r="549">
          <cell r="A549">
            <v>40011</v>
          </cell>
          <cell r="B549">
            <v>40011</v>
          </cell>
          <cell r="C549" t="str">
            <v>Past</v>
          </cell>
          <cell r="D549">
            <v>53.56</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53.56</v>
          </cell>
          <cell r="Q549">
            <v>2.3309419999999998</v>
          </cell>
          <cell r="R549" t="e">
            <v>#N/A</v>
          </cell>
        </row>
        <row r="550">
          <cell r="A550">
            <v>40014</v>
          </cell>
          <cell r="B550">
            <v>40014</v>
          </cell>
          <cell r="C550" t="str">
            <v>Past</v>
          </cell>
          <cell r="D550">
            <v>54.47</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54.47</v>
          </cell>
          <cell r="Q550">
            <v>1.5162419999999999</v>
          </cell>
          <cell r="R550" t="e">
            <v>#N/A</v>
          </cell>
        </row>
        <row r="551">
          <cell r="A551">
            <v>40015</v>
          </cell>
          <cell r="B551">
            <v>40015</v>
          </cell>
          <cell r="C551" t="str">
            <v>Past</v>
          </cell>
          <cell r="D551">
            <v>54.55</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54.55</v>
          </cell>
          <cell r="Q551">
            <v>2.3011729999999999</v>
          </cell>
          <cell r="R551" t="e">
            <v>#N/A</v>
          </cell>
        </row>
        <row r="552">
          <cell r="A552">
            <v>40016</v>
          </cell>
          <cell r="B552">
            <v>40016</v>
          </cell>
          <cell r="C552" t="str">
            <v>Past</v>
          </cell>
          <cell r="D552">
            <v>54</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54</v>
          </cell>
          <cell r="Q552">
            <v>2.2205749999999997</v>
          </cell>
          <cell r="R552" t="e">
            <v>#N/A</v>
          </cell>
        </row>
        <row r="553">
          <cell r="A553">
            <v>40017</v>
          </cell>
          <cell r="B553">
            <v>40017</v>
          </cell>
          <cell r="C553" t="str">
            <v>Past</v>
          </cell>
          <cell r="D553">
            <v>53.71</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53.71</v>
          </cell>
          <cell r="Q553">
            <v>3.188132</v>
          </cell>
          <cell r="R553" t="e">
            <v>#N/A</v>
          </cell>
        </row>
        <row r="554">
          <cell r="A554">
            <v>40018</v>
          </cell>
          <cell r="B554">
            <v>40018</v>
          </cell>
          <cell r="C554" t="str">
            <v>Past</v>
          </cell>
          <cell r="D554">
            <v>52.49</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52.49</v>
          </cell>
          <cell r="Q554">
            <v>2.8109769999999998</v>
          </cell>
          <cell r="R554" t="e">
            <v>#N/A</v>
          </cell>
        </row>
        <row r="555">
          <cell r="A555">
            <v>40021</v>
          </cell>
          <cell r="B555">
            <v>40021</v>
          </cell>
          <cell r="C555" t="str">
            <v>Past</v>
          </cell>
          <cell r="D555">
            <v>51.89</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51.89</v>
          </cell>
          <cell r="Q555">
            <v>7.0457130000000001</v>
          </cell>
          <cell r="R555" t="e">
            <v>#N/A</v>
          </cell>
        </row>
        <row r="556">
          <cell r="A556">
            <v>40022</v>
          </cell>
          <cell r="B556">
            <v>40022</v>
          </cell>
          <cell r="C556" t="str">
            <v>Past</v>
          </cell>
          <cell r="D556">
            <v>53.74</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53.74</v>
          </cell>
          <cell r="Q556">
            <v>4.0562290000000001</v>
          </cell>
          <cell r="R556" t="e">
            <v>#N/A</v>
          </cell>
        </row>
        <row r="557">
          <cell r="A557">
            <v>40023</v>
          </cell>
          <cell r="B557">
            <v>40023</v>
          </cell>
          <cell r="C557" t="str">
            <v>Past</v>
          </cell>
          <cell r="D557">
            <v>54.55</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54.55</v>
          </cell>
          <cell r="Q557">
            <v>3.7622119999999999</v>
          </cell>
          <cell r="R557" t="e">
            <v>#N/A</v>
          </cell>
        </row>
        <row r="558">
          <cell r="A558">
            <v>40024</v>
          </cell>
          <cell r="B558">
            <v>40024</v>
          </cell>
          <cell r="C558" t="str">
            <v>Past</v>
          </cell>
          <cell r="D558">
            <v>55.13</v>
          </cell>
          <cell r="E558" t="e">
            <v>#N/A</v>
          </cell>
          <cell r="F558" t="e">
            <v>#N/A</v>
          </cell>
          <cell r="G558" t="e">
            <v>#N/A</v>
          </cell>
          <cell r="H558" t="e">
            <v>#N/A</v>
          </cell>
          <cell r="I558" t="e">
            <v>#N/A</v>
          </cell>
          <cell r="J558" t="e">
            <v>#N/A</v>
          </cell>
          <cell r="K558" t="e">
            <v>#N/A</v>
          </cell>
          <cell r="L558" t="e">
            <v>#N/A</v>
          </cell>
          <cell r="M558" t="e">
            <v>#N/A</v>
          </cell>
          <cell r="N558" t="e">
            <v>#N/A</v>
          </cell>
          <cell r="O558">
            <v>0</v>
          </cell>
          <cell r="P558">
            <v>55.13</v>
          </cell>
          <cell r="Q558">
            <v>3.081982</v>
          </cell>
          <cell r="R558" t="e">
            <v>#N/A</v>
          </cell>
        </row>
        <row r="559">
          <cell r="A559">
            <v>40025</v>
          </cell>
          <cell r="B559">
            <v>40025</v>
          </cell>
          <cell r="C559" t="str">
            <v>Current</v>
          </cell>
          <cell r="D559">
            <v>55.39</v>
          </cell>
          <cell r="E559">
            <v>55.39</v>
          </cell>
          <cell r="F559">
            <v>55.39</v>
          </cell>
          <cell r="G559">
            <v>55.39</v>
          </cell>
          <cell r="H559">
            <v>55.39</v>
          </cell>
          <cell r="I559">
            <v>55.39</v>
          </cell>
          <cell r="J559" t="e">
            <v>#N/A</v>
          </cell>
          <cell r="K559" t="e">
            <v>#N/A</v>
          </cell>
          <cell r="L559" t="e">
            <v>#N/A</v>
          </cell>
          <cell r="M559" t="e">
            <v>#N/A</v>
          </cell>
          <cell r="N559" t="e">
            <v>#N/A</v>
          </cell>
          <cell r="O559">
            <v>53.326000000000001</v>
          </cell>
          <cell r="P559">
            <v>55.39</v>
          </cell>
          <cell r="Q559">
            <v>2.5236730000000001</v>
          </cell>
          <cell r="R559" t="e">
            <v>#N/A</v>
          </cell>
        </row>
        <row r="560">
          <cell r="A560">
            <v>40028</v>
          </cell>
          <cell r="B560">
            <v>40028</v>
          </cell>
          <cell r="C560" t="str">
            <v>Future</v>
          </cell>
          <cell r="D560" t="e">
            <v>#N/A</v>
          </cell>
          <cell r="E560">
            <v>55.170198412698412</v>
          </cell>
          <cell r="F560">
            <v>55.428134920634918</v>
          </cell>
          <cell r="G560">
            <v>55.32892857142857</v>
          </cell>
          <cell r="H560">
            <v>55.32892857142857</v>
          </cell>
          <cell r="I560" t="e">
            <v>#N/A</v>
          </cell>
          <cell r="J560" t="e">
            <v>#N/A</v>
          </cell>
          <cell r="K560" t="e">
            <v>#N/A</v>
          </cell>
          <cell r="L560" t="e">
            <v>#N/A</v>
          </cell>
          <cell r="M560" t="e">
            <v>#N/A</v>
          </cell>
          <cell r="N560" t="e">
            <v>#N/A</v>
          </cell>
          <cell r="O560" t="e">
            <v>#N/A</v>
          </cell>
          <cell r="P560">
            <v>55.39</v>
          </cell>
          <cell r="Q560">
            <v>0</v>
          </cell>
          <cell r="R560" t="e">
            <v>#N/A</v>
          </cell>
        </row>
        <row r="561">
          <cell r="A561">
            <v>40029</v>
          </cell>
          <cell r="B561">
            <v>40029</v>
          </cell>
          <cell r="C561" t="str">
            <v>Future</v>
          </cell>
          <cell r="D561" t="e">
            <v>#N/A</v>
          </cell>
          <cell r="E561">
            <v>54.950396825396822</v>
          </cell>
          <cell r="F561">
            <v>55.466269841269835</v>
          </cell>
          <cell r="G561">
            <v>55.267857142857139</v>
          </cell>
          <cell r="H561">
            <v>55.267857142857139</v>
          </cell>
          <cell r="I561" t="e">
            <v>#N/A</v>
          </cell>
          <cell r="J561" t="e">
            <v>#N/A</v>
          </cell>
          <cell r="K561" t="e">
            <v>#N/A</v>
          </cell>
          <cell r="L561" t="e">
            <v>#N/A</v>
          </cell>
          <cell r="M561" t="e">
            <v>#N/A</v>
          </cell>
          <cell r="N561" t="e">
            <v>#N/A</v>
          </cell>
          <cell r="O561" t="e">
            <v>#N/A</v>
          </cell>
          <cell r="P561">
            <v>55.39</v>
          </cell>
          <cell r="Q561" t="str">
            <v/>
          </cell>
          <cell r="R561" t="e">
            <v>#N/A</v>
          </cell>
        </row>
        <row r="562">
          <cell r="A562">
            <v>40030</v>
          </cell>
          <cell r="B562">
            <v>40030</v>
          </cell>
          <cell r="C562" t="str">
            <v>Future</v>
          </cell>
          <cell r="D562" t="e">
            <v>#N/A</v>
          </cell>
          <cell r="E562">
            <v>54.730595238095233</v>
          </cell>
          <cell r="F562">
            <v>55.504404761904752</v>
          </cell>
          <cell r="G562">
            <v>55.206785714285708</v>
          </cell>
          <cell r="H562">
            <v>55.206785714285708</v>
          </cell>
          <cell r="I562" t="e">
            <v>#N/A</v>
          </cell>
          <cell r="J562" t="e">
            <v>#N/A</v>
          </cell>
          <cell r="K562" t="e">
            <v>#N/A</v>
          </cell>
          <cell r="L562" t="e">
            <v>#N/A</v>
          </cell>
          <cell r="M562" t="e">
            <v>#N/A</v>
          </cell>
          <cell r="N562" t="e">
            <v>#N/A</v>
          </cell>
          <cell r="O562" t="e">
            <v>#N/A</v>
          </cell>
          <cell r="P562">
            <v>55.39</v>
          </cell>
          <cell r="Q562" t="str">
            <v/>
          </cell>
          <cell r="R562" t="e">
            <v>#N/A</v>
          </cell>
        </row>
        <row r="563">
          <cell r="A563">
            <v>40031</v>
          </cell>
          <cell r="B563">
            <v>40031</v>
          </cell>
          <cell r="C563" t="str">
            <v>Future</v>
          </cell>
          <cell r="D563" t="e">
            <v>#N/A</v>
          </cell>
          <cell r="E563">
            <v>54.510793650793644</v>
          </cell>
          <cell r="F563">
            <v>55.542539682539669</v>
          </cell>
          <cell r="G563">
            <v>55.145714285714277</v>
          </cell>
          <cell r="H563">
            <v>55.145714285714277</v>
          </cell>
          <cell r="I563" t="e">
            <v>#N/A</v>
          </cell>
          <cell r="J563" t="e">
            <v>#N/A</v>
          </cell>
          <cell r="K563" t="e">
            <v>#N/A</v>
          </cell>
          <cell r="L563" t="e">
            <v>#N/A</v>
          </cell>
          <cell r="M563" t="e">
            <v>#N/A</v>
          </cell>
          <cell r="N563" t="e">
            <v>#N/A</v>
          </cell>
          <cell r="O563" t="e">
            <v>#N/A</v>
          </cell>
          <cell r="P563">
            <v>55.39</v>
          </cell>
          <cell r="Q563" t="str">
            <v/>
          </cell>
          <cell r="R563" t="e">
            <v>#N/A</v>
          </cell>
        </row>
        <row r="564">
          <cell r="A564">
            <v>40032</v>
          </cell>
          <cell r="B564">
            <v>40032</v>
          </cell>
          <cell r="C564" t="str">
            <v>Future</v>
          </cell>
          <cell r="D564" t="e">
            <v>#N/A</v>
          </cell>
          <cell r="E564">
            <v>54.290992063492055</v>
          </cell>
          <cell r="F564">
            <v>55.580674603174586</v>
          </cell>
          <cell r="G564">
            <v>55.084642857142846</v>
          </cell>
          <cell r="H564">
            <v>55.084642857142846</v>
          </cell>
          <cell r="I564" t="e">
            <v>#N/A</v>
          </cell>
          <cell r="J564" t="e">
            <v>#N/A</v>
          </cell>
          <cell r="K564" t="e">
            <v>#N/A</v>
          </cell>
          <cell r="L564" t="e">
            <v>#N/A</v>
          </cell>
          <cell r="M564" t="e">
            <v>#N/A</v>
          </cell>
          <cell r="N564" t="e">
            <v>#N/A</v>
          </cell>
          <cell r="O564" t="e">
            <v>#N/A</v>
          </cell>
          <cell r="P564">
            <v>55.39</v>
          </cell>
          <cell r="Q564" t="str">
            <v/>
          </cell>
          <cell r="R564" t="e">
            <v>#N/A</v>
          </cell>
        </row>
        <row r="565">
          <cell r="A565">
            <v>40035</v>
          </cell>
          <cell r="B565">
            <v>40035</v>
          </cell>
          <cell r="C565" t="str">
            <v>Future</v>
          </cell>
          <cell r="D565" t="e">
            <v>#N/A</v>
          </cell>
          <cell r="E565">
            <v>54.071190476190466</v>
          </cell>
          <cell r="F565">
            <v>55.618809523809503</v>
          </cell>
          <cell r="G565">
            <v>55.023571428571415</v>
          </cell>
          <cell r="H565">
            <v>55.023571428571415</v>
          </cell>
          <cell r="I565" t="e">
            <v>#N/A</v>
          </cell>
          <cell r="J565" t="e">
            <v>#N/A</v>
          </cell>
          <cell r="K565" t="e">
            <v>#N/A</v>
          </cell>
          <cell r="L565" t="e">
            <v>#N/A</v>
          </cell>
          <cell r="M565" t="e">
            <v>#N/A</v>
          </cell>
          <cell r="N565" t="e">
            <v>#N/A</v>
          </cell>
          <cell r="O565" t="e">
            <v>#N/A</v>
          </cell>
          <cell r="P565">
            <v>55.39</v>
          </cell>
          <cell r="Q565" t="str">
            <v/>
          </cell>
          <cell r="R565" t="e">
            <v>#N/A</v>
          </cell>
        </row>
        <row r="566">
          <cell r="A566">
            <v>40036</v>
          </cell>
          <cell r="B566">
            <v>40036</v>
          </cell>
          <cell r="C566" t="str">
            <v>Future</v>
          </cell>
          <cell r="D566" t="e">
            <v>#N/A</v>
          </cell>
          <cell r="E566">
            <v>53.851388888888877</v>
          </cell>
          <cell r="F566">
            <v>55.65694444444442</v>
          </cell>
          <cell r="G566">
            <v>54.962499999999984</v>
          </cell>
          <cell r="H566">
            <v>54.962499999999984</v>
          </cell>
          <cell r="I566" t="e">
            <v>#N/A</v>
          </cell>
          <cell r="J566" t="e">
            <v>#N/A</v>
          </cell>
          <cell r="K566" t="e">
            <v>#N/A</v>
          </cell>
          <cell r="L566" t="e">
            <v>#N/A</v>
          </cell>
          <cell r="M566" t="e">
            <v>#N/A</v>
          </cell>
          <cell r="N566" t="e">
            <v>#N/A</v>
          </cell>
          <cell r="O566" t="e">
            <v>#N/A</v>
          </cell>
          <cell r="P566">
            <v>55.39</v>
          </cell>
          <cell r="Q566" t="str">
            <v/>
          </cell>
          <cell r="R566" t="e">
            <v>#N/A</v>
          </cell>
        </row>
        <row r="567">
          <cell r="A567">
            <v>40037</v>
          </cell>
          <cell r="B567">
            <v>40037</v>
          </cell>
          <cell r="C567" t="str">
            <v>Future</v>
          </cell>
          <cell r="D567" t="e">
            <v>#N/A</v>
          </cell>
          <cell r="E567">
            <v>53.631587301587288</v>
          </cell>
          <cell r="F567">
            <v>55.695079365079337</v>
          </cell>
          <cell r="G567">
            <v>54.901428571428553</v>
          </cell>
          <cell r="H567">
            <v>54.901428571428553</v>
          </cell>
          <cell r="I567" t="e">
            <v>#N/A</v>
          </cell>
          <cell r="J567" t="e">
            <v>#N/A</v>
          </cell>
          <cell r="K567" t="e">
            <v>#N/A</v>
          </cell>
          <cell r="L567" t="e">
            <v>#N/A</v>
          </cell>
          <cell r="M567" t="e">
            <v>#N/A</v>
          </cell>
          <cell r="N567" t="e">
            <v>#N/A</v>
          </cell>
          <cell r="O567" t="e">
            <v>#N/A</v>
          </cell>
          <cell r="P567">
            <v>55.39</v>
          </cell>
          <cell r="Q567" t="str">
            <v/>
          </cell>
          <cell r="R567" t="e">
            <v>#N/A</v>
          </cell>
        </row>
        <row r="568">
          <cell r="A568">
            <v>40038</v>
          </cell>
          <cell r="B568">
            <v>40038</v>
          </cell>
          <cell r="C568" t="str">
            <v>Future</v>
          </cell>
          <cell r="D568" t="e">
            <v>#N/A</v>
          </cell>
          <cell r="E568">
            <v>53.411785714285699</v>
          </cell>
          <cell r="F568">
            <v>55.733214285714254</v>
          </cell>
          <cell r="G568">
            <v>54.840357142857123</v>
          </cell>
          <cell r="H568">
            <v>54.840357142857123</v>
          </cell>
          <cell r="I568" t="e">
            <v>#N/A</v>
          </cell>
          <cell r="J568" t="e">
            <v>#N/A</v>
          </cell>
          <cell r="K568" t="e">
            <v>#N/A</v>
          </cell>
          <cell r="L568" t="e">
            <v>#N/A</v>
          </cell>
          <cell r="M568" t="e">
            <v>#N/A</v>
          </cell>
          <cell r="N568" t="e">
            <v>#N/A</v>
          </cell>
          <cell r="O568" t="e">
            <v>#N/A</v>
          </cell>
          <cell r="P568">
            <v>55.39</v>
          </cell>
          <cell r="Q568" t="str">
            <v/>
          </cell>
          <cell r="R568" t="e">
            <v>#N/A</v>
          </cell>
        </row>
        <row r="569">
          <cell r="A569">
            <v>40039</v>
          </cell>
          <cell r="B569">
            <v>40039</v>
          </cell>
          <cell r="C569" t="str">
            <v>Future</v>
          </cell>
          <cell r="D569" t="e">
            <v>#N/A</v>
          </cell>
          <cell r="E569">
            <v>53.19198412698411</v>
          </cell>
          <cell r="F569">
            <v>55.771349206349171</v>
          </cell>
          <cell r="G569">
            <v>54.779285714285692</v>
          </cell>
          <cell r="H569">
            <v>54.779285714285692</v>
          </cell>
          <cell r="I569" t="e">
            <v>#N/A</v>
          </cell>
          <cell r="J569" t="e">
            <v>#N/A</v>
          </cell>
          <cell r="K569" t="e">
            <v>#N/A</v>
          </cell>
          <cell r="L569" t="e">
            <v>#N/A</v>
          </cell>
          <cell r="M569" t="e">
            <v>#N/A</v>
          </cell>
          <cell r="N569" t="e">
            <v>#N/A</v>
          </cell>
          <cell r="O569" t="e">
            <v>#N/A</v>
          </cell>
          <cell r="P569">
            <v>55.39</v>
          </cell>
          <cell r="Q569" t="str">
            <v/>
          </cell>
          <cell r="R569" t="e">
            <v>#N/A</v>
          </cell>
        </row>
        <row r="570">
          <cell r="A570">
            <v>40042</v>
          </cell>
          <cell r="B570">
            <v>40042</v>
          </cell>
          <cell r="C570" t="str">
            <v>Future</v>
          </cell>
          <cell r="D570" t="e">
            <v>#N/A</v>
          </cell>
          <cell r="E570">
            <v>52.972182539682521</v>
          </cell>
          <cell r="F570">
            <v>55.809484126984088</v>
          </cell>
          <cell r="G570">
            <v>54.718214285714261</v>
          </cell>
          <cell r="H570">
            <v>54.718214285714261</v>
          </cell>
          <cell r="I570" t="e">
            <v>#N/A</v>
          </cell>
          <cell r="J570" t="e">
            <v>#N/A</v>
          </cell>
          <cell r="K570" t="e">
            <v>#N/A</v>
          </cell>
          <cell r="L570" t="e">
            <v>#N/A</v>
          </cell>
          <cell r="M570" t="e">
            <v>#N/A</v>
          </cell>
          <cell r="N570" t="e">
            <v>#N/A</v>
          </cell>
          <cell r="O570" t="e">
            <v>#N/A</v>
          </cell>
          <cell r="P570">
            <v>55.39</v>
          </cell>
          <cell r="Q570" t="str">
            <v/>
          </cell>
          <cell r="R570" t="e">
            <v>#N/A</v>
          </cell>
        </row>
        <row r="571">
          <cell r="A571">
            <v>40043</v>
          </cell>
          <cell r="B571">
            <v>40043</v>
          </cell>
          <cell r="C571" t="str">
            <v>Future</v>
          </cell>
          <cell r="D571" t="e">
            <v>#N/A</v>
          </cell>
          <cell r="E571">
            <v>52.752380952380932</v>
          </cell>
          <cell r="F571">
            <v>55.847619047619006</v>
          </cell>
          <cell r="G571">
            <v>54.65714285714283</v>
          </cell>
          <cell r="H571">
            <v>54.65714285714283</v>
          </cell>
          <cell r="I571" t="e">
            <v>#N/A</v>
          </cell>
          <cell r="J571" t="e">
            <v>#N/A</v>
          </cell>
          <cell r="K571" t="e">
            <v>#N/A</v>
          </cell>
          <cell r="L571" t="e">
            <v>#N/A</v>
          </cell>
          <cell r="M571" t="e">
            <v>#N/A</v>
          </cell>
          <cell r="N571" t="e">
            <v>#N/A</v>
          </cell>
          <cell r="O571" t="e">
            <v>#N/A</v>
          </cell>
          <cell r="P571">
            <v>55.39</v>
          </cell>
          <cell r="Q571" t="str">
            <v/>
          </cell>
          <cell r="R571" t="e">
            <v>#N/A</v>
          </cell>
        </row>
        <row r="572">
          <cell r="A572">
            <v>40044</v>
          </cell>
          <cell r="B572">
            <v>40044</v>
          </cell>
          <cell r="C572" t="str">
            <v>Future</v>
          </cell>
          <cell r="D572" t="e">
            <v>#N/A</v>
          </cell>
          <cell r="E572">
            <v>52.532579365079343</v>
          </cell>
          <cell r="F572">
            <v>55.885753968253923</v>
          </cell>
          <cell r="G572">
            <v>54.596071428571399</v>
          </cell>
          <cell r="H572">
            <v>54.596071428571399</v>
          </cell>
          <cell r="I572" t="e">
            <v>#N/A</v>
          </cell>
          <cell r="J572" t="e">
            <v>#N/A</v>
          </cell>
          <cell r="K572" t="e">
            <v>#N/A</v>
          </cell>
          <cell r="L572" t="e">
            <v>#N/A</v>
          </cell>
          <cell r="M572" t="e">
            <v>#N/A</v>
          </cell>
          <cell r="N572" t="e">
            <v>#N/A</v>
          </cell>
          <cell r="O572" t="e">
            <v>#N/A</v>
          </cell>
          <cell r="P572">
            <v>55.39</v>
          </cell>
          <cell r="Q572" t="str">
            <v/>
          </cell>
          <cell r="R572" t="e">
            <v>#N/A</v>
          </cell>
        </row>
        <row r="573">
          <cell r="A573">
            <v>40045</v>
          </cell>
          <cell r="B573">
            <v>40045</v>
          </cell>
          <cell r="C573" t="str">
            <v>Future</v>
          </cell>
          <cell r="D573" t="e">
            <v>#N/A</v>
          </cell>
          <cell r="E573">
            <v>52.312777777777754</v>
          </cell>
          <cell r="F573">
            <v>55.92388888888884</v>
          </cell>
          <cell r="G573">
            <v>54.534999999999968</v>
          </cell>
          <cell r="H573">
            <v>54.534999999999968</v>
          </cell>
          <cell r="I573" t="e">
            <v>#N/A</v>
          </cell>
          <cell r="J573" t="e">
            <v>#N/A</v>
          </cell>
          <cell r="K573" t="e">
            <v>#N/A</v>
          </cell>
          <cell r="L573" t="e">
            <v>#N/A</v>
          </cell>
          <cell r="M573" t="e">
            <v>#N/A</v>
          </cell>
          <cell r="N573" t="e">
            <v>#N/A</v>
          </cell>
          <cell r="O573" t="e">
            <v>#N/A</v>
          </cell>
          <cell r="P573">
            <v>55.39</v>
          </cell>
          <cell r="Q573" t="str">
            <v/>
          </cell>
          <cell r="R573" t="e">
            <v>#N/A</v>
          </cell>
        </row>
        <row r="574">
          <cell r="A574">
            <v>40046</v>
          </cell>
          <cell r="B574">
            <v>40046</v>
          </cell>
          <cell r="C574" t="str">
            <v>Future</v>
          </cell>
          <cell r="D574" t="e">
            <v>#N/A</v>
          </cell>
          <cell r="E574">
            <v>52.092976190476165</v>
          </cell>
          <cell r="F574">
            <v>55.962023809523757</v>
          </cell>
          <cell r="G574">
            <v>54.473928571428537</v>
          </cell>
          <cell r="H574">
            <v>54.473928571428537</v>
          </cell>
          <cell r="I574" t="e">
            <v>#N/A</v>
          </cell>
          <cell r="J574" t="e">
            <v>#N/A</v>
          </cell>
          <cell r="K574" t="e">
            <v>#N/A</v>
          </cell>
          <cell r="L574" t="e">
            <v>#N/A</v>
          </cell>
          <cell r="M574" t="e">
            <v>#N/A</v>
          </cell>
          <cell r="N574" t="e">
            <v>#N/A</v>
          </cell>
          <cell r="O574" t="e">
            <v>#N/A</v>
          </cell>
          <cell r="P574">
            <v>55.39</v>
          </cell>
          <cell r="Q574" t="str">
            <v/>
          </cell>
          <cell r="R574" t="e">
            <v>#N/A</v>
          </cell>
        </row>
        <row r="575">
          <cell r="A575">
            <v>40049</v>
          </cell>
          <cell r="B575">
            <v>40049</v>
          </cell>
          <cell r="C575" t="str">
            <v>Future</v>
          </cell>
          <cell r="D575" t="e">
            <v>#N/A</v>
          </cell>
          <cell r="E575">
            <v>51.873174603174576</v>
          </cell>
          <cell r="F575">
            <v>56.000158730158674</v>
          </cell>
          <cell r="G575">
            <v>54.412857142857106</v>
          </cell>
          <cell r="H575">
            <v>54.412857142857106</v>
          </cell>
          <cell r="I575" t="e">
            <v>#N/A</v>
          </cell>
          <cell r="J575" t="e">
            <v>#N/A</v>
          </cell>
          <cell r="K575" t="e">
            <v>#N/A</v>
          </cell>
          <cell r="L575" t="e">
            <v>#N/A</v>
          </cell>
          <cell r="M575" t="e">
            <v>#N/A</v>
          </cell>
          <cell r="N575" t="e">
            <v>#N/A</v>
          </cell>
          <cell r="O575" t="e">
            <v>#N/A</v>
          </cell>
          <cell r="P575">
            <v>55.39</v>
          </cell>
          <cell r="Q575" t="str">
            <v/>
          </cell>
          <cell r="R575" t="e">
            <v>#N/A</v>
          </cell>
        </row>
        <row r="576">
          <cell r="A576">
            <v>40050</v>
          </cell>
          <cell r="B576">
            <v>40050</v>
          </cell>
          <cell r="C576" t="str">
            <v>Future</v>
          </cell>
          <cell r="D576" t="e">
            <v>#N/A</v>
          </cell>
          <cell r="E576">
            <v>51.653373015872987</v>
          </cell>
          <cell r="F576">
            <v>56.038293650793591</v>
          </cell>
          <cell r="G576">
            <v>54.351785714285676</v>
          </cell>
          <cell r="H576">
            <v>54.351785714285676</v>
          </cell>
          <cell r="I576" t="e">
            <v>#N/A</v>
          </cell>
          <cell r="J576" t="e">
            <v>#N/A</v>
          </cell>
          <cell r="K576" t="e">
            <v>#N/A</v>
          </cell>
          <cell r="L576" t="e">
            <v>#N/A</v>
          </cell>
          <cell r="M576" t="e">
            <v>#N/A</v>
          </cell>
          <cell r="N576" t="e">
            <v>#N/A</v>
          </cell>
          <cell r="O576" t="e">
            <v>#N/A</v>
          </cell>
          <cell r="P576">
            <v>55.39</v>
          </cell>
          <cell r="Q576" t="str">
            <v/>
          </cell>
          <cell r="R576" t="e">
            <v>#N/A</v>
          </cell>
        </row>
        <row r="577">
          <cell r="A577">
            <v>40051</v>
          </cell>
          <cell r="B577">
            <v>40051</v>
          </cell>
          <cell r="C577" t="str">
            <v>Future</v>
          </cell>
          <cell r="D577" t="e">
            <v>#N/A</v>
          </cell>
          <cell r="E577">
            <v>51.433571428571398</v>
          </cell>
          <cell r="F577">
            <v>56.076428571428508</v>
          </cell>
          <cell r="G577">
            <v>54.290714285714245</v>
          </cell>
          <cell r="H577">
            <v>54.290714285714245</v>
          </cell>
          <cell r="I577" t="e">
            <v>#N/A</v>
          </cell>
          <cell r="J577" t="e">
            <v>#N/A</v>
          </cell>
          <cell r="K577" t="e">
            <v>#N/A</v>
          </cell>
          <cell r="L577" t="e">
            <v>#N/A</v>
          </cell>
          <cell r="M577" t="e">
            <v>#N/A</v>
          </cell>
          <cell r="N577" t="e">
            <v>#N/A</v>
          </cell>
          <cell r="O577" t="e">
            <v>#N/A</v>
          </cell>
          <cell r="P577">
            <v>55.39</v>
          </cell>
          <cell r="Q577" t="str">
            <v/>
          </cell>
          <cell r="R577" t="e">
            <v>#N/A</v>
          </cell>
        </row>
        <row r="578">
          <cell r="A578">
            <v>40052</v>
          </cell>
          <cell r="B578">
            <v>40052</v>
          </cell>
          <cell r="C578" t="str">
            <v>Future</v>
          </cell>
          <cell r="D578" t="e">
            <v>#N/A</v>
          </cell>
          <cell r="E578">
            <v>51.213769841269809</v>
          </cell>
          <cell r="F578">
            <v>56.114563492063425</v>
          </cell>
          <cell r="G578">
            <v>54.229642857142814</v>
          </cell>
          <cell r="H578">
            <v>54.229642857142814</v>
          </cell>
          <cell r="I578" t="e">
            <v>#N/A</v>
          </cell>
          <cell r="J578" t="e">
            <v>#N/A</v>
          </cell>
          <cell r="K578" t="e">
            <v>#N/A</v>
          </cell>
          <cell r="L578" t="e">
            <v>#N/A</v>
          </cell>
          <cell r="M578" t="e">
            <v>#N/A</v>
          </cell>
          <cell r="N578" t="e">
            <v>#N/A</v>
          </cell>
          <cell r="O578" t="e">
            <v>#N/A</v>
          </cell>
          <cell r="P578">
            <v>55.39</v>
          </cell>
          <cell r="Q578" t="str">
            <v/>
          </cell>
          <cell r="R578" t="e">
            <v>#N/A</v>
          </cell>
        </row>
        <row r="579">
          <cell r="A579">
            <v>40053</v>
          </cell>
          <cell r="B579">
            <v>40053</v>
          </cell>
          <cell r="C579" t="str">
            <v>Future</v>
          </cell>
          <cell r="D579" t="e">
            <v>#N/A</v>
          </cell>
          <cell r="E579">
            <v>50.99396825396822</v>
          </cell>
          <cell r="F579">
            <v>56.152698412698342</v>
          </cell>
          <cell r="G579">
            <v>54.168571428571383</v>
          </cell>
          <cell r="H579">
            <v>54.168571428571383</v>
          </cell>
          <cell r="I579" t="e">
            <v>#N/A</v>
          </cell>
          <cell r="J579" t="e">
            <v>#N/A</v>
          </cell>
          <cell r="K579" t="e">
            <v>#N/A</v>
          </cell>
          <cell r="L579" t="e">
            <v>#N/A</v>
          </cell>
          <cell r="M579" t="e">
            <v>#N/A</v>
          </cell>
          <cell r="N579" t="e">
            <v>#N/A</v>
          </cell>
          <cell r="O579" t="e">
            <v>#N/A</v>
          </cell>
          <cell r="P579">
            <v>55.39</v>
          </cell>
          <cell r="Q579" t="str">
            <v/>
          </cell>
          <cell r="R579" t="e">
            <v>#N/A</v>
          </cell>
        </row>
        <row r="580">
          <cell r="A580">
            <v>40056</v>
          </cell>
          <cell r="B580">
            <v>40056</v>
          </cell>
          <cell r="C580" t="str">
            <v>Future</v>
          </cell>
          <cell r="D580" t="e">
            <v>#N/A</v>
          </cell>
          <cell r="E580">
            <v>50.77416666666663</v>
          </cell>
          <cell r="F580">
            <v>56.190833333333259</v>
          </cell>
          <cell r="G580">
            <v>54.107499999999952</v>
          </cell>
          <cell r="H580">
            <v>54.107499999999952</v>
          </cell>
          <cell r="I580" t="e">
            <v>#N/A</v>
          </cell>
          <cell r="J580" t="e">
            <v>#N/A</v>
          </cell>
          <cell r="K580" t="e">
            <v>#N/A</v>
          </cell>
          <cell r="L580" t="e">
            <v>#N/A</v>
          </cell>
          <cell r="M580" t="e">
            <v>#N/A</v>
          </cell>
          <cell r="N580" t="e">
            <v>#N/A</v>
          </cell>
          <cell r="O580" t="e">
            <v>#N/A</v>
          </cell>
          <cell r="P580">
            <v>55.39</v>
          </cell>
          <cell r="Q580" t="str">
            <v/>
          </cell>
          <cell r="R580" t="e">
            <v>#N/A</v>
          </cell>
        </row>
        <row r="581">
          <cell r="A581">
            <v>40057</v>
          </cell>
          <cell r="B581">
            <v>40057</v>
          </cell>
          <cell r="C581" t="str">
            <v>Future</v>
          </cell>
          <cell r="D581" t="e">
            <v>#N/A</v>
          </cell>
          <cell r="E581">
            <v>50.554365079365041</v>
          </cell>
          <cell r="F581">
            <v>56.228968253968176</v>
          </cell>
          <cell r="G581">
            <v>54.046428571428521</v>
          </cell>
          <cell r="H581">
            <v>54.046428571428521</v>
          </cell>
          <cell r="I581" t="e">
            <v>#N/A</v>
          </cell>
          <cell r="J581" t="e">
            <v>#N/A</v>
          </cell>
          <cell r="K581" t="e">
            <v>#N/A</v>
          </cell>
          <cell r="L581" t="e">
            <v>#N/A</v>
          </cell>
          <cell r="M581" t="e">
            <v>#N/A</v>
          </cell>
          <cell r="N581" t="e">
            <v>#N/A</v>
          </cell>
          <cell r="O581" t="e">
            <v>#N/A</v>
          </cell>
          <cell r="P581">
            <v>55.39</v>
          </cell>
          <cell r="Q581" t="str">
            <v/>
          </cell>
          <cell r="R581" t="e">
            <v>#N/A</v>
          </cell>
        </row>
        <row r="582">
          <cell r="A582">
            <v>40058</v>
          </cell>
          <cell r="B582">
            <v>40058</v>
          </cell>
          <cell r="C582" t="str">
            <v>Future</v>
          </cell>
          <cell r="D582" t="e">
            <v>#N/A</v>
          </cell>
          <cell r="E582">
            <v>50.334563492063452</v>
          </cell>
          <cell r="F582">
            <v>56.267103174603093</v>
          </cell>
          <cell r="G582">
            <v>53.98535714285709</v>
          </cell>
          <cell r="H582">
            <v>53.98535714285709</v>
          </cell>
          <cell r="I582" t="e">
            <v>#N/A</v>
          </cell>
          <cell r="J582" t="e">
            <v>#N/A</v>
          </cell>
          <cell r="K582" t="e">
            <v>#N/A</v>
          </cell>
          <cell r="L582" t="e">
            <v>#N/A</v>
          </cell>
          <cell r="M582" t="e">
            <v>#N/A</v>
          </cell>
          <cell r="N582" t="e">
            <v>#N/A</v>
          </cell>
          <cell r="O582" t="e">
            <v>#N/A</v>
          </cell>
          <cell r="P582">
            <v>55.39</v>
          </cell>
          <cell r="Q582" t="str">
            <v/>
          </cell>
          <cell r="R582" t="e">
            <v>#N/A</v>
          </cell>
        </row>
        <row r="583">
          <cell r="A583">
            <v>40059</v>
          </cell>
          <cell r="B583">
            <v>40059</v>
          </cell>
          <cell r="C583" t="str">
            <v>Future</v>
          </cell>
          <cell r="D583" t="e">
            <v>#N/A</v>
          </cell>
          <cell r="E583">
            <v>50.114761904761863</v>
          </cell>
          <cell r="F583">
            <v>56.30523809523801</v>
          </cell>
          <cell r="G583">
            <v>53.924285714285659</v>
          </cell>
          <cell r="H583">
            <v>53.924285714285659</v>
          </cell>
          <cell r="I583" t="e">
            <v>#N/A</v>
          </cell>
          <cell r="J583" t="e">
            <v>#N/A</v>
          </cell>
          <cell r="K583" t="e">
            <v>#N/A</v>
          </cell>
          <cell r="L583" t="e">
            <v>#N/A</v>
          </cell>
          <cell r="M583" t="e">
            <v>#N/A</v>
          </cell>
          <cell r="N583" t="e">
            <v>#N/A</v>
          </cell>
          <cell r="O583" t="e">
            <v>#N/A</v>
          </cell>
          <cell r="P583">
            <v>55.39</v>
          </cell>
          <cell r="Q583" t="str">
            <v/>
          </cell>
          <cell r="R583" t="e">
            <v>#N/A</v>
          </cell>
        </row>
        <row r="584">
          <cell r="A584">
            <v>40060</v>
          </cell>
          <cell r="B584">
            <v>40060</v>
          </cell>
          <cell r="C584" t="str">
            <v>Future</v>
          </cell>
          <cell r="D584" t="e">
            <v>#N/A</v>
          </cell>
          <cell r="E584">
            <v>49.894960317460274</v>
          </cell>
          <cell r="F584">
            <v>56.343373015872928</v>
          </cell>
          <cell r="G584">
            <v>53.863214285714228</v>
          </cell>
          <cell r="H584">
            <v>53.863214285714228</v>
          </cell>
          <cell r="I584" t="e">
            <v>#N/A</v>
          </cell>
          <cell r="J584" t="e">
            <v>#N/A</v>
          </cell>
          <cell r="K584" t="e">
            <v>#N/A</v>
          </cell>
          <cell r="L584" t="e">
            <v>#N/A</v>
          </cell>
          <cell r="M584" t="e">
            <v>#N/A</v>
          </cell>
          <cell r="N584" t="e">
            <v>#N/A</v>
          </cell>
          <cell r="O584" t="e">
            <v>#N/A</v>
          </cell>
          <cell r="P584">
            <v>55.39</v>
          </cell>
          <cell r="Q584" t="str">
            <v/>
          </cell>
          <cell r="R584" t="e">
            <v>#N/A</v>
          </cell>
        </row>
        <row r="585">
          <cell r="A585">
            <v>40064</v>
          </cell>
          <cell r="B585">
            <v>40064</v>
          </cell>
          <cell r="C585" t="str">
            <v>Future</v>
          </cell>
          <cell r="D585" t="e">
            <v>#N/A</v>
          </cell>
          <cell r="E585">
            <v>49.675158730158685</v>
          </cell>
          <cell r="F585">
            <v>56.381507936507845</v>
          </cell>
          <cell r="G585">
            <v>53.802142857142798</v>
          </cell>
          <cell r="H585">
            <v>53.802142857142798</v>
          </cell>
          <cell r="I585" t="e">
            <v>#N/A</v>
          </cell>
          <cell r="J585" t="e">
            <v>#N/A</v>
          </cell>
          <cell r="K585" t="e">
            <v>#N/A</v>
          </cell>
          <cell r="L585" t="e">
            <v>#N/A</v>
          </cell>
          <cell r="M585" t="e">
            <v>#N/A</v>
          </cell>
          <cell r="N585" t="e">
            <v>#N/A</v>
          </cell>
          <cell r="O585" t="e">
            <v>#N/A</v>
          </cell>
          <cell r="P585">
            <v>55.39</v>
          </cell>
          <cell r="Q585" t="str">
            <v/>
          </cell>
          <cell r="R585" t="e">
            <v>#N/A</v>
          </cell>
        </row>
        <row r="586">
          <cell r="A586">
            <v>40065</v>
          </cell>
          <cell r="B586">
            <v>40065</v>
          </cell>
          <cell r="C586" t="str">
            <v>Future</v>
          </cell>
          <cell r="D586" t="e">
            <v>#N/A</v>
          </cell>
          <cell r="E586">
            <v>49.455357142857096</v>
          </cell>
          <cell r="F586">
            <v>56.419642857142762</v>
          </cell>
          <cell r="G586">
            <v>53.741071428571367</v>
          </cell>
          <cell r="H586">
            <v>53.741071428571367</v>
          </cell>
          <cell r="I586" t="e">
            <v>#N/A</v>
          </cell>
          <cell r="J586" t="e">
            <v>#N/A</v>
          </cell>
          <cell r="K586" t="e">
            <v>#N/A</v>
          </cell>
          <cell r="L586" t="e">
            <v>#N/A</v>
          </cell>
          <cell r="M586" t="e">
            <v>#N/A</v>
          </cell>
          <cell r="N586" t="e">
            <v>#N/A</v>
          </cell>
          <cell r="O586" t="e">
            <v>#N/A</v>
          </cell>
          <cell r="P586">
            <v>55.39</v>
          </cell>
          <cell r="Q586" t="str">
            <v/>
          </cell>
          <cell r="R586" t="e">
            <v>#N/A</v>
          </cell>
        </row>
        <row r="587">
          <cell r="A587">
            <v>40066</v>
          </cell>
          <cell r="B587">
            <v>40066</v>
          </cell>
          <cell r="C587" t="str">
            <v>Future</v>
          </cell>
          <cell r="D587" t="e">
            <v>#N/A</v>
          </cell>
          <cell r="E587">
            <v>49.235555555555507</v>
          </cell>
          <cell r="F587">
            <v>56.457777777777679</v>
          </cell>
          <cell r="G587">
            <v>53.679999999999936</v>
          </cell>
          <cell r="H587">
            <v>53.679999999999936</v>
          </cell>
          <cell r="I587" t="e">
            <v>#N/A</v>
          </cell>
          <cell r="J587" t="e">
            <v>#N/A</v>
          </cell>
          <cell r="K587" t="e">
            <v>#N/A</v>
          </cell>
          <cell r="L587" t="e">
            <v>#N/A</v>
          </cell>
          <cell r="M587" t="e">
            <v>#N/A</v>
          </cell>
          <cell r="N587" t="e">
            <v>#N/A</v>
          </cell>
          <cell r="O587" t="e">
            <v>#N/A</v>
          </cell>
          <cell r="P587">
            <v>55.39</v>
          </cell>
          <cell r="Q587" t="str">
            <v/>
          </cell>
          <cell r="R587" t="e">
            <v>#N/A</v>
          </cell>
        </row>
        <row r="588">
          <cell r="A588">
            <v>40067</v>
          </cell>
          <cell r="B588">
            <v>40067</v>
          </cell>
          <cell r="C588" t="str">
            <v>Future</v>
          </cell>
          <cell r="D588" t="e">
            <v>#N/A</v>
          </cell>
          <cell r="E588">
            <v>49.015753968253918</v>
          </cell>
          <cell r="F588">
            <v>56.495912698412596</v>
          </cell>
          <cell r="G588">
            <v>53.618928571428505</v>
          </cell>
          <cell r="H588">
            <v>53.618928571428505</v>
          </cell>
          <cell r="I588" t="e">
            <v>#N/A</v>
          </cell>
          <cell r="J588" t="e">
            <v>#N/A</v>
          </cell>
          <cell r="K588" t="e">
            <v>#N/A</v>
          </cell>
          <cell r="L588" t="e">
            <v>#N/A</v>
          </cell>
          <cell r="M588" t="e">
            <v>#N/A</v>
          </cell>
          <cell r="N588" t="e">
            <v>#N/A</v>
          </cell>
          <cell r="O588" t="e">
            <v>#N/A</v>
          </cell>
          <cell r="P588">
            <v>55.39</v>
          </cell>
          <cell r="Q588" t="str">
            <v/>
          </cell>
          <cell r="R588" t="e">
            <v>#N/A</v>
          </cell>
        </row>
        <row r="589">
          <cell r="A589">
            <v>40070</v>
          </cell>
          <cell r="B589">
            <v>40070</v>
          </cell>
          <cell r="C589" t="str">
            <v>Future</v>
          </cell>
          <cell r="D589" t="e">
            <v>#N/A</v>
          </cell>
          <cell r="E589">
            <v>48.795952380952329</v>
          </cell>
          <cell r="F589">
            <v>56.534047619047513</v>
          </cell>
          <cell r="G589">
            <v>53.557857142857074</v>
          </cell>
          <cell r="H589">
            <v>53.557857142857074</v>
          </cell>
          <cell r="I589" t="e">
            <v>#N/A</v>
          </cell>
          <cell r="J589" t="e">
            <v>#N/A</v>
          </cell>
          <cell r="K589" t="e">
            <v>#N/A</v>
          </cell>
          <cell r="L589" t="e">
            <v>#N/A</v>
          </cell>
          <cell r="M589" t="e">
            <v>#N/A</v>
          </cell>
          <cell r="N589" t="e">
            <v>#N/A</v>
          </cell>
          <cell r="O589" t="e">
            <v>#N/A</v>
          </cell>
          <cell r="P589">
            <v>55.39</v>
          </cell>
          <cell r="Q589" t="str">
            <v/>
          </cell>
          <cell r="R589" t="e">
            <v>#N/A</v>
          </cell>
        </row>
        <row r="590">
          <cell r="A590">
            <v>40071</v>
          </cell>
          <cell r="B590">
            <v>40071</v>
          </cell>
          <cell r="C590" t="str">
            <v>Future</v>
          </cell>
          <cell r="D590" t="e">
            <v>#N/A</v>
          </cell>
          <cell r="E590">
            <v>48.57615079365074</v>
          </cell>
          <cell r="F590">
            <v>56.57218253968243</v>
          </cell>
          <cell r="G590">
            <v>53.496785714285643</v>
          </cell>
          <cell r="H590">
            <v>53.496785714285643</v>
          </cell>
          <cell r="I590" t="e">
            <v>#N/A</v>
          </cell>
          <cell r="J590" t="e">
            <v>#N/A</v>
          </cell>
          <cell r="K590" t="e">
            <v>#N/A</v>
          </cell>
          <cell r="L590" t="e">
            <v>#N/A</v>
          </cell>
          <cell r="M590" t="e">
            <v>#N/A</v>
          </cell>
          <cell r="N590" t="e">
            <v>#N/A</v>
          </cell>
          <cell r="O590" t="e">
            <v>#N/A</v>
          </cell>
          <cell r="P590">
            <v>55.39</v>
          </cell>
          <cell r="Q590" t="str">
            <v/>
          </cell>
          <cell r="R590" t="e">
            <v>#N/A</v>
          </cell>
        </row>
        <row r="591">
          <cell r="A591">
            <v>40072</v>
          </cell>
          <cell r="B591">
            <v>40072</v>
          </cell>
          <cell r="C591" t="str">
            <v>Future</v>
          </cell>
          <cell r="D591" t="e">
            <v>#N/A</v>
          </cell>
          <cell r="E591">
            <v>48.356349206349151</v>
          </cell>
          <cell r="F591">
            <v>56.610317460317347</v>
          </cell>
          <cell r="G591">
            <v>53.435714285714212</v>
          </cell>
          <cell r="H591">
            <v>53.435714285714212</v>
          </cell>
          <cell r="I591" t="e">
            <v>#N/A</v>
          </cell>
          <cell r="J591" t="e">
            <v>#N/A</v>
          </cell>
          <cell r="K591" t="e">
            <v>#N/A</v>
          </cell>
          <cell r="L591" t="e">
            <v>#N/A</v>
          </cell>
          <cell r="M591" t="e">
            <v>#N/A</v>
          </cell>
          <cell r="N591" t="e">
            <v>#N/A</v>
          </cell>
          <cell r="O591" t="e">
            <v>#N/A</v>
          </cell>
          <cell r="P591">
            <v>55.39</v>
          </cell>
          <cell r="Q591" t="str">
            <v/>
          </cell>
          <cell r="R591" t="e">
            <v>#N/A</v>
          </cell>
        </row>
        <row r="592">
          <cell r="A592">
            <v>40073</v>
          </cell>
          <cell r="B592">
            <v>40073</v>
          </cell>
          <cell r="C592" t="str">
            <v>Future</v>
          </cell>
          <cell r="D592" t="e">
            <v>#N/A</v>
          </cell>
          <cell r="E592">
            <v>48.136547619047562</v>
          </cell>
          <cell r="F592">
            <v>56.648452380952264</v>
          </cell>
          <cell r="G592">
            <v>53.374642857142781</v>
          </cell>
          <cell r="H592">
            <v>53.374642857142781</v>
          </cell>
          <cell r="I592" t="e">
            <v>#N/A</v>
          </cell>
          <cell r="J592" t="e">
            <v>#N/A</v>
          </cell>
          <cell r="K592" t="e">
            <v>#N/A</v>
          </cell>
          <cell r="L592" t="e">
            <v>#N/A</v>
          </cell>
          <cell r="M592" t="e">
            <v>#N/A</v>
          </cell>
          <cell r="N592" t="e">
            <v>#N/A</v>
          </cell>
          <cell r="O592" t="e">
            <v>#N/A</v>
          </cell>
          <cell r="P592">
            <v>55.39</v>
          </cell>
          <cell r="Q592" t="str">
            <v/>
          </cell>
          <cell r="R592" t="e">
            <v>#N/A</v>
          </cell>
        </row>
        <row r="593">
          <cell r="A593">
            <v>40074</v>
          </cell>
          <cell r="B593">
            <v>40074</v>
          </cell>
          <cell r="C593" t="str">
            <v>Future</v>
          </cell>
          <cell r="D593" t="e">
            <v>#N/A</v>
          </cell>
          <cell r="E593">
            <v>47.916746031745973</v>
          </cell>
          <cell r="F593">
            <v>56.686587301587181</v>
          </cell>
          <cell r="G593">
            <v>53.31357142857135</v>
          </cell>
          <cell r="H593">
            <v>53.31357142857135</v>
          </cell>
          <cell r="I593" t="e">
            <v>#N/A</v>
          </cell>
          <cell r="J593" t="e">
            <v>#N/A</v>
          </cell>
          <cell r="K593" t="e">
            <v>#N/A</v>
          </cell>
          <cell r="L593" t="e">
            <v>#N/A</v>
          </cell>
          <cell r="M593" t="e">
            <v>#N/A</v>
          </cell>
          <cell r="N593" t="e">
            <v>#N/A</v>
          </cell>
          <cell r="O593" t="e">
            <v>#N/A</v>
          </cell>
          <cell r="P593">
            <v>55.39</v>
          </cell>
          <cell r="Q593" t="str">
            <v/>
          </cell>
          <cell r="R593" t="e">
            <v>#N/A</v>
          </cell>
        </row>
        <row r="594">
          <cell r="A594">
            <v>40077</v>
          </cell>
          <cell r="B594">
            <v>40077</v>
          </cell>
          <cell r="C594" t="str">
            <v>Future</v>
          </cell>
          <cell r="D594" t="e">
            <v>#N/A</v>
          </cell>
          <cell r="E594">
            <v>47.696944444444384</v>
          </cell>
          <cell r="F594">
            <v>56.724722222222098</v>
          </cell>
          <cell r="G594">
            <v>53.25249999999992</v>
          </cell>
          <cell r="H594">
            <v>53.25249999999992</v>
          </cell>
          <cell r="I594" t="e">
            <v>#N/A</v>
          </cell>
          <cell r="J594" t="e">
            <v>#N/A</v>
          </cell>
          <cell r="K594" t="e">
            <v>#N/A</v>
          </cell>
          <cell r="L594" t="e">
            <v>#N/A</v>
          </cell>
          <cell r="M594" t="e">
            <v>#N/A</v>
          </cell>
          <cell r="N594" t="e">
            <v>#N/A</v>
          </cell>
          <cell r="O594" t="e">
            <v>#N/A</v>
          </cell>
          <cell r="P594">
            <v>55.39</v>
          </cell>
          <cell r="Q594" t="str">
            <v/>
          </cell>
          <cell r="R594" t="e">
            <v>#N/A</v>
          </cell>
        </row>
        <row r="595">
          <cell r="A595">
            <v>40078</v>
          </cell>
          <cell r="B595">
            <v>40078</v>
          </cell>
          <cell r="C595" t="str">
            <v>Future</v>
          </cell>
          <cell r="D595" t="e">
            <v>#N/A</v>
          </cell>
          <cell r="E595">
            <v>47.477142857142795</v>
          </cell>
          <cell r="F595">
            <v>56.762857142857015</v>
          </cell>
          <cell r="G595">
            <v>53.191428571428489</v>
          </cell>
          <cell r="H595">
            <v>53.191428571428489</v>
          </cell>
          <cell r="I595" t="e">
            <v>#N/A</v>
          </cell>
          <cell r="J595" t="e">
            <v>#N/A</v>
          </cell>
          <cell r="K595" t="e">
            <v>#N/A</v>
          </cell>
          <cell r="L595" t="e">
            <v>#N/A</v>
          </cell>
          <cell r="M595" t="e">
            <v>#N/A</v>
          </cell>
          <cell r="N595" t="e">
            <v>#N/A</v>
          </cell>
          <cell r="O595" t="e">
            <v>#N/A</v>
          </cell>
          <cell r="P595">
            <v>55.39</v>
          </cell>
          <cell r="Q595" t="str">
            <v/>
          </cell>
          <cell r="R595" t="e">
            <v>#N/A</v>
          </cell>
        </row>
        <row r="596">
          <cell r="A596">
            <v>40079</v>
          </cell>
          <cell r="B596">
            <v>40079</v>
          </cell>
          <cell r="C596" t="str">
            <v>Future</v>
          </cell>
          <cell r="D596" t="e">
            <v>#N/A</v>
          </cell>
          <cell r="E596">
            <v>47.257341269841206</v>
          </cell>
          <cell r="F596">
            <v>56.800992063491933</v>
          </cell>
          <cell r="G596">
            <v>53.130357142857058</v>
          </cell>
          <cell r="H596">
            <v>53.130357142857058</v>
          </cell>
          <cell r="I596" t="e">
            <v>#N/A</v>
          </cell>
          <cell r="J596" t="e">
            <v>#N/A</v>
          </cell>
          <cell r="K596" t="e">
            <v>#N/A</v>
          </cell>
          <cell r="L596" t="e">
            <v>#N/A</v>
          </cell>
          <cell r="M596" t="e">
            <v>#N/A</v>
          </cell>
          <cell r="N596" t="e">
            <v>#N/A</v>
          </cell>
          <cell r="O596" t="e">
            <v>#N/A</v>
          </cell>
          <cell r="P596">
            <v>55.39</v>
          </cell>
          <cell r="Q596" t="str">
            <v/>
          </cell>
          <cell r="R596" t="e">
            <v>#N/A</v>
          </cell>
        </row>
        <row r="597">
          <cell r="A597">
            <v>40080</v>
          </cell>
          <cell r="B597">
            <v>40080</v>
          </cell>
          <cell r="C597" t="str">
            <v>Future</v>
          </cell>
          <cell r="D597" t="e">
            <v>#N/A</v>
          </cell>
          <cell r="E597">
            <v>47.037539682539617</v>
          </cell>
          <cell r="F597">
            <v>56.83912698412685</v>
          </cell>
          <cell r="G597">
            <v>53.069285714285627</v>
          </cell>
          <cell r="H597">
            <v>53.069285714285627</v>
          </cell>
          <cell r="I597" t="e">
            <v>#N/A</v>
          </cell>
          <cell r="J597" t="e">
            <v>#N/A</v>
          </cell>
          <cell r="K597" t="e">
            <v>#N/A</v>
          </cell>
          <cell r="L597" t="e">
            <v>#N/A</v>
          </cell>
          <cell r="M597" t="e">
            <v>#N/A</v>
          </cell>
          <cell r="N597" t="e">
            <v>#N/A</v>
          </cell>
          <cell r="O597" t="e">
            <v>#N/A</v>
          </cell>
          <cell r="P597">
            <v>55.39</v>
          </cell>
          <cell r="Q597" t="str">
            <v/>
          </cell>
          <cell r="R597" t="e">
            <v>#N/A</v>
          </cell>
        </row>
        <row r="598">
          <cell r="A598">
            <v>40081</v>
          </cell>
          <cell r="B598">
            <v>40081</v>
          </cell>
          <cell r="C598" t="str">
            <v>Future</v>
          </cell>
          <cell r="D598" t="e">
            <v>#N/A</v>
          </cell>
          <cell r="E598">
            <v>46.817738095238028</v>
          </cell>
          <cell r="F598">
            <v>56.877261904761767</v>
          </cell>
          <cell r="G598">
            <v>53.008214285714196</v>
          </cell>
          <cell r="H598">
            <v>53.008214285714196</v>
          </cell>
          <cell r="I598" t="e">
            <v>#N/A</v>
          </cell>
          <cell r="J598" t="e">
            <v>#N/A</v>
          </cell>
          <cell r="K598" t="e">
            <v>#N/A</v>
          </cell>
          <cell r="L598" t="e">
            <v>#N/A</v>
          </cell>
          <cell r="M598" t="e">
            <v>#N/A</v>
          </cell>
          <cell r="N598" t="e">
            <v>#N/A</v>
          </cell>
          <cell r="O598" t="e">
            <v>#N/A</v>
          </cell>
          <cell r="P598">
            <v>55.39</v>
          </cell>
          <cell r="Q598" t="str">
            <v/>
          </cell>
          <cell r="R598" t="e">
            <v>#N/A</v>
          </cell>
        </row>
        <row r="599">
          <cell r="A599">
            <v>40084</v>
          </cell>
          <cell r="B599">
            <v>40084</v>
          </cell>
          <cell r="C599" t="str">
            <v>Future</v>
          </cell>
          <cell r="D599" t="e">
            <v>#N/A</v>
          </cell>
          <cell r="E599">
            <v>46.597936507936438</v>
          </cell>
          <cell r="F599">
            <v>56.915396825396684</v>
          </cell>
          <cell r="G599">
            <v>52.947142857142765</v>
          </cell>
          <cell r="H599">
            <v>52.947142857142765</v>
          </cell>
          <cell r="I599" t="e">
            <v>#N/A</v>
          </cell>
          <cell r="J599" t="e">
            <v>#N/A</v>
          </cell>
          <cell r="K599" t="e">
            <v>#N/A</v>
          </cell>
          <cell r="L599" t="e">
            <v>#N/A</v>
          </cell>
          <cell r="M599" t="e">
            <v>#N/A</v>
          </cell>
          <cell r="N599" t="e">
            <v>#N/A</v>
          </cell>
          <cell r="O599" t="e">
            <v>#N/A</v>
          </cell>
          <cell r="P599">
            <v>55.39</v>
          </cell>
          <cell r="Q599" t="str">
            <v/>
          </cell>
          <cell r="R599" t="e">
            <v>#N/A</v>
          </cell>
        </row>
        <row r="600">
          <cell r="A600">
            <v>40085</v>
          </cell>
          <cell r="B600">
            <v>40085</v>
          </cell>
          <cell r="C600" t="str">
            <v>Future</v>
          </cell>
          <cell r="D600" t="e">
            <v>#N/A</v>
          </cell>
          <cell r="E600">
            <v>46.378134920634849</v>
          </cell>
          <cell r="F600">
            <v>56.953531746031601</v>
          </cell>
          <cell r="G600">
            <v>52.886071428571334</v>
          </cell>
          <cell r="H600">
            <v>52.886071428571334</v>
          </cell>
          <cell r="I600" t="e">
            <v>#N/A</v>
          </cell>
          <cell r="J600" t="e">
            <v>#N/A</v>
          </cell>
          <cell r="K600" t="e">
            <v>#N/A</v>
          </cell>
          <cell r="L600" t="e">
            <v>#N/A</v>
          </cell>
          <cell r="M600" t="e">
            <v>#N/A</v>
          </cell>
          <cell r="N600" t="e">
            <v>#N/A</v>
          </cell>
          <cell r="O600" t="e">
            <v>#N/A</v>
          </cell>
          <cell r="P600">
            <v>55.39</v>
          </cell>
          <cell r="Q600" t="str">
            <v/>
          </cell>
          <cell r="R600" t="e">
            <v>#N/A</v>
          </cell>
        </row>
        <row r="601">
          <cell r="A601">
            <v>40086</v>
          </cell>
          <cell r="B601">
            <v>40086</v>
          </cell>
          <cell r="C601" t="str">
            <v>Future</v>
          </cell>
          <cell r="D601" t="e">
            <v>#N/A</v>
          </cell>
          <cell r="E601">
            <v>46.15833333333326</v>
          </cell>
          <cell r="F601">
            <v>56.991666666666518</v>
          </cell>
          <cell r="G601">
            <v>52.824999999999903</v>
          </cell>
          <cell r="H601">
            <v>52.824999999999903</v>
          </cell>
          <cell r="I601" t="e">
            <v>#N/A</v>
          </cell>
          <cell r="J601" t="e">
            <v>#N/A</v>
          </cell>
          <cell r="K601" t="e">
            <v>#N/A</v>
          </cell>
          <cell r="L601" t="e">
            <v>#N/A</v>
          </cell>
          <cell r="M601" t="e">
            <v>#N/A</v>
          </cell>
          <cell r="N601" t="e">
            <v>#N/A</v>
          </cell>
          <cell r="O601" t="e">
            <v>#N/A</v>
          </cell>
          <cell r="P601">
            <v>55.39</v>
          </cell>
          <cell r="Q601" t="str">
            <v/>
          </cell>
          <cell r="R601" t="e">
            <v>#N/A</v>
          </cell>
        </row>
        <row r="602">
          <cell r="A602">
            <v>40087</v>
          </cell>
          <cell r="B602">
            <v>40087</v>
          </cell>
          <cell r="C602" t="str">
            <v>Future</v>
          </cell>
          <cell r="D602" t="e">
            <v>#N/A</v>
          </cell>
          <cell r="E602">
            <v>45.938531746031671</v>
          </cell>
          <cell r="F602">
            <v>57.029801587301435</v>
          </cell>
          <cell r="G602">
            <v>52.763928571428472</v>
          </cell>
          <cell r="H602">
            <v>52.763928571428472</v>
          </cell>
          <cell r="I602" t="e">
            <v>#N/A</v>
          </cell>
          <cell r="J602" t="e">
            <v>#N/A</v>
          </cell>
          <cell r="K602" t="e">
            <v>#N/A</v>
          </cell>
          <cell r="L602" t="e">
            <v>#N/A</v>
          </cell>
          <cell r="M602" t="e">
            <v>#N/A</v>
          </cell>
          <cell r="N602" t="e">
            <v>#N/A</v>
          </cell>
          <cell r="O602" t="e">
            <v>#N/A</v>
          </cell>
          <cell r="P602">
            <v>55.39</v>
          </cell>
          <cell r="Q602" t="str">
            <v/>
          </cell>
          <cell r="R602" t="e">
            <v>#N/A</v>
          </cell>
        </row>
        <row r="603">
          <cell r="A603">
            <v>40088</v>
          </cell>
          <cell r="B603">
            <v>40088</v>
          </cell>
          <cell r="C603" t="str">
            <v>Future</v>
          </cell>
          <cell r="D603" t="e">
            <v>#N/A</v>
          </cell>
          <cell r="E603">
            <v>45.718730158730082</v>
          </cell>
          <cell r="F603">
            <v>57.067936507936352</v>
          </cell>
          <cell r="G603">
            <v>52.702857142857042</v>
          </cell>
          <cell r="H603">
            <v>52.702857142857042</v>
          </cell>
          <cell r="I603" t="e">
            <v>#N/A</v>
          </cell>
          <cell r="J603" t="e">
            <v>#N/A</v>
          </cell>
          <cell r="K603" t="e">
            <v>#N/A</v>
          </cell>
          <cell r="L603" t="e">
            <v>#N/A</v>
          </cell>
          <cell r="M603" t="e">
            <v>#N/A</v>
          </cell>
          <cell r="N603" t="e">
            <v>#N/A</v>
          </cell>
          <cell r="O603" t="e">
            <v>#N/A</v>
          </cell>
          <cell r="P603">
            <v>55.39</v>
          </cell>
          <cell r="Q603" t="str">
            <v/>
          </cell>
          <cell r="R603" t="e">
            <v>#N/A</v>
          </cell>
        </row>
        <row r="604">
          <cell r="A604">
            <v>40091</v>
          </cell>
          <cell r="B604">
            <v>40091</v>
          </cell>
          <cell r="C604" t="str">
            <v>Future</v>
          </cell>
          <cell r="D604" t="e">
            <v>#N/A</v>
          </cell>
          <cell r="E604">
            <v>45.498928571428493</v>
          </cell>
          <cell r="F604">
            <v>57.106071428571269</v>
          </cell>
          <cell r="G604">
            <v>52.641785714285611</v>
          </cell>
          <cell r="H604">
            <v>52.641785714285611</v>
          </cell>
          <cell r="I604" t="e">
            <v>#N/A</v>
          </cell>
          <cell r="J604" t="e">
            <v>#N/A</v>
          </cell>
          <cell r="K604" t="e">
            <v>#N/A</v>
          </cell>
          <cell r="L604" t="e">
            <v>#N/A</v>
          </cell>
          <cell r="M604" t="e">
            <v>#N/A</v>
          </cell>
          <cell r="N604" t="e">
            <v>#N/A</v>
          </cell>
          <cell r="O604" t="e">
            <v>#N/A</v>
          </cell>
          <cell r="P604">
            <v>55.39</v>
          </cell>
          <cell r="Q604" t="str">
            <v/>
          </cell>
          <cell r="R604" t="e">
            <v>#N/A</v>
          </cell>
        </row>
        <row r="605">
          <cell r="A605">
            <v>40092</v>
          </cell>
          <cell r="B605">
            <v>40092</v>
          </cell>
          <cell r="C605" t="str">
            <v>Future</v>
          </cell>
          <cell r="D605" t="e">
            <v>#N/A</v>
          </cell>
          <cell r="E605">
            <v>45.279126984126904</v>
          </cell>
          <cell r="F605">
            <v>57.144206349206186</v>
          </cell>
          <cell r="G605">
            <v>52.58071428571418</v>
          </cell>
          <cell r="H605">
            <v>52.58071428571418</v>
          </cell>
          <cell r="I605" t="e">
            <v>#N/A</v>
          </cell>
          <cell r="J605" t="e">
            <v>#N/A</v>
          </cell>
          <cell r="K605" t="e">
            <v>#N/A</v>
          </cell>
          <cell r="L605" t="e">
            <v>#N/A</v>
          </cell>
          <cell r="M605" t="e">
            <v>#N/A</v>
          </cell>
          <cell r="N605" t="e">
            <v>#N/A</v>
          </cell>
          <cell r="O605" t="e">
            <v>#N/A</v>
          </cell>
          <cell r="P605">
            <v>55.39</v>
          </cell>
          <cell r="Q605" t="str">
            <v/>
          </cell>
          <cell r="R605" t="e">
            <v>#N/A</v>
          </cell>
        </row>
        <row r="606">
          <cell r="A606">
            <v>40093</v>
          </cell>
          <cell r="B606">
            <v>40093</v>
          </cell>
          <cell r="C606" t="str">
            <v>Future</v>
          </cell>
          <cell r="D606" t="e">
            <v>#N/A</v>
          </cell>
          <cell r="E606">
            <v>45.059325396825315</v>
          </cell>
          <cell r="F606">
            <v>57.182341269841103</v>
          </cell>
          <cell r="G606">
            <v>52.519642857142749</v>
          </cell>
          <cell r="H606">
            <v>52.519642857142749</v>
          </cell>
          <cell r="I606" t="e">
            <v>#N/A</v>
          </cell>
          <cell r="J606" t="e">
            <v>#N/A</v>
          </cell>
          <cell r="K606" t="e">
            <v>#N/A</v>
          </cell>
          <cell r="L606" t="e">
            <v>#N/A</v>
          </cell>
          <cell r="M606" t="e">
            <v>#N/A</v>
          </cell>
          <cell r="N606" t="e">
            <v>#N/A</v>
          </cell>
          <cell r="O606" t="e">
            <v>#N/A</v>
          </cell>
          <cell r="P606">
            <v>55.39</v>
          </cell>
          <cell r="Q606" t="str">
            <v/>
          </cell>
          <cell r="R606" t="e">
            <v>#N/A</v>
          </cell>
        </row>
        <row r="607">
          <cell r="A607">
            <v>40094</v>
          </cell>
          <cell r="B607">
            <v>40094</v>
          </cell>
          <cell r="C607" t="str">
            <v>Future</v>
          </cell>
          <cell r="D607" t="e">
            <v>#N/A</v>
          </cell>
          <cell r="E607">
            <v>44.839523809523726</v>
          </cell>
          <cell r="F607">
            <v>57.22047619047602</v>
          </cell>
          <cell r="G607">
            <v>52.458571428571318</v>
          </cell>
          <cell r="H607">
            <v>52.458571428571318</v>
          </cell>
          <cell r="I607" t="e">
            <v>#N/A</v>
          </cell>
          <cell r="J607" t="e">
            <v>#N/A</v>
          </cell>
          <cell r="K607" t="e">
            <v>#N/A</v>
          </cell>
          <cell r="L607" t="e">
            <v>#N/A</v>
          </cell>
          <cell r="M607" t="e">
            <v>#N/A</v>
          </cell>
          <cell r="N607" t="e">
            <v>#N/A</v>
          </cell>
          <cell r="O607" t="e">
            <v>#N/A</v>
          </cell>
          <cell r="P607">
            <v>55.39</v>
          </cell>
          <cell r="Q607" t="str">
            <v/>
          </cell>
          <cell r="R607" t="e">
            <v>#N/A</v>
          </cell>
        </row>
        <row r="608">
          <cell r="A608">
            <v>40095</v>
          </cell>
          <cell r="B608">
            <v>40095</v>
          </cell>
          <cell r="C608" t="str">
            <v>Future</v>
          </cell>
          <cell r="D608" t="e">
            <v>#N/A</v>
          </cell>
          <cell r="E608">
            <v>44.619722222222137</v>
          </cell>
          <cell r="F608">
            <v>57.258611111110937</v>
          </cell>
          <cell r="G608">
            <v>52.397499999999887</v>
          </cell>
          <cell r="H608">
            <v>52.397499999999887</v>
          </cell>
          <cell r="I608" t="e">
            <v>#N/A</v>
          </cell>
          <cell r="J608" t="e">
            <v>#N/A</v>
          </cell>
          <cell r="K608" t="e">
            <v>#N/A</v>
          </cell>
          <cell r="L608" t="e">
            <v>#N/A</v>
          </cell>
          <cell r="M608" t="e">
            <v>#N/A</v>
          </cell>
          <cell r="N608" t="e">
            <v>#N/A</v>
          </cell>
          <cell r="O608" t="e">
            <v>#N/A</v>
          </cell>
          <cell r="P608">
            <v>55.39</v>
          </cell>
          <cell r="Q608" t="str">
            <v/>
          </cell>
          <cell r="R608" t="e">
            <v>#N/A</v>
          </cell>
        </row>
        <row r="609">
          <cell r="A609">
            <v>40098</v>
          </cell>
          <cell r="B609">
            <v>40098</v>
          </cell>
          <cell r="C609" t="str">
            <v>Future</v>
          </cell>
          <cell r="D609" t="e">
            <v>#N/A</v>
          </cell>
          <cell r="E609">
            <v>44.399920634920548</v>
          </cell>
          <cell r="F609">
            <v>57.296746031745855</v>
          </cell>
          <cell r="G609">
            <v>52.336428571428456</v>
          </cell>
          <cell r="H609">
            <v>52.336428571428456</v>
          </cell>
          <cell r="I609" t="e">
            <v>#N/A</v>
          </cell>
          <cell r="J609" t="e">
            <v>#N/A</v>
          </cell>
          <cell r="K609" t="e">
            <v>#N/A</v>
          </cell>
          <cell r="L609" t="e">
            <v>#N/A</v>
          </cell>
          <cell r="M609" t="e">
            <v>#N/A</v>
          </cell>
          <cell r="N609" t="e">
            <v>#N/A</v>
          </cell>
          <cell r="O609" t="e">
            <v>#N/A</v>
          </cell>
          <cell r="P609">
            <v>55.39</v>
          </cell>
          <cell r="Q609" t="str">
            <v/>
          </cell>
          <cell r="R609" t="e">
            <v>#N/A</v>
          </cell>
        </row>
        <row r="610">
          <cell r="A610">
            <v>40099</v>
          </cell>
          <cell r="B610">
            <v>40099</v>
          </cell>
          <cell r="C610" t="str">
            <v>Future</v>
          </cell>
          <cell r="D610" t="e">
            <v>#N/A</v>
          </cell>
          <cell r="E610">
            <v>44.180119047618959</v>
          </cell>
          <cell r="F610">
            <v>57.334880952380772</v>
          </cell>
          <cell r="G610">
            <v>52.275357142857025</v>
          </cell>
          <cell r="H610">
            <v>52.275357142857025</v>
          </cell>
          <cell r="I610" t="e">
            <v>#N/A</v>
          </cell>
          <cell r="J610" t="e">
            <v>#N/A</v>
          </cell>
          <cell r="K610" t="e">
            <v>#N/A</v>
          </cell>
          <cell r="L610" t="e">
            <v>#N/A</v>
          </cell>
          <cell r="M610" t="e">
            <v>#N/A</v>
          </cell>
          <cell r="N610" t="e">
            <v>#N/A</v>
          </cell>
          <cell r="O610" t="e">
            <v>#N/A</v>
          </cell>
          <cell r="P610">
            <v>55.39</v>
          </cell>
          <cell r="Q610" t="str">
            <v/>
          </cell>
          <cell r="R610" t="e">
            <v>#N/A</v>
          </cell>
        </row>
        <row r="611">
          <cell r="A611">
            <v>40100</v>
          </cell>
          <cell r="B611">
            <v>40100</v>
          </cell>
          <cell r="C611" t="str">
            <v>Future</v>
          </cell>
          <cell r="D611" t="e">
            <v>#N/A</v>
          </cell>
          <cell r="E611">
            <v>43.96031746031737</v>
          </cell>
          <cell r="F611">
            <v>57.373015873015689</v>
          </cell>
          <cell r="G611">
            <v>52.214285714285595</v>
          </cell>
          <cell r="H611">
            <v>52.214285714285595</v>
          </cell>
          <cell r="I611" t="e">
            <v>#N/A</v>
          </cell>
          <cell r="J611" t="e">
            <v>#N/A</v>
          </cell>
          <cell r="K611" t="e">
            <v>#N/A</v>
          </cell>
          <cell r="L611" t="e">
            <v>#N/A</v>
          </cell>
          <cell r="M611" t="e">
            <v>#N/A</v>
          </cell>
          <cell r="N611" t="e">
            <v>#N/A</v>
          </cell>
          <cell r="O611" t="e">
            <v>#N/A</v>
          </cell>
          <cell r="P611">
            <v>55.39</v>
          </cell>
          <cell r="Q611" t="str">
            <v/>
          </cell>
          <cell r="R611" t="e">
            <v>#N/A</v>
          </cell>
        </row>
        <row r="612">
          <cell r="A612">
            <v>40101</v>
          </cell>
          <cell r="B612">
            <v>40101</v>
          </cell>
          <cell r="C612" t="str">
            <v>Future</v>
          </cell>
          <cell r="D612" t="e">
            <v>#N/A</v>
          </cell>
          <cell r="E612">
            <v>43.740515873015781</v>
          </cell>
          <cell r="F612">
            <v>57.411150793650606</v>
          </cell>
          <cell r="G612">
            <v>52.153214285714164</v>
          </cell>
          <cell r="H612">
            <v>52.153214285714164</v>
          </cell>
          <cell r="I612" t="e">
            <v>#N/A</v>
          </cell>
          <cell r="J612" t="e">
            <v>#N/A</v>
          </cell>
          <cell r="K612" t="e">
            <v>#N/A</v>
          </cell>
          <cell r="L612" t="e">
            <v>#N/A</v>
          </cell>
          <cell r="M612" t="e">
            <v>#N/A</v>
          </cell>
          <cell r="N612" t="e">
            <v>#N/A</v>
          </cell>
          <cell r="O612" t="e">
            <v>#N/A</v>
          </cell>
          <cell r="P612">
            <v>55.39</v>
          </cell>
          <cell r="Q612" t="str">
            <v/>
          </cell>
          <cell r="R612" t="e">
            <v>#N/A</v>
          </cell>
        </row>
        <row r="613">
          <cell r="A613">
            <v>40102</v>
          </cell>
          <cell r="B613">
            <v>40102</v>
          </cell>
          <cell r="C613" t="str">
            <v>Future</v>
          </cell>
          <cell r="D613" t="e">
            <v>#N/A</v>
          </cell>
          <cell r="E613">
            <v>43.520714285714192</v>
          </cell>
          <cell r="F613">
            <v>57.449285714285523</v>
          </cell>
          <cell r="G613">
            <v>52.092142857142733</v>
          </cell>
          <cell r="H613">
            <v>52.092142857142733</v>
          </cell>
          <cell r="I613" t="e">
            <v>#N/A</v>
          </cell>
          <cell r="J613" t="e">
            <v>#N/A</v>
          </cell>
          <cell r="K613" t="e">
            <v>#N/A</v>
          </cell>
          <cell r="L613" t="e">
            <v>#N/A</v>
          </cell>
          <cell r="M613" t="e">
            <v>#N/A</v>
          </cell>
          <cell r="N613" t="e">
            <v>#N/A</v>
          </cell>
          <cell r="O613" t="e">
            <v>#N/A</v>
          </cell>
          <cell r="P613">
            <v>55.39</v>
          </cell>
          <cell r="Q613" t="str">
            <v/>
          </cell>
          <cell r="R613" t="e">
            <v>#N/A</v>
          </cell>
        </row>
        <row r="614">
          <cell r="A614">
            <v>40105</v>
          </cell>
          <cell r="B614">
            <v>40105</v>
          </cell>
          <cell r="C614" t="str">
            <v>Future</v>
          </cell>
          <cell r="D614" t="e">
            <v>#N/A</v>
          </cell>
          <cell r="E614">
            <v>43.300912698412603</v>
          </cell>
          <cell r="F614">
            <v>57.48742063492044</v>
          </cell>
          <cell r="G614">
            <v>52.031071428571302</v>
          </cell>
          <cell r="H614">
            <v>52.031071428571302</v>
          </cell>
          <cell r="I614" t="e">
            <v>#N/A</v>
          </cell>
          <cell r="J614" t="e">
            <v>#N/A</v>
          </cell>
          <cell r="K614" t="e">
            <v>#N/A</v>
          </cell>
          <cell r="L614" t="e">
            <v>#N/A</v>
          </cell>
          <cell r="M614" t="e">
            <v>#N/A</v>
          </cell>
          <cell r="N614" t="e">
            <v>#N/A</v>
          </cell>
          <cell r="O614" t="e">
            <v>#N/A</v>
          </cell>
          <cell r="P614">
            <v>55.39</v>
          </cell>
          <cell r="Q614" t="str">
            <v/>
          </cell>
          <cell r="R614" t="e">
            <v>#N/A</v>
          </cell>
        </row>
        <row r="615">
          <cell r="A615">
            <v>40106</v>
          </cell>
          <cell r="B615">
            <v>40106</v>
          </cell>
          <cell r="C615" t="str">
            <v>Future</v>
          </cell>
          <cell r="D615" t="e">
            <v>#N/A</v>
          </cell>
          <cell r="E615">
            <v>43.081111111111014</v>
          </cell>
          <cell r="F615">
            <v>57.525555555555357</v>
          </cell>
          <cell r="G615">
            <v>51.969999999999871</v>
          </cell>
          <cell r="H615">
            <v>51.969999999999871</v>
          </cell>
          <cell r="I615" t="e">
            <v>#N/A</v>
          </cell>
          <cell r="J615" t="e">
            <v>#N/A</v>
          </cell>
          <cell r="K615" t="e">
            <v>#N/A</v>
          </cell>
          <cell r="L615" t="e">
            <v>#N/A</v>
          </cell>
          <cell r="M615" t="e">
            <v>#N/A</v>
          </cell>
          <cell r="N615" t="e">
            <v>#N/A</v>
          </cell>
          <cell r="O615" t="e">
            <v>#N/A</v>
          </cell>
          <cell r="P615">
            <v>55.39</v>
          </cell>
          <cell r="Q615" t="str">
            <v/>
          </cell>
          <cell r="R615" t="e">
            <v>#N/A</v>
          </cell>
        </row>
        <row r="616">
          <cell r="A616">
            <v>40107</v>
          </cell>
          <cell r="B616">
            <v>40107</v>
          </cell>
          <cell r="C616" t="str">
            <v>Future</v>
          </cell>
          <cell r="D616" t="e">
            <v>#N/A</v>
          </cell>
          <cell r="E616">
            <v>42.861309523809425</v>
          </cell>
          <cell r="F616">
            <v>57.563690476190274</v>
          </cell>
          <cell r="G616">
            <v>51.90892857142844</v>
          </cell>
          <cell r="H616">
            <v>51.90892857142844</v>
          </cell>
          <cell r="I616" t="e">
            <v>#N/A</v>
          </cell>
          <cell r="J616" t="e">
            <v>#N/A</v>
          </cell>
          <cell r="K616" t="e">
            <v>#N/A</v>
          </cell>
          <cell r="L616" t="e">
            <v>#N/A</v>
          </cell>
          <cell r="M616" t="e">
            <v>#N/A</v>
          </cell>
          <cell r="N616" t="e">
            <v>#N/A</v>
          </cell>
          <cell r="O616" t="e">
            <v>#N/A</v>
          </cell>
          <cell r="P616">
            <v>55.39</v>
          </cell>
          <cell r="Q616" t="str">
            <v/>
          </cell>
          <cell r="R616" t="e">
            <v>#N/A</v>
          </cell>
        </row>
        <row r="617">
          <cell r="A617">
            <v>40108</v>
          </cell>
          <cell r="B617">
            <v>40108</v>
          </cell>
          <cell r="C617" t="str">
            <v>Future</v>
          </cell>
          <cell r="D617" t="e">
            <v>#N/A</v>
          </cell>
          <cell r="E617">
            <v>42.641507936507836</v>
          </cell>
          <cell r="F617">
            <v>57.601825396825191</v>
          </cell>
          <cell r="G617">
            <v>51.847857142857009</v>
          </cell>
          <cell r="H617">
            <v>51.847857142857009</v>
          </cell>
          <cell r="I617" t="e">
            <v>#N/A</v>
          </cell>
          <cell r="J617" t="e">
            <v>#N/A</v>
          </cell>
          <cell r="K617" t="e">
            <v>#N/A</v>
          </cell>
          <cell r="L617" t="e">
            <v>#N/A</v>
          </cell>
          <cell r="M617" t="e">
            <v>#N/A</v>
          </cell>
          <cell r="N617" t="e">
            <v>#N/A</v>
          </cell>
          <cell r="O617" t="e">
            <v>#N/A</v>
          </cell>
          <cell r="P617">
            <v>55.39</v>
          </cell>
          <cell r="Q617" t="str">
            <v/>
          </cell>
          <cell r="R617" t="e">
            <v>#N/A</v>
          </cell>
        </row>
        <row r="618">
          <cell r="A618">
            <v>40109</v>
          </cell>
          <cell r="B618">
            <v>40109</v>
          </cell>
          <cell r="C618" t="str">
            <v>Future</v>
          </cell>
          <cell r="D618" t="e">
            <v>#N/A</v>
          </cell>
          <cell r="E618">
            <v>42.421706349206247</v>
          </cell>
          <cell r="F618">
            <v>57.639960317460108</v>
          </cell>
          <cell r="G618">
            <v>51.786785714285578</v>
          </cell>
          <cell r="H618">
            <v>51.786785714285578</v>
          </cell>
          <cell r="I618" t="e">
            <v>#N/A</v>
          </cell>
          <cell r="J618" t="e">
            <v>#N/A</v>
          </cell>
          <cell r="K618" t="e">
            <v>#N/A</v>
          </cell>
          <cell r="L618" t="e">
            <v>#N/A</v>
          </cell>
          <cell r="M618" t="e">
            <v>#N/A</v>
          </cell>
          <cell r="N618" t="e">
            <v>#N/A</v>
          </cell>
          <cell r="O618" t="e">
            <v>#N/A</v>
          </cell>
          <cell r="P618">
            <v>55.39</v>
          </cell>
          <cell r="Q618" t="str">
            <v/>
          </cell>
          <cell r="R618" t="e">
            <v>#N/A</v>
          </cell>
        </row>
        <row r="619">
          <cell r="A619">
            <v>40112</v>
          </cell>
          <cell r="B619">
            <v>40112</v>
          </cell>
          <cell r="C619" t="str">
            <v>Future</v>
          </cell>
          <cell r="D619" t="e">
            <v>#N/A</v>
          </cell>
          <cell r="E619">
            <v>42.201904761904657</v>
          </cell>
          <cell r="F619">
            <v>57.678095238095025</v>
          </cell>
          <cell r="G619">
            <v>51.725714285714147</v>
          </cell>
          <cell r="H619">
            <v>51.725714285714147</v>
          </cell>
          <cell r="I619" t="e">
            <v>#N/A</v>
          </cell>
          <cell r="J619" t="e">
            <v>#N/A</v>
          </cell>
          <cell r="K619" t="e">
            <v>#N/A</v>
          </cell>
          <cell r="L619" t="e">
            <v>#N/A</v>
          </cell>
          <cell r="M619" t="e">
            <v>#N/A</v>
          </cell>
          <cell r="N619" t="e">
            <v>#N/A</v>
          </cell>
          <cell r="O619" t="e">
            <v>#N/A</v>
          </cell>
          <cell r="P619">
            <v>55.39</v>
          </cell>
          <cell r="Q619" t="str">
            <v/>
          </cell>
          <cell r="R619" t="e">
            <v>#N/A</v>
          </cell>
        </row>
        <row r="620">
          <cell r="A620">
            <v>40113</v>
          </cell>
          <cell r="B620">
            <v>40113</v>
          </cell>
          <cell r="C620" t="str">
            <v>Future</v>
          </cell>
          <cell r="D620" t="e">
            <v>#N/A</v>
          </cell>
          <cell r="E620">
            <v>41.982103174603068</v>
          </cell>
          <cell r="F620">
            <v>57.716230158729942</v>
          </cell>
          <cell r="G620">
            <v>51.664642857142717</v>
          </cell>
          <cell r="H620">
            <v>51.664642857142717</v>
          </cell>
          <cell r="I620" t="e">
            <v>#N/A</v>
          </cell>
          <cell r="J620" t="e">
            <v>#N/A</v>
          </cell>
          <cell r="K620" t="e">
            <v>#N/A</v>
          </cell>
          <cell r="L620" t="e">
            <v>#N/A</v>
          </cell>
          <cell r="M620" t="e">
            <v>#N/A</v>
          </cell>
          <cell r="N620" t="e">
            <v>#N/A</v>
          </cell>
          <cell r="O620" t="e">
            <v>#N/A</v>
          </cell>
          <cell r="P620">
            <v>55.39</v>
          </cell>
          <cell r="Q620" t="str">
            <v/>
          </cell>
          <cell r="R620" t="e">
            <v>#N/A</v>
          </cell>
        </row>
        <row r="621">
          <cell r="A621">
            <v>40114</v>
          </cell>
          <cell r="B621">
            <v>40114</v>
          </cell>
          <cell r="C621" t="str">
            <v>Future</v>
          </cell>
          <cell r="D621" t="e">
            <v>#N/A</v>
          </cell>
          <cell r="E621">
            <v>41.762301587301479</v>
          </cell>
          <cell r="F621">
            <v>57.75436507936486</v>
          </cell>
          <cell r="G621">
            <v>51.603571428571286</v>
          </cell>
          <cell r="H621">
            <v>51.603571428571286</v>
          </cell>
          <cell r="I621" t="e">
            <v>#N/A</v>
          </cell>
          <cell r="J621" t="e">
            <v>#N/A</v>
          </cell>
          <cell r="K621" t="e">
            <v>#N/A</v>
          </cell>
          <cell r="L621" t="e">
            <v>#N/A</v>
          </cell>
          <cell r="M621" t="e">
            <v>#N/A</v>
          </cell>
          <cell r="N621" t="e">
            <v>#N/A</v>
          </cell>
          <cell r="O621" t="e">
            <v>#N/A</v>
          </cell>
          <cell r="P621">
            <v>55.39</v>
          </cell>
          <cell r="Q621" t="str">
            <v/>
          </cell>
          <cell r="R621" t="e">
            <v>#N/A</v>
          </cell>
        </row>
        <row r="622">
          <cell r="A622">
            <v>40115</v>
          </cell>
          <cell r="B622">
            <v>40115</v>
          </cell>
          <cell r="C622" t="str">
            <v>Future</v>
          </cell>
          <cell r="D622" t="e">
            <v>#N/A</v>
          </cell>
          <cell r="E622">
            <v>41.54249999999989</v>
          </cell>
          <cell r="F622">
            <v>57.792499999999777</v>
          </cell>
          <cell r="G622">
            <v>51.542499999999855</v>
          </cell>
          <cell r="H622">
            <v>51.542499999999855</v>
          </cell>
          <cell r="I622" t="e">
            <v>#N/A</v>
          </cell>
          <cell r="J622" t="e">
            <v>#N/A</v>
          </cell>
          <cell r="K622" t="e">
            <v>#N/A</v>
          </cell>
          <cell r="L622" t="e">
            <v>#N/A</v>
          </cell>
          <cell r="M622" t="e">
            <v>#N/A</v>
          </cell>
          <cell r="N622" t="e">
            <v>#N/A</v>
          </cell>
          <cell r="O622" t="e">
            <v>#N/A</v>
          </cell>
          <cell r="P622">
            <v>55.39</v>
          </cell>
          <cell r="Q622" t="str">
            <v/>
          </cell>
          <cell r="R622" t="e">
            <v>#N/A</v>
          </cell>
        </row>
        <row r="623">
          <cell r="A623">
            <v>40116</v>
          </cell>
          <cell r="B623">
            <v>40116</v>
          </cell>
          <cell r="C623" t="str">
            <v>Future</v>
          </cell>
          <cell r="D623" t="e">
            <v>#N/A</v>
          </cell>
          <cell r="E623">
            <v>41.322698412698301</v>
          </cell>
          <cell r="F623">
            <v>57.830634920634694</v>
          </cell>
          <cell r="G623">
            <v>51.481428571428424</v>
          </cell>
          <cell r="H623">
            <v>51.481428571428424</v>
          </cell>
          <cell r="I623" t="e">
            <v>#N/A</v>
          </cell>
          <cell r="J623" t="e">
            <v>#N/A</v>
          </cell>
          <cell r="K623" t="e">
            <v>#N/A</v>
          </cell>
          <cell r="L623" t="e">
            <v>#N/A</v>
          </cell>
          <cell r="M623" t="e">
            <v>#N/A</v>
          </cell>
          <cell r="N623" t="e">
            <v>#N/A</v>
          </cell>
          <cell r="O623" t="e">
            <v>#N/A</v>
          </cell>
          <cell r="P623">
            <v>55.39</v>
          </cell>
          <cell r="Q623" t="str">
            <v/>
          </cell>
          <cell r="R623" t="e">
            <v>#N/A</v>
          </cell>
        </row>
        <row r="624">
          <cell r="A624">
            <v>40119</v>
          </cell>
          <cell r="B624">
            <v>40119</v>
          </cell>
          <cell r="C624" t="str">
            <v>Future</v>
          </cell>
          <cell r="D624" t="e">
            <v>#N/A</v>
          </cell>
          <cell r="E624">
            <v>41.102896825396712</v>
          </cell>
          <cell r="F624">
            <v>57.868769841269611</v>
          </cell>
          <cell r="G624">
            <v>51.420357142856993</v>
          </cell>
          <cell r="H624">
            <v>51.420357142856993</v>
          </cell>
          <cell r="I624" t="e">
            <v>#N/A</v>
          </cell>
          <cell r="J624" t="e">
            <v>#N/A</v>
          </cell>
          <cell r="K624" t="e">
            <v>#N/A</v>
          </cell>
          <cell r="L624" t="e">
            <v>#N/A</v>
          </cell>
          <cell r="M624" t="e">
            <v>#N/A</v>
          </cell>
          <cell r="N624" t="e">
            <v>#N/A</v>
          </cell>
          <cell r="O624" t="e">
            <v>#N/A</v>
          </cell>
          <cell r="P624">
            <v>55.39</v>
          </cell>
          <cell r="Q624" t="str">
            <v/>
          </cell>
          <cell r="R624" t="e">
            <v>#N/A</v>
          </cell>
        </row>
        <row r="625">
          <cell r="A625">
            <v>40120</v>
          </cell>
          <cell r="B625">
            <v>40120</v>
          </cell>
          <cell r="C625" t="str">
            <v>Future</v>
          </cell>
          <cell r="D625" t="e">
            <v>#N/A</v>
          </cell>
          <cell r="E625">
            <v>40.883095238095123</v>
          </cell>
          <cell r="F625">
            <v>57.906904761904528</v>
          </cell>
          <cell r="G625">
            <v>51.359285714285562</v>
          </cell>
          <cell r="H625">
            <v>51.359285714285562</v>
          </cell>
          <cell r="I625" t="e">
            <v>#N/A</v>
          </cell>
          <cell r="J625" t="e">
            <v>#N/A</v>
          </cell>
          <cell r="K625" t="e">
            <v>#N/A</v>
          </cell>
          <cell r="L625" t="e">
            <v>#N/A</v>
          </cell>
          <cell r="M625" t="e">
            <v>#N/A</v>
          </cell>
          <cell r="N625" t="e">
            <v>#N/A</v>
          </cell>
          <cell r="O625" t="e">
            <v>#N/A</v>
          </cell>
          <cell r="P625">
            <v>55.39</v>
          </cell>
          <cell r="Q625" t="str">
            <v/>
          </cell>
          <cell r="R625" t="e">
            <v>#N/A</v>
          </cell>
        </row>
        <row r="626">
          <cell r="A626">
            <v>40121</v>
          </cell>
          <cell r="B626">
            <v>40121</v>
          </cell>
          <cell r="C626" t="str">
            <v>Future</v>
          </cell>
          <cell r="D626" t="e">
            <v>#N/A</v>
          </cell>
          <cell r="E626">
            <v>40.663293650793534</v>
          </cell>
          <cell r="F626">
            <v>57.945039682539445</v>
          </cell>
          <cell r="G626">
            <v>51.298214285714131</v>
          </cell>
          <cell r="H626">
            <v>51.298214285714131</v>
          </cell>
          <cell r="I626" t="e">
            <v>#N/A</v>
          </cell>
          <cell r="J626" t="e">
            <v>#N/A</v>
          </cell>
          <cell r="K626" t="e">
            <v>#N/A</v>
          </cell>
          <cell r="L626" t="e">
            <v>#N/A</v>
          </cell>
          <cell r="M626" t="e">
            <v>#N/A</v>
          </cell>
          <cell r="N626" t="e">
            <v>#N/A</v>
          </cell>
          <cell r="O626" t="e">
            <v>#N/A</v>
          </cell>
          <cell r="P626">
            <v>55.39</v>
          </cell>
          <cell r="Q626" t="str">
            <v/>
          </cell>
          <cell r="R626" t="e">
            <v>#N/A</v>
          </cell>
        </row>
        <row r="627">
          <cell r="A627">
            <v>40122</v>
          </cell>
          <cell r="B627">
            <v>40122</v>
          </cell>
          <cell r="C627" t="str">
            <v>Future</v>
          </cell>
          <cell r="D627" t="e">
            <v>#N/A</v>
          </cell>
          <cell r="E627">
            <v>40.443492063491945</v>
          </cell>
          <cell r="F627">
            <v>57.983174603174362</v>
          </cell>
          <cell r="G627">
            <v>51.2371428571427</v>
          </cell>
          <cell r="H627">
            <v>51.2371428571427</v>
          </cell>
          <cell r="I627" t="e">
            <v>#N/A</v>
          </cell>
          <cell r="J627" t="e">
            <v>#N/A</v>
          </cell>
          <cell r="K627" t="e">
            <v>#N/A</v>
          </cell>
          <cell r="L627" t="e">
            <v>#N/A</v>
          </cell>
          <cell r="M627" t="e">
            <v>#N/A</v>
          </cell>
          <cell r="N627" t="e">
            <v>#N/A</v>
          </cell>
          <cell r="O627" t="e">
            <v>#N/A</v>
          </cell>
          <cell r="P627">
            <v>55.39</v>
          </cell>
          <cell r="Q627" t="str">
            <v/>
          </cell>
          <cell r="R627" t="e">
            <v>#N/A</v>
          </cell>
        </row>
        <row r="628">
          <cell r="A628">
            <v>40123</v>
          </cell>
          <cell r="B628">
            <v>40123</v>
          </cell>
          <cell r="C628" t="str">
            <v>Future</v>
          </cell>
          <cell r="D628" t="e">
            <v>#N/A</v>
          </cell>
          <cell r="E628">
            <v>40.223690476190356</v>
          </cell>
          <cell r="F628">
            <v>58.021309523809279</v>
          </cell>
          <cell r="G628">
            <v>51.176071428571269</v>
          </cell>
          <cell r="H628">
            <v>51.176071428571269</v>
          </cell>
          <cell r="I628" t="e">
            <v>#N/A</v>
          </cell>
          <cell r="J628" t="e">
            <v>#N/A</v>
          </cell>
          <cell r="K628" t="e">
            <v>#N/A</v>
          </cell>
          <cell r="L628" t="e">
            <v>#N/A</v>
          </cell>
          <cell r="M628" t="e">
            <v>#N/A</v>
          </cell>
          <cell r="N628" t="e">
            <v>#N/A</v>
          </cell>
          <cell r="O628" t="e">
            <v>#N/A</v>
          </cell>
          <cell r="P628">
            <v>55.39</v>
          </cell>
          <cell r="Q628" t="str">
            <v/>
          </cell>
          <cell r="R628" t="e">
            <v>#N/A</v>
          </cell>
        </row>
        <row r="629">
          <cell r="A629">
            <v>40126</v>
          </cell>
          <cell r="B629">
            <v>40126</v>
          </cell>
          <cell r="C629" t="str">
            <v>Future</v>
          </cell>
          <cell r="D629" t="e">
            <v>#N/A</v>
          </cell>
          <cell r="E629">
            <v>40.003888888888767</v>
          </cell>
          <cell r="F629">
            <v>58.059444444444196</v>
          </cell>
          <cell r="G629">
            <v>51.114999999999839</v>
          </cell>
          <cell r="H629">
            <v>51.114999999999839</v>
          </cell>
          <cell r="I629" t="e">
            <v>#N/A</v>
          </cell>
          <cell r="J629" t="e">
            <v>#N/A</v>
          </cell>
          <cell r="K629" t="e">
            <v>#N/A</v>
          </cell>
          <cell r="L629" t="e">
            <v>#N/A</v>
          </cell>
          <cell r="M629" t="e">
            <v>#N/A</v>
          </cell>
          <cell r="N629" t="e">
            <v>#N/A</v>
          </cell>
          <cell r="O629" t="e">
            <v>#N/A</v>
          </cell>
          <cell r="P629">
            <v>55.39</v>
          </cell>
          <cell r="Q629" t="str">
            <v/>
          </cell>
          <cell r="R629" t="e">
            <v>#N/A</v>
          </cell>
        </row>
        <row r="630">
          <cell r="A630">
            <v>40127</v>
          </cell>
          <cell r="B630">
            <v>40127</v>
          </cell>
          <cell r="C630" t="str">
            <v>Future</v>
          </cell>
          <cell r="D630" t="e">
            <v>#N/A</v>
          </cell>
          <cell r="E630">
            <v>39.784087301587178</v>
          </cell>
          <cell r="F630">
            <v>58.097579365079113</v>
          </cell>
          <cell r="G630">
            <v>51.053928571428408</v>
          </cell>
          <cell r="H630">
            <v>51.053928571428408</v>
          </cell>
          <cell r="I630" t="e">
            <v>#N/A</v>
          </cell>
          <cell r="J630" t="e">
            <v>#N/A</v>
          </cell>
          <cell r="K630" t="e">
            <v>#N/A</v>
          </cell>
          <cell r="L630" t="e">
            <v>#N/A</v>
          </cell>
          <cell r="M630" t="e">
            <v>#N/A</v>
          </cell>
          <cell r="N630" t="e">
            <v>#N/A</v>
          </cell>
          <cell r="O630" t="e">
            <v>#N/A</v>
          </cell>
          <cell r="P630">
            <v>55.39</v>
          </cell>
          <cell r="Q630" t="str">
            <v/>
          </cell>
          <cell r="R630" t="e">
            <v>#N/A</v>
          </cell>
        </row>
        <row r="631">
          <cell r="A631">
            <v>40128</v>
          </cell>
          <cell r="B631">
            <v>40128</v>
          </cell>
          <cell r="C631" t="str">
            <v>Future</v>
          </cell>
          <cell r="D631" t="e">
            <v>#N/A</v>
          </cell>
          <cell r="E631">
            <v>39.564285714285589</v>
          </cell>
          <cell r="F631">
            <v>58.13571428571403</v>
          </cell>
          <cell r="G631">
            <v>50.992857142856977</v>
          </cell>
          <cell r="H631">
            <v>50.992857142856977</v>
          </cell>
          <cell r="I631" t="e">
            <v>#N/A</v>
          </cell>
          <cell r="J631" t="e">
            <v>#N/A</v>
          </cell>
          <cell r="K631" t="e">
            <v>#N/A</v>
          </cell>
          <cell r="L631" t="e">
            <v>#N/A</v>
          </cell>
          <cell r="M631" t="e">
            <v>#N/A</v>
          </cell>
          <cell r="N631" t="e">
            <v>#N/A</v>
          </cell>
          <cell r="O631" t="e">
            <v>#N/A</v>
          </cell>
          <cell r="P631">
            <v>55.39</v>
          </cell>
          <cell r="Q631" t="str">
            <v/>
          </cell>
          <cell r="R631" t="e">
            <v>#N/A</v>
          </cell>
        </row>
        <row r="632">
          <cell r="A632">
            <v>40129</v>
          </cell>
          <cell r="B632">
            <v>40129</v>
          </cell>
          <cell r="C632" t="str">
            <v>Future</v>
          </cell>
          <cell r="D632" t="e">
            <v>#N/A</v>
          </cell>
          <cell r="E632">
            <v>39.344484126984</v>
          </cell>
          <cell r="F632">
            <v>58.173849206348947</v>
          </cell>
          <cell r="G632">
            <v>50.931785714285546</v>
          </cell>
          <cell r="H632">
            <v>50.931785714285546</v>
          </cell>
          <cell r="I632" t="e">
            <v>#N/A</v>
          </cell>
          <cell r="J632" t="e">
            <v>#N/A</v>
          </cell>
          <cell r="K632" t="e">
            <v>#N/A</v>
          </cell>
          <cell r="L632" t="e">
            <v>#N/A</v>
          </cell>
          <cell r="M632" t="e">
            <v>#N/A</v>
          </cell>
          <cell r="N632" t="e">
            <v>#N/A</v>
          </cell>
          <cell r="O632" t="e">
            <v>#N/A</v>
          </cell>
          <cell r="P632">
            <v>55.39</v>
          </cell>
          <cell r="Q632" t="str">
            <v/>
          </cell>
          <cell r="R632" t="e">
            <v>#N/A</v>
          </cell>
        </row>
        <row r="633">
          <cell r="A633">
            <v>40130</v>
          </cell>
          <cell r="B633">
            <v>40130</v>
          </cell>
          <cell r="C633" t="str">
            <v>Future</v>
          </cell>
          <cell r="D633" t="e">
            <v>#N/A</v>
          </cell>
          <cell r="E633">
            <v>39.124682539682411</v>
          </cell>
          <cell r="F633">
            <v>58.211984126983864</v>
          </cell>
          <cell r="G633">
            <v>50.870714285714115</v>
          </cell>
          <cell r="H633">
            <v>50.870714285714115</v>
          </cell>
          <cell r="I633" t="e">
            <v>#N/A</v>
          </cell>
          <cell r="J633" t="e">
            <v>#N/A</v>
          </cell>
          <cell r="K633" t="e">
            <v>#N/A</v>
          </cell>
          <cell r="L633" t="e">
            <v>#N/A</v>
          </cell>
          <cell r="M633" t="e">
            <v>#N/A</v>
          </cell>
          <cell r="N633" t="e">
            <v>#N/A</v>
          </cell>
          <cell r="O633" t="e">
            <v>#N/A</v>
          </cell>
          <cell r="P633">
            <v>55.39</v>
          </cell>
          <cell r="Q633" t="str">
            <v/>
          </cell>
          <cell r="R633" t="e">
            <v>#N/A</v>
          </cell>
        </row>
        <row r="634">
          <cell r="A634">
            <v>40133</v>
          </cell>
          <cell r="B634">
            <v>40133</v>
          </cell>
          <cell r="C634" t="str">
            <v>Future</v>
          </cell>
          <cell r="D634" t="e">
            <v>#N/A</v>
          </cell>
          <cell r="E634">
            <v>38.904880952380822</v>
          </cell>
          <cell r="F634">
            <v>58.250119047618782</v>
          </cell>
          <cell r="G634">
            <v>50.809642857142684</v>
          </cell>
          <cell r="H634">
            <v>50.809642857142684</v>
          </cell>
          <cell r="I634" t="e">
            <v>#N/A</v>
          </cell>
          <cell r="J634" t="e">
            <v>#N/A</v>
          </cell>
          <cell r="K634" t="e">
            <v>#N/A</v>
          </cell>
          <cell r="L634" t="e">
            <v>#N/A</v>
          </cell>
          <cell r="M634" t="e">
            <v>#N/A</v>
          </cell>
          <cell r="N634" t="e">
            <v>#N/A</v>
          </cell>
          <cell r="O634" t="e">
            <v>#N/A</v>
          </cell>
          <cell r="P634">
            <v>55.39</v>
          </cell>
          <cell r="Q634" t="str">
            <v/>
          </cell>
          <cell r="R634" t="e">
            <v>#N/A</v>
          </cell>
        </row>
        <row r="635">
          <cell r="A635">
            <v>40134</v>
          </cell>
          <cell r="B635">
            <v>40134</v>
          </cell>
          <cell r="C635" t="str">
            <v>Future</v>
          </cell>
          <cell r="D635" t="e">
            <v>#N/A</v>
          </cell>
          <cell r="E635">
            <v>38.685079365079233</v>
          </cell>
          <cell r="F635">
            <v>58.288253968253699</v>
          </cell>
          <cell r="G635">
            <v>50.748571428571253</v>
          </cell>
          <cell r="H635">
            <v>50.748571428571253</v>
          </cell>
          <cell r="I635" t="e">
            <v>#N/A</v>
          </cell>
          <cell r="J635" t="e">
            <v>#N/A</v>
          </cell>
          <cell r="K635" t="e">
            <v>#N/A</v>
          </cell>
          <cell r="L635" t="e">
            <v>#N/A</v>
          </cell>
          <cell r="M635" t="e">
            <v>#N/A</v>
          </cell>
          <cell r="N635" t="e">
            <v>#N/A</v>
          </cell>
          <cell r="O635" t="e">
            <v>#N/A</v>
          </cell>
          <cell r="P635">
            <v>55.39</v>
          </cell>
          <cell r="Q635" t="str">
            <v/>
          </cell>
          <cell r="R635" t="e">
            <v>#N/A</v>
          </cell>
        </row>
        <row r="636">
          <cell r="A636">
            <v>40135</v>
          </cell>
          <cell r="B636">
            <v>40135</v>
          </cell>
          <cell r="C636" t="str">
            <v>Future</v>
          </cell>
          <cell r="D636" t="e">
            <v>#N/A</v>
          </cell>
          <cell r="E636">
            <v>38.465277777777644</v>
          </cell>
          <cell r="F636">
            <v>58.326388888888616</v>
          </cell>
          <cell r="G636">
            <v>50.687499999999822</v>
          </cell>
          <cell r="H636">
            <v>50.687499999999822</v>
          </cell>
          <cell r="I636" t="e">
            <v>#N/A</v>
          </cell>
          <cell r="J636" t="e">
            <v>#N/A</v>
          </cell>
          <cell r="K636" t="e">
            <v>#N/A</v>
          </cell>
          <cell r="L636" t="e">
            <v>#N/A</v>
          </cell>
          <cell r="M636" t="e">
            <v>#N/A</v>
          </cell>
          <cell r="N636" t="e">
            <v>#N/A</v>
          </cell>
          <cell r="O636" t="e">
            <v>#N/A</v>
          </cell>
          <cell r="P636">
            <v>55.39</v>
          </cell>
          <cell r="Q636" t="str">
            <v/>
          </cell>
          <cell r="R636" t="e">
            <v>#N/A</v>
          </cell>
        </row>
        <row r="637">
          <cell r="A637">
            <v>40136</v>
          </cell>
          <cell r="B637">
            <v>40136</v>
          </cell>
          <cell r="C637" t="str">
            <v>Future</v>
          </cell>
          <cell r="D637" t="e">
            <v>#N/A</v>
          </cell>
          <cell r="E637">
            <v>38.245476190476055</v>
          </cell>
          <cell r="F637">
            <v>58.364523809523533</v>
          </cell>
          <cell r="G637">
            <v>50.626428571428391</v>
          </cell>
          <cell r="H637">
            <v>50.626428571428391</v>
          </cell>
          <cell r="I637" t="e">
            <v>#N/A</v>
          </cell>
          <cell r="J637" t="e">
            <v>#N/A</v>
          </cell>
          <cell r="K637" t="e">
            <v>#N/A</v>
          </cell>
          <cell r="L637" t="e">
            <v>#N/A</v>
          </cell>
          <cell r="M637" t="e">
            <v>#N/A</v>
          </cell>
          <cell r="N637" t="e">
            <v>#N/A</v>
          </cell>
          <cell r="O637" t="e">
            <v>#N/A</v>
          </cell>
          <cell r="P637">
            <v>55.39</v>
          </cell>
          <cell r="Q637" t="str">
            <v/>
          </cell>
          <cell r="R637" t="e">
            <v>#N/A</v>
          </cell>
        </row>
        <row r="638">
          <cell r="A638">
            <v>40137</v>
          </cell>
          <cell r="B638">
            <v>40137</v>
          </cell>
          <cell r="C638" t="str">
            <v>Future</v>
          </cell>
          <cell r="D638" t="e">
            <v>#N/A</v>
          </cell>
          <cell r="E638">
            <v>38.025674603174465</v>
          </cell>
          <cell r="F638">
            <v>58.40265873015845</v>
          </cell>
          <cell r="G638">
            <v>50.565357142856961</v>
          </cell>
          <cell r="H638">
            <v>50.565357142856961</v>
          </cell>
          <cell r="I638" t="e">
            <v>#N/A</v>
          </cell>
          <cell r="J638" t="e">
            <v>#N/A</v>
          </cell>
          <cell r="K638" t="e">
            <v>#N/A</v>
          </cell>
          <cell r="L638" t="e">
            <v>#N/A</v>
          </cell>
          <cell r="M638" t="e">
            <v>#N/A</v>
          </cell>
          <cell r="N638" t="e">
            <v>#N/A</v>
          </cell>
          <cell r="O638" t="e">
            <v>#N/A</v>
          </cell>
          <cell r="P638">
            <v>55.39</v>
          </cell>
          <cell r="Q638" t="str">
            <v/>
          </cell>
          <cell r="R638" t="e">
            <v>#N/A</v>
          </cell>
        </row>
        <row r="639">
          <cell r="A639">
            <v>40140</v>
          </cell>
          <cell r="B639">
            <v>40140</v>
          </cell>
          <cell r="C639" t="str">
            <v>Future</v>
          </cell>
          <cell r="D639" t="e">
            <v>#N/A</v>
          </cell>
          <cell r="E639">
            <v>37.805873015872876</v>
          </cell>
          <cell r="F639">
            <v>58.440793650793367</v>
          </cell>
          <cell r="G639">
            <v>50.50428571428553</v>
          </cell>
          <cell r="H639">
            <v>50.50428571428553</v>
          </cell>
          <cell r="I639" t="e">
            <v>#N/A</v>
          </cell>
          <cell r="J639" t="e">
            <v>#N/A</v>
          </cell>
          <cell r="K639" t="e">
            <v>#N/A</v>
          </cell>
          <cell r="L639" t="e">
            <v>#N/A</v>
          </cell>
          <cell r="M639" t="e">
            <v>#N/A</v>
          </cell>
          <cell r="N639" t="e">
            <v>#N/A</v>
          </cell>
          <cell r="O639" t="e">
            <v>#N/A</v>
          </cell>
          <cell r="P639">
            <v>55.39</v>
          </cell>
          <cell r="Q639" t="str">
            <v/>
          </cell>
          <cell r="R639" t="e">
            <v>#N/A</v>
          </cell>
        </row>
        <row r="640">
          <cell r="A640">
            <v>40141</v>
          </cell>
          <cell r="B640">
            <v>40141</v>
          </cell>
          <cell r="C640" t="str">
            <v>Future</v>
          </cell>
          <cell r="D640" t="e">
            <v>#N/A</v>
          </cell>
          <cell r="E640">
            <v>37.586071428571287</v>
          </cell>
          <cell r="F640">
            <v>58.478928571428284</v>
          </cell>
          <cell r="G640">
            <v>50.443214285714099</v>
          </cell>
          <cell r="H640">
            <v>50.443214285714099</v>
          </cell>
          <cell r="I640" t="e">
            <v>#N/A</v>
          </cell>
          <cell r="J640" t="e">
            <v>#N/A</v>
          </cell>
          <cell r="K640" t="e">
            <v>#N/A</v>
          </cell>
          <cell r="L640" t="e">
            <v>#N/A</v>
          </cell>
          <cell r="M640" t="e">
            <v>#N/A</v>
          </cell>
          <cell r="N640" t="e">
            <v>#N/A</v>
          </cell>
          <cell r="O640" t="e">
            <v>#N/A</v>
          </cell>
          <cell r="P640">
            <v>55.39</v>
          </cell>
          <cell r="Q640" t="str">
            <v/>
          </cell>
          <cell r="R640" t="e">
            <v>#N/A</v>
          </cell>
        </row>
        <row r="641">
          <cell r="A641">
            <v>40142</v>
          </cell>
          <cell r="B641">
            <v>40142</v>
          </cell>
          <cell r="C641" t="str">
            <v>Future</v>
          </cell>
          <cell r="D641" t="e">
            <v>#N/A</v>
          </cell>
          <cell r="E641">
            <v>37.366269841269698</v>
          </cell>
          <cell r="F641">
            <v>58.517063492063201</v>
          </cell>
          <cell r="G641">
            <v>50.382142857142668</v>
          </cell>
          <cell r="H641">
            <v>50.382142857142668</v>
          </cell>
          <cell r="I641" t="e">
            <v>#N/A</v>
          </cell>
          <cell r="J641" t="e">
            <v>#N/A</v>
          </cell>
          <cell r="K641" t="e">
            <v>#N/A</v>
          </cell>
          <cell r="L641" t="e">
            <v>#N/A</v>
          </cell>
          <cell r="M641" t="e">
            <v>#N/A</v>
          </cell>
          <cell r="N641" t="e">
            <v>#N/A</v>
          </cell>
          <cell r="O641" t="e">
            <v>#N/A</v>
          </cell>
          <cell r="P641">
            <v>55.39</v>
          </cell>
          <cell r="Q641" t="str">
            <v/>
          </cell>
          <cell r="R641" t="e">
            <v>#N/A</v>
          </cell>
        </row>
        <row r="642">
          <cell r="A642">
            <v>40144</v>
          </cell>
          <cell r="B642">
            <v>40144</v>
          </cell>
          <cell r="C642" t="str">
            <v>Future</v>
          </cell>
          <cell r="D642" t="e">
            <v>#N/A</v>
          </cell>
          <cell r="E642">
            <v>37.146468253968109</v>
          </cell>
          <cell r="F642">
            <v>58.555198412698118</v>
          </cell>
          <cell r="G642">
            <v>50.321071428571237</v>
          </cell>
          <cell r="H642">
            <v>50.321071428571237</v>
          </cell>
          <cell r="I642" t="e">
            <v>#N/A</v>
          </cell>
          <cell r="J642" t="e">
            <v>#N/A</v>
          </cell>
          <cell r="K642" t="e">
            <v>#N/A</v>
          </cell>
          <cell r="L642" t="e">
            <v>#N/A</v>
          </cell>
          <cell r="M642" t="e">
            <v>#N/A</v>
          </cell>
          <cell r="N642" t="e">
            <v>#N/A</v>
          </cell>
          <cell r="O642" t="e">
            <v>#N/A</v>
          </cell>
          <cell r="P642">
            <v>55.39</v>
          </cell>
          <cell r="Q642" t="str">
            <v/>
          </cell>
          <cell r="R642" t="e">
            <v>#N/A</v>
          </cell>
        </row>
        <row r="643">
          <cell r="A643">
            <v>40147</v>
          </cell>
          <cell r="B643">
            <v>40147</v>
          </cell>
          <cell r="C643" t="str">
            <v>Future</v>
          </cell>
          <cell r="D643" t="e">
            <v>#N/A</v>
          </cell>
          <cell r="E643">
            <v>36.92666666666652</v>
          </cell>
          <cell r="F643">
            <v>58.593333333333035</v>
          </cell>
          <cell r="G643">
            <v>50.259999999999806</v>
          </cell>
          <cell r="H643">
            <v>50.259999999999806</v>
          </cell>
          <cell r="I643" t="e">
            <v>#N/A</v>
          </cell>
          <cell r="J643" t="e">
            <v>#N/A</v>
          </cell>
          <cell r="K643" t="e">
            <v>#N/A</v>
          </cell>
          <cell r="L643" t="e">
            <v>#N/A</v>
          </cell>
          <cell r="M643" t="e">
            <v>#N/A</v>
          </cell>
          <cell r="N643" t="e">
            <v>#N/A</v>
          </cell>
          <cell r="O643" t="e">
            <v>#N/A</v>
          </cell>
          <cell r="P643">
            <v>55.39</v>
          </cell>
          <cell r="Q643" t="str">
            <v/>
          </cell>
          <cell r="R643" t="e">
            <v>#N/A</v>
          </cell>
        </row>
        <row r="644">
          <cell r="A644">
            <v>40148</v>
          </cell>
          <cell r="B644">
            <v>40148</v>
          </cell>
          <cell r="C644" t="str">
            <v>Future</v>
          </cell>
          <cell r="D644" t="e">
            <v>#N/A</v>
          </cell>
          <cell r="E644">
            <v>36.706865079364931</v>
          </cell>
          <cell r="F644">
            <v>58.631468253967952</v>
          </cell>
          <cell r="G644">
            <v>50.198928571428375</v>
          </cell>
          <cell r="H644">
            <v>50.198928571428375</v>
          </cell>
          <cell r="I644" t="e">
            <v>#N/A</v>
          </cell>
          <cell r="J644" t="e">
            <v>#N/A</v>
          </cell>
          <cell r="K644" t="e">
            <v>#N/A</v>
          </cell>
          <cell r="L644" t="e">
            <v>#N/A</v>
          </cell>
          <cell r="M644" t="e">
            <v>#N/A</v>
          </cell>
          <cell r="N644" t="e">
            <v>#N/A</v>
          </cell>
          <cell r="O644" t="e">
            <v>#N/A</v>
          </cell>
          <cell r="P644">
            <v>55.39</v>
          </cell>
          <cell r="Q644" t="str">
            <v/>
          </cell>
          <cell r="R644" t="e">
            <v>#N/A</v>
          </cell>
        </row>
        <row r="645">
          <cell r="A645">
            <v>40149</v>
          </cell>
          <cell r="B645">
            <v>40149</v>
          </cell>
          <cell r="C645" t="str">
            <v>Future</v>
          </cell>
          <cell r="D645" t="e">
            <v>#N/A</v>
          </cell>
          <cell r="E645">
            <v>36.487063492063342</v>
          </cell>
          <cell r="F645">
            <v>58.669603174602869</v>
          </cell>
          <cell r="G645">
            <v>50.137857142856944</v>
          </cell>
          <cell r="H645">
            <v>50.137857142856944</v>
          </cell>
          <cell r="I645" t="e">
            <v>#N/A</v>
          </cell>
          <cell r="J645" t="e">
            <v>#N/A</v>
          </cell>
          <cell r="K645" t="e">
            <v>#N/A</v>
          </cell>
          <cell r="L645" t="e">
            <v>#N/A</v>
          </cell>
          <cell r="M645" t="e">
            <v>#N/A</v>
          </cell>
          <cell r="N645" t="e">
            <v>#N/A</v>
          </cell>
          <cell r="O645" t="e">
            <v>#N/A</v>
          </cell>
          <cell r="P645">
            <v>55.39</v>
          </cell>
          <cell r="Q645" t="str">
            <v/>
          </cell>
          <cell r="R645" t="e">
            <v>#N/A</v>
          </cell>
        </row>
        <row r="646">
          <cell r="A646">
            <v>40150</v>
          </cell>
          <cell r="B646">
            <v>40150</v>
          </cell>
          <cell r="C646" t="str">
            <v>Future</v>
          </cell>
          <cell r="D646" t="e">
            <v>#N/A</v>
          </cell>
          <cell r="E646">
            <v>36.267261904761753</v>
          </cell>
          <cell r="F646">
            <v>58.707738095237787</v>
          </cell>
          <cell r="G646">
            <v>50.076785714285514</v>
          </cell>
          <cell r="H646">
            <v>50.076785714285514</v>
          </cell>
          <cell r="I646" t="e">
            <v>#N/A</v>
          </cell>
          <cell r="J646" t="e">
            <v>#N/A</v>
          </cell>
          <cell r="K646" t="e">
            <v>#N/A</v>
          </cell>
          <cell r="L646" t="e">
            <v>#N/A</v>
          </cell>
          <cell r="M646" t="e">
            <v>#N/A</v>
          </cell>
          <cell r="N646" t="e">
            <v>#N/A</v>
          </cell>
          <cell r="O646" t="e">
            <v>#N/A</v>
          </cell>
          <cell r="P646">
            <v>55.39</v>
          </cell>
          <cell r="Q646" t="str">
            <v/>
          </cell>
          <cell r="R646" t="e">
            <v>#N/A</v>
          </cell>
        </row>
        <row r="647">
          <cell r="A647">
            <v>40151</v>
          </cell>
          <cell r="B647">
            <v>40151</v>
          </cell>
          <cell r="C647" t="str">
            <v>Future</v>
          </cell>
          <cell r="D647" t="e">
            <v>#N/A</v>
          </cell>
          <cell r="E647">
            <v>36.047460317460164</v>
          </cell>
          <cell r="F647">
            <v>58.745873015872704</v>
          </cell>
          <cell r="G647">
            <v>50.015714285714083</v>
          </cell>
          <cell r="H647">
            <v>50.015714285714083</v>
          </cell>
          <cell r="I647" t="e">
            <v>#N/A</v>
          </cell>
          <cell r="J647" t="e">
            <v>#N/A</v>
          </cell>
          <cell r="K647" t="e">
            <v>#N/A</v>
          </cell>
          <cell r="L647" t="e">
            <v>#N/A</v>
          </cell>
          <cell r="M647" t="e">
            <v>#N/A</v>
          </cell>
          <cell r="N647" t="e">
            <v>#N/A</v>
          </cell>
          <cell r="O647" t="e">
            <v>#N/A</v>
          </cell>
          <cell r="P647">
            <v>55.39</v>
          </cell>
          <cell r="Q647" t="str">
            <v/>
          </cell>
          <cell r="R647" t="e">
            <v>#N/A</v>
          </cell>
        </row>
        <row r="648">
          <cell r="A648">
            <v>40154</v>
          </cell>
          <cell r="B648">
            <v>40154</v>
          </cell>
          <cell r="C648" t="str">
            <v>Future</v>
          </cell>
          <cell r="D648" t="e">
            <v>#N/A</v>
          </cell>
          <cell r="E648">
            <v>35.827658730158575</v>
          </cell>
          <cell r="F648">
            <v>58.784007936507621</v>
          </cell>
          <cell r="G648">
            <v>49.954642857142652</v>
          </cell>
          <cell r="H648">
            <v>49.954642857142652</v>
          </cell>
          <cell r="I648" t="e">
            <v>#N/A</v>
          </cell>
          <cell r="J648" t="e">
            <v>#N/A</v>
          </cell>
          <cell r="K648" t="e">
            <v>#N/A</v>
          </cell>
          <cell r="L648" t="e">
            <v>#N/A</v>
          </cell>
          <cell r="M648" t="e">
            <v>#N/A</v>
          </cell>
          <cell r="N648" t="e">
            <v>#N/A</v>
          </cell>
          <cell r="O648" t="e">
            <v>#N/A</v>
          </cell>
          <cell r="P648">
            <v>55.39</v>
          </cell>
          <cell r="Q648" t="str">
            <v/>
          </cell>
          <cell r="R648" t="e">
            <v>#N/A</v>
          </cell>
        </row>
        <row r="649">
          <cell r="A649">
            <v>40155</v>
          </cell>
          <cell r="B649">
            <v>40155</v>
          </cell>
          <cell r="C649" t="str">
            <v>Future</v>
          </cell>
          <cell r="D649" t="e">
            <v>#N/A</v>
          </cell>
          <cell r="E649">
            <v>35.607857142856986</v>
          </cell>
          <cell r="F649">
            <v>58.822142857142538</v>
          </cell>
          <cell r="G649">
            <v>49.893571428571221</v>
          </cell>
          <cell r="H649">
            <v>49.893571428571221</v>
          </cell>
          <cell r="I649" t="e">
            <v>#N/A</v>
          </cell>
          <cell r="J649" t="e">
            <v>#N/A</v>
          </cell>
          <cell r="K649" t="e">
            <v>#N/A</v>
          </cell>
          <cell r="L649" t="e">
            <v>#N/A</v>
          </cell>
          <cell r="M649" t="e">
            <v>#N/A</v>
          </cell>
          <cell r="N649" t="e">
            <v>#N/A</v>
          </cell>
          <cell r="O649" t="e">
            <v>#N/A</v>
          </cell>
          <cell r="P649">
            <v>55.39</v>
          </cell>
          <cell r="Q649" t="str">
            <v/>
          </cell>
          <cell r="R649" t="e">
            <v>#N/A</v>
          </cell>
        </row>
        <row r="650">
          <cell r="A650">
            <v>40156</v>
          </cell>
          <cell r="B650">
            <v>40156</v>
          </cell>
          <cell r="C650" t="str">
            <v>Future</v>
          </cell>
          <cell r="D650" t="e">
            <v>#N/A</v>
          </cell>
          <cell r="E650">
            <v>35.388055555555397</v>
          </cell>
          <cell r="F650">
            <v>58.860277777777455</v>
          </cell>
          <cell r="G650">
            <v>49.83249999999979</v>
          </cell>
          <cell r="H650">
            <v>49.83249999999979</v>
          </cell>
          <cell r="I650" t="e">
            <v>#N/A</v>
          </cell>
          <cell r="J650" t="e">
            <v>#N/A</v>
          </cell>
          <cell r="K650" t="e">
            <v>#N/A</v>
          </cell>
          <cell r="L650" t="e">
            <v>#N/A</v>
          </cell>
          <cell r="M650" t="e">
            <v>#N/A</v>
          </cell>
          <cell r="N650" t="e">
            <v>#N/A</v>
          </cell>
          <cell r="O650" t="e">
            <v>#N/A</v>
          </cell>
          <cell r="P650">
            <v>55.39</v>
          </cell>
          <cell r="Q650" t="str">
            <v/>
          </cell>
          <cell r="R650" t="e">
            <v>#N/A</v>
          </cell>
        </row>
        <row r="651">
          <cell r="A651">
            <v>40157</v>
          </cell>
          <cell r="B651">
            <v>40157</v>
          </cell>
          <cell r="C651" t="str">
            <v>Future</v>
          </cell>
          <cell r="D651" t="e">
            <v>#N/A</v>
          </cell>
          <cell r="E651">
            <v>35.168253968253808</v>
          </cell>
          <cell r="F651">
            <v>58.898412698412372</v>
          </cell>
          <cell r="G651">
            <v>49.771428571428359</v>
          </cell>
          <cell r="H651">
            <v>49.771428571428359</v>
          </cell>
          <cell r="I651" t="e">
            <v>#N/A</v>
          </cell>
          <cell r="J651" t="e">
            <v>#N/A</v>
          </cell>
          <cell r="K651" t="e">
            <v>#N/A</v>
          </cell>
          <cell r="L651" t="e">
            <v>#N/A</v>
          </cell>
          <cell r="M651" t="e">
            <v>#N/A</v>
          </cell>
          <cell r="N651" t="e">
            <v>#N/A</v>
          </cell>
          <cell r="O651" t="e">
            <v>#N/A</v>
          </cell>
          <cell r="P651">
            <v>55.39</v>
          </cell>
          <cell r="Q651" t="str">
            <v/>
          </cell>
          <cell r="R651" t="e">
            <v>#N/A</v>
          </cell>
        </row>
        <row r="652">
          <cell r="A652">
            <v>40158</v>
          </cell>
          <cell r="B652">
            <v>40158</v>
          </cell>
          <cell r="C652" t="str">
            <v>Future</v>
          </cell>
          <cell r="D652" t="e">
            <v>#N/A</v>
          </cell>
          <cell r="E652">
            <v>34.948452380952219</v>
          </cell>
          <cell r="F652">
            <v>58.936547619047289</v>
          </cell>
          <cell r="G652">
            <v>49.710357142856928</v>
          </cell>
          <cell r="H652">
            <v>49.710357142856928</v>
          </cell>
          <cell r="I652" t="e">
            <v>#N/A</v>
          </cell>
          <cell r="J652" t="e">
            <v>#N/A</v>
          </cell>
          <cell r="K652" t="e">
            <v>#N/A</v>
          </cell>
          <cell r="L652" t="e">
            <v>#N/A</v>
          </cell>
          <cell r="M652" t="e">
            <v>#N/A</v>
          </cell>
          <cell r="N652" t="e">
            <v>#N/A</v>
          </cell>
          <cell r="O652" t="e">
            <v>#N/A</v>
          </cell>
          <cell r="P652">
            <v>55.39</v>
          </cell>
          <cell r="Q652" t="str">
            <v/>
          </cell>
          <cell r="R652" t="e">
            <v>#N/A</v>
          </cell>
        </row>
        <row r="653">
          <cell r="A653">
            <v>40161</v>
          </cell>
          <cell r="B653">
            <v>40161</v>
          </cell>
          <cell r="C653" t="str">
            <v>Future</v>
          </cell>
          <cell r="D653" t="e">
            <v>#N/A</v>
          </cell>
          <cell r="E653">
            <v>34.72865079365063</v>
          </cell>
          <cell r="F653">
            <v>58.974682539682206</v>
          </cell>
          <cell r="G653">
            <v>49.649285714285497</v>
          </cell>
          <cell r="H653">
            <v>49.649285714285497</v>
          </cell>
          <cell r="I653" t="e">
            <v>#N/A</v>
          </cell>
          <cell r="J653" t="e">
            <v>#N/A</v>
          </cell>
          <cell r="K653" t="e">
            <v>#N/A</v>
          </cell>
          <cell r="L653" t="e">
            <v>#N/A</v>
          </cell>
          <cell r="M653" t="e">
            <v>#N/A</v>
          </cell>
          <cell r="N653" t="e">
            <v>#N/A</v>
          </cell>
          <cell r="O653" t="e">
            <v>#N/A</v>
          </cell>
          <cell r="P653">
            <v>55.39</v>
          </cell>
          <cell r="Q653" t="str">
            <v/>
          </cell>
          <cell r="R653" t="e">
            <v>#N/A</v>
          </cell>
        </row>
        <row r="654">
          <cell r="A654">
            <v>40162</v>
          </cell>
          <cell r="B654">
            <v>40162</v>
          </cell>
          <cell r="C654" t="str">
            <v>Future</v>
          </cell>
          <cell r="D654" t="e">
            <v>#N/A</v>
          </cell>
          <cell r="E654">
            <v>34.508849206349041</v>
          </cell>
          <cell r="F654">
            <v>59.012817460317123</v>
          </cell>
          <cell r="G654">
            <v>49.588214285714066</v>
          </cell>
          <cell r="H654">
            <v>49.588214285714066</v>
          </cell>
          <cell r="I654" t="e">
            <v>#N/A</v>
          </cell>
          <cell r="J654" t="e">
            <v>#N/A</v>
          </cell>
          <cell r="K654" t="e">
            <v>#N/A</v>
          </cell>
          <cell r="L654" t="e">
            <v>#N/A</v>
          </cell>
          <cell r="M654" t="e">
            <v>#N/A</v>
          </cell>
          <cell r="N654" t="e">
            <v>#N/A</v>
          </cell>
          <cell r="O654" t="e">
            <v>#N/A</v>
          </cell>
          <cell r="P654">
            <v>55.39</v>
          </cell>
          <cell r="Q654" t="str">
            <v/>
          </cell>
          <cell r="R654" t="e">
            <v>#N/A</v>
          </cell>
        </row>
        <row r="655">
          <cell r="A655">
            <v>40163</v>
          </cell>
          <cell r="B655">
            <v>40163</v>
          </cell>
          <cell r="C655" t="str">
            <v>Future</v>
          </cell>
          <cell r="D655" t="e">
            <v>#N/A</v>
          </cell>
          <cell r="E655">
            <v>34.289047619047452</v>
          </cell>
          <cell r="F655">
            <v>59.05095238095204</v>
          </cell>
          <cell r="G655">
            <v>49.527142857142636</v>
          </cell>
          <cell r="H655">
            <v>49.527142857142636</v>
          </cell>
          <cell r="I655" t="e">
            <v>#N/A</v>
          </cell>
          <cell r="J655" t="e">
            <v>#N/A</v>
          </cell>
          <cell r="K655" t="e">
            <v>#N/A</v>
          </cell>
          <cell r="L655" t="e">
            <v>#N/A</v>
          </cell>
          <cell r="M655" t="e">
            <v>#N/A</v>
          </cell>
          <cell r="N655" t="e">
            <v>#N/A</v>
          </cell>
          <cell r="O655" t="e">
            <v>#N/A</v>
          </cell>
          <cell r="P655">
            <v>55.39</v>
          </cell>
          <cell r="Q655" t="str">
            <v/>
          </cell>
          <cell r="R655" t="e">
            <v>#N/A</v>
          </cell>
        </row>
        <row r="656">
          <cell r="A656">
            <v>40164</v>
          </cell>
          <cell r="B656">
            <v>40164</v>
          </cell>
          <cell r="C656" t="str">
            <v>Future</v>
          </cell>
          <cell r="D656" t="e">
            <v>#N/A</v>
          </cell>
          <cell r="E656">
            <v>34.069246031745863</v>
          </cell>
          <cell r="F656">
            <v>59.089087301586957</v>
          </cell>
          <cell r="G656">
            <v>49.466071428571205</v>
          </cell>
          <cell r="H656">
            <v>49.466071428571205</v>
          </cell>
          <cell r="I656" t="e">
            <v>#N/A</v>
          </cell>
          <cell r="J656" t="e">
            <v>#N/A</v>
          </cell>
          <cell r="K656" t="e">
            <v>#N/A</v>
          </cell>
          <cell r="L656" t="e">
            <v>#N/A</v>
          </cell>
          <cell r="M656" t="e">
            <v>#N/A</v>
          </cell>
          <cell r="N656" t="e">
            <v>#N/A</v>
          </cell>
          <cell r="O656" t="e">
            <v>#N/A</v>
          </cell>
          <cell r="P656">
            <v>55.39</v>
          </cell>
          <cell r="Q656" t="str">
            <v/>
          </cell>
          <cell r="R656" t="e">
            <v>#N/A</v>
          </cell>
        </row>
        <row r="657">
          <cell r="A657">
            <v>40165</v>
          </cell>
          <cell r="B657">
            <v>40165</v>
          </cell>
          <cell r="C657" t="str">
            <v>Future</v>
          </cell>
          <cell r="D657" t="e">
            <v>#N/A</v>
          </cell>
          <cell r="E657">
            <v>33.849444444444273</v>
          </cell>
          <cell r="F657">
            <v>59.127222222221874</v>
          </cell>
          <cell r="G657">
            <v>49.404999999999774</v>
          </cell>
          <cell r="H657">
            <v>49.404999999999774</v>
          </cell>
          <cell r="I657" t="e">
            <v>#N/A</v>
          </cell>
          <cell r="J657" t="e">
            <v>#N/A</v>
          </cell>
          <cell r="K657" t="e">
            <v>#N/A</v>
          </cell>
          <cell r="L657" t="e">
            <v>#N/A</v>
          </cell>
          <cell r="M657" t="e">
            <v>#N/A</v>
          </cell>
          <cell r="N657" t="e">
            <v>#N/A</v>
          </cell>
          <cell r="O657" t="e">
            <v>#N/A</v>
          </cell>
          <cell r="P657">
            <v>55.39</v>
          </cell>
          <cell r="Q657" t="str">
            <v/>
          </cell>
          <cell r="R657" t="e">
            <v>#N/A</v>
          </cell>
        </row>
        <row r="658">
          <cell r="A658">
            <v>40168</v>
          </cell>
          <cell r="B658">
            <v>40168</v>
          </cell>
          <cell r="C658" t="str">
            <v>Future</v>
          </cell>
          <cell r="D658" t="e">
            <v>#N/A</v>
          </cell>
          <cell r="E658">
            <v>33.629642857142684</v>
          </cell>
          <cell r="F658">
            <v>59.165357142856791</v>
          </cell>
          <cell r="G658">
            <v>49.343928571428343</v>
          </cell>
          <cell r="H658">
            <v>49.343928571428343</v>
          </cell>
          <cell r="I658" t="e">
            <v>#N/A</v>
          </cell>
          <cell r="J658" t="e">
            <v>#N/A</v>
          </cell>
          <cell r="K658" t="e">
            <v>#N/A</v>
          </cell>
          <cell r="L658" t="e">
            <v>#N/A</v>
          </cell>
          <cell r="M658" t="e">
            <v>#N/A</v>
          </cell>
          <cell r="N658" t="e">
            <v>#N/A</v>
          </cell>
          <cell r="O658" t="e">
            <v>#N/A</v>
          </cell>
          <cell r="P658">
            <v>55.39</v>
          </cell>
          <cell r="Q658" t="str">
            <v/>
          </cell>
          <cell r="R658" t="e">
            <v>#N/A</v>
          </cell>
        </row>
        <row r="659">
          <cell r="A659">
            <v>40169</v>
          </cell>
          <cell r="B659">
            <v>40169</v>
          </cell>
          <cell r="C659" t="str">
            <v>Future</v>
          </cell>
          <cell r="D659" t="e">
            <v>#N/A</v>
          </cell>
          <cell r="E659">
            <v>33.409841269841095</v>
          </cell>
          <cell r="F659">
            <v>59.203492063491709</v>
          </cell>
          <cell r="G659">
            <v>49.282857142856912</v>
          </cell>
          <cell r="H659">
            <v>49.282857142856912</v>
          </cell>
          <cell r="I659" t="e">
            <v>#N/A</v>
          </cell>
          <cell r="J659" t="e">
            <v>#N/A</v>
          </cell>
          <cell r="K659" t="e">
            <v>#N/A</v>
          </cell>
          <cell r="L659" t="e">
            <v>#N/A</v>
          </cell>
          <cell r="M659" t="e">
            <v>#N/A</v>
          </cell>
          <cell r="N659" t="e">
            <v>#N/A</v>
          </cell>
          <cell r="O659" t="e">
            <v>#N/A</v>
          </cell>
          <cell r="P659">
            <v>55.39</v>
          </cell>
          <cell r="Q659" t="str">
            <v/>
          </cell>
          <cell r="R659" t="e">
            <v>#N/A</v>
          </cell>
        </row>
        <row r="660">
          <cell r="A660">
            <v>40170</v>
          </cell>
          <cell r="B660">
            <v>40170</v>
          </cell>
          <cell r="C660" t="str">
            <v>Future</v>
          </cell>
          <cell r="D660" t="e">
            <v>#N/A</v>
          </cell>
          <cell r="E660">
            <v>33.190039682539506</v>
          </cell>
          <cell r="F660">
            <v>59.241626984126626</v>
          </cell>
          <cell r="G660">
            <v>49.221785714285481</v>
          </cell>
          <cell r="H660">
            <v>49.221785714285481</v>
          </cell>
          <cell r="I660" t="e">
            <v>#N/A</v>
          </cell>
          <cell r="J660" t="e">
            <v>#N/A</v>
          </cell>
          <cell r="K660" t="e">
            <v>#N/A</v>
          </cell>
          <cell r="L660" t="e">
            <v>#N/A</v>
          </cell>
          <cell r="M660" t="e">
            <v>#N/A</v>
          </cell>
          <cell r="N660" t="e">
            <v>#N/A</v>
          </cell>
          <cell r="O660" t="e">
            <v>#N/A</v>
          </cell>
          <cell r="P660">
            <v>55.39</v>
          </cell>
          <cell r="Q660" t="str">
            <v/>
          </cell>
          <cell r="R660" t="e">
            <v>#N/A</v>
          </cell>
        </row>
        <row r="661">
          <cell r="A661">
            <v>40171</v>
          </cell>
          <cell r="B661">
            <v>40171</v>
          </cell>
          <cell r="C661" t="str">
            <v>Future</v>
          </cell>
          <cell r="D661" t="e">
            <v>#N/A</v>
          </cell>
          <cell r="E661">
            <v>32.970238095237917</v>
          </cell>
          <cell r="F661">
            <v>59.279761904761543</v>
          </cell>
          <cell r="G661">
            <v>49.16071428571405</v>
          </cell>
          <cell r="H661">
            <v>49.16071428571405</v>
          </cell>
          <cell r="I661" t="e">
            <v>#N/A</v>
          </cell>
          <cell r="J661" t="e">
            <v>#N/A</v>
          </cell>
          <cell r="K661" t="e">
            <v>#N/A</v>
          </cell>
          <cell r="L661" t="e">
            <v>#N/A</v>
          </cell>
          <cell r="M661" t="e">
            <v>#N/A</v>
          </cell>
          <cell r="N661" t="e">
            <v>#N/A</v>
          </cell>
          <cell r="O661" t="e">
            <v>#N/A</v>
          </cell>
          <cell r="P661">
            <v>55.39</v>
          </cell>
          <cell r="Q661" t="str">
            <v/>
          </cell>
          <cell r="R661" t="e">
            <v>#N/A</v>
          </cell>
        </row>
        <row r="662">
          <cell r="A662">
            <v>40175</v>
          </cell>
          <cell r="B662">
            <v>40175</v>
          </cell>
          <cell r="C662" t="str">
            <v>Future</v>
          </cell>
          <cell r="D662" t="e">
            <v>#N/A</v>
          </cell>
          <cell r="E662">
            <v>32.750436507936328</v>
          </cell>
          <cell r="F662">
            <v>59.31789682539646</v>
          </cell>
          <cell r="G662">
            <v>49.099642857142619</v>
          </cell>
          <cell r="H662">
            <v>49.099642857142619</v>
          </cell>
          <cell r="I662" t="e">
            <v>#N/A</v>
          </cell>
          <cell r="J662" t="e">
            <v>#N/A</v>
          </cell>
          <cell r="K662" t="e">
            <v>#N/A</v>
          </cell>
          <cell r="L662" t="e">
            <v>#N/A</v>
          </cell>
          <cell r="M662" t="e">
            <v>#N/A</v>
          </cell>
          <cell r="N662" t="e">
            <v>#N/A</v>
          </cell>
          <cell r="O662" t="e">
            <v>#N/A</v>
          </cell>
          <cell r="P662">
            <v>55.39</v>
          </cell>
          <cell r="Q662" t="str">
            <v/>
          </cell>
          <cell r="R662" t="e">
            <v>#N/A</v>
          </cell>
        </row>
        <row r="663">
          <cell r="A663">
            <v>40176</v>
          </cell>
          <cell r="B663">
            <v>40176</v>
          </cell>
          <cell r="C663" t="str">
            <v>Future</v>
          </cell>
          <cell r="D663" t="e">
            <v>#N/A</v>
          </cell>
          <cell r="E663">
            <v>32.530634920634739</v>
          </cell>
          <cell r="F663">
            <v>59.356031746031377</v>
          </cell>
          <cell r="G663">
            <v>49.038571428571188</v>
          </cell>
          <cell r="H663">
            <v>49.038571428571188</v>
          </cell>
          <cell r="I663" t="e">
            <v>#N/A</v>
          </cell>
          <cell r="J663" t="e">
            <v>#N/A</v>
          </cell>
          <cell r="K663" t="e">
            <v>#N/A</v>
          </cell>
          <cell r="L663" t="e">
            <v>#N/A</v>
          </cell>
          <cell r="M663" t="e">
            <v>#N/A</v>
          </cell>
          <cell r="N663" t="e">
            <v>#N/A</v>
          </cell>
          <cell r="O663" t="e">
            <v>#N/A</v>
          </cell>
          <cell r="P663">
            <v>55.39</v>
          </cell>
          <cell r="Q663" t="str">
            <v/>
          </cell>
          <cell r="R663" t="e">
            <v>#N/A</v>
          </cell>
        </row>
        <row r="664">
          <cell r="A664">
            <v>40177</v>
          </cell>
          <cell r="B664">
            <v>40177</v>
          </cell>
          <cell r="C664" t="str">
            <v>Future</v>
          </cell>
          <cell r="D664" t="e">
            <v>#N/A</v>
          </cell>
          <cell r="E664">
            <v>32.31083333333315</v>
          </cell>
          <cell r="F664">
            <v>59.394166666666294</v>
          </cell>
          <cell r="G664">
            <v>48.977499999999758</v>
          </cell>
          <cell r="H664">
            <v>48.977499999999758</v>
          </cell>
          <cell r="I664" t="e">
            <v>#N/A</v>
          </cell>
          <cell r="J664" t="e">
            <v>#N/A</v>
          </cell>
          <cell r="K664" t="e">
            <v>#N/A</v>
          </cell>
          <cell r="L664" t="e">
            <v>#N/A</v>
          </cell>
          <cell r="M664" t="e">
            <v>#N/A</v>
          </cell>
          <cell r="N664" t="e">
            <v>#N/A</v>
          </cell>
          <cell r="O664" t="e">
            <v>#N/A</v>
          </cell>
          <cell r="P664">
            <v>55.39</v>
          </cell>
          <cell r="Q664" t="str">
            <v/>
          </cell>
          <cell r="R664" t="e">
            <v>#N/A</v>
          </cell>
        </row>
        <row r="665">
          <cell r="A665">
            <v>40178</v>
          </cell>
          <cell r="B665">
            <v>40178</v>
          </cell>
          <cell r="C665" t="str">
            <v>Future</v>
          </cell>
          <cell r="D665" t="e">
            <v>#N/A</v>
          </cell>
          <cell r="E665">
            <v>32.091031746031561</v>
          </cell>
          <cell r="F665">
            <v>59.432301587301211</v>
          </cell>
          <cell r="G665">
            <v>48.916428571428327</v>
          </cell>
          <cell r="H665">
            <v>48.916428571428327</v>
          </cell>
          <cell r="I665" t="e">
            <v>#N/A</v>
          </cell>
          <cell r="J665" t="e">
            <v>#N/A</v>
          </cell>
          <cell r="K665" t="e">
            <v>#N/A</v>
          </cell>
          <cell r="L665" t="e">
            <v>#N/A</v>
          </cell>
          <cell r="M665" t="e">
            <v>#N/A</v>
          </cell>
          <cell r="N665" t="e">
            <v>#N/A</v>
          </cell>
          <cell r="O665" t="e">
            <v>#N/A</v>
          </cell>
          <cell r="P665">
            <v>55.39</v>
          </cell>
          <cell r="Q665" t="str">
            <v/>
          </cell>
          <cell r="R665" t="e">
            <v>#N/A</v>
          </cell>
        </row>
        <row r="666">
          <cell r="A666">
            <v>40182</v>
          </cell>
          <cell r="B666">
            <v>40182</v>
          </cell>
          <cell r="C666" t="str">
            <v>Future</v>
          </cell>
          <cell r="D666" t="e">
            <v>#N/A</v>
          </cell>
          <cell r="E666">
            <v>31.871230158729972</v>
          </cell>
          <cell r="F666">
            <v>59.470436507936128</v>
          </cell>
          <cell r="G666">
            <v>48.855357142856896</v>
          </cell>
          <cell r="H666">
            <v>48.855357142856896</v>
          </cell>
          <cell r="I666" t="e">
            <v>#N/A</v>
          </cell>
          <cell r="J666" t="e">
            <v>#N/A</v>
          </cell>
          <cell r="K666" t="e">
            <v>#N/A</v>
          </cell>
          <cell r="L666" t="e">
            <v>#N/A</v>
          </cell>
          <cell r="M666" t="e">
            <v>#N/A</v>
          </cell>
          <cell r="N666" t="e">
            <v>#N/A</v>
          </cell>
          <cell r="O666" t="e">
            <v>#N/A</v>
          </cell>
          <cell r="P666">
            <v>55.39</v>
          </cell>
          <cell r="Q666" t="str">
            <v/>
          </cell>
          <cell r="R666" t="e">
            <v>#N/A</v>
          </cell>
        </row>
        <row r="667">
          <cell r="A667">
            <v>40183</v>
          </cell>
          <cell r="B667">
            <v>40183</v>
          </cell>
          <cell r="C667" t="str">
            <v>Future</v>
          </cell>
          <cell r="D667" t="e">
            <v>#N/A</v>
          </cell>
          <cell r="E667">
            <v>31.651428571428383</v>
          </cell>
          <cell r="F667">
            <v>59.508571428571045</v>
          </cell>
          <cell r="G667">
            <v>48.794285714285465</v>
          </cell>
          <cell r="H667">
            <v>48.794285714285465</v>
          </cell>
          <cell r="I667" t="e">
            <v>#N/A</v>
          </cell>
          <cell r="J667" t="e">
            <v>#N/A</v>
          </cell>
          <cell r="K667" t="e">
            <v>#N/A</v>
          </cell>
          <cell r="L667" t="e">
            <v>#N/A</v>
          </cell>
          <cell r="M667" t="e">
            <v>#N/A</v>
          </cell>
          <cell r="N667" t="e">
            <v>#N/A</v>
          </cell>
          <cell r="O667" t="e">
            <v>#N/A</v>
          </cell>
          <cell r="P667">
            <v>55.39</v>
          </cell>
          <cell r="Q667" t="str">
            <v/>
          </cell>
          <cell r="R667" t="e">
            <v>#N/A</v>
          </cell>
        </row>
        <row r="668">
          <cell r="A668">
            <v>40184</v>
          </cell>
          <cell r="B668">
            <v>40184</v>
          </cell>
          <cell r="C668" t="str">
            <v>Future</v>
          </cell>
          <cell r="D668" t="e">
            <v>#N/A</v>
          </cell>
          <cell r="E668">
            <v>31.431626984126794</v>
          </cell>
          <cell r="F668">
            <v>59.546706349205962</v>
          </cell>
          <cell r="G668">
            <v>48.733214285714034</v>
          </cell>
          <cell r="H668">
            <v>48.733214285714034</v>
          </cell>
          <cell r="I668" t="e">
            <v>#N/A</v>
          </cell>
          <cell r="J668" t="e">
            <v>#N/A</v>
          </cell>
          <cell r="K668" t="e">
            <v>#N/A</v>
          </cell>
          <cell r="L668" t="e">
            <v>#N/A</v>
          </cell>
          <cell r="M668" t="e">
            <v>#N/A</v>
          </cell>
          <cell r="N668" t="e">
            <v>#N/A</v>
          </cell>
          <cell r="O668" t="e">
            <v>#N/A</v>
          </cell>
          <cell r="P668">
            <v>55.39</v>
          </cell>
          <cell r="Q668" t="str">
            <v/>
          </cell>
          <cell r="R668" t="e">
            <v>#N/A</v>
          </cell>
        </row>
        <row r="669">
          <cell r="A669">
            <v>40185</v>
          </cell>
          <cell r="B669">
            <v>40185</v>
          </cell>
          <cell r="C669" t="str">
            <v>Future</v>
          </cell>
          <cell r="D669" t="e">
            <v>#N/A</v>
          </cell>
          <cell r="E669">
            <v>31.211825396825205</v>
          </cell>
          <cell r="F669">
            <v>59.584841269840879</v>
          </cell>
          <cell r="G669">
            <v>48.672142857142603</v>
          </cell>
          <cell r="H669">
            <v>48.672142857142603</v>
          </cell>
          <cell r="I669" t="e">
            <v>#N/A</v>
          </cell>
          <cell r="J669" t="e">
            <v>#N/A</v>
          </cell>
          <cell r="K669" t="e">
            <v>#N/A</v>
          </cell>
          <cell r="L669" t="e">
            <v>#N/A</v>
          </cell>
          <cell r="M669" t="e">
            <v>#N/A</v>
          </cell>
          <cell r="N669" t="e">
            <v>#N/A</v>
          </cell>
          <cell r="O669" t="e">
            <v>#N/A</v>
          </cell>
          <cell r="P669">
            <v>55.39</v>
          </cell>
          <cell r="Q669" t="str">
            <v/>
          </cell>
          <cell r="R669" t="e">
            <v>#N/A</v>
          </cell>
        </row>
        <row r="670">
          <cell r="A670">
            <v>40186</v>
          </cell>
          <cell r="B670">
            <v>40186</v>
          </cell>
          <cell r="C670" t="str">
            <v>Future</v>
          </cell>
          <cell r="D670" t="e">
            <v>#N/A</v>
          </cell>
          <cell r="E670">
            <v>30.992023809523616</v>
          </cell>
          <cell r="F670">
            <v>59.622976190475796</v>
          </cell>
          <cell r="G670">
            <v>48.611071428571172</v>
          </cell>
          <cell r="H670">
            <v>48.611071428571172</v>
          </cell>
          <cell r="I670" t="e">
            <v>#N/A</v>
          </cell>
          <cell r="J670" t="e">
            <v>#N/A</v>
          </cell>
          <cell r="K670" t="e">
            <v>#N/A</v>
          </cell>
          <cell r="L670" t="e">
            <v>#N/A</v>
          </cell>
          <cell r="M670" t="e">
            <v>#N/A</v>
          </cell>
          <cell r="N670" t="e">
            <v>#N/A</v>
          </cell>
          <cell r="O670" t="e">
            <v>#N/A</v>
          </cell>
          <cell r="P670">
            <v>55.39</v>
          </cell>
          <cell r="Q670" t="str">
            <v/>
          </cell>
          <cell r="R670" t="e">
            <v>#N/A</v>
          </cell>
        </row>
        <row r="671">
          <cell r="A671">
            <v>40189</v>
          </cell>
          <cell r="B671">
            <v>40189</v>
          </cell>
          <cell r="C671" t="str">
            <v>Future</v>
          </cell>
          <cell r="D671" t="e">
            <v>#N/A</v>
          </cell>
          <cell r="E671">
            <v>30.772222222222027</v>
          </cell>
          <cell r="F671">
            <v>59.661111111110714</v>
          </cell>
          <cell r="G671">
            <v>48.549999999999741</v>
          </cell>
          <cell r="H671">
            <v>48.549999999999741</v>
          </cell>
          <cell r="I671" t="e">
            <v>#N/A</v>
          </cell>
          <cell r="J671" t="e">
            <v>#N/A</v>
          </cell>
          <cell r="K671" t="e">
            <v>#N/A</v>
          </cell>
          <cell r="L671" t="e">
            <v>#N/A</v>
          </cell>
          <cell r="M671" t="e">
            <v>#N/A</v>
          </cell>
          <cell r="N671" t="e">
            <v>#N/A</v>
          </cell>
          <cell r="O671" t="e">
            <v>#N/A</v>
          </cell>
          <cell r="P671">
            <v>55.39</v>
          </cell>
          <cell r="Q671" t="str">
            <v/>
          </cell>
          <cell r="R671" t="e">
            <v>#N/A</v>
          </cell>
        </row>
        <row r="672">
          <cell r="A672">
            <v>40190</v>
          </cell>
          <cell r="B672">
            <v>40190</v>
          </cell>
          <cell r="C672" t="str">
            <v>Future</v>
          </cell>
          <cell r="D672" t="e">
            <v>#N/A</v>
          </cell>
          <cell r="E672">
            <v>30.552420634920438</v>
          </cell>
          <cell r="F672">
            <v>59.699246031745631</v>
          </cell>
          <cell r="G672">
            <v>48.48892857142831</v>
          </cell>
          <cell r="H672">
            <v>48.48892857142831</v>
          </cell>
          <cell r="I672" t="e">
            <v>#N/A</v>
          </cell>
          <cell r="J672" t="e">
            <v>#N/A</v>
          </cell>
          <cell r="K672" t="e">
            <v>#N/A</v>
          </cell>
          <cell r="L672" t="e">
            <v>#N/A</v>
          </cell>
          <cell r="M672" t="e">
            <v>#N/A</v>
          </cell>
          <cell r="N672" t="e">
            <v>#N/A</v>
          </cell>
          <cell r="O672" t="e">
            <v>#N/A</v>
          </cell>
          <cell r="P672">
            <v>55.39</v>
          </cell>
          <cell r="Q672" t="str">
            <v/>
          </cell>
          <cell r="R672" t="e">
            <v>#N/A</v>
          </cell>
        </row>
        <row r="673">
          <cell r="A673">
            <v>40191</v>
          </cell>
          <cell r="B673">
            <v>40191</v>
          </cell>
          <cell r="C673" t="str">
            <v>Future</v>
          </cell>
          <cell r="D673" t="e">
            <v>#N/A</v>
          </cell>
          <cell r="E673">
            <v>30.332619047618849</v>
          </cell>
          <cell r="F673">
            <v>59.737380952380548</v>
          </cell>
          <cell r="G673">
            <v>48.42785714285688</v>
          </cell>
          <cell r="H673">
            <v>48.42785714285688</v>
          </cell>
          <cell r="I673" t="e">
            <v>#N/A</v>
          </cell>
          <cell r="J673" t="e">
            <v>#N/A</v>
          </cell>
          <cell r="K673" t="e">
            <v>#N/A</v>
          </cell>
          <cell r="L673" t="e">
            <v>#N/A</v>
          </cell>
          <cell r="M673" t="e">
            <v>#N/A</v>
          </cell>
          <cell r="N673" t="e">
            <v>#N/A</v>
          </cell>
          <cell r="O673" t="e">
            <v>#N/A</v>
          </cell>
          <cell r="P673">
            <v>55.39</v>
          </cell>
          <cell r="Q673" t="str">
            <v/>
          </cell>
          <cell r="R673" t="e">
            <v>#N/A</v>
          </cell>
        </row>
        <row r="674">
          <cell r="A674">
            <v>40192</v>
          </cell>
          <cell r="B674">
            <v>40192</v>
          </cell>
          <cell r="C674" t="str">
            <v>Future</v>
          </cell>
          <cell r="D674" t="e">
            <v>#N/A</v>
          </cell>
          <cell r="E674">
            <v>30.11281746031726</v>
          </cell>
          <cell r="F674">
            <v>59.775515873015465</v>
          </cell>
          <cell r="G674">
            <v>48.366785714285449</v>
          </cell>
          <cell r="H674">
            <v>48.366785714285449</v>
          </cell>
          <cell r="I674" t="e">
            <v>#N/A</v>
          </cell>
          <cell r="J674" t="e">
            <v>#N/A</v>
          </cell>
          <cell r="K674" t="e">
            <v>#N/A</v>
          </cell>
          <cell r="L674" t="e">
            <v>#N/A</v>
          </cell>
          <cell r="M674" t="e">
            <v>#N/A</v>
          </cell>
          <cell r="N674" t="e">
            <v>#N/A</v>
          </cell>
          <cell r="O674" t="e">
            <v>#N/A</v>
          </cell>
          <cell r="P674">
            <v>55.39</v>
          </cell>
          <cell r="Q674" t="str">
            <v/>
          </cell>
          <cell r="R674" t="e">
            <v>#N/A</v>
          </cell>
        </row>
        <row r="675">
          <cell r="A675">
            <v>40193</v>
          </cell>
          <cell r="B675">
            <v>40193</v>
          </cell>
          <cell r="C675" t="str">
            <v>Future</v>
          </cell>
          <cell r="D675" t="e">
            <v>#N/A</v>
          </cell>
          <cell r="E675">
            <v>29.893015873015671</v>
          </cell>
          <cell r="F675">
            <v>59.813650793650382</v>
          </cell>
          <cell r="G675">
            <v>48.305714285714018</v>
          </cell>
          <cell r="H675">
            <v>48.305714285714018</v>
          </cell>
          <cell r="I675" t="e">
            <v>#N/A</v>
          </cell>
          <cell r="J675" t="e">
            <v>#N/A</v>
          </cell>
          <cell r="K675" t="e">
            <v>#N/A</v>
          </cell>
          <cell r="L675" t="e">
            <v>#N/A</v>
          </cell>
          <cell r="M675" t="e">
            <v>#N/A</v>
          </cell>
          <cell r="N675" t="e">
            <v>#N/A</v>
          </cell>
          <cell r="O675" t="e">
            <v>#N/A</v>
          </cell>
          <cell r="P675">
            <v>55.39</v>
          </cell>
          <cell r="Q675" t="str">
            <v/>
          </cell>
          <cell r="R675" t="e">
            <v>#N/A</v>
          </cell>
        </row>
        <row r="676">
          <cell r="A676">
            <v>40197</v>
          </cell>
          <cell r="B676">
            <v>40197</v>
          </cell>
          <cell r="C676" t="str">
            <v>Future</v>
          </cell>
          <cell r="D676" t="e">
            <v>#N/A</v>
          </cell>
          <cell r="E676">
            <v>29.673214285714081</v>
          </cell>
          <cell r="F676">
            <v>59.851785714285299</v>
          </cell>
          <cell r="G676">
            <v>48.244642857142587</v>
          </cell>
          <cell r="H676">
            <v>48.244642857142587</v>
          </cell>
          <cell r="I676" t="e">
            <v>#N/A</v>
          </cell>
          <cell r="J676" t="e">
            <v>#N/A</v>
          </cell>
          <cell r="K676" t="e">
            <v>#N/A</v>
          </cell>
          <cell r="L676" t="e">
            <v>#N/A</v>
          </cell>
          <cell r="M676" t="e">
            <v>#N/A</v>
          </cell>
          <cell r="N676" t="e">
            <v>#N/A</v>
          </cell>
          <cell r="O676" t="e">
            <v>#N/A</v>
          </cell>
          <cell r="P676">
            <v>55.39</v>
          </cell>
          <cell r="Q676" t="str">
            <v/>
          </cell>
          <cell r="R676" t="e">
            <v>#N/A</v>
          </cell>
        </row>
        <row r="677">
          <cell r="A677">
            <v>40198</v>
          </cell>
          <cell r="B677">
            <v>40198</v>
          </cell>
          <cell r="C677" t="str">
            <v>Future</v>
          </cell>
          <cell r="D677" t="e">
            <v>#N/A</v>
          </cell>
          <cell r="E677">
            <v>29.453412698412492</v>
          </cell>
          <cell r="F677">
            <v>59.889920634920216</v>
          </cell>
          <cell r="G677">
            <v>48.183571428571156</v>
          </cell>
          <cell r="H677">
            <v>48.183571428571156</v>
          </cell>
          <cell r="I677" t="e">
            <v>#N/A</v>
          </cell>
          <cell r="J677" t="e">
            <v>#N/A</v>
          </cell>
          <cell r="K677" t="e">
            <v>#N/A</v>
          </cell>
          <cell r="L677" t="e">
            <v>#N/A</v>
          </cell>
          <cell r="M677" t="e">
            <v>#N/A</v>
          </cell>
          <cell r="N677" t="e">
            <v>#N/A</v>
          </cell>
          <cell r="O677" t="e">
            <v>#N/A</v>
          </cell>
          <cell r="P677">
            <v>55.39</v>
          </cell>
          <cell r="Q677" t="str">
            <v/>
          </cell>
          <cell r="R677" t="e">
            <v>#N/A</v>
          </cell>
        </row>
        <row r="678">
          <cell r="A678">
            <v>40199</v>
          </cell>
          <cell r="B678">
            <v>40199</v>
          </cell>
          <cell r="C678" t="str">
            <v>Future</v>
          </cell>
          <cell r="D678" t="e">
            <v>#N/A</v>
          </cell>
          <cell r="E678">
            <v>29.233611111110903</v>
          </cell>
          <cell r="F678">
            <v>59.928055555555133</v>
          </cell>
          <cell r="G678">
            <v>48.122499999999725</v>
          </cell>
          <cell r="H678">
            <v>48.122499999999725</v>
          </cell>
          <cell r="I678" t="e">
            <v>#N/A</v>
          </cell>
          <cell r="J678" t="e">
            <v>#N/A</v>
          </cell>
          <cell r="K678" t="e">
            <v>#N/A</v>
          </cell>
          <cell r="L678" t="e">
            <v>#N/A</v>
          </cell>
          <cell r="M678" t="e">
            <v>#N/A</v>
          </cell>
          <cell r="N678" t="e">
            <v>#N/A</v>
          </cell>
          <cell r="O678" t="e">
            <v>#N/A</v>
          </cell>
          <cell r="P678">
            <v>55.39</v>
          </cell>
          <cell r="Q678" t="str">
            <v/>
          </cell>
          <cell r="R678" t="e">
            <v>#N/A</v>
          </cell>
        </row>
        <row r="679">
          <cell r="A679">
            <v>40200</v>
          </cell>
          <cell r="B679">
            <v>40200</v>
          </cell>
          <cell r="C679" t="str">
            <v>Future</v>
          </cell>
          <cell r="D679" t="e">
            <v>#N/A</v>
          </cell>
          <cell r="E679">
            <v>29.013809523809314</v>
          </cell>
          <cell r="F679">
            <v>59.96619047619005</v>
          </cell>
          <cell r="G679">
            <v>48.061428571428294</v>
          </cell>
          <cell r="H679">
            <v>48.061428571428294</v>
          </cell>
          <cell r="I679" t="e">
            <v>#N/A</v>
          </cell>
          <cell r="J679" t="e">
            <v>#N/A</v>
          </cell>
          <cell r="K679" t="e">
            <v>#N/A</v>
          </cell>
          <cell r="L679" t="e">
            <v>#N/A</v>
          </cell>
          <cell r="M679" t="e">
            <v>#N/A</v>
          </cell>
          <cell r="N679" t="e">
            <v>#N/A</v>
          </cell>
          <cell r="O679" t="e">
            <v>#N/A</v>
          </cell>
          <cell r="P679">
            <v>55.39</v>
          </cell>
          <cell r="Q679" t="str">
            <v/>
          </cell>
          <cell r="R679" t="e">
            <v>#N/A</v>
          </cell>
        </row>
        <row r="680">
          <cell r="A680">
            <v>40203</v>
          </cell>
          <cell r="B680">
            <v>40203</v>
          </cell>
          <cell r="C680" t="str">
            <v>Future</v>
          </cell>
          <cell r="D680" t="e">
            <v>#N/A</v>
          </cell>
          <cell r="E680">
            <v>28.794007936507725</v>
          </cell>
          <cell r="F680">
            <v>60.004325396824967</v>
          </cell>
          <cell r="G680">
            <v>48.000357142856863</v>
          </cell>
          <cell r="H680">
            <v>48.000357142856863</v>
          </cell>
          <cell r="I680" t="e">
            <v>#N/A</v>
          </cell>
          <cell r="J680" t="e">
            <v>#N/A</v>
          </cell>
          <cell r="K680" t="e">
            <v>#N/A</v>
          </cell>
          <cell r="L680" t="e">
            <v>#N/A</v>
          </cell>
          <cell r="M680" t="e">
            <v>#N/A</v>
          </cell>
          <cell r="N680" t="e">
            <v>#N/A</v>
          </cell>
          <cell r="O680" t="e">
            <v>#N/A</v>
          </cell>
          <cell r="P680">
            <v>55.39</v>
          </cell>
          <cell r="Q680" t="str">
            <v/>
          </cell>
          <cell r="R680" t="e">
            <v>#N/A</v>
          </cell>
        </row>
        <row r="681">
          <cell r="A681">
            <v>40204</v>
          </cell>
          <cell r="B681">
            <v>40204</v>
          </cell>
          <cell r="C681" t="str">
            <v>Future</v>
          </cell>
          <cell r="D681" t="e">
            <v>#N/A</v>
          </cell>
          <cell r="E681">
            <v>28.574206349206136</v>
          </cell>
          <cell r="F681">
            <v>60.042460317459884</v>
          </cell>
          <cell r="G681">
            <v>47.939285714285433</v>
          </cell>
          <cell r="H681">
            <v>47.939285714285433</v>
          </cell>
          <cell r="I681" t="e">
            <v>#N/A</v>
          </cell>
          <cell r="J681" t="e">
            <v>#N/A</v>
          </cell>
          <cell r="K681" t="e">
            <v>#N/A</v>
          </cell>
          <cell r="L681" t="e">
            <v>#N/A</v>
          </cell>
          <cell r="M681" t="e">
            <v>#N/A</v>
          </cell>
          <cell r="N681" t="e">
            <v>#N/A</v>
          </cell>
          <cell r="O681" t="e">
            <v>#N/A</v>
          </cell>
          <cell r="P681">
            <v>55.39</v>
          </cell>
          <cell r="Q681" t="str">
            <v/>
          </cell>
          <cell r="R681" t="e">
            <v>#N/A</v>
          </cell>
        </row>
        <row r="682">
          <cell r="A682">
            <v>40205</v>
          </cell>
          <cell r="B682">
            <v>40205</v>
          </cell>
          <cell r="C682" t="str">
            <v>Future</v>
          </cell>
          <cell r="D682" t="e">
            <v>#N/A</v>
          </cell>
          <cell r="E682">
            <v>28.354404761904547</v>
          </cell>
          <cell r="F682">
            <v>60.080595238094801</v>
          </cell>
          <cell r="G682">
            <v>47.878214285714002</v>
          </cell>
          <cell r="H682">
            <v>47.878214285714002</v>
          </cell>
          <cell r="I682" t="e">
            <v>#N/A</v>
          </cell>
          <cell r="J682" t="e">
            <v>#N/A</v>
          </cell>
          <cell r="K682" t="e">
            <v>#N/A</v>
          </cell>
          <cell r="L682" t="e">
            <v>#N/A</v>
          </cell>
          <cell r="M682" t="e">
            <v>#N/A</v>
          </cell>
          <cell r="N682" t="e">
            <v>#N/A</v>
          </cell>
          <cell r="O682" t="e">
            <v>#N/A</v>
          </cell>
          <cell r="P682">
            <v>55.39</v>
          </cell>
          <cell r="Q682" t="str">
            <v/>
          </cell>
          <cell r="R682" t="e">
            <v>#N/A</v>
          </cell>
        </row>
        <row r="683">
          <cell r="A683">
            <v>40206</v>
          </cell>
          <cell r="B683">
            <v>40206</v>
          </cell>
          <cell r="C683" t="str">
            <v>Future</v>
          </cell>
          <cell r="D683" t="e">
            <v>#N/A</v>
          </cell>
          <cell r="E683">
            <v>28.134603174602958</v>
          </cell>
          <cell r="F683">
            <v>60.118730158729718</v>
          </cell>
          <cell r="G683">
            <v>47.817142857142571</v>
          </cell>
          <cell r="H683">
            <v>47.817142857142571</v>
          </cell>
          <cell r="I683" t="e">
            <v>#N/A</v>
          </cell>
          <cell r="J683" t="e">
            <v>#N/A</v>
          </cell>
          <cell r="K683" t="e">
            <v>#N/A</v>
          </cell>
          <cell r="L683" t="e">
            <v>#N/A</v>
          </cell>
          <cell r="M683" t="e">
            <v>#N/A</v>
          </cell>
          <cell r="N683" t="e">
            <v>#N/A</v>
          </cell>
          <cell r="O683" t="e">
            <v>#N/A</v>
          </cell>
          <cell r="P683">
            <v>55.39</v>
          </cell>
          <cell r="Q683" t="str">
            <v/>
          </cell>
          <cell r="R683" t="e">
            <v>#N/A</v>
          </cell>
        </row>
        <row r="684">
          <cell r="A684">
            <v>40207</v>
          </cell>
          <cell r="B684">
            <v>40207</v>
          </cell>
          <cell r="C684" t="str">
            <v>Future</v>
          </cell>
          <cell r="D684" t="e">
            <v>#N/A</v>
          </cell>
          <cell r="E684">
            <v>27.914801587301369</v>
          </cell>
          <cell r="F684">
            <v>60.156865079364636</v>
          </cell>
          <cell r="G684">
            <v>47.75607142857114</v>
          </cell>
          <cell r="H684">
            <v>47.75607142857114</v>
          </cell>
          <cell r="I684" t="e">
            <v>#N/A</v>
          </cell>
          <cell r="J684" t="e">
            <v>#N/A</v>
          </cell>
          <cell r="K684" t="e">
            <v>#N/A</v>
          </cell>
          <cell r="L684" t="e">
            <v>#N/A</v>
          </cell>
          <cell r="M684" t="e">
            <v>#N/A</v>
          </cell>
          <cell r="N684" t="e">
            <v>#N/A</v>
          </cell>
          <cell r="O684" t="e">
            <v>#N/A</v>
          </cell>
          <cell r="P684">
            <v>55.39</v>
          </cell>
          <cell r="Q684" t="str">
            <v/>
          </cell>
          <cell r="R684" t="e">
            <v>#N/A</v>
          </cell>
        </row>
        <row r="685">
          <cell r="A685">
            <v>40210</v>
          </cell>
          <cell r="B685">
            <v>40210</v>
          </cell>
          <cell r="C685" t="str">
            <v>Future</v>
          </cell>
          <cell r="D685" t="e">
            <v>#N/A</v>
          </cell>
          <cell r="E685">
            <v>27.69499999999978</v>
          </cell>
          <cell r="F685">
            <v>60.194999999999553</v>
          </cell>
          <cell r="G685">
            <v>47.694999999999709</v>
          </cell>
          <cell r="H685">
            <v>47.694999999999709</v>
          </cell>
          <cell r="I685" t="e">
            <v>#N/A</v>
          </cell>
          <cell r="J685" t="e">
            <v>#N/A</v>
          </cell>
          <cell r="K685" t="e">
            <v>#N/A</v>
          </cell>
          <cell r="L685" t="e">
            <v>#N/A</v>
          </cell>
          <cell r="M685" t="e">
            <v>#N/A</v>
          </cell>
          <cell r="N685" t="e">
            <v>#N/A</v>
          </cell>
          <cell r="O685" t="e">
            <v>#N/A</v>
          </cell>
          <cell r="P685">
            <v>55.39</v>
          </cell>
          <cell r="Q685" t="str">
            <v/>
          </cell>
          <cell r="R685" t="e">
            <v>#N/A</v>
          </cell>
        </row>
        <row r="686">
          <cell r="A686">
            <v>40211</v>
          </cell>
          <cell r="B686">
            <v>40211</v>
          </cell>
          <cell r="C686" t="str">
            <v>Future</v>
          </cell>
          <cell r="D686" t="e">
            <v>#N/A</v>
          </cell>
          <cell r="E686">
            <v>27.475198412698191</v>
          </cell>
          <cell r="F686">
            <v>60.23313492063447</v>
          </cell>
          <cell r="G686">
            <v>47.633928571428278</v>
          </cell>
          <cell r="H686">
            <v>47.633928571428278</v>
          </cell>
          <cell r="I686" t="e">
            <v>#N/A</v>
          </cell>
          <cell r="J686" t="e">
            <v>#N/A</v>
          </cell>
          <cell r="K686" t="e">
            <v>#N/A</v>
          </cell>
          <cell r="L686" t="e">
            <v>#N/A</v>
          </cell>
          <cell r="M686" t="e">
            <v>#N/A</v>
          </cell>
          <cell r="N686" t="e">
            <v>#N/A</v>
          </cell>
          <cell r="O686" t="e">
            <v>#N/A</v>
          </cell>
          <cell r="P686">
            <v>55.39</v>
          </cell>
          <cell r="Q686" t="str">
            <v/>
          </cell>
          <cell r="R686" t="e">
            <v>#N/A</v>
          </cell>
        </row>
        <row r="687">
          <cell r="A687">
            <v>40212</v>
          </cell>
          <cell r="B687">
            <v>40212</v>
          </cell>
          <cell r="C687" t="str">
            <v>Future</v>
          </cell>
          <cell r="D687" t="e">
            <v>#N/A</v>
          </cell>
          <cell r="E687">
            <v>27.255396825396602</v>
          </cell>
          <cell r="F687">
            <v>60.271269841269387</v>
          </cell>
          <cell r="G687">
            <v>47.572857142856847</v>
          </cell>
          <cell r="H687">
            <v>47.572857142856847</v>
          </cell>
          <cell r="I687" t="e">
            <v>#N/A</v>
          </cell>
          <cell r="J687" t="e">
            <v>#N/A</v>
          </cell>
          <cell r="K687" t="e">
            <v>#N/A</v>
          </cell>
          <cell r="L687" t="e">
            <v>#N/A</v>
          </cell>
          <cell r="M687" t="e">
            <v>#N/A</v>
          </cell>
          <cell r="N687" t="e">
            <v>#N/A</v>
          </cell>
          <cell r="O687" t="e">
            <v>#N/A</v>
          </cell>
          <cell r="P687">
            <v>55.39</v>
          </cell>
          <cell r="Q687" t="str">
            <v/>
          </cell>
          <cell r="R687" t="e">
            <v>#N/A</v>
          </cell>
        </row>
        <row r="688">
          <cell r="A688">
            <v>40213</v>
          </cell>
          <cell r="B688">
            <v>40213</v>
          </cell>
          <cell r="C688" t="str">
            <v>Future</v>
          </cell>
          <cell r="D688" t="e">
            <v>#N/A</v>
          </cell>
          <cell r="E688">
            <v>27.035595238095013</v>
          </cell>
          <cell r="F688">
            <v>60.309404761904304</v>
          </cell>
          <cell r="G688">
            <v>47.511785714285416</v>
          </cell>
          <cell r="H688">
            <v>47.511785714285416</v>
          </cell>
          <cell r="I688" t="e">
            <v>#N/A</v>
          </cell>
          <cell r="J688" t="e">
            <v>#N/A</v>
          </cell>
          <cell r="K688" t="e">
            <v>#N/A</v>
          </cell>
          <cell r="L688" t="e">
            <v>#N/A</v>
          </cell>
          <cell r="M688" t="e">
            <v>#N/A</v>
          </cell>
          <cell r="N688" t="e">
            <v>#N/A</v>
          </cell>
          <cell r="O688" t="e">
            <v>#N/A</v>
          </cell>
          <cell r="P688">
            <v>55.39</v>
          </cell>
          <cell r="Q688" t="str">
            <v/>
          </cell>
          <cell r="R688" t="e">
            <v>#N/A</v>
          </cell>
        </row>
        <row r="689">
          <cell r="A689">
            <v>40214</v>
          </cell>
          <cell r="B689">
            <v>40214</v>
          </cell>
          <cell r="C689" t="str">
            <v>Future</v>
          </cell>
          <cell r="D689" t="e">
            <v>#N/A</v>
          </cell>
          <cell r="E689">
            <v>26.815793650793424</v>
          </cell>
          <cell r="F689">
            <v>60.347539682539221</v>
          </cell>
          <cell r="G689">
            <v>47.450714285713985</v>
          </cell>
          <cell r="H689">
            <v>47.450714285713985</v>
          </cell>
          <cell r="I689" t="e">
            <v>#N/A</v>
          </cell>
          <cell r="J689" t="e">
            <v>#N/A</v>
          </cell>
          <cell r="K689" t="e">
            <v>#N/A</v>
          </cell>
          <cell r="L689" t="e">
            <v>#N/A</v>
          </cell>
          <cell r="M689" t="e">
            <v>#N/A</v>
          </cell>
          <cell r="N689" t="e">
            <v>#N/A</v>
          </cell>
          <cell r="O689" t="e">
            <v>#N/A</v>
          </cell>
          <cell r="P689">
            <v>55.39</v>
          </cell>
          <cell r="Q689" t="str">
            <v/>
          </cell>
          <cell r="R689" t="e">
            <v>#N/A</v>
          </cell>
        </row>
        <row r="690">
          <cell r="A690">
            <v>40217</v>
          </cell>
          <cell r="B690">
            <v>40217</v>
          </cell>
          <cell r="C690" t="str">
            <v>Future</v>
          </cell>
          <cell r="D690" t="e">
            <v>#N/A</v>
          </cell>
          <cell r="E690">
            <v>26.595992063491835</v>
          </cell>
          <cell r="F690">
            <v>60.385674603174138</v>
          </cell>
          <cell r="G690">
            <v>47.389642857142555</v>
          </cell>
          <cell r="H690">
            <v>47.389642857142555</v>
          </cell>
          <cell r="I690" t="e">
            <v>#N/A</v>
          </cell>
          <cell r="J690" t="e">
            <v>#N/A</v>
          </cell>
          <cell r="K690" t="e">
            <v>#N/A</v>
          </cell>
          <cell r="L690" t="e">
            <v>#N/A</v>
          </cell>
          <cell r="M690" t="e">
            <v>#N/A</v>
          </cell>
          <cell r="N690" t="e">
            <v>#N/A</v>
          </cell>
          <cell r="O690" t="e">
            <v>#N/A</v>
          </cell>
          <cell r="P690">
            <v>55.39</v>
          </cell>
          <cell r="Q690" t="str">
            <v/>
          </cell>
          <cell r="R690" t="e">
            <v>#N/A</v>
          </cell>
        </row>
        <row r="691">
          <cell r="A691">
            <v>40218</v>
          </cell>
          <cell r="B691">
            <v>40218</v>
          </cell>
          <cell r="C691" t="str">
            <v>Future</v>
          </cell>
          <cell r="D691" t="e">
            <v>#N/A</v>
          </cell>
          <cell r="E691">
            <v>26.376190476190246</v>
          </cell>
          <cell r="F691">
            <v>60.423809523809055</v>
          </cell>
          <cell r="G691">
            <v>47.328571428571124</v>
          </cell>
          <cell r="H691">
            <v>47.328571428571124</v>
          </cell>
          <cell r="I691" t="e">
            <v>#N/A</v>
          </cell>
          <cell r="J691" t="e">
            <v>#N/A</v>
          </cell>
          <cell r="K691" t="e">
            <v>#N/A</v>
          </cell>
          <cell r="L691" t="e">
            <v>#N/A</v>
          </cell>
          <cell r="M691" t="e">
            <v>#N/A</v>
          </cell>
          <cell r="N691" t="e">
            <v>#N/A</v>
          </cell>
          <cell r="O691" t="e">
            <v>#N/A</v>
          </cell>
          <cell r="P691">
            <v>55.39</v>
          </cell>
          <cell r="Q691" t="str">
            <v/>
          </cell>
          <cell r="R691" t="e">
            <v>#N/A</v>
          </cell>
        </row>
        <row r="692">
          <cell r="A692">
            <v>40219</v>
          </cell>
          <cell r="B692">
            <v>40219</v>
          </cell>
          <cell r="C692" t="str">
            <v>Future</v>
          </cell>
          <cell r="D692" t="e">
            <v>#N/A</v>
          </cell>
          <cell r="E692">
            <v>26.156388888888657</v>
          </cell>
          <cell r="F692">
            <v>60.461944444443972</v>
          </cell>
          <cell r="G692">
            <v>47.267499999999693</v>
          </cell>
          <cell r="H692">
            <v>47.267499999999693</v>
          </cell>
          <cell r="I692" t="e">
            <v>#N/A</v>
          </cell>
          <cell r="J692" t="e">
            <v>#N/A</v>
          </cell>
          <cell r="K692" t="e">
            <v>#N/A</v>
          </cell>
          <cell r="L692" t="e">
            <v>#N/A</v>
          </cell>
          <cell r="M692" t="e">
            <v>#N/A</v>
          </cell>
          <cell r="N692" t="e">
            <v>#N/A</v>
          </cell>
          <cell r="O692" t="e">
            <v>#N/A</v>
          </cell>
          <cell r="P692">
            <v>55.39</v>
          </cell>
          <cell r="Q692" t="str">
            <v/>
          </cell>
          <cell r="R692" t="e">
            <v>#N/A</v>
          </cell>
        </row>
        <row r="693">
          <cell r="A693">
            <v>40220</v>
          </cell>
          <cell r="B693">
            <v>40220</v>
          </cell>
          <cell r="C693" t="str">
            <v>Future</v>
          </cell>
          <cell r="D693" t="e">
            <v>#N/A</v>
          </cell>
          <cell r="E693">
            <v>25.936587301587068</v>
          </cell>
          <cell r="F693">
            <v>60.500079365078889</v>
          </cell>
          <cell r="G693">
            <v>47.206428571428262</v>
          </cell>
          <cell r="H693">
            <v>47.206428571428262</v>
          </cell>
          <cell r="I693" t="e">
            <v>#N/A</v>
          </cell>
          <cell r="J693" t="e">
            <v>#N/A</v>
          </cell>
          <cell r="K693" t="e">
            <v>#N/A</v>
          </cell>
          <cell r="L693" t="e">
            <v>#N/A</v>
          </cell>
          <cell r="M693" t="e">
            <v>#N/A</v>
          </cell>
          <cell r="N693" t="e">
            <v>#N/A</v>
          </cell>
          <cell r="O693" t="e">
            <v>#N/A</v>
          </cell>
          <cell r="P693">
            <v>55.39</v>
          </cell>
          <cell r="Q693" t="str">
            <v/>
          </cell>
          <cell r="R693" t="e">
            <v>#N/A</v>
          </cell>
        </row>
        <row r="694">
          <cell r="A694">
            <v>40221</v>
          </cell>
          <cell r="B694">
            <v>40221</v>
          </cell>
          <cell r="C694" t="str">
            <v>Future</v>
          </cell>
          <cell r="D694" t="e">
            <v>#N/A</v>
          </cell>
          <cell r="E694">
            <v>25.716785714285479</v>
          </cell>
          <cell r="F694">
            <v>60.538214285713806</v>
          </cell>
          <cell r="G694">
            <v>47.145357142856831</v>
          </cell>
          <cell r="H694">
            <v>47.145357142856831</v>
          </cell>
          <cell r="I694" t="e">
            <v>#N/A</v>
          </cell>
          <cell r="J694" t="e">
            <v>#N/A</v>
          </cell>
          <cell r="K694" t="e">
            <v>#N/A</v>
          </cell>
          <cell r="L694" t="e">
            <v>#N/A</v>
          </cell>
          <cell r="M694" t="e">
            <v>#N/A</v>
          </cell>
          <cell r="N694" t="e">
            <v>#N/A</v>
          </cell>
          <cell r="O694" t="e">
            <v>#N/A</v>
          </cell>
          <cell r="P694">
            <v>55.39</v>
          </cell>
          <cell r="Q694" t="str">
            <v/>
          </cell>
          <cell r="R694" t="e">
            <v>#N/A</v>
          </cell>
        </row>
        <row r="695">
          <cell r="A695">
            <v>40225</v>
          </cell>
          <cell r="B695">
            <v>40225</v>
          </cell>
          <cell r="C695" t="str">
            <v>Future</v>
          </cell>
          <cell r="D695" t="e">
            <v>#N/A</v>
          </cell>
          <cell r="E695">
            <v>25.496984126983889</v>
          </cell>
          <cell r="F695">
            <v>60.576349206348723</v>
          </cell>
          <cell r="G695">
            <v>47.0842857142854</v>
          </cell>
          <cell r="H695">
            <v>47.0842857142854</v>
          </cell>
          <cell r="I695" t="e">
            <v>#N/A</v>
          </cell>
          <cell r="J695" t="e">
            <v>#N/A</v>
          </cell>
          <cell r="K695" t="e">
            <v>#N/A</v>
          </cell>
          <cell r="L695" t="e">
            <v>#N/A</v>
          </cell>
          <cell r="M695" t="e">
            <v>#N/A</v>
          </cell>
          <cell r="N695" t="e">
            <v>#N/A</v>
          </cell>
          <cell r="O695" t="e">
            <v>#N/A</v>
          </cell>
          <cell r="P695">
            <v>55.39</v>
          </cell>
          <cell r="Q695" t="str">
            <v/>
          </cell>
          <cell r="R695" t="e">
            <v>#N/A</v>
          </cell>
        </row>
        <row r="696">
          <cell r="A696">
            <v>40226</v>
          </cell>
          <cell r="B696">
            <v>40226</v>
          </cell>
          <cell r="C696" t="str">
            <v>Future</v>
          </cell>
          <cell r="D696" t="e">
            <v>#N/A</v>
          </cell>
          <cell r="E696">
            <v>25.2771825396823</v>
          </cell>
          <cell r="F696">
            <v>60.614484126983641</v>
          </cell>
          <cell r="G696">
            <v>47.023214285713969</v>
          </cell>
          <cell r="H696">
            <v>47.023214285713969</v>
          </cell>
          <cell r="I696" t="e">
            <v>#N/A</v>
          </cell>
          <cell r="J696" t="e">
            <v>#N/A</v>
          </cell>
          <cell r="K696" t="e">
            <v>#N/A</v>
          </cell>
          <cell r="L696" t="e">
            <v>#N/A</v>
          </cell>
          <cell r="M696" t="e">
            <v>#N/A</v>
          </cell>
          <cell r="N696" t="e">
            <v>#N/A</v>
          </cell>
          <cell r="O696" t="e">
            <v>#N/A</v>
          </cell>
          <cell r="P696">
            <v>55.39</v>
          </cell>
          <cell r="Q696" t="str">
            <v/>
          </cell>
          <cell r="R696" t="e">
            <v>#N/A</v>
          </cell>
        </row>
        <row r="697">
          <cell r="A697">
            <v>40227</v>
          </cell>
          <cell r="B697">
            <v>40227</v>
          </cell>
          <cell r="C697" t="str">
            <v>Future</v>
          </cell>
          <cell r="D697" t="e">
            <v>#N/A</v>
          </cell>
          <cell r="E697">
            <v>25.057380952380711</v>
          </cell>
          <cell r="F697">
            <v>60.652619047618558</v>
          </cell>
          <cell r="G697">
            <v>46.962142857142538</v>
          </cell>
          <cell r="H697">
            <v>46.962142857142538</v>
          </cell>
          <cell r="I697" t="e">
            <v>#N/A</v>
          </cell>
          <cell r="J697" t="e">
            <v>#N/A</v>
          </cell>
          <cell r="K697" t="e">
            <v>#N/A</v>
          </cell>
          <cell r="L697" t="e">
            <v>#N/A</v>
          </cell>
          <cell r="M697" t="e">
            <v>#N/A</v>
          </cell>
          <cell r="N697" t="e">
            <v>#N/A</v>
          </cell>
          <cell r="O697" t="e">
            <v>#N/A</v>
          </cell>
          <cell r="P697">
            <v>55.39</v>
          </cell>
          <cell r="Q697" t="str">
            <v/>
          </cell>
          <cell r="R697" t="e">
            <v>#N/A</v>
          </cell>
        </row>
        <row r="698">
          <cell r="A698">
            <v>40228</v>
          </cell>
          <cell r="B698">
            <v>40228</v>
          </cell>
          <cell r="C698" t="str">
            <v>Future</v>
          </cell>
          <cell r="D698" t="e">
            <v>#N/A</v>
          </cell>
          <cell r="E698">
            <v>24.837579365079122</v>
          </cell>
          <cell r="F698">
            <v>60.690753968253475</v>
          </cell>
          <cell r="G698">
            <v>46.901071428571107</v>
          </cell>
          <cell r="H698">
            <v>46.901071428571107</v>
          </cell>
          <cell r="I698" t="e">
            <v>#N/A</v>
          </cell>
          <cell r="J698" t="e">
            <v>#N/A</v>
          </cell>
          <cell r="K698" t="e">
            <v>#N/A</v>
          </cell>
          <cell r="L698" t="e">
            <v>#N/A</v>
          </cell>
          <cell r="M698" t="e">
            <v>#N/A</v>
          </cell>
          <cell r="N698" t="e">
            <v>#N/A</v>
          </cell>
          <cell r="O698" t="e">
            <v>#N/A</v>
          </cell>
          <cell r="P698">
            <v>55.39</v>
          </cell>
          <cell r="Q698" t="str">
            <v/>
          </cell>
          <cell r="R698" t="e">
            <v>#N/A</v>
          </cell>
        </row>
        <row r="699">
          <cell r="A699">
            <v>40231</v>
          </cell>
          <cell r="B699">
            <v>40231</v>
          </cell>
          <cell r="C699" t="str">
            <v>Future</v>
          </cell>
          <cell r="D699" t="e">
            <v>#N/A</v>
          </cell>
          <cell r="E699">
            <v>24.617777777777533</v>
          </cell>
          <cell r="F699">
            <v>60.728888888888392</v>
          </cell>
          <cell r="G699">
            <v>46.839999999999677</v>
          </cell>
          <cell r="H699">
            <v>46.839999999999677</v>
          </cell>
          <cell r="I699" t="e">
            <v>#N/A</v>
          </cell>
          <cell r="J699" t="e">
            <v>#N/A</v>
          </cell>
          <cell r="K699" t="e">
            <v>#N/A</v>
          </cell>
          <cell r="L699" t="e">
            <v>#N/A</v>
          </cell>
          <cell r="M699" t="e">
            <v>#N/A</v>
          </cell>
          <cell r="N699" t="e">
            <v>#N/A</v>
          </cell>
          <cell r="O699" t="e">
            <v>#N/A</v>
          </cell>
          <cell r="P699">
            <v>55.39</v>
          </cell>
          <cell r="Q699" t="str">
            <v/>
          </cell>
          <cell r="R699" t="e">
            <v>#N/A</v>
          </cell>
        </row>
        <row r="700">
          <cell r="A700">
            <v>40232</v>
          </cell>
          <cell r="B700">
            <v>40232</v>
          </cell>
          <cell r="C700" t="str">
            <v>Future</v>
          </cell>
          <cell r="D700" t="e">
            <v>#N/A</v>
          </cell>
          <cell r="E700">
            <v>24.397976190475944</v>
          </cell>
          <cell r="F700">
            <v>60.767023809523309</v>
          </cell>
          <cell r="G700">
            <v>46.778928571428246</v>
          </cell>
          <cell r="H700">
            <v>46.778928571428246</v>
          </cell>
          <cell r="I700" t="e">
            <v>#N/A</v>
          </cell>
          <cell r="J700" t="e">
            <v>#N/A</v>
          </cell>
          <cell r="K700" t="e">
            <v>#N/A</v>
          </cell>
          <cell r="L700" t="e">
            <v>#N/A</v>
          </cell>
          <cell r="M700" t="e">
            <v>#N/A</v>
          </cell>
          <cell r="N700" t="e">
            <v>#N/A</v>
          </cell>
          <cell r="O700" t="e">
            <v>#N/A</v>
          </cell>
          <cell r="P700">
            <v>55.39</v>
          </cell>
          <cell r="Q700" t="str">
            <v/>
          </cell>
          <cell r="R700" t="e">
            <v>#N/A</v>
          </cell>
        </row>
        <row r="701">
          <cell r="A701">
            <v>40233</v>
          </cell>
          <cell r="B701">
            <v>40233</v>
          </cell>
          <cell r="C701" t="str">
            <v>Future</v>
          </cell>
          <cell r="D701" t="e">
            <v>#N/A</v>
          </cell>
          <cell r="E701">
            <v>24.178174603174355</v>
          </cell>
          <cell r="F701">
            <v>60.805158730158226</v>
          </cell>
          <cell r="G701">
            <v>46.717857142856815</v>
          </cell>
          <cell r="H701">
            <v>46.717857142856815</v>
          </cell>
          <cell r="I701" t="e">
            <v>#N/A</v>
          </cell>
          <cell r="J701" t="e">
            <v>#N/A</v>
          </cell>
          <cell r="K701" t="e">
            <v>#N/A</v>
          </cell>
          <cell r="L701" t="e">
            <v>#N/A</v>
          </cell>
          <cell r="M701" t="e">
            <v>#N/A</v>
          </cell>
          <cell r="N701" t="e">
            <v>#N/A</v>
          </cell>
          <cell r="O701" t="e">
            <v>#N/A</v>
          </cell>
          <cell r="P701">
            <v>55.39</v>
          </cell>
          <cell r="Q701" t="str">
            <v/>
          </cell>
          <cell r="R701" t="e">
            <v>#N/A</v>
          </cell>
        </row>
        <row r="702">
          <cell r="A702">
            <v>40234</v>
          </cell>
          <cell r="B702">
            <v>40234</v>
          </cell>
          <cell r="C702" t="str">
            <v>Future</v>
          </cell>
          <cell r="D702" t="e">
            <v>#N/A</v>
          </cell>
          <cell r="E702">
            <v>23.958373015872766</v>
          </cell>
          <cell r="F702">
            <v>60.843293650793143</v>
          </cell>
          <cell r="G702">
            <v>46.656785714285384</v>
          </cell>
          <cell r="H702">
            <v>46.656785714285384</v>
          </cell>
          <cell r="I702" t="e">
            <v>#N/A</v>
          </cell>
          <cell r="J702" t="e">
            <v>#N/A</v>
          </cell>
          <cell r="K702" t="e">
            <v>#N/A</v>
          </cell>
          <cell r="L702" t="e">
            <v>#N/A</v>
          </cell>
          <cell r="M702" t="e">
            <v>#N/A</v>
          </cell>
          <cell r="N702" t="e">
            <v>#N/A</v>
          </cell>
          <cell r="O702" t="e">
            <v>#N/A</v>
          </cell>
          <cell r="P702">
            <v>55.39</v>
          </cell>
          <cell r="Q702" t="str">
            <v/>
          </cell>
          <cell r="R702" t="e">
            <v>#N/A</v>
          </cell>
        </row>
        <row r="703">
          <cell r="A703">
            <v>40235</v>
          </cell>
          <cell r="B703">
            <v>40235</v>
          </cell>
          <cell r="C703" t="str">
            <v>Future</v>
          </cell>
          <cell r="D703" t="e">
            <v>#N/A</v>
          </cell>
          <cell r="E703">
            <v>23.738571428571177</v>
          </cell>
          <cell r="F703">
            <v>60.88142857142806</v>
          </cell>
          <cell r="G703">
            <v>46.595714285713953</v>
          </cell>
          <cell r="H703">
            <v>46.595714285713953</v>
          </cell>
          <cell r="I703" t="e">
            <v>#N/A</v>
          </cell>
          <cell r="J703" t="e">
            <v>#N/A</v>
          </cell>
          <cell r="K703" t="e">
            <v>#N/A</v>
          </cell>
          <cell r="L703" t="e">
            <v>#N/A</v>
          </cell>
          <cell r="M703" t="e">
            <v>#N/A</v>
          </cell>
          <cell r="N703" t="e">
            <v>#N/A</v>
          </cell>
          <cell r="O703" t="e">
            <v>#N/A</v>
          </cell>
          <cell r="P703">
            <v>55.39</v>
          </cell>
          <cell r="Q703" t="str">
            <v/>
          </cell>
          <cell r="R703" t="e">
            <v>#N/A</v>
          </cell>
        </row>
        <row r="704">
          <cell r="A704">
            <v>40238</v>
          </cell>
          <cell r="B704">
            <v>40238</v>
          </cell>
          <cell r="C704" t="str">
            <v>Future</v>
          </cell>
          <cell r="D704" t="e">
            <v>#N/A</v>
          </cell>
          <cell r="E704">
            <v>23.518769841269588</v>
          </cell>
          <cell r="F704">
            <v>60.919563492062977</v>
          </cell>
          <cell r="G704">
            <v>46.534642857142522</v>
          </cell>
          <cell r="H704">
            <v>46.534642857142522</v>
          </cell>
          <cell r="I704" t="e">
            <v>#N/A</v>
          </cell>
          <cell r="J704" t="e">
            <v>#N/A</v>
          </cell>
          <cell r="K704" t="e">
            <v>#N/A</v>
          </cell>
          <cell r="L704" t="e">
            <v>#N/A</v>
          </cell>
          <cell r="M704" t="e">
            <v>#N/A</v>
          </cell>
          <cell r="N704" t="e">
            <v>#N/A</v>
          </cell>
          <cell r="O704" t="e">
            <v>#N/A</v>
          </cell>
          <cell r="P704">
            <v>55.39</v>
          </cell>
          <cell r="Q704" t="str">
            <v/>
          </cell>
          <cell r="R704" t="e">
            <v>#N/A</v>
          </cell>
        </row>
        <row r="705">
          <cell r="A705">
            <v>40239</v>
          </cell>
          <cell r="B705">
            <v>40239</v>
          </cell>
          <cell r="C705" t="str">
            <v>Future</v>
          </cell>
          <cell r="D705" t="e">
            <v>#N/A</v>
          </cell>
          <cell r="E705">
            <v>23.298968253967999</v>
          </cell>
          <cell r="F705">
            <v>60.957698412697894</v>
          </cell>
          <cell r="G705">
            <v>46.473571428571091</v>
          </cell>
          <cell r="H705">
            <v>46.473571428571091</v>
          </cell>
          <cell r="I705" t="e">
            <v>#N/A</v>
          </cell>
          <cell r="J705" t="e">
            <v>#N/A</v>
          </cell>
          <cell r="K705" t="e">
            <v>#N/A</v>
          </cell>
          <cell r="L705" t="e">
            <v>#N/A</v>
          </cell>
          <cell r="M705" t="e">
            <v>#N/A</v>
          </cell>
          <cell r="N705" t="e">
            <v>#N/A</v>
          </cell>
          <cell r="O705" t="e">
            <v>#N/A</v>
          </cell>
          <cell r="P705">
            <v>55.39</v>
          </cell>
          <cell r="Q705" t="str">
            <v/>
          </cell>
          <cell r="R705" t="e">
            <v>#N/A</v>
          </cell>
        </row>
        <row r="706">
          <cell r="A706">
            <v>40240</v>
          </cell>
          <cell r="B706">
            <v>40240</v>
          </cell>
          <cell r="C706" t="str">
            <v>Future</v>
          </cell>
          <cell r="D706" t="e">
            <v>#N/A</v>
          </cell>
          <cell r="E706">
            <v>23.07916666666641</v>
          </cell>
          <cell r="F706">
            <v>60.995833333332811</v>
          </cell>
          <cell r="G706">
            <v>46.41249999999966</v>
          </cell>
          <cell r="H706">
            <v>46.41249999999966</v>
          </cell>
          <cell r="I706" t="e">
            <v>#N/A</v>
          </cell>
          <cell r="J706" t="e">
            <v>#N/A</v>
          </cell>
          <cell r="K706" t="e">
            <v>#N/A</v>
          </cell>
          <cell r="L706" t="e">
            <v>#N/A</v>
          </cell>
          <cell r="M706" t="e">
            <v>#N/A</v>
          </cell>
          <cell r="N706" t="e">
            <v>#N/A</v>
          </cell>
          <cell r="O706" t="e">
            <v>#N/A</v>
          </cell>
          <cell r="P706">
            <v>55.39</v>
          </cell>
          <cell r="Q706" t="str">
            <v/>
          </cell>
          <cell r="R706" t="e">
            <v>#N/A</v>
          </cell>
        </row>
        <row r="707">
          <cell r="A707">
            <v>40241</v>
          </cell>
          <cell r="B707">
            <v>40241</v>
          </cell>
          <cell r="C707" t="str">
            <v>Future</v>
          </cell>
          <cell r="D707" t="e">
            <v>#N/A</v>
          </cell>
          <cell r="E707">
            <v>22.859365079364821</v>
          </cell>
          <cell r="F707">
            <v>61.033968253967728</v>
          </cell>
          <cell r="G707">
            <v>46.351428571428229</v>
          </cell>
          <cell r="H707">
            <v>46.351428571428229</v>
          </cell>
          <cell r="I707" t="e">
            <v>#N/A</v>
          </cell>
          <cell r="J707" t="e">
            <v>#N/A</v>
          </cell>
          <cell r="K707" t="e">
            <v>#N/A</v>
          </cell>
          <cell r="L707" t="e">
            <v>#N/A</v>
          </cell>
          <cell r="M707" t="e">
            <v>#N/A</v>
          </cell>
          <cell r="N707" t="e">
            <v>#N/A</v>
          </cell>
          <cell r="O707" t="e">
            <v>#N/A</v>
          </cell>
          <cell r="P707">
            <v>55.39</v>
          </cell>
          <cell r="Q707" t="str">
            <v/>
          </cell>
          <cell r="R707" t="e">
            <v>#N/A</v>
          </cell>
        </row>
        <row r="708">
          <cell r="A708">
            <v>40242</v>
          </cell>
          <cell r="B708">
            <v>40242</v>
          </cell>
          <cell r="C708" t="str">
            <v>Future</v>
          </cell>
          <cell r="D708" t="e">
            <v>#N/A</v>
          </cell>
          <cell r="E708">
            <v>22.639563492063232</v>
          </cell>
          <cell r="F708">
            <v>61.072103174602645</v>
          </cell>
          <cell r="G708">
            <v>46.290357142856799</v>
          </cell>
          <cell r="H708">
            <v>46.290357142856799</v>
          </cell>
          <cell r="I708" t="e">
            <v>#N/A</v>
          </cell>
          <cell r="J708" t="e">
            <v>#N/A</v>
          </cell>
          <cell r="K708" t="e">
            <v>#N/A</v>
          </cell>
          <cell r="L708" t="e">
            <v>#N/A</v>
          </cell>
          <cell r="M708" t="e">
            <v>#N/A</v>
          </cell>
          <cell r="N708" t="e">
            <v>#N/A</v>
          </cell>
          <cell r="O708" t="e">
            <v>#N/A</v>
          </cell>
          <cell r="P708">
            <v>55.39</v>
          </cell>
          <cell r="Q708" t="str">
            <v/>
          </cell>
          <cell r="R708" t="e">
            <v>#N/A</v>
          </cell>
        </row>
        <row r="709">
          <cell r="A709">
            <v>40245</v>
          </cell>
          <cell r="B709">
            <v>40245</v>
          </cell>
          <cell r="C709" t="str">
            <v>Future</v>
          </cell>
          <cell r="D709" t="e">
            <v>#N/A</v>
          </cell>
          <cell r="E709">
            <v>22.419761904761643</v>
          </cell>
          <cell r="F709">
            <v>61.110238095237563</v>
          </cell>
          <cell r="G709">
            <v>46.229285714285368</v>
          </cell>
          <cell r="H709">
            <v>46.229285714285368</v>
          </cell>
          <cell r="I709" t="e">
            <v>#N/A</v>
          </cell>
          <cell r="J709" t="e">
            <v>#N/A</v>
          </cell>
          <cell r="K709" t="e">
            <v>#N/A</v>
          </cell>
          <cell r="L709" t="e">
            <v>#N/A</v>
          </cell>
          <cell r="M709" t="e">
            <v>#N/A</v>
          </cell>
          <cell r="N709" t="e">
            <v>#N/A</v>
          </cell>
          <cell r="O709" t="e">
            <v>#N/A</v>
          </cell>
          <cell r="P709">
            <v>55.39</v>
          </cell>
          <cell r="Q709" t="str">
            <v/>
          </cell>
          <cell r="R709" t="e">
            <v>#N/A</v>
          </cell>
        </row>
        <row r="710">
          <cell r="A710">
            <v>40246</v>
          </cell>
          <cell r="B710">
            <v>40246</v>
          </cell>
          <cell r="C710" t="str">
            <v>Future</v>
          </cell>
          <cell r="D710" t="e">
            <v>#N/A</v>
          </cell>
          <cell r="E710">
            <v>22.199960317460054</v>
          </cell>
          <cell r="F710">
            <v>61.14837301587248</v>
          </cell>
          <cell r="G710">
            <v>46.168214285713937</v>
          </cell>
          <cell r="H710">
            <v>46.168214285713937</v>
          </cell>
          <cell r="I710" t="e">
            <v>#N/A</v>
          </cell>
          <cell r="J710" t="e">
            <v>#N/A</v>
          </cell>
          <cell r="K710" t="e">
            <v>#N/A</v>
          </cell>
          <cell r="L710" t="e">
            <v>#N/A</v>
          </cell>
          <cell r="M710" t="e">
            <v>#N/A</v>
          </cell>
          <cell r="N710" t="e">
            <v>#N/A</v>
          </cell>
          <cell r="O710" t="e">
            <v>#N/A</v>
          </cell>
          <cell r="P710">
            <v>55.39</v>
          </cell>
          <cell r="Q710" t="str">
            <v/>
          </cell>
          <cell r="R710" t="e">
            <v>#N/A</v>
          </cell>
        </row>
        <row r="711">
          <cell r="A711">
            <v>40247</v>
          </cell>
          <cell r="B711">
            <v>40247</v>
          </cell>
          <cell r="C711" t="str">
            <v>Future</v>
          </cell>
          <cell r="D711" t="e">
            <v>#N/A</v>
          </cell>
          <cell r="E711">
            <v>21.980158730158465</v>
          </cell>
          <cell r="F711">
            <v>61.186507936507397</v>
          </cell>
          <cell r="G711">
            <v>46.107142857142506</v>
          </cell>
          <cell r="H711">
            <v>46.107142857142506</v>
          </cell>
          <cell r="I711" t="e">
            <v>#N/A</v>
          </cell>
          <cell r="J711" t="e">
            <v>#N/A</v>
          </cell>
          <cell r="K711" t="e">
            <v>#N/A</v>
          </cell>
          <cell r="L711" t="e">
            <v>#N/A</v>
          </cell>
          <cell r="M711" t="e">
            <v>#N/A</v>
          </cell>
          <cell r="N711" t="e">
            <v>#N/A</v>
          </cell>
          <cell r="O711" t="e">
            <v>#N/A</v>
          </cell>
          <cell r="P711">
            <v>55.39</v>
          </cell>
          <cell r="Q711" t="str">
            <v/>
          </cell>
          <cell r="R711" t="e">
            <v>#N/A</v>
          </cell>
        </row>
        <row r="712">
          <cell r="A712">
            <v>40248</v>
          </cell>
          <cell r="B712">
            <v>40248</v>
          </cell>
          <cell r="C712" t="str">
            <v>Future</v>
          </cell>
          <cell r="D712" t="e">
            <v>#N/A</v>
          </cell>
          <cell r="E712">
            <v>21.760357142856876</v>
          </cell>
          <cell r="F712">
            <v>61.224642857142314</v>
          </cell>
          <cell r="G712">
            <v>46.046071428571075</v>
          </cell>
          <cell r="H712">
            <v>46.046071428571075</v>
          </cell>
          <cell r="I712" t="e">
            <v>#N/A</v>
          </cell>
          <cell r="J712" t="e">
            <v>#N/A</v>
          </cell>
          <cell r="K712" t="e">
            <v>#N/A</v>
          </cell>
          <cell r="L712" t="e">
            <v>#N/A</v>
          </cell>
          <cell r="M712" t="e">
            <v>#N/A</v>
          </cell>
          <cell r="N712" t="e">
            <v>#N/A</v>
          </cell>
          <cell r="O712" t="e">
            <v>#N/A</v>
          </cell>
          <cell r="P712">
            <v>55.39</v>
          </cell>
          <cell r="Q712" t="str">
            <v/>
          </cell>
          <cell r="R712" t="e">
            <v>#N/A</v>
          </cell>
        </row>
        <row r="713">
          <cell r="A713">
            <v>40249</v>
          </cell>
          <cell r="B713">
            <v>40249</v>
          </cell>
          <cell r="C713" t="str">
            <v>Future</v>
          </cell>
          <cell r="D713" t="e">
            <v>#N/A</v>
          </cell>
          <cell r="E713">
            <v>21.540555555555287</v>
          </cell>
          <cell r="F713">
            <v>61.262777777777231</v>
          </cell>
          <cell r="G713">
            <v>45.984999999999644</v>
          </cell>
          <cell r="H713">
            <v>45.984999999999644</v>
          </cell>
          <cell r="I713" t="e">
            <v>#N/A</v>
          </cell>
          <cell r="J713" t="e">
            <v>#N/A</v>
          </cell>
          <cell r="K713" t="e">
            <v>#N/A</v>
          </cell>
          <cell r="L713" t="e">
            <v>#N/A</v>
          </cell>
          <cell r="M713" t="e">
            <v>#N/A</v>
          </cell>
          <cell r="N713" t="e">
            <v>#N/A</v>
          </cell>
          <cell r="O713" t="e">
            <v>#N/A</v>
          </cell>
          <cell r="P713">
            <v>55.39</v>
          </cell>
          <cell r="Q713" t="str">
            <v/>
          </cell>
          <cell r="R713" t="e">
            <v>#N/A</v>
          </cell>
        </row>
        <row r="714">
          <cell r="A714">
            <v>40252</v>
          </cell>
          <cell r="B714">
            <v>40252</v>
          </cell>
          <cell r="C714" t="str">
            <v>Future</v>
          </cell>
          <cell r="D714" t="e">
            <v>#N/A</v>
          </cell>
          <cell r="E714">
            <v>21.320753968253698</v>
          </cell>
          <cell r="F714">
            <v>61.300912698412148</v>
          </cell>
          <cell r="G714">
            <v>45.923928571428213</v>
          </cell>
          <cell r="H714">
            <v>45.923928571428213</v>
          </cell>
          <cell r="I714" t="e">
            <v>#N/A</v>
          </cell>
          <cell r="J714" t="e">
            <v>#N/A</v>
          </cell>
          <cell r="K714" t="e">
            <v>#N/A</v>
          </cell>
          <cell r="L714" t="e">
            <v>#N/A</v>
          </cell>
          <cell r="M714" t="e">
            <v>#N/A</v>
          </cell>
          <cell r="N714" t="e">
            <v>#N/A</v>
          </cell>
          <cell r="O714" t="e">
            <v>#N/A</v>
          </cell>
          <cell r="P714">
            <v>55.39</v>
          </cell>
          <cell r="Q714" t="str">
            <v/>
          </cell>
          <cell r="R714" t="e">
            <v>#N/A</v>
          </cell>
        </row>
        <row r="715">
          <cell r="A715">
            <v>40253</v>
          </cell>
          <cell r="B715">
            <v>40253</v>
          </cell>
          <cell r="C715" t="str">
            <v>Future</v>
          </cell>
          <cell r="D715" t="e">
            <v>#N/A</v>
          </cell>
          <cell r="E715">
            <v>21.100952380952108</v>
          </cell>
          <cell r="F715">
            <v>61.339047619047065</v>
          </cell>
          <cell r="G715">
            <v>45.862857142856782</v>
          </cell>
          <cell r="H715">
            <v>45.862857142856782</v>
          </cell>
          <cell r="I715" t="e">
            <v>#N/A</v>
          </cell>
          <cell r="J715" t="e">
            <v>#N/A</v>
          </cell>
          <cell r="K715" t="e">
            <v>#N/A</v>
          </cell>
          <cell r="L715" t="e">
            <v>#N/A</v>
          </cell>
          <cell r="M715" t="e">
            <v>#N/A</v>
          </cell>
          <cell r="N715" t="e">
            <v>#N/A</v>
          </cell>
          <cell r="O715" t="e">
            <v>#N/A</v>
          </cell>
          <cell r="P715">
            <v>55.39</v>
          </cell>
          <cell r="Q715" t="str">
            <v/>
          </cell>
          <cell r="R715" t="e">
            <v>#N/A</v>
          </cell>
        </row>
        <row r="716">
          <cell r="A716">
            <v>40254</v>
          </cell>
          <cell r="B716">
            <v>40254</v>
          </cell>
          <cell r="C716" t="str">
            <v>Future</v>
          </cell>
          <cell r="D716" t="e">
            <v>#N/A</v>
          </cell>
          <cell r="E716">
            <v>20.881150793650519</v>
          </cell>
          <cell r="F716">
            <v>61.377182539681982</v>
          </cell>
          <cell r="G716">
            <v>45.801785714285352</v>
          </cell>
          <cell r="H716">
            <v>45.801785714285352</v>
          </cell>
          <cell r="I716" t="e">
            <v>#N/A</v>
          </cell>
          <cell r="J716" t="e">
            <v>#N/A</v>
          </cell>
          <cell r="K716" t="e">
            <v>#N/A</v>
          </cell>
          <cell r="L716" t="e">
            <v>#N/A</v>
          </cell>
          <cell r="M716" t="e">
            <v>#N/A</v>
          </cell>
          <cell r="N716" t="e">
            <v>#N/A</v>
          </cell>
          <cell r="O716" t="e">
            <v>#N/A</v>
          </cell>
          <cell r="P716">
            <v>55.39</v>
          </cell>
          <cell r="Q716" t="str">
            <v/>
          </cell>
          <cell r="R716" t="e">
            <v>#N/A</v>
          </cell>
        </row>
        <row r="717">
          <cell r="A717">
            <v>40255</v>
          </cell>
          <cell r="B717">
            <v>40255</v>
          </cell>
          <cell r="C717" t="str">
            <v>Future</v>
          </cell>
          <cell r="D717" t="e">
            <v>#N/A</v>
          </cell>
          <cell r="E717">
            <v>20.66134920634893</v>
          </cell>
          <cell r="F717">
            <v>61.415317460316899</v>
          </cell>
          <cell r="G717">
            <v>45.740714285713921</v>
          </cell>
          <cell r="H717">
            <v>45.740714285713921</v>
          </cell>
          <cell r="I717" t="e">
            <v>#N/A</v>
          </cell>
          <cell r="J717" t="e">
            <v>#N/A</v>
          </cell>
          <cell r="K717" t="e">
            <v>#N/A</v>
          </cell>
          <cell r="L717" t="e">
            <v>#N/A</v>
          </cell>
          <cell r="M717" t="e">
            <v>#N/A</v>
          </cell>
          <cell r="N717" t="e">
            <v>#N/A</v>
          </cell>
          <cell r="O717" t="e">
            <v>#N/A</v>
          </cell>
          <cell r="P717">
            <v>55.39</v>
          </cell>
          <cell r="Q717" t="str">
            <v/>
          </cell>
          <cell r="R717" t="e">
            <v>#N/A</v>
          </cell>
        </row>
        <row r="718">
          <cell r="A718">
            <v>40256</v>
          </cell>
          <cell r="B718">
            <v>40256</v>
          </cell>
          <cell r="C718" t="str">
            <v>Future</v>
          </cell>
          <cell r="D718" t="e">
            <v>#N/A</v>
          </cell>
          <cell r="E718">
            <v>20.441547619047341</v>
          </cell>
          <cell r="F718">
            <v>61.453452380951816</v>
          </cell>
          <cell r="G718">
            <v>45.67964285714249</v>
          </cell>
          <cell r="H718">
            <v>45.67964285714249</v>
          </cell>
          <cell r="I718" t="e">
            <v>#N/A</v>
          </cell>
          <cell r="J718" t="e">
            <v>#N/A</v>
          </cell>
          <cell r="K718" t="e">
            <v>#N/A</v>
          </cell>
          <cell r="L718" t="e">
            <v>#N/A</v>
          </cell>
          <cell r="M718" t="e">
            <v>#N/A</v>
          </cell>
          <cell r="N718" t="e">
            <v>#N/A</v>
          </cell>
          <cell r="O718" t="e">
            <v>#N/A</v>
          </cell>
          <cell r="P718">
            <v>55.39</v>
          </cell>
          <cell r="Q718" t="str">
            <v/>
          </cell>
          <cell r="R718" t="e">
            <v>#N/A</v>
          </cell>
        </row>
        <row r="719">
          <cell r="A719">
            <v>40259</v>
          </cell>
          <cell r="B719">
            <v>40259</v>
          </cell>
          <cell r="C719" t="str">
            <v>Future</v>
          </cell>
          <cell r="D719" t="e">
            <v>#N/A</v>
          </cell>
          <cell r="E719">
            <v>20.221746031745752</v>
          </cell>
          <cell r="F719">
            <v>61.491587301586733</v>
          </cell>
          <cell r="G719">
            <v>45.618571428571059</v>
          </cell>
          <cell r="H719">
            <v>45.618571428571059</v>
          </cell>
          <cell r="I719" t="e">
            <v>#N/A</v>
          </cell>
          <cell r="J719" t="e">
            <v>#N/A</v>
          </cell>
          <cell r="K719" t="e">
            <v>#N/A</v>
          </cell>
          <cell r="L719" t="e">
            <v>#N/A</v>
          </cell>
          <cell r="M719" t="e">
            <v>#N/A</v>
          </cell>
          <cell r="N719" t="e">
            <v>#N/A</v>
          </cell>
          <cell r="O719" t="e">
            <v>#N/A</v>
          </cell>
          <cell r="P719">
            <v>55.39</v>
          </cell>
          <cell r="Q719" t="str">
            <v/>
          </cell>
          <cell r="R719" t="e">
            <v>#N/A</v>
          </cell>
        </row>
        <row r="720">
          <cell r="A720">
            <v>40260</v>
          </cell>
          <cell r="B720">
            <v>40260</v>
          </cell>
          <cell r="C720" t="str">
            <v>Future</v>
          </cell>
          <cell r="D720" t="e">
            <v>#N/A</v>
          </cell>
          <cell r="E720">
            <v>20.001944444444163</v>
          </cell>
          <cell r="F720">
            <v>61.52972222222165</v>
          </cell>
          <cell r="G720">
            <v>45.557499999999628</v>
          </cell>
          <cell r="H720">
            <v>45.557499999999628</v>
          </cell>
          <cell r="I720" t="e">
            <v>#N/A</v>
          </cell>
          <cell r="J720" t="e">
            <v>#N/A</v>
          </cell>
          <cell r="K720" t="e">
            <v>#N/A</v>
          </cell>
          <cell r="L720" t="e">
            <v>#N/A</v>
          </cell>
          <cell r="M720" t="e">
            <v>#N/A</v>
          </cell>
          <cell r="N720" t="e">
            <v>#N/A</v>
          </cell>
          <cell r="O720" t="e">
            <v>#N/A</v>
          </cell>
          <cell r="P720">
            <v>55.39</v>
          </cell>
          <cell r="Q720" t="str">
            <v/>
          </cell>
          <cell r="R720" t="e">
            <v>#N/A</v>
          </cell>
        </row>
        <row r="721">
          <cell r="A721">
            <v>40261</v>
          </cell>
          <cell r="B721">
            <v>40261</v>
          </cell>
          <cell r="C721" t="str">
            <v>Future</v>
          </cell>
          <cell r="D721" t="e">
            <v>#N/A</v>
          </cell>
          <cell r="E721">
            <v>19.782142857142574</v>
          </cell>
          <cell r="F721">
            <v>61.567857142856568</v>
          </cell>
          <cell r="G721">
            <v>45.496428571428197</v>
          </cell>
          <cell r="H721">
            <v>45.496428571428197</v>
          </cell>
          <cell r="I721" t="e">
            <v>#N/A</v>
          </cell>
          <cell r="J721" t="e">
            <v>#N/A</v>
          </cell>
          <cell r="K721" t="e">
            <v>#N/A</v>
          </cell>
          <cell r="L721" t="e">
            <v>#N/A</v>
          </cell>
          <cell r="M721" t="e">
            <v>#N/A</v>
          </cell>
          <cell r="N721" t="e">
            <v>#N/A</v>
          </cell>
          <cell r="O721" t="e">
            <v>#N/A</v>
          </cell>
          <cell r="P721">
            <v>55.39</v>
          </cell>
          <cell r="Q721" t="str">
            <v/>
          </cell>
          <cell r="R721" t="e">
            <v>#N/A</v>
          </cell>
        </row>
        <row r="722">
          <cell r="A722">
            <v>40262</v>
          </cell>
          <cell r="B722">
            <v>40262</v>
          </cell>
          <cell r="C722" t="str">
            <v>Future</v>
          </cell>
          <cell r="D722" t="e">
            <v>#N/A</v>
          </cell>
          <cell r="E722">
            <v>19.562341269840985</v>
          </cell>
          <cell r="F722">
            <v>61.605992063491485</v>
          </cell>
          <cell r="G722">
            <v>45.435357142856766</v>
          </cell>
          <cell r="H722">
            <v>45.435357142856766</v>
          </cell>
          <cell r="I722" t="e">
            <v>#N/A</v>
          </cell>
          <cell r="J722" t="e">
            <v>#N/A</v>
          </cell>
          <cell r="K722" t="e">
            <v>#N/A</v>
          </cell>
          <cell r="L722" t="e">
            <v>#N/A</v>
          </cell>
          <cell r="M722" t="e">
            <v>#N/A</v>
          </cell>
          <cell r="N722" t="e">
            <v>#N/A</v>
          </cell>
          <cell r="O722" t="e">
            <v>#N/A</v>
          </cell>
          <cell r="P722">
            <v>55.39</v>
          </cell>
          <cell r="Q722" t="str">
            <v/>
          </cell>
          <cell r="R722" t="e">
            <v>#N/A</v>
          </cell>
        </row>
        <row r="723">
          <cell r="A723">
            <v>40263</v>
          </cell>
          <cell r="B723">
            <v>40263</v>
          </cell>
          <cell r="C723" t="str">
            <v>Future</v>
          </cell>
          <cell r="D723" t="e">
            <v>#N/A</v>
          </cell>
          <cell r="E723">
            <v>19.342539682539396</v>
          </cell>
          <cell r="F723">
            <v>61.644126984126402</v>
          </cell>
          <cell r="G723">
            <v>45.374285714285335</v>
          </cell>
          <cell r="H723">
            <v>45.374285714285335</v>
          </cell>
          <cell r="I723" t="e">
            <v>#N/A</v>
          </cell>
          <cell r="J723" t="e">
            <v>#N/A</v>
          </cell>
          <cell r="K723" t="e">
            <v>#N/A</v>
          </cell>
          <cell r="L723" t="e">
            <v>#N/A</v>
          </cell>
          <cell r="M723" t="e">
            <v>#N/A</v>
          </cell>
          <cell r="N723" t="e">
            <v>#N/A</v>
          </cell>
          <cell r="O723" t="e">
            <v>#N/A</v>
          </cell>
          <cell r="P723">
            <v>55.39</v>
          </cell>
          <cell r="Q723" t="str">
            <v/>
          </cell>
          <cell r="R723" t="e">
            <v>#N/A</v>
          </cell>
        </row>
        <row r="724">
          <cell r="A724">
            <v>40266</v>
          </cell>
          <cell r="B724">
            <v>40266</v>
          </cell>
          <cell r="C724" t="str">
            <v>Future</v>
          </cell>
          <cell r="D724" t="e">
            <v>#N/A</v>
          </cell>
          <cell r="E724">
            <v>19.122738095237807</v>
          </cell>
          <cell r="F724">
            <v>61.682261904761319</v>
          </cell>
          <cell r="G724">
            <v>45.313214285713904</v>
          </cell>
          <cell r="H724">
            <v>45.313214285713904</v>
          </cell>
          <cell r="I724" t="e">
            <v>#N/A</v>
          </cell>
          <cell r="J724" t="e">
            <v>#N/A</v>
          </cell>
          <cell r="K724" t="e">
            <v>#N/A</v>
          </cell>
          <cell r="L724" t="e">
            <v>#N/A</v>
          </cell>
          <cell r="M724" t="e">
            <v>#N/A</v>
          </cell>
          <cell r="N724" t="e">
            <v>#N/A</v>
          </cell>
          <cell r="O724" t="e">
            <v>#N/A</v>
          </cell>
          <cell r="P724">
            <v>55.39</v>
          </cell>
          <cell r="Q724" t="str">
            <v/>
          </cell>
          <cell r="R724" t="e">
            <v>#N/A</v>
          </cell>
        </row>
        <row r="725">
          <cell r="A725">
            <v>40267</v>
          </cell>
          <cell r="B725">
            <v>40267</v>
          </cell>
          <cell r="C725" t="str">
            <v>Future</v>
          </cell>
          <cell r="D725" t="e">
            <v>#N/A</v>
          </cell>
          <cell r="E725">
            <v>18.902936507936218</v>
          </cell>
          <cell r="F725">
            <v>61.720396825396236</v>
          </cell>
          <cell r="G725">
            <v>45.252142857142474</v>
          </cell>
          <cell r="H725">
            <v>45.252142857142474</v>
          </cell>
          <cell r="I725" t="e">
            <v>#N/A</v>
          </cell>
          <cell r="J725" t="e">
            <v>#N/A</v>
          </cell>
          <cell r="K725" t="e">
            <v>#N/A</v>
          </cell>
          <cell r="L725" t="e">
            <v>#N/A</v>
          </cell>
          <cell r="M725" t="e">
            <v>#N/A</v>
          </cell>
          <cell r="N725" t="e">
            <v>#N/A</v>
          </cell>
          <cell r="O725" t="e">
            <v>#N/A</v>
          </cell>
          <cell r="P725">
            <v>55.39</v>
          </cell>
          <cell r="Q725" t="str">
            <v/>
          </cell>
          <cell r="R725" t="e">
            <v>#N/A</v>
          </cell>
        </row>
        <row r="726">
          <cell r="A726">
            <v>40268</v>
          </cell>
          <cell r="B726">
            <v>40268</v>
          </cell>
          <cell r="C726" t="str">
            <v>Future</v>
          </cell>
          <cell r="D726" t="e">
            <v>#N/A</v>
          </cell>
          <cell r="E726">
            <v>18.683134920634629</v>
          </cell>
          <cell r="F726">
            <v>61.758531746031153</v>
          </cell>
          <cell r="G726">
            <v>45.191071428571043</v>
          </cell>
          <cell r="H726">
            <v>45.191071428571043</v>
          </cell>
          <cell r="I726" t="e">
            <v>#N/A</v>
          </cell>
          <cell r="J726" t="e">
            <v>#N/A</v>
          </cell>
          <cell r="K726" t="e">
            <v>#N/A</v>
          </cell>
          <cell r="L726" t="e">
            <v>#N/A</v>
          </cell>
          <cell r="M726" t="e">
            <v>#N/A</v>
          </cell>
          <cell r="N726" t="e">
            <v>#N/A</v>
          </cell>
          <cell r="O726" t="e">
            <v>#N/A</v>
          </cell>
          <cell r="P726">
            <v>55.39</v>
          </cell>
          <cell r="Q726" t="str">
            <v/>
          </cell>
          <cell r="R726" t="e">
            <v>#N/A</v>
          </cell>
        </row>
        <row r="727">
          <cell r="A727">
            <v>40269</v>
          </cell>
          <cell r="B727">
            <v>40269</v>
          </cell>
          <cell r="C727" t="str">
            <v>Future</v>
          </cell>
          <cell r="D727" t="e">
            <v>#N/A</v>
          </cell>
          <cell r="E727">
            <v>18.46333333333304</v>
          </cell>
          <cell r="F727">
            <v>61.79666666666607</v>
          </cell>
          <cell r="G727">
            <v>45.129999999999612</v>
          </cell>
          <cell r="H727">
            <v>45.129999999999612</v>
          </cell>
          <cell r="I727" t="e">
            <v>#N/A</v>
          </cell>
          <cell r="J727" t="e">
            <v>#N/A</v>
          </cell>
          <cell r="K727" t="e">
            <v>#N/A</v>
          </cell>
          <cell r="L727" t="e">
            <v>#N/A</v>
          </cell>
          <cell r="M727" t="e">
            <v>#N/A</v>
          </cell>
          <cell r="N727" t="e">
            <v>#N/A</v>
          </cell>
          <cell r="O727" t="e">
            <v>#N/A</v>
          </cell>
          <cell r="P727">
            <v>55.39</v>
          </cell>
          <cell r="Q727" t="str">
            <v/>
          </cell>
          <cell r="R727" t="e">
            <v>#N/A</v>
          </cell>
        </row>
        <row r="728">
          <cell r="A728">
            <v>40273</v>
          </cell>
          <cell r="B728">
            <v>40273</v>
          </cell>
          <cell r="C728" t="str">
            <v>Future</v>
          </cell>
          <cell r="D728" t="e">
            <v>#N/A</v>
          </cell>
          <cell r="E728">
            <v>18.243531746031451</v>
          </cell>
          <cell r="F728">
            <v>61.834801587300987</v>
          </cell>
          <cell r="G728">
            <v>45.068928571428181</v>
          </cell>
          <cell r="H728">
            <v>45.068928571428181</v>
          </cell>
          <cell r="I728" t="e">
            <v>#N/A</v>
          </cell>
          <cell r="J728" t="e">
            <v>#N/A</v>
          </cell>
          <cell r="K728" t="e">
            <v>#N/A</v>
          </cell>
          <cell r="L728" t="e">
            <v>#N/A</v>
          </cell>
          <cell r="M728" t="e">
            <v>#N/A</v>
          </cell>
          <cell r="N728" t="e">
            <v>#N/A</v>
          </cell>
          <cell r="O728" t="e">
            <v>#N/A</v>
          </cell>
          <cell r="P728">
            <v>55.39</v>
          </cell>
          <cell r="Q728" t="str">
            <v/>
          </cell>
          <cell r="R728" t="e">
            <v>#N/A</v>
          </cell>
        </row>
        <row r="729">
          <cell r="A729">
            <v>40274</v>
          </cell>
          <cell r="B729">
            <v>40274</v>
          </cell>
          <cell r="C729" t="str">
            <v>Future</v>
          </cell>
          <cell r="D729" t="e">
            <v>#N/A</v>
          </cell>
          <cell r="E729">
            <v>18.023730158729862</v>
          </cell>
          <cell r="F729">
            <v>61.872936507935904</v>
          </cell>
          <cell r="G729">
            <v>45.00785714285675</v>
          </cell>
          <cell r="H729">
            <v>45.00785714285675</v>
          </cell>
          <cell r="I729" t="e">
            <v>#N/A</v>
          </cell>
          <cell r="J729" t="e">
            <v>#N/A</v>
          </cell>
          <cell r="K729" t="e">
            <v>#N/A</v>
          </cell>
          <cell r="L729" t="e">
            <v>#N/A</v>
          </cell>
          <cell r="M729" t="e">
            <v>#N/A</v>
          </cell>
          <cell r="N729" t="e">
            <v>#N/A</v>
          </cell>
          <cell r="O729" t="e">
            <v>#N/A</v>
          </cell>
          <cell r="P729">
            <v>55.39</v>
          </cell>
          <cell r="Q729" t="str">
            <v/>
          </cell>
          <cell r="R729" t="e">
            <v>#N/A</v>
          </cell>
        </row>
        <row r="730">
          <cell r="A730">
            <v>40275</v>
          </cell>
          <cell r="B730">
            <v>40275</v>
          </cell>
          <cell r="C730" t="str">
            <v>Future</v>
          </cell>
          <cell r="D730" t="e">
            <v>#N/A</v>
          </cell>
          <cell r="E730">
            <v>17.803928571428273</v>
          </cell>
          <cell r="F730">
            <v>61.911071428570821</v>
          </cell>
          <cell r="G730">
            <v>44.946785714285319</v>
          </cell>
          <cell r="H730">
            <v>44.946785714285319</v>
          </cell>
          <cell r="I730" t="e">
            <v>#N/A</v>
          </cell>
          <cell r="J730" t="e">
            <v>#N/A</v>
          </cell>
          <cell r="K730" t="e">
            <v>#N/A</v>
          </cell>
          <cell r="L730" t="e">
            <v>#N/A</v>
          </cell>
          <cell r="M730" t="e">
            <v>#N/A</v>
          </cell>
          <cell r="N730" t="e">
            <v>#N/A</v>
          </cell>
          <cell r="O730" t="e">
            <v>#N/A</v>
          </cell>
          <cell r="P730">
            <v>55.39</v>
          </cell>
          <cell r="Q730" t="str">
            <v/>
          </cell>
          <cell r="R730" t="e">
            <v>#N/A</v>
          </cell>
        </row>
        <row r="731">
          <cell r="A731">
            <v>40276</v>
          </cell>
          <cell r="B731">
            <v>40276</v>
          </cell>
          <cell r="C731" t="str">
            <v>Future</v>
          </cell>
          <cell r="D731" t="e">
            <v>#N/A</v>
          </cell>
          <cell r="E731">
            <v>17.584126984126684</v>
          </cell>
          <cell r="F731">
            <v>61.949206349205738</v>
          </cell>
          <cell r="G731">
            <v>44.885714285713888</v>
          </cell>
          <cell r="H731">
            <v>44.885714285713888</v>
          </cell>
          <cell r="I731" t="e">
            <v>#N/A</v>
          </cell>
          <cell r="J731" t="e">
            <v>#N/A</v>
          </cell>
          <cell r="K731" t="e">
            <v>#N/A</v>
          </cell>
          <cell r="L731" t="e">
            <v>#N/A</v>
          </cell>
          <cell r="M731" t="e">
            <v>#N/A</v>
          </cell>
          <cell r="N731" t="e">
            <v>#N/A</v>
          </cell>
          <cell r="O731" t="e">
            <v>#N/A</v>
          </cell>
          <cell r="P731">
            <v>55.39</v>
          </cell>
          <cell r="Q731" t="str">
            <v/>
          </cell>
          <cell r="R731" t="e">
            <v>#N/A</v>
          </cell>
        </row>
        <row r="732">
          <cell r="A732">
            <v>40277</v>
          </cell>
          <cell r="B732">
            <v>40277</v>
          </cell>
          <cell r="C732" t="str">
            <v>Future</v>
          </cell>
          <cell r="D732" t="e">
            <v>#N/A</v>
          </cell>
          <cell r="E732">
            <v>17.364325396825095</v>
          </cell>
          <cell r="F732">
            <v>61.987341269840655</v>
          </cell>
          <cell r="G732">
            <v>44.824642857142457</v>
          </cell>
          <cell r="H732">
            <v>44.824642857142457</v>
          </cell>
          <cell r="I732" t="e">
            <v>#N/A</v>
          </cell>
          <cell r="J732" t="e">
            <v>#N/A</v>
          </cell>
          <cell r="K732" t="e">
            <v>#N/A</v>
          </cell>
          <cell r="L732" t="e">
            <v>#N/A</v>
          </cell>
          <cell r="M732" t="e">
            <v>#N/A</v>
          </cell>
          <cell r="N732" t="e">
            <v>#N/A</v>
          </cell>
          <cell r="O732" t="e">
            <v>#N/A</v>
          </cell>
          <cell r="P732">
            <v>55.39</v>
          </cell>
          <cell r="Q732" t="str">
            <v/>
          </cell>
          <cell r="R732" t="e">
            <v>#N/A</v>
          </cell>
        </row>
        <row r="733">
          <cell r="A733">
            <v>40280</v>
          </cell>
          <cell r="B733">
            <v>40280</v>
          </cell>
          <cell r="C733" t="str">
            <v>Future</v>
          </cell>
          <cell r="D733" t="e">
            <v>#N/A</v>
          </cell>
          <cell r="E733">
            <v>17.144523809523506</v>
          </cell>
          <cell r="F733">
            <v>62.025476190475572</v>
          </cell>
          <cell r="G733">
            <v>44.763571428571026</v>
          </cell>
          <cell r="H733">
            <v>44.763571428571026</v>
          </cell>
          <cell r="I733" t="e">
            <v>#N/A</v>
          </cell>
          <cell r="J733" t="e">
            <v>#N/A</v>
          </cell>
          <cell r="K733" t="e">
            <v>#N/A</v>
          </cell>
          <cell r="L733" t="e">
            <v>#N/A</v>
          </cell>
          <cell r="M733" t="e">
            <v>#N/A</v>
          </cell>
          <cell r="N733" t="e">
            <v>#N/A</v>
          </cell>
          <cell r="O733" t="e">
            <v>#N/A</v>
          </cell>
          <cell r="P733">
            <v>55.39</v>
          </cell>
          <cell r="Q733" t="str">
            <v/>
          </cell>
          <cell r="R733" t="e">
            <v>#N/A</v>
          </cell>
        </row>
        <row r="734">
          <cell r="A734">
            <v>40281</v>
          </cell>
          <cell r="B734">
            <v>40281</v>
          </cell>
          <cell r="C734" t="str">
            <v>Future</v>
          </cell>
          <cell r="D734" t="e">
            <v>#N/A</v>
          </cell>
          <cell r="E734">
            <v>16.924722222221916</v>
          </cell>
          <cell r="F734">
            <v>62.06361111111049</v>
          </cell>
          <cell r="G734">
            <v>44.702499999999596</v>
          </cell>
          <cell r="H734">
            <v>44.702499999999596</v>
          </cell>
          <cell r="I734" t="e">
            <v>#N/A</v>
          </cell>
          <cell r="J734" t="e">
            <v>#N/A</v>
          </cell>
          <cell r="K734" t="e">
            <v>#N/A</v>
          </cell>
          <cell r="L734" t="e">
            <v>#N/A</v>
          </cell>
          <cell r="M734" t="e">
            <v>#N/A</v>
          </cell>
          <cell r="N734" t="e">
            <v>#N/A</v>
          </cell>
          <cell r="O734" t="e">
            <v>#N/A</v>
          </cell>
          <cell r="P734">
            <v>55.39</v>
          </cell>
          <cell r="Q734" t="str">
            <v/>
          </cell>
          <cell r="R734" t="e">
            <v>#N/A</v>
          </cell>
        </row>
        <row r="735">
          <cell r="A735">
            <v>40282</v>
          </cell>
          <cell r="B735">
            <v>40282</v>
          </cell>
          <cell r="C735" t="str">
            <v>Future</v>
          </cell>
          <cell r="D735" t="e">
            <v>#N/A</v>
          </cell>
          <cell r="E735">
            <v>16.704920634920327</v>
          </cell>
          <cell r="F735">
            <v>62.101746031745407</v>
          </cell>
          <cell r="G735">
            <v>44.641428571428165</v>
          </cell>
          <cell r="H735">
            <v>44.641428571428165</v>
          </cell>
          <cell r="I735" t="e">
            <v>#N/A</v>
          </cell>
          <cell r="J735" t="e">
            <v>#N/A</v>
          </cell>
          <cell r="K735" t="e">
            <v>#N/A</v>
          </cell>
          <cell r="L735" t="e">
            <v>#N/A</v>
          </cell>
          <cell r="M735" t="e">
            <v>#N/A</v>
          </cell>
          <cell r="N735" t="e">
            <v>#N/A</v>
          </cell>
          <cell r="O735" t="e">
            <v>#N/A</v>
          </cell>
          <cell r="P735">
            <v>55.39</v>
          </cell>
          <cell r="Q735" t="str">
            <v/>
          </cell>
          <cell r="R735" t="e">
            <v>#N/A</v>
          </cell>
        </row>
        <row r="736">
          <cell r="A736">
            <v>40283</v>
          </cell>
          <cell r="B736">
            <v>40283</v>
          </cell>
          <cell r="C736" t="str">
            <v>Future</v>
          </cell>
          <cell r="D736" t="e">
            <v>#N/A</v>
          </cell>
          <cell r="E736">
            <v>16.485119047618738</v>
          </cell>
          <cell r="F736">
            <v>62.139880952380324</v>
          </cell>
          <cell r="G736">
            <v>44.580357142856734</v>
          </cell>
          <cell r="H736">
            <v>44.580357142856734</v>
          </cell>
          <cell r="I736" t="e">
            <v>#N/A</v>
          </cell>
          <cell r="J736" t="e">
            <v>#N/A</v>
          </cell>
          <cell r="K736" t="e">
            <v>#N/A</v>
          </cell>
          <cell r="L736" t="e">
            <v>#N/A</v>
          </cell>
          <cell r="M736" t="e">
            <v>#N/A</v>
          </cell>
          <cell r="N736" t="e">
            <v>#N/A</v>
          </cell>
          <cell r="O736" t="e">
            <v>#N/A</v>
          </cell>
          <cell r="P736">
            <v>55.39</v>
          </cell>
          <cell r="Q736" t="str">
            <v/>
          </cell>
          <cell r="R736" t="e">
            <v>#N/A</v>
          </cell>
        </row>
        <row r="737">
          <cell r="A737">
            <v>40284</v>
          </cell>
          <cell r="B737">
            <v>40284</v>
          </cell>
          <cell r="C737" t="str">
            <v>Future</v>
          </cell>
          <cell r="D737" t="e">
            <v>#N/A</v>
          </cell>
          <cell r="E737">
            <v>16.265317460317149</v>
          </cell>
          <cell r="F737">
            <v>62.178015873015241</v>
          </cell>
          <cell r="G737">
            <v>44.519285714285303</v>
          </cell>
          <cell r="H737">
            <v>44.519285714285303</v>
          </cell>
          <cell r="I737" t="e">
            <v>#N/A</v>
          </cell>
          <cell r="J737" t="e">
            <v>#N/A</v>
          </cell>
          <cell r="K737" t="e">
            <v>#N/A</v>
          </cell>
          <cell r="L737" t="e">
            <v>#N/A</v>
          </cell>
          <cell r="M737" t="e">
            <v>#N/A</v>
          </cell>
          <cell r="N737" t="e">
            <v>#N/A</v>
          </cell>
          <cell r="O737" t="e">
            <v>#N/A</v>
          </cell>
          <cell r="P737">
            <v>55.39</v>
          </cell>
          <cell r="Q737" t="str">
            <v/>
          </cell>
          <cell r="R737" t="e">
            <v>#N/A</v>
          </cell>
        </row>
        <row r="738">
          <cell r="A738">
            <v>40287</v>
          </cell>
          <cell r="B738">
            <v>40287</v>
          </cell>
          <cell r="C738" t="str">
            <v>Future</v>
          </cell>
          <cell r="D738" t="e">
            <v>#N/A</v>
          </cell>
          <cell r="E738">
            <v>16.04551587301556</v>
          </cell>
          <cell r="F738">
            <v>62.216150793650158</v>
          </cell>
          <cell r="G738">
            <v>44.458214285713872</v>
          </cell>
          <cell r="H738">
            <v>44.458214285713872</v>
          </cell>
          <cell r="I738" t="e">
            <v>#N/A</v>
          </cell>
          <cell r="J738" t="e">
            <v>#N/A</v>
          </cell>
          <cell r="K738" t="e">
            <v>#N/A</v>
          </cell>
          <cell r="L738" t="e">
            <v>#N/A</v>
          </cell>
          <cell r="M738" t="e">
            <v>#N/A</v>
          </cell>
          <cell r="N738" t="e">
            <v>#N/A</v>
          </cell>
          <cell r="O738" t="e">
            <v>#N/A</v>
          </cell>
          <cell r="P738">
            <v>55.39</v>
          </cell>
          <cell r="Q738" t="str">
            <v/>
          </cell>
          <cell r="R738" t="e">
            <v>#N/A</v>
          </cell>
        </row>
        <row r="739">
          <cell r="A739">
            <v>40288</v>
          </cell>
          <cell r="B739">
            <v>40288</v>
          </cell>
          <cell r="C739" t="str">
            <v>Future</v>
          </cell>
          <cell r="D739" t="e">
            <v>#N/A</v>
          </cell>
          <cell r="E739">
            <v>15.825714285713973</v>
          </cell>
          <cell r="F739">
            <v>62.254285714285075</v>
          </cell>
          <cell r="G739">
            <v>44.397142857142441</v>
          </cell>
          <cell r="H739">
            <v>44.397142857142441</v>
          </cell>
          <cell r="I739" t="e">
            <v>#N/A</v>
          </cell>
          <cell r="J739" t="e">
            <v>#N/A</v>
          </cell>
          <cell r="K739" t="e">
            <v>#N/A</v>
          </cell>
          <cell r="L739" t="e">
            <v>#N/A</v>
          </cell>
          <cell r="M739" t="e">
            <v>#N/A</v>
          </cell>
          <cell r="N739" t="e">
            <v>#N/A</v>
          </cell>
          <cell r="O739" t="e">
            <v>#N/A</v>
          </cell>
          <cell r="P739">
            <v>55.39</v>
          </cell>
          <cell r="Q739" t="str">
            <v/>
          </cell>
          <cell r="R739" t="e">
            <v>#N/A</v>
          </cell>
        </row>
        <row r="740">
          <cell r="A740">
            <v>40289</v>
          </cell>
          <cell r="B740">
            <v>40289</v>
          </cell>
          <cell r="C740" t="str">
            <v>Future</v>
          </cell>
          <cell r="D740" t="e">
            <v>#N/A</v>
          </cell>
          <cell r="E740">
            <v>15.605912698412386</v>
          </cell>
          <cell r="F740">
            <v>62.292420634919992</v>
          </cell>
          <cell r="G740">
            <v>44.33607142857101</v>
          </cell>
          <cell r="H740">
            <v>44.33607142857101</v>
          </cell>
          <cell r="I740" t="e">
            <v>#N/A</v>
          </cell>
          <cell r="J740" t="e">
            <v>#N/A</v>
          </cell>
          <cell r="K740" t="e">
            <v>#N/A</v>
          </cell>
          <cell r="L740" t="e">
            <v>#N/A</v>
          </cell>
          <cell r="M740" t="e">
            <v>#N/A</v>
          </cell>
          <cell r="N740" t="e">
            <v>#N/A</v>
          </cell>
          <cell r="O740" t="e">
            <v>#N/A</v>
          </cell>
          <cell r="P740">
            <v>55.39</v>
          </cell>
          <cell r="Q740" t="str">
            <v/>
          </cell>
          <cell r="R740" t="e">
            <v>#N/A</v>
          </cell>
        </row>
        <row r="741">
          <cell r="A741">
            <v>40290</v>
          </cell>
          <cell r="B741">
            <v>40290</v>
          </cell>
          <cell r="C741" t="str">
            <v>Future</v>
          </cell>
          <cell r="D741" t="e">
            <v>#N/A</v>
          </cell>
          <cell r="E741">
            <v>15.386111111110798</v>
          </cell>
          <cell r="F741">
            <v>62.330555555554909</v>
          </cell>
          <cell r="G741">
            <v>44.274999999999579</v>
          </cell>
          <cell r="H741">
            <v>44.274999999999579</v>
          </cell>
          <cell r="I741" t="e">
            <v>#N/A</v>
          </cell>
          <cell r="J741" t="e">
            <v>#N/A</v>
          </cell>
          <cell r="K741" t="e">
            <v>#N/A</v>
          </cell>
          <cell r="L741" t="e">
            <v>#N/A</v>
          </cell>
          <cell r="M741" t="e">
            <v>#N/A</v>
          </cell>
          <cell r="N741" t="e">
            <v>#N/A</v>
          </cell>
          <cell r="O741" t="e">
            <v>#N/A</v>
          </cell>
          <cell r="P741">
            <v>55.39</v>
          </cell>
          <cell r="Q741" t="str">
            <v/>
          </cell>
          <cell r="R741" t="e">
            <v>#N/A</v>
          </cell>
        </row>
        <row r="742">
          <cell r="A742">
            <v>40291</v>
          </cell>
          <cell r="B742">
            <v>40291</v>
          </cell>
          <cell r="C742" t="str">
            <v>Future</v>
          </cell>
          <cell r="D742" t="e">
            <v>#N/A</v>
          </cell>
          <cell r="E742">
            <v>15.166309523809211</v>
          </cell>
          <cell r="F742">
            <v>62.368690476189826</v>
          </cell>
          <cell r="G742">
            <v>44.213928571428148</v>
          </cell>
          <cell r="H742">
            <v>44.213928571428148</v>
          </cell>
          <cell r="I742" t="e">
            <v>#N/A</v>
          </cell>
          <cell r="J742" t="e">
            <v>#N/A</v>
          </cell>
          <cell r="K742" t="e">
            <v>#N/A</v>
          </cell>
          <cell r="L742" t="e">
            <v>#N/A</v>
          </cell>
          <cell r="M742" t="e">
            <v>#N/A</v>
          </cell>
          <cell r="N742" t="e">
            <v>#N/A</v>
          </cell>
          <cell r="O742" t="e">
            <v>#N/A</v>
          </cell>
          <cell r="P742">
            <v>55.39</v>
          </cell>
          <cell r="Q742" t="str">
            <v/>
          </cell>
          <cell r="R742" t="e">
            <v>#N/A</v>
          </cell>
        </row>
        <row r="743">
          <cell r="A743">
            <v>40294</v>
          </cell>
          <cell r="B743">
            <v>40294</v>
          </cell>
          <cell r="C743" t="str">
            <v>Future</v>
          </cell>
          <cell r="D743" t="e">
            <v>#N/A</v>
          </cell>
          <cell r="E743">
            <v>14.946507936507624</v>
          </cell>
          <cell r="F743">
            <v>62.406825396824743</v>
          </cell>
          <cell r="G743">
            <v>44.152857142856718</v>
          </cell>
          <cell r="H743">
            <v>44.152857142856718</v>
          </cell>
          <cell r="I743" t="e">
            <v>#N/A</v>
          </cell>
          <cell r="J743" t="e">
            <v>#N/A</v>
          </cell>
          <cell r="K743" t="e">
            <v>#N/A</v>
          </cell>
          <cell r="L743" t="e">
            <v>#N/A</v>
          </cell>
          <cell r="M743" t="e">
            <v>#N/A</v>
          </cell>
          <cell r="N743" t="e">
            <v>#N/A</v>
          </cell>
          <cell r="O743" t="e">
            <v>#N/A</v>
          </cell>
          <cell r="P743">
            <v>55.39</v>
          </cell>
          <cell r="Q743" t="str">
            <v/>
          </cell>
          <cell r="R743" t="e">
            <v>#N/A</v>
          </cell>
        </row>
        <row r="744">
          <cell r="A744">
            <v>40295</v>
          </cell>
          <cell r="B744">
            <v>40295</v>
          </cell>
          <cell r="C744" t="str">
            <v>Future</v>
          </cell>
          <cell r="D744" t="e">
            <v>#N/A</v>
          </cell>
          <cell r="E744">
            <v>14.726706349206037</v>
          </cell>
          <cell r="F744">
            <v>62.44496031745966</v>
          </cell>
          <cell r="G744">
            <v>44.091785714285287</v>
          </cell>
          <cell r="H744">
            <v>44.091785714285287</v>
          </cell>
          <cell r="I744" t="e">
            <v>#N/A</v>
          </cell>
          <cell r="J744" t="e">
            <v>#N/A</v>
          </cell>
          <cell r="K744" t="e">
            <v>#N/A</v>
          </cell>
          <cell r="L744" t="e">
            <v>#N/A</v>
          </cell>
          <cell r="M744" t="e">
            <v>#N/A</v>
          </cell>
          <cell r="N744" t="e">
            <v>#N/A</v>
          </cell>
          <cell r="O744" t="e">
            <v>#N/A</v>
          </cell>
          <cell r="P744">
            <v>55.39</v>
          </cell>
          <cell r="Q744" t="str">
            <v/>
          </cell>
          <cell r="R744" t="e">
            <v>#N/A</v>
          </cell>
        </row>
        <row r="745">
          <cell r="A745">
            <v>40296</v>
          </cell>
          <cell r="B745">
            <v>40296</v>
          </cell>
          <cell r="C745" t="str">
            <v>Future</v>
          </cell>
          <cell r="D745" t="e">
            <v>#N/A</v>
          </cell>
          <cell r="E745">
            <v>14.506904761904449</v>
          </cell>
          <cell r="F745">
            <v>62.483095238094577</v>
          </cell>
          <cell r="G745">
            <v>44.030714285713856</v>
          </cell>
          <cell r="H745">
            <v>44.030714285713856</v>
          </cell>
          <cell r="I745" t="e">
            <v>#N/A</v>
          </cell>
          <cell r="J745" t="e">
            <v>#N/A</v>
          </cell>
          <cell r="K745" t="e">
            <v>#N/A</v>
          </cell>
          <cell r="L745" t="e">
            <v>#N/A</v>
          </cell>
          <cell r="M745" t="e">
            <v>#N/A</v>
          </cell>
          <cell r="N745" t="e">
            <v>#N/A</v>
          </cell>
          <cell r="O745" t="e">
            <v>#N/A</v>
          </cell>
          <cell r="P745">
            <v>55.39</v>
          </cell>
          <cell r="Q745" t="str">
            <v/>
          </cell>
          <cell r="R745" t="e">
            <v>#N/A</v>
          </cell>
        </row>
        <row r="746">
          <cell r="A746">
            <v>40297</v>
          </cell>
          <cell r="B746">
            <v>40297</v>
          </cell>
          <cell r="C746" t="str">
            <v>Future</v>
          </cell>
          <cell r="D746" t="e">
            <v>#N/A</v>
          </cell>
          <cell r="E746">
            <v>14.287103174602862</v>
          </cell>
          <cell r="F746">
            <v>62.521230158729495</v>
          </cell>
          <cell r="G746">
            <v>43.969642857142425</v>
          </cell>
          <cell r="H746">
            <v>43.969642857142425</v>
          </cell>
          <cell r="I746" t="e">
            <v>#N/A</v>
          </cell>
          <cell r="J746" t="e">
            <v>#N/A</v>
          </cell>
          <cell r="K746" t="e">
            <v>#N/A</v>
          </cell>
          <cell r="L746" t="e">
            <v>#N/A</v>
          </cell>
          <cell r="M746" t="e">
            <v>#N/A</v>
          </cell>
          <cell r="N746" t="e">
            <v>#N/A</v>
          </cell>
          <cell r="O746" t="e">
            <v>#N/A</v>
          </cell>
          <cell r="P746">
            <v>55.39</v>
          </cell>
          <cell r="Q746" t="str">
            <v/>
          </cell>
          <cell r="R746" t="e">
            <v>#N/A</v>
          </cell>
        </row>
        <row r="747">
          <cell r="A747">
            <v>40298</v>
          </cell>
          <cell r="B747">
            <v>40298</v>
          </cell>
          <cell r="C747" t="str">
            <v>Future</v>
          </cell>
          <cell r="D747" t="e">
            <v>#N/A</v>
          </cell>
          <cell r="E747">
            <v>14.067301587301275</v>
          </cell>
          <cell r="F747">
            <v>62.559365079364412</v>
          </cell>
          <cell r="G747">
            <v>43.908571428570994</v>
          </cell>
          <cell r="H747">
            <v>43.908571428570994</v>
          </cell>
          <cell r="I747" t="e">
            <v>#N/A</v>
          </cell>
          <cell r="J747" t="e">
            <v>#N/A</v>
          </cell>
          <cell r="K747" t="e">
            <v>#N/A</v>
          </cell>
          <cell r="L747" t="e">
            <v>#N/A</v>
          </cell>
          <cell r="M747" t="e">
            <v>#N/A</v>
          </cell>
          <cell r="N747" t="e">
            <v>#N/A</v>
          </cell>
          <cell r="O747" t="e">
            <v>#N/A</v>
          </cell>
          <cell r="P747">
            <v>55.39</v>
          </cell>
          <cell r="Q747" t="str">
            <v/>
          </cell>
          <cell r="R747" t="e">
            <v>#N/A</v>
          </cell>
        </row>
        <row r="748">
          <cell r="A748">
            <v>40301</v>
          </cell>
          <cell r="B748">
            <v>40301</v>
          </cell>
          <cell r="C748" t="str">
            <v>Future</v>
          </cell>
          <cell r="D748" t="e">
            <v>#N/A</v>
          </cell>
          <cell r="E748">
            <v>13.847499999999688</v>
          </cell>
          <cell r="F748">
            <v>62.597499999999329</v>
          </cell>
          <cell r="G748">
            <v>43.847499999999563</v>
          </cell>
          <cell r="H748">
            <v>43.847499999999563</v>
          </cell>
          <cell r="I748" t="e">
            <v>#N/A</v>
          </cell>
          <cell r="J748" t="e">
            <v>#N/A</v>
          </cell>
          <cell r="K748" t="e">
            <v>#N/A</v>
          </cell>
          <cell r="L748" t="e">
            <v>#N/A</v>
          </cell>
          <cell r="M748" t="e">
            <v>#N/A</v>
          </cell>
          <cell r="N748" t="e">
            <v>#N/A</v>
          </cell>
          <cell r="O748" t="e">
            <v>#N/A</v>
          </cell>
          <cell r="P748">
            <v>55.39</v>
          </cell>
          <cell r="Q748" t="str">
            <v/>
          </cell>
          <cell r="R748" t="e">
            <v>#N/A</v>
          </cell>
        </row>
        <row r="749">
          <cell r="A749">
            <v>40302</v>
          </cell>
          <cell r="B749">
            <v>40302</v>
          </cell>
          <cell r="C749" t="str">
            <v>Future</v>
          </cell>
          <cell r="D749" t="e">
            <v>#N/A</v>
          </cell>
          <cell r="E749">
            <v>13.6276984126981</v>
          </cell>
          <cell r="F749">
            <v>62.635634920634246</v>
          </cell>
          <cell r="G749">
            <v>43.786428571428132</v>
          </cell>
          <cell r="H749">
            <v>43.786428571428132</v>
          </cell>
          <cell r="I749" t="e">
            <v>#N/A</v>
          </cell>
          <cell r="J749" t="e">
            <v>#N/A</v>
          </cell>
          <cell r="K749" t="e">
            <v>#N/A</v>
          </cell>
          <cell r="L749" t="e">
            <v>#N/A</v>
          </cell>
          <cell r="M749" t="e">
            <v>#N/A</v>
          </cell>
          <cell r="N749" t="e">
            <v>#N/A</v>
          </cell>
          <cell r="O749" t="e">
            <v>#N/A</v>
          </cell>
          <cell r="P749">
            <v>55.39</v>
          </cell>
          <cell r="Q749" t="str">
            <v/>
          </cell>
          <cell r="R749" t="e">
            <v>#N/A</v>
          </cell>
        </row>
        <row r="750">
          <cell r="A750">
            <v>40303</v>
          </cell>
          <cell r="B750">
            <v>40303</v>
          </cell>
          <cell r="C750" t="str">
            <v>Future</v>
          </cell>
          <cell r="D750" t="e">
            <v>#N/A</v>
          </cell>
          <cell r="E750">
            <v>13.407896825396513</v>
          </cell>
          <cell r="F750">
            <v>62.673769841269163</v>
          </cell>
          <cell r="G750">
            <v>43.725357142856701</v>
          </cell>
          <cell r="H750">
            <v>43.725357142856701</v>
          </cell>
          <cell r="I750" t="e">
            <v>#N/A</v>
          </cell>
          <cell r="J750" t="e">
            <v>#N/A</v>
          </cell>
          <cell r="K750" t="e">
            <v>#N/A</v>
          </cell>
          <cell r="L750" t="e">
            <v>#N/A</v>
          </cell>
          <cell r="M750" t="e">
            <v>#N/A</v>
          </cell>
          <cell r="N750" t="e">
            <v>#N/A</v>
          </cell>
          <cell r="O750" t="e">
            <v>#N/A</v>
          </cell>
          <cell r="P750">
            <v>55.39</v>
          </cell>
          <cell r="Q750" t="str">
            <v/>
          </cell>
          <cell r="R750" t="e">
            <v>#N/A</v>
          </cell>
        </row>
        <row r="751">
          <cell r="A751">
            <v>40304</v>
          </cell>
          <cell r="B751">
            <v>40304</v>
          </cell>
          <cell r="C751" t="str">
            <v>Future</v>
          </cell>
          <cell r="D751" t="e">
            <v>#N/A</v>
          </cell>
          <cell r="E751">
            <v>13.188095238094926</v>
          </cell>
          <cell r="F751">
            <v>62.71190476190408</v>
          </cell>
          <cell r="G751">
            <v>43.664285714285271</v>
          </cell>
          <cell r="H751">
            <v>43.664285714285271</v>
          </cell>
          <cell r="I751" t="e">
            <v>#N/A</v>
          </cell>
          <cell r="J751" t="e">
            <v>#N/A</v>
          </cell>
          <cell r="K751" t="e">
            <v>#N/A</v>
          </cell>
          <cell r="L751" t="e">
            <v>#N/A</v>
          </cell>
          <cell r="M751" t="e">
            <v>#N/A</v>
          </cell>
          <cell r="N751" t="e">
            <v>#N/A</v>
          </cell>
          <cell r="O751" t="e">
            <v>#N/A</v>
          </cell>
          <cell r="P751">
            <v>55.39</v>
          </cell>
          <cell r="Q751" t="str">
            <v/>
          </cell>
          <cell r="R751" t="e">
            <v>#N/A</v>
          </cell>
        </row>
        <row r="752">
          <cell r="A752">
            <v>40305</v>
          </cell>
          <cell r="B752">
            <v>40305</v>
          </cell>
          <cell r="C752" t="str">
            <v>Future</v>
          </cell>
          <cell r="D752" t="e">
            <v>#N/A</v>
          </cell>
          <cell r="E752">
            <v>12.968293650793338</v>
          </cell>
          <cell r="F752">
            <v>62.750039682538997</v>
          </cell>
          <cell r="G752">
            <v>43.60321428571384</v>
          </cell>
          <cell r="H752">
            <v>43.60321428571384</v>
          </cell>
          <cell r="I752" t="e">
            <v>#N/A</v>
          </cell>
          <cell r="J752" t="e">
            <v>#N/A</v>
          </cell>
          <cell r="K752" t="e">
            <v>#N/A</v>
          </cell>
          <cell r="L752" t="e">
            <v>#N/A</v>
          </cell>
          <cell r="M752" t="e">
            <v>#N/A</v>
          </cell>
          <cell r="N752" t="e">
            <v>#N/A</v>
          </cell>
          <cell r="O752" t="e">
            <v>#N/A</v>
          </cell>
          <cell r="P752">
            <v>55.39</v>
          </cell>
          <cell r="Q752" t="str">
            <v/>
          </cell>
          <cell r="R752" t="e">
            <v>#N/A</v>
          </cell>
        </row>
        <row r="753">
          <cell r="A753">
            <v>40308</v>
          </cell>
          <cell r="B753">
            <v>40308</v>
          </cell>
          <cell r="C753" t="str">
            <v>Future</v>
          </cell>
          <cell r="D753" t="e">
            <v>#N/A</v>
          </cell>
          <cell r="E753">
            <v>12.748492063491751</v>
          </cell>
          <cell r="F753">
            <v>62.788174603173914</v>
          </cell>
          <cell r="G753">
            <v>43.542142857142409</v>
          </cell>
          <cell r="H753">
            <v>43.542142857142409</v>
          </cell>
          <cell r="I753" t="e">
            <v>#N/A</v>
          </cell>
          <cell r="J753" t="e">
            <v>#N/A</v>
          </cell>
          <cell r="K753" t="e">
            <v>#N/A</v>
          </cell>
          <cell r="L753" t="e">
            <v>#N/A</v>
          </cell>
          <cell r="M753" t="e">
            <v>#N/A</v>
          </cell>
          <cell r="N753" t="e">
            <v>#N/A</v>
          </cell>
          <cell r="O753" t="e">
            <v>#N/A</v>
          </cell>
          <cell r="P753">
            <v>55.39</v>
          </cell>
          <cell r="Q753" t="str">
            <v/>
          </cell>
          <cell r="R753" t="e">
            <v>#N/A</v>
          </cell>
        </row>
        <row r="754">
          <cell r="A754">
            <v>40309</v>
          </cell>
          <cell r="B754">
            <v>40309</v>
          </cell>
          <cell r="C754" t="str">
            <v>Future</v>
          </cell>
          <cell r="D754" t="e">
            <v>#N/A</v>
          </cell>
          <cell r="E754">
            <v>12.528690476190164</v>
          </cell>
          <cell r="F754">
            <v>62.826309523808831</v>
          </cell>
          <cell r="G754">
            <v>43.481071428570978</v>
          </cell>
          <cell r="H754">
            <v>43.481071428570978</v>
          </cell>
          <cell r="I754" t="e">
            <v>#N/A</v>
          </cell>
          <cell r="J754" t="e">
            <v>#N/A</v>
          </cell>
          <cell r="K754" t="e">
            <v>#N/A</v>
          </cell>
          <cell r="L754" t="e">
            <v>#N/A</v>
          </cell>
          <cell r="M754" t="e">
            <v>#N/A</v>
          </cell>
          <cell r="N754" t="e">
            <v>#N/A</v>
          </cell>
          <cell r="O754" t="e">
            <v>#N/A</v>
          </cell>
          <cell r="P754">
            <v>55.39</v>
          </cell>
          <cell r="Q754" t="str">
            <v/>
          </cell>
          <cell r="R754" t="e">
            <v>#N/A</v>
          </cell>
        </row>
        <row r="755">
          <cell r="A755">
            <v>40310</v>
          </cell>
          <cell r="B755">
            <v>40310</v>
          </cell>
          <cell r="C755" t="str">
            <v>Future</v>
          </cell>
          <cell r="D755" t="e">
            <v>#N/A</v>
          </cell>
          <cell r="E755">
            <v>12.308888888888577</v>
          </cell>
          <cell r="F755">
            <v>62.864444444443748</v>
          </cell>
          <cell r="G755">
            <v>43.419999999999547</v>
          </cell>
          <cell r="H755">
            <v>43.419999999999547</v>
          </cell>
          <cell r="I755" t="e">
            <v>#N/A</v>
          </cell>
          <cell r="J755" t="e">
            <v>#N/A</v>
          </cell>
          <cell r="K755" t="e">
            <v>#N/A</v>
          </cell>
          <cell r="L755" t="e">
            <v>#N/A</v>
          </cell>
          <cell r="M755" t="e">
            <v>#N/A</v>
          </cell>
          <cell r="N755" t="e">
            <v>#N/A</v>
          </cell>
          <cell r="O755" t="e">
            <v>#N/A</v>
          </cell>
          <cell r="P755">
            <v>55.39</v>
          </cell>
          <cell r="Q755" t="str">
            <v/>
          </cell>
          <cell r="R755" t="e">
            <v>#N/A</v>
          </cell>
        </row>
        <row r="756">
          <cell r="A756">
            <v>40311</v>
          </cell>
          <cell r="B756">
            <v>40311</v>
          </cell>
          <cell r="C756" t="str">
            <v>Future</v>
          </cell>
          <cell r="D756" t="e">
            <v>#N/A</v>
          </cell>
          <cell r="E756">
            <v>12.089087301586989</v>
          </cell>
          <cell r="F756">
            <v>62.902579365078665</v>
          </cell>
          <cell r="G756">
            <v>43.358928571428116</v>
          </cell>
          <cell r="H756">
            <v>43.358928571428116</v>
          </cell>
          <cell r="I756" t="e">
            <v>#N/A</v>
          </cell>
          <cell r="J756" t="e">
            <v>#N/A</v>
          </cell>
          <cell r="K756" t="e">
            <v>#N/A</v>
          </cell>
          <cell r="L756" t="e">
            <v>#N/A</v>
          </cell>
          <cell r="M756" t="e">
            <v>#N/A</v>
          </cell>
          <cell r="N756" t="e">
            <v>#N/A</v>
          </cell>
          <cell r="O756" t="e">
            <v>#N/A</v>
          </cell>
          <cell r="P756">
            <v>55.39</v>
          </cell>
          <cell r="Q756" t="str">
            <v/>
          </cell>
          <cell r="R756" t="e">
            <v>#N/A</v>
          </cell>
        </row>
        <row r="757">
          <cell r="A757">
            <v>40312</v>
          </cell>
          <cell r="B757">
            <v>40312</v>
          </cell>
          <cell r="C757" t="str">
            <v>Future</v>
          </cell>
          <cell r="D757" t="e">
            <v>#N/A</v>
          </cell>
          <cell r="E757">
            <v>11.869285714285402</v>
          </cell>
          <cell r="F757">
            <v>62.940714285713582</v>
          </cell>
          <cell r="G757">
            <v>43.297857142856685</v>
          </cell>
          <cell r="H757">
            <v>43.297857142856685</v>
          </cell>
          <cell r="I757" t="e">
            <v>#N/A</v>
          </cell>
          <cell r="J757" t="e">
            <v>#N/A</v>
          </cell>
          <cell r="K757" t="e">
            <v>#N/A</v>
          </cell>
          <cell r="L757" t="e">
            <v>#N/A</v>
          </cell>
          <cell r="M757" t="e">
            <v>#N/A</v>
          </cell>
          <cell r="N757" t="e">
            <v>#N/A</v>
          </cell>
          <cell r="O757" t="e">
            <v>#N/A</v>
          </cell>
          <cell r="P757">
            <v>55.39</v>
          </cell>
          <cell r="Q757" t="str">
            <v/>
          </cell>
          <cell r="R757" t="e">
            <v>#N/A</v>
          </cell>
        </row>
        <row r="758">
          <cell r="A758">
            <v>40315</v>
          </cell>
          <cell r="B758">
            <v>40315</v>
          </cell>
          <cell r="C758" t="str">
            <v>Future</v>
          </cell>
          <cell r="D758" t="e">
            <v>#N/A</v>
          </cell>
          <cell r="E758">
            <v>11.649484126983815</v>
          </cell>
          <cell r="F758">
            <v>62.978849206348499</v>
          </cell>
          <cell r="G758">
            <v>43.236785714285254</v>
          </cell>
          <cell r="H758">
            <v>43.236785714285254</v>
          </cell>
          <cell r="I758" t="e">
            <v>#N/A</v>
          </cell>
          <cell r="J758" t="e">
            <v>#N/A</v>
          </cell>
          <cell r="K758" t="e">
            <v>#N/A</v>
          </cell>
          <cell r="L758" t="e">
            <v>#N/A</v>
          </cell>
          <cell r="M758" t="e">
            <v>#N/A</v>
          </cell>
          <cell r="N758" t="e">
            <v>#N/A</v>
          </cell>
          <cell r="O758" t="e">
            <v>#N/A</v>
          </cell>
          <cell r="P758">
            <v>55.39</v>
          </cell>
          <cell r="Q758" t="str">
            <v/>
          </cell>
          <cell r="R758" t="e">
            <v>#N/A</v>
          </cell>
        </row>
        <row r="759">
          <cell r="A759">
            <v>40316</v>
          </cell>
          <cell r="B759">
            <v>40316</v>
          </cell>
          <cell r="C759" t="str">
            <v>Future</v>
          </cell>
          <cell r="D759" t="e">
            <v>#N/A</v>
          </cell>
          <cell r="E759">
            <v>11.429682539682227</v>
          </cell>
          <cell r="F759">
            <v>63.016984126983417</v>
          </cell>
          <cell r="G759">
            <v>43.175714285713823</v>
          </cell>
          <cell r="H759">
            <v>43.175714285713823</v>
          </cell>
          <cell r="I759" t="e">
            <v>#N/A</v>
          </cell>
          <cell r="J759" t="e">
            <v>#N/A</v>
          </cell>
          <cell r="K759" t="e">
            <v>#N/A</v>
          </cell>
          <cell r="L759" t="e">
            <v>#N/A</v>
          </cell>
          <cell r="M759" t="e">
            <v>#N/A</v>
          </cell>
          <cell r="N759" t="e">
            <v>#N/A</v>
          </cell>
          <cell r="O759" t="e">
            <v>#N/A</v>
          </cell>
          <cell r="P759">
            <v>55.39</v>
          </cell>
          <cell r="Q759" t="str">
            <v/>
          </cell>
          <cell r="R759" t="e">
            <v>#N/A</v>
          </cell>
        </row>
        <row r="760">
          <cell r="A760">
            <v>40317</v>
          </cell>
          <cell r="B760">
            <v>40317</v>
          </cell>
          <cell r="C760" t="str">
            <v>Future</v>
          </cell>
          <cell r="D760" t="e">
            <v>#N/A</v>
          </cell>
          <cell r="E760">
            <v>11.20988095238064</v>
          </cell>
          <cell r="F760">
            <v>63.055119047618334</v>
          </cell>
          <cell r="G760">
            <v>43.114642857142393</v>
          </cell>
          <cell r="H760">
            <v>43.114642857142393</v>
          </cell>
          <cell r="I760" t="e">
            <v>#N/A</v>
          </cell>
          <cell r="J760" t="e">
            <v>#N/A</v>
          </cell>
          <cell r="K760" t="e">
            <v>#N/A</v>
          </cell>
          <cell r="L760" t="e">
            <v>#N/A</v>
          </cell>
          <cell r="M760" t="e">
            <v>#N/A</v>
          </cell>
          <cell r="N760" t="e">
            <v>#N/A</v>
          </cell>
          <cell r="O760" t="e">
            <v>#N/A</v>
          </cell>
          <cell r="P760">
            <v>55.39</v>
          </cell>
          <cell r="Q760" t="str">
            <v/>
          </cell>
          <cell r="R760" t="e">
            <v>#N/A</v>
          </cell>
        </row>
        <row r="761">
          <cell r="A761">
            <v>40318</v>
          </cell>
          <cell r="B761">
            <v>40318</v>
          </cell>
          <cell r="C761" t="str">
            <v>Future</v>
          </cell>
          <cell r="D761" t="e">
            <v>#N/A</v>
          </cell>
          <cell r="E761">
            <v>10.990079365079053</v>
          </cell>
          <cell r="F761">
            <v>63.093253968253251</v>
          </cell>
          <cell r="G761">
            <v>43.053571428570962</v>
          </cell>
          <cell r="H761">
            <v>43.053571428570962</v>
          </cell>
          <cell r="I761" t="e">
            <v>#N/A</v>
          </cell>
          <cell r="J761" t="e">
            <v>#N/A</v>
          </cell>
          <cell r="K761" t="e">
            <v>#N/A</v>
          </cell>
          <cell r="L761" t="e">
            <v>#N/A</v>
          </cell>
          <cell r="M761" t="e">
            <v>#N/A</v>
          </cell>
          <cell r="N761" t="e">
            <v>#N/A</v>
          </cell>
          <cell r="O761" t="e">
            <v>#N/A</v>
          </cell>
          <cell r="P761">
            <v>55.39</v>
          </cell>
          <cell r="Q761" t="str">
            <v/>
          </cell>
          <cell r="R761" t="e">
            <v>#N/A</v>
          </cell>
        </row>
        <row r="762">
          <cell r="A762">
            <v>40319</v>
          </cell>
          <cell r="B762">
            <v>40319</v>
          </cell>
          <cell r="C762" t="str">
            <v>Future</v>
          </cell>
          <cell r="D762" t="e">
            <v>#N/A</v>
          </cell>
          <cell r="E762">
            <v>10.770277777777466</v>
          </cell>
          <cell r="F762">
            <v>63.131388888888168</v>
          </cell>
          <cell r="G762">
            <v>42.992499999999531</v>
          </cell>
          <cell r="H762">
            <v>42.992499999999531</v>
          </cell>
          <cell r="I762" t="e">
            <v>#N/A</v>
          </cell>
          <cell r="J762" t="e">
            <v>#N/A</v>
          </cell>
          <cell r="K762" t="e">
            <v>#N/A</v>
          </cell>
          <cell r="L762" t="e">
            <v>#N/A</v>
          </cell>
          <cell r="M762" t="e">
            <v>#N/A</v>
          </cell>
          <cell r="N762" t="e">
            <v>#N/A</v>
          </cell>
          <cell r="O762" t="e">
            <v>#N/A</v>
          </cell>
          <cell r="P762">
            <v>55.39</v>
          </cell>
          <cell r="Q762" t="str">
            <v/>
          </cell>
          <cell r="R762" t="e">
            <v>#N/A</v>
          </cell>
        </row>
        <row r="763">
          <cell r="A763">
            <v>40322</v>
          </cell>
          <cell r="B763">
            <v>40322</v>
          </cell>
          <cell r="C763" t="str">
            <v>Future</v>
          </cell>
          <cell r="D763" t="e">
            <v>#N/A</v>
          </cell>
          <cell r="E763">
            <v>10.550476190475878</v>
          </cell>
          <cell r="F763">
            <v>63.169523809523085</v>
          </cell>
          <cell r="G763">
            <v>42.9314285714281</v>
          </cell>
          <cell r="H763">
            <v>42.9314285714281</v>
          </cell>
          <cell r="I763" t="e">
            <v>#N/A</v>
          </cell>
          <cell r="J763" t="e">
            <v>#N/A</v>
          </cell>
          <cell r="K763" t="e">
            <v>#N/A</v>
          </cell>
          <cell r="L763" t="e">
            <v>#N/A</v>
          </cell>
          <cell r="M763" t="e">
            <v>#N/A</v>
          </cell>
          <cell r="N763" t="e">
            <v>#N/A</v>
          </cell>
          <cell r="O763" t="e">
            <v>#N/A</v>
          </cell>
          <cell r="P763">
            <v>55.39</v>
          </cell>
          <cell r="Q763" t="str">
            <v/>
          </cell>
          <cell r="R763" t="e">
            <v>#N/A</v>
          </cell>
        </row>
        <row r="764">
          <cell r="A764">
            <v>40323</v>
          </cell>
          <cell r="B764">
            <v>40323</v>
          </cell>
          <cell r="C764" t="str">
            <v>Future</v>
          </cell>
          <cell r="D764" t="e">
            <v>#N/A</v>
          </cell>
          <cell r="E764">
            <v>10.330674603174291</v>
          </cell>
          <cell r="F764">
            <v>63.207658730158002</v>
          </cell>
          <cell r="G764">
            <v>42.870357142856669</v>
          </cell>
          <cell r="H764">
            <v>42.870357142856669</v>
          </cell>
          <cell r="I764" t="e">
            <v>#N/A</v>
          </cell>
          <cell r="J764" t="e">
            <v>#N/A</v>
          </cell>
          <cell r="K764" t="e">
            <v>#N/A</v>
          </cell>
          <cell r="L764" t="e">
            <v>#N/A</v>
          </cell>
          <cell r="M764" t="e">
            <v>#N/A</v>
          </cell>
          <cell r="N764" t="e">
            <v>#N/A</v>
          </cell>
          <cell r="O764" t="e">
            <v>#N/A</v>
          </cell>
          <cell r="P764">
            <v>55.39</v>
          </cell>
          <cell r="Q764" t="str">
            <v/>
          </cell>
          <cell r="R764" t="e">
            <v>#N/A</v>
          </cell>
        </row>
        <row r="765">
          <cell r="A765">
            <v>40324</v>
          </cell>
          <cell r="B765">
            <v>40324</v>
          </cell>
          <cell r="C765" t="str">
            <v>Future</v>
          </cell>
          <cell r="D765" t="e">
            <v>#N/A</v>
          </cell>
          <cell r="E765">
            <v>10.110873015872704</v>
          </cell>
          <cell r="F765">
            <v>63.245793650792919</v>
          </cell>
          <cell r="G765">
            <v>42.809285714285238</v>
          </cell>
          <cell r="H765">
            <v>42.809285714285238</v>
          </cell>
          <cell r="I765" t="e">
            <v>#N/A</v>
          </cell>
          <cell r="J765" t="e">
            <v>#N/A</v>
          </cell>
          <cell r="K765" t="e">
            <v>#N/A</v>
          </cell>
          <cell r="L765" t="e">
            <v>#N/A</v>
          </cell>
          <cell r="M765" t="e">
            <v>#N/A</v>
          </cell>
          <cell r="N765" t="e">
            <v>#N/A</v>
          </cell>
          <cell r="O765" t="e">
            <v>#N/A</v>
          </cell>
          <cell r="P765">
            <v>55.39</v>
          </cell>
          <cell r="Q765" t="str">
            <v/>
          </cell>
          <cell r="R765" t="e">
            <v>#N/A</v>
          </cell>
        </row>
        <row r="766">
          <cell r="A766">
            <v>40325</v>
          </cell>
          <cell r="B766">
            <v>40325</v>
          </cell>
          <cell r="C766" t="str">
            <v>Future</v>
          </cell>
          <cell r="D766" t="e">
            <v>#N/A</v>
          </cell>
          <cell r="E766">
            <v>9.8910714285711165</v>
          </cell>
          <cell r="F766">
            <v>63.283928571427836</v>
          </cell>
          <cell r="G766">
            <v>42.748214285713807</v>
          </cell>
          <cell r="H766">
            <v>42.748214285713807</v>
          </cell>
          <cell r="I766" t="e">
            <v>#N/A</v>
          </cell>
          <cell r="J766" t="e">
            <v>#N/A</v>
          </cell>
          <cell r="K766" t="e">
            <v>#N/A</v>
          </cell>
          <cell r="L766" t="e">
            <v>#N/A</v>
          </cell>
          <cell r="M766" t="e">
            <v>#N/A</v>
          </cell>
          <cell r="N766" t="e">
            <v>#N/A</v>
          </cell>
          <cell r="O766" t="e">
            <v>#N/A</v>
          </cell>
          <cell r="P766">
            <v>55.39</v>
          </cell>
          <cell r="Q766" t="str">
            <v/>
          </cell>
          <cell r="R766" t="e">
            <v>#N/A</v>
          </cell>
        </row>
        <row r="767">
          <cell r="A767">
            <v>40326</v>
          </cell>
          <cell r="B767">
            <v>40326</v>
          </cell>
          <cell r="C767" t="str">
            <v>Future</v>
          </cell>
          <cell r="D767" t="e">
            <v>#N/A</v>
          </cell>
          <cell r="E767">
            <v>9.6712698412695293</v>
          </cell>
          <cell r="F767">
            <v>63.322063492062753</v>
          </cell>
          <cell r="G767">
            <v>42.687142857142376</v>
          </cell>
          <cell r="H767">
            <v>42.687142857142376</v>
          </cell>
          <cell r="I767" t="e">
            <v>#N/A</v>
          </cell>
          <cell r="J767" t="e">
            <v>#N/A</v>
          </cell>
          <cell r="K767" t="e">
            <v>#N/A</v>
          </cell>
          <cell r="L767" t="e">
            <v>#N/A</v>
          </cell>
          <cell r="M767" t="e">
            <v>#N/A</v>
          </cell>
          <cell r="N767" t="e">
            <v>#N/A</v>
          </cell>
          <cell r="O767" t="e">
            <v>#N/A</v>
          </cell>
          <cell r="P767">
            <v>55.39</v>
          </cell>
          <cell r="Q767" t="str">
            <v/>
          </cell>
          <cell r="R767" t="e">
            <v>#N/A</v>
          </cell>
        </row>
        <row r="768">
          <cell r="A768">
            <v>40330</v>
          </cell>
          <cell r="B768">
            <v>40330</v>
          </cell>
          <cell r="C768" t="str">
            <v>Future</v>
          </cell>
          <cell r="D768" t="e">
            <v>#N/A</v>
          </cell>
          <cell r="E768">
            <v>9.451468253967942</v>
          </cell>
          <cell r="F768">
            <v>63.36019841269767</v>
          </cell>
          <cell r="G768">
            <v>42.626071428570945</v>
          </cell>
          <cell r="H768">
            <v>42.626071428570945</v>
          </cell>
          <cell r="I768" t="e">
            <v>#N/A</v>
          </cell>
          <cell r="J768" t="e">
            <v>#N/A</v>
          </cell>
          <cell r="K768" t="e">
            <v>#N/A</v>
          </cell>
          <cell r="L768" t="e">
            <v>#N/A</v>
          </cell>
          <cell r="M768" t="e">
            <v>#N/A</v>
          </cell>
          <cell r="N768" t="e">
            <v>#N/A</v>
          </cell>
          <cell r="O768" t="e">
            <v>#N/A</v>
          </cell>
          <cell r="P768">
            <v>55.39</v>
          </cell>
          <cell r="Q768" t="str">
            <v/>
          </cell>
          <cell r="R768" t="e">
            <v>#N/A</v>
          </cell>
        </row>
        <row r="769">
          <cell r="A769">
            <v>40331</v>
          </cell>
          <cell r="B769">
            <v>40331</v>
          </cell>
          <cell r="C769" t="str">
            <v>Future</v>
          </cell>
          <cell r="D769" t="e">
            <v>#N/A</v>
          </cell>
          <cell r="E769">
            <v>9.2316666666663547</v>
          </cell>
          <cell r="F769">
            <v>63.398333333332587</v>
          </cell>
          <cell r="G769">
            <v>42.564999999999515</v>
          </cell>
          <cell r="H769">
            <v>42.564999999999515</v>
          </cell>
          <cell r="I769" t="e">
            <v>#N/A</v>
          </cell>
          <cell r="J769" t="e">
            <v>#N/A</v>
          </cell>
          <cell r="K769" t="e">
            <v>#N/A</v>
          </cell>
          <cell r="L769" t="e">
            <v>#N/A</v>
          </cell>
          <cell r="M769" t="e">
            <v>#N/A</v>
          </cell>
          <cell r="N769" t="e">
            <v>#N/A</v>
          </cell>
          <cell r="O769" t="e">
            <v>#N/A</v>
          </cell>
          <cell r="P769">
            <v>55.39</v>
          </cell>
          <cell r="Q769" t="str">
            <v/>
          </cell>
          <cell r="R769" t="e">
            <v>#N/A</v>
          </cell>
        </row>
        <row r="770">
          <cell r="A770">
            <v>40332</v>
          </cell>
          <cell r="B770">
            <v>40332</v>
          </cell>
          <cell r="C770" t="str">
            <v>Future</v>
          </cell>
          <cell r="D770" t="e">
            <v>#N/A</v>
          </cell>
          <cell r="E770">
            <v>9.0118650793647674</v>
          </cell>
          <cell r="F770">
            <v>63.436468253967504</v>
          </cell>
          <cell r="G770">
            <v>42.503928571428084</v>
          </cell>
          <cell r="H770">
            <v>42.503928571428084</v>
          </cell>
          <cell r="I770" t="e">
            <v>#N/A</v>
          </cell>
          <cell r="J770" t="e">
            <v>#N/A</v>
          </cell>
          <cell r="K770" t="e">
            <v>#N/A</v>
          </cell>
          <cell r="L770" t="e">
            <v>#N/A</v>
          </cell>
          <cell r="M770" t="e">
            <v>#N/A</v>
          </cell>
          <cell r="N770" t="e">
            <v>#N/A</v>
          </cell>
          <cell r="O770" t="e">
            <v>#N/A</v>
          </cell>
          <cell r="P770">
            <v>55.39</v>
          </cell>
          <cell r="Q770" t="str">
            <v/>
          </cell>
          <cell r="R770" t="e">
            <v>#N/A</v>
          </cell>
        </row>
        <row r="771">
          <cell r="A771">
            <v>40333</v>
          </cell>
          <cell r="B771">
            <v>40333</v>
          </cell>
          <cell r="C771" t="str">
            <v>Future</v>
          </cell>
          <cell r="D771" t="e">
            <v>#N/A</v>
          </cell>
          <cell r="E771">
            <v>8.7920634920631802</v>
          </cell>
          <cell r="F771">
            <v>63.474603174602422</v>
          </cell>
          <cell r="G771">
            <v>42.442857142856653</v>
          </cell>
          <cell r="H771">
            <v>42.442857142856653</v>
          </cell>
          <cell r="I771" t="e">
            <v>#N/A</v>
          </cell>
          <cell r="J771" t="e">
            <v>#N/A</v>
          </cell>
          <cell r="K771" t="e">
            <v>#N/A</v>
          </cell>
          <cell r="L771" t="e">
            <v>#N/A</v>
          </cell>
          <cell r="M771" t="e">
            <v>#N/A</v>
          </cell>
          <cell r="N771" t="e">
            <v>#N/A</v>
          </cell>
          <cell r="O771" t="e">
            <v>#N/A</v>
          </cell>
          <cell r="P771">
            <v>55.39</v>
          </cell>
          <cell r="Q771" t="str">
            <v/>
          </cell>
          <cell r="R771" t="e">
            <v>#N/A</v>
          </cell>
        </row>
        <row r="772">
          <cell r="A772">
            <v>40336</v>
          </cell>
          <cell r="B772">
            <v>40336</v>
          </cell>
          <cell r="C772" t="str">
            <v>Future</v>
          </cell>
          <cell r="D772" t="e">
            <v>#N/A</v>
          </cell>
          <cell r="E772">
            <v>8.5722619047615929</v>
          </cell>
          <cell r="F772">
            <v>63.512738095237339</v>
          </cell>
          <cell r="G772">
            <v>42.381785714285222</v>
          </cell>
          <cell r="H772">
            <v>42.381785714285222</v>
          </cell>
          <cell r="I772" t="e">
            <v>#N/A</v>
          </cell>
          <cell r="J772" t="e">
            <v>#N/A</v>
          </cell>
          <cell r="K772" t="e">
            <v>#N/A</v>
          </cell>
          <cell r="L772" t="e">
            <v>#N/A</v>
          </cell>
          <cell r="M772" t="e">
            <v>#N/A</v>
          </cell>
          <cell r="N772" t="e">
            <v>#N/A</v>
          </cell>
          <cell r="O772" t="e">
            <v>#N/A</v>
          </cell>
          <cell r="P772">
            <v>55.39</v>
          </cell>
          <cell r="Q772" t="str">
            <v/>
          </cell>
          <cell r="R772" t="e">
            <v>#N/A</v>
          </cell>
        </row>
        <row r="773">
          <cell r="A773">
            <v>40337</v>
          </cell>
          <cell r="B773">
            <v>40337</v>
          </cell>
          <cell r="C773" t="str">
            <v>Future</v>
          </cell>
          <cell r="D773" t="e">
            <v>#N/A</v>
          </cell>
          <cell r="E773">
            <v>8.3524603174600056</v>
          </cell>
          <cell r="F773">
            <v>63.550873015872256</v>
          </cell>
          <cell r="G773">
            <v>42.320714285713791</v>
          </cell>
          <cell r="H773">
            <v>42.320714285713791</v>
          </cell>
          <cell r="I773" t="e">
            <v>#N/A</v>
          </cell>
          <cell r="J773" t="e">
            <v>#N/A</v>
          </cell>
          <cell r="K773" t="e">
            <v>#N/A</v>
          </cell>
          <cell r="L773" t="e">
            <v>#N/A</v>
          </cell>
          <cell r="M773" t="e">
            <v>#N/A</v>
          </cell>
          <cell r="N773" t="e">
            <v>#N/A</v>
          </cell>
          <cell r="O773" t="e">
            <v>#N/A</v>
          </cell>
          <cell r="P773">
            <v>55.39</v>
          </cell>
          <cell r="Q773" t="str">
            <v/>
          </cell>
          <cell r="R773" t="e">
            <v>#N/A</v>
          </cell>
        </row>
        <row r="774">
          <cell r="A774">
            <v>40338</v>
          </cell>
          <cell r="B774">
            <v>40338</v>
          </cell>
          <cell r="C774" t="str">
            <v>Future</v>
          </cell>
          <cell r="D774" t="e">
            <v>#N/A</v>
          </cell>
          <cell r="E774">
            <v>8.1326587301584183</v>
          </cell>
          <cell r="F774">
            <v>63.589007936507173</v>
          </cell>
          <cell r="G774">
            <v>42.25964285714236</v>
          </cell>
          <cell r="H774">
            <v>42.25964285714236</v>
          </cell>
          <cell r="I774" t="e">
            <v>#N/A</v>
          </cell>
          <cell r="J774" t="e">
            <v>#N/A</v>
          </cell>
          <cell r="K774" t="e">
            <v>#N/A</v>
          </cell>
          <cell r="L774" t="e">
            <v>#N/A</v>
          </cell>
          <cell r="M774" t="e">
            <v>#N/A</v>
          </cell>
          <cell r="N774" t="e">
            <v>#N/A</v>
          </cell>
          <cell r="O774" t="e">
            <v>#N/A</v>
          </cell>
          <cell r="P774">
            <v>55.39</v>
          </cell>
          <cell r="Q774" t="str">
            <v/>
          </cell>
          <cell r="R774" t="e">
            <v>#N/A</v>
          </cell>
        </row>
        <row r="775">
          <cell r="A775">
            <v>40339</v>
          </cell>
          <cell r="B775">
            <v>40339</v>
          </cell>
          <cell r="C775" t="str">
            <v>Future</v>
          </cell>
          <cell r="D775" t="e">
            <v>#N/A</v>
          </cell>
          <cell r="E775">
            <v>7.9128571428568311</v>
          </cell>
          <cell r="F775">
            <v>63.62714285714209</v>
          </cell>
          <cell r="G775">
            <v>42.198571428570929</v>
          </cell>
          <cell r="H775">
            <v>42.198571428570929</v>
          </cell>
          <cell r="I775" t="e">
            <v>#N/A</v>
          </cell>
          <cell r="J775" t="e">
            <v>#N/A</v>
          </cell>
          <cell r="K775" t="e">
            <v>#N/A</v>
          </cell>
          <cell r="L775" t="e">
            <v>#N/A</v>
          </cell>
          <cell r="M775" t="e">
            <v>#N/A</v>
          </cell>
          <cell r="N775" t="e">
            <v>#N/A</v>
          </cell>
          <cell r="O775" t="e">
            <v>#N/A</v>
          </cell>
          <cell r="P775">
            <v>55.39</v>
          </cell>
          <cell r="Q775" t="str">
            <v/>
          </cell>
          <cell r="R775" t="e">
            <v>#N/A</v>
          </cell>
        </row>
        <row r="776">
          <cell r="A776">
            <v>40340</v>
          </cell>
          <cell r="B776">
            <v>40340</v>
          </cell>
          <cell r="C776" t="str">
            <v>Future</v>
          </cell>
          <cell r="D776" t="e">
            <v>#N/A</v>
          </cell>
          <cell r="E776">
            <v>7.6930555555552438</v>
          </cell>
          <cell r="F776">
            <v>63.665277777777007</v>
          </cell>
          <cell r="G776">
            <v>42.137499999999498</v>
          </cell>
          <cell r="H776">
            <v>42.137499999999498</v>
          </cell>
          <cell r="I776" t="e">
            <v>#N/A</v>
          </cell>
          <cell r="J776" t="e">
            <v>#N/A</v>
          </cell>
          <cell r="K776" t="e">
            <v>#N/A</v>
          </cell>
          <cell r="L776" t="e">
            <v>#N/A</v>
          </cell>
          <cell r="M776" t="e">
            <v>#N/A</v>
          </cell>
          <cell r="N776" t="e">
            <v>#N/A</v>
          </cell>
          <cell r="O776" t="e">
            <v>#N/A</v>
          </cell>
          <cell r="P776">
            <v>55.39</v>
          </cell>
          <cell r="Q776" t="str">
            <v/>
          </cell>
          <cell r="R776" t="e">
            <v>#N/A</v>
          </cell>
        </row>
        <row r="777">
          <cell r="A777">
            <v>40343</v>
          </cell>
          <cell r="B777">
            <v>40343</v>
          </cell>
          <cell r="C777" t="str">
            <v>Future</v>
          </cell>
          <cell r="D777" t="e">
            <v>#N/A</v>
          </cell>
          <cell r="E777">
            <v>7.4732539682536565</v>
          </cell>
          <cell r="F777">
            <v>63.703412698411924</v>
          </cell>
          <cell r="G777">
            <v>42.076428571428067</v>
          </cell>
          <cell r="H777">
            <v>42.076428571428067</v>
          </cell>
          <cell r="I777" t="e">
            <v>#N/A</v>
          </cell>
          <cell r="J777" t="e">
            <v>#N/A</v>
          </cell>
          <cell r="K777" t="e">
            <v>#N/A</v>
          </cell>
          <cell r="L777" t="e">
            <v>#N/A</v>
          </cell>
          <cell r="M777" t="e">
            <v>#N/A</v>
          </cell>
          <cell r="N777" t="e">
            <v>#N/A</v>
          </cell>
          <cell r="O777" t="e">
            <v>#N/A</v>
          </cell>
          <cell r="P777">
            <v>55.39</v>
          </cell>
          <cell r="Q777" t="str">
            <v/>
          </cell>
          <cell r="R777" t="e">
            <v>#N/A</v>
          </cell>
        </row>
        <row r="778">
          <cell r="A778">
            <v>40344</v>
          </cell>
          <cell r="B778">
            <v>40344</v>
          </cell>
          <cell r="C778" t="str">
            <v>Future</v>
          </cell>
          <cell r="D778" t="e">
            <v>#N/A</v>
          </cell>
          <cell r="E778">
            <v>7.2534523809520692</v>
          </cell>
          <cell r="F778">
            <v>63.741547619046841</v>
          </cell>
          <cell r="G778">
            <v>42.015357142856637</v>
          </cell>
          <cell r="H778">
            <v>42.015357142856637</v>
          </cell>
          <cell r="I778" t="e">
            <v>#N/A</v>
          </cell>
          <cell r="J778" t="e">
            <v>#N/A</v>
          </cell>
          <cell r="K778" t="e">
            <v>#N/A</v>
          </cell>
          <cell r="L778" t="e">
            <v>#N/A</v>
          </cell>
          <cell r="M778" t="e">
            <v>#N/A</v>
          </cell>
          <cell r="N778" t="e">
            <v>#N/A</v>
          </cell>
          <cell r="O778" t="e">
            <v>#N/A</v>
          </cell>
          <cell r="P778">
            <v>55.39</v>
          </cell>
          <cell r="Q778" t="str">
            <v/>
          </cell>
          <cell r="R778" t="e">
            <v>#N/A</v>
          </cell>
        </row>
        <row r="779">
          <cell r="A779">
            <v>40345</v>
          </cell>
          <cell r="B779">
            <v>40345</v>
          </cell>
          <cell r="C779" t="str">
            <v>Future</v>
          </cell>
          <cell r="D779" t="e">
            <v>#N/A</v>
          </cell>
          <cell r="E779">
            <v>7.033650793650482</v>
          </cell>
          <cell r="F779">
            <v>63.779682539681758</v>
          </cell>
          <cell r="G779">
            <v>41.954285714285206</v>
          </cell>
          <cell r="H779">
            <v>41.954285714285206</v>
          </cell>
          <cell r="I779" t="e">
            <v>#N/A</v>
          </cell>
          <cell r="J779" t="e">
            <v>#N/A</v>
          </cell>
          <cell r="K779" t="e">
            <v>#N/A</v>
          </cell>
          <cell r="L779" t="e">
            <v>#N/A</v>
          </cell>
          <cell r="M779" t="e">
            <v>#N/A</v>
          </cell>
          <cell r="N779" t="e">
            <v>#N/A</v>
          </cell>
          <cell r="O779" t="e">
            <v>#N/A</v>
          </cell>
          <cell r="P779">
            <v>55.39</v>
          </cell>
          <cell r="Q779" t="str">
            <v/>
          </cell>
          <cell r="R779" t="e">
            <v>#N/A</v>
          </cell>
        </row>
        <row r="780">
          <cell r="A780">
            <v>40346</v>
          </cell>
          <cell r="B780">
            <v>40346</v>
          </cell>
          <cell r="C780" t="str">
            <v>Future</v>
          </cell>
          <cell r="D780" t="e">
            <v>#N/A</v>
          </cell>
          <cell r="E780">
            <v>6.8138492063488947</v>
          </cell>
          <cell r="F780">
            <v>63.817817460316675</v>
          </cell>
          <cell r="G780">
            <v>41.893214285713775</v>
          </cell>
          <cell r="H780">
            <v>41.893214285713775</v>
          </cell>
          <cell r="I780" t="e">
            <v>#N/A</v>
          </cell>
          <cell r="J780" t="e">
            <v>#N/A</v>
          </cell>
          <cell r="K780" t="e">
            <v>#N/A</v>
          </cell>
          <cell r="L780" t="e">
            <v>#N/A</v>
          </cell>
          <cell r="M780" t="e">
            <v>#N/A</v>
          </cell>
          <cell r="N780" t="e">
            <v>#N/A</v>
          </cell>
          <cell r="O780" t="e">
            <v>#N/A</v>
          </cell>
          <cell r="P780">
            <v>55.39</v>
          </cell>
          <cell r="Q780" t="str">
            <v/>
          </cell>
          <cell r="R780" t="e">
            <v>#N/A</v>
          </cell>
        </row>
        <row r="781">
          <cell r="A781">
            <v>40347</v>
          </cell>
          <cell r="B781">
            <v>40347</v>
          </cell>
          <cell r="C781" t="str">
            <v>Future</v>
          </cell>
          <cell r="D781" t="e">
            <v>#N/A</v>
          </cell>
          <cell r="E781">
            <v>6.5940476190473074</v>
          </cell>
          <cell r="F781">
            <v>63.855952380951592</v>
          </cell>
          <cell r="G781">
            <v>41.832142857142344</v>
          </cell>
          <cell r="H781">
            <v>41.832142857142344</v>
          </cell>
          <cell r="I781" t="e">
            <v>#N/A</v>
          </cell>
          <cell r="J781" t="e">
            <v>#N/A</v>
          </cell>
          <cell r="K781" t="e">
            <v>#N/A</v>
          </cell>
          <cell r="L781" t="e">
            <v>#N/A</v>
          </cell>
          <cell r="M781" t="e">
            <v>#N/A</v>
          </cell>
          <cell r="N781" t="e">
            <v>#N/A</v>
          </cell>
          <cell r="O781" t="e">
            <v>#N/A</v>
          </cell>
          <cell r="P781">
            <v>55.39</v>
          </cell>
          <cell r="Q781" t="str">
            <v/>
          </cell>
          <cell r="R781" t="e">
            <v>#N/A</v>
          </cell>
        </row>
        <row r="782">
          <cell r="A782">
            <v>40350</v>
          </cell>
          <cell r="B782">
            <v>40350</v>
          </cell>
          <cell r="C782" t="str">
            <v>Future</v>
          </cell>
          <cell r="D782" t="e">
            <v>#N/A</v>
          </cell>
          <cell r="E782">
            <v>6.3742460317457201</v>
          </cell>
          <cell r="F782">
            <v>63.894087301586509</v>
          </cell>
          <cell r="G782">
            <v>41.771071428570913</v>
          </cell>
          <cell r="H782">
            <v>41.771071428570913</v>
          </cell>
          <cell r="I782" t="e">
            <v>#N/A</v>
          </cell>
          <cell r="J782" t="e">
            <v>#N/A</v>
          </cell>
          <cell r="K782" t="e">
            <v>#N/A</v>
          </cell>
          <cell r="L782" t="e">
            <v>#N/A</v>
          </cell>
          <cell r="M782" t="e">
            <v>#N/A</v>
          </cell>
          <cell r="N782" t="e">
            <v>#N/A</v>
          </cell>
          <cell r="O782" t="e">
            <v>#N/A</v>
          </cell>
          <cell r="P782">
            <v>55.39</v>
          </cell>
          <cell r="Q782" t="str">
            <v/>
          </cell>
          <cell r="R782" t="e">
            <v>#N/A</v>
          </cell>
        </row>
        <row r="783">
          <cell r="A783">
            <v>40351</v>
          </cell>
          <cell r="B783">
            <v>40351</v>
          </cell>
          <cell r="C783" t="str">
            <v>Future</v>
          </cell>
          <cell r="D783" t="e">
            <v>#N/A</v>
          </cell>
          <cell r="E783">
            <v>6.1544444444441329</v>
          </cell>
          <cell r="F783">
            <v>63.932222222221426</v>
          </cell>
          <cell r="G783">
            <v>41.709999999999482</v>
          </cell>
          <cell r="H783">
            <v>41.709999999999482</v>
          </cell>
          <cell r="I783" t="e">
            <v>#N/A</v>
          </cell>
          <cell r="J783" t="e">
            <v>#N/A</v>
          </cell>
          <cell r="K783" t="e">
            <v>#N/A</v>
          </cell>
          <cell r="L783" t="e">
            <v>#N/A</v>
          </cell>
          <cell r="M783" t="e">
            <v>#N/A</v>
          </cell>
          <cell r="N783" t="e">
            <v>#N/A</v>
          </cell>
          <cell r="O783" t="e">
            <v>#N/A</v>
          </cell>
          <cell r="P783">
            <v>55.39</v>
          </cell>
          <cell r="Q783" t="str">
            <v/>
          </cell>
          <cell r="R783" t="e">
            <v>#N/A</v>
          </cell>
        </row>
        <row r="784">
          <cell r="A784">
            <v>40352</v>
          </cell>
          <cell r="B784">
            <v>40352</v>
          </cell>
          <cell r="C784" t="str">
            <v>Future</v>
          </cell>
          <cell r="D784" t="e">
            <v>#N/A</v>
          </cell>
          <cell r="E784">
            <v>5.9346428571425456</v>
          </cell>
          <cell r="F784">
            <v>63.970357142856344</v>
          </cell>
          <cell r="G784">
            <v>41.648928571428051</v>
          </cell>
          <cell r="H784">
            <v>41.648928571428051</v>
          </cell>
          <cell r="I784" t="e">
            <v>#N/A</v>
          </cell>
          <cell r="J784" t="e">
            <v>#N/A</v>
          </cell>
          <cell r="K784" t="e">
            <v>#N/A</v>
          </cell>
          <cell r="L784" t="e">
            <v>#N/A</v>
          </cell>
          <cell r="M784" t="e">
            <v>#N/A</v>
          </cell>
          <cell r="N784" t="e">
            <v>#N/A</v>
          </cell>
          <cell r="O784" t="e">
            <v>#N/A</v>
          </cell>
          <cell r="P784">
            <v>55.39</v>
          </cell>
          <cell r="Q784" t="str">
            <v/>
          </cell>
          <cell r="R784" t="e">
            <v>#N/A</v>
          </cell>
        </row>
        <row r="785">
          <cell r="A785">
            <v>40353</v>
          </cell>
          <cell r="B785">
            <v>40353</v>
          </cell>
          <cell r="C785" t="str">
            <v>Future</v>
          </cell>
          <cell r="D785" t="e">
            <v>#N/A</v>
          </cell>
          <cell r="E785">
            <v>5.7148412698409583</v>
          </cell>
          <cell r="F785">
            <v>64.008492063491261</v>
          </cell>
          <cell r="G785">
            <v>41.58785714285662</v>
          </cell>
          <cell r="H785">
            <v>41.58785714285662</v>
          </cell>
          <cell r="I785" t="e">
            <v>#N/A</v>
          </cell>
          <cell r="J785" t="e">
            <v>#N/A</v>
          </cell>
          <cell r="K785" t="e">
            <v>#N/A</v>
          </cell>
          <cell r="L785" t="e">
            <v>#N/A</v>
          </cell>
          <cell r="M785" t="e">
            <v>#N/A</v>
          </cell>
          <cell r="N785" t="e">
            <v>#N/A</v>
          </cell>
          <cell r="O785" t="e">
            <v>#N/A</v>
          </cell>
          <cell r="P785">
            <v>55.39</v>
          </cell>
          <cell r="Q785" t="str">
            <v/>
          </cell>
          <cell r="R785" t="e">
            <v>#N/A</v>
          </cell>
        </row>
        <row r="786">
          <cell r="A786">
            <v>40354</v>
          </cell>
          <cell r="B786">
            <v>40354</v>
          </cell>
          <cell r="C786" t="str">
            <v>Future</v>
          </cell>
          <cell r="D786" t="e">
            <v>#N/A</v>
          </cell>
          <cell r="E786">
            <v>5.495039682539371</v>
          </cell>
          <cell r="F786">
            <v>64.046626984126178</v>
          </cell>
          <cell r="G786">
            <v>41.526785714285189</v>
          </cell>
          <cell r="H786">
            <v>41.526785714285189</v>
          </cell>
          <cell r="I786" t="e">
            <v>#N/A</v>
          </cell>
          <cell r="J786" t="e">
            <v>#N/A</v>
          </cell>
          <cell r="K786" t="e">
            <v>#N/A</v>
          </cell>
          <cell r="L786" t="e">
            <v>#N/A</v>
          </cell>
          <cell r="M786" t="e">
            <v>#N/A</v>
          </cell>
          <cell r="N786" t="e">
            <v>#N/A</v>
          </cell>
          <cell r="O786" t="e">
            <v>#N/A</v>
          </cell>
          <cell r="P786">
            <v>55.39</v>
          </cell>
          <cell r="Q786" t="str">
            <v/>
          </cell>
          <cell r="R786" t="e">
            <v>#N/A</v>
          </cell>
        </row>
        <row r="787">
          <cell r="A787">
            <v>40357</v>
          </cell>
          <cell r="B787">
            <v>40357</v>
          </cell>
          <cell r="C787" t="str">
            <v>Future</v>
          </cell>
          <cell r="D787" t="e">
            <v>#N/A</v>
          </cell>
          <cell r="E787">
            <v>5.2752380952377838</v>
          </cell>
          <cell r="F787">
            <v>64.084761904761095</v>
          </cell>
          <cell r="G787">
            <v>41.465714285713759</v>
          </cell>
          <cell r="H787">
            <v>41.465714285713759</v>
          </cell>
          <cell r="I787" t="e">
            <v>#N/A</v>
          </cell>
          <cell r="J787" t="e">
            <v>#N/A</v>
          </cell>
          <cell r="K787" t="e">
            <v>#N/A</v>
          </cell>
          <cell r="L787" t="e">
            <v>#N/A</v>
          </cell>
          <cell r="M787" t="e">
            <v>#N/A</v>
          </cell>
          <cell r="N787" t="e">
            <v>#N/A</v>
          </cell>
          <cell r="O787" t="e">
            <v>#N/A</v>
          </cell>
          <cell r="P787">
            <v>55.39</v>
          </cell>
          <cell r="Q787" t="str">
            <v/>
          </cell>
          <cell r="R787" t="e">
            <v>#N/A</v>
          </cell>
        </row>
        <row r="788">
          <cell r="A788">
            <v>40358</v>
          </cell>
          <cell r="B788">
            <v>40358</v>
          </cell>
          <cell r="C788" t="str">
            <v>Future</v>
          </cell>
          <cell r="D788" t="e">
            <v>#N/A</v>
          </cell>
          <cell r="E788">
            <v>5.0554365079361965</v>
          </cell>
          <cell r="F788">
            <v>64.122896825396012</v>
          </cell>
          <cell r="G788">
            <v>41.404642857142328</v>
          </cell>
          <cell r="H788">
            <v>41.404642857142328</v>
          </cell>
          <cell r="I788" t="e">
            <v>#N/A</v>
          </cell>
          <cell r="J788" t="e">
            <v>#N/A</v>
          </cell>
          <cell r="K788" t="e">
            <v>#N/A</v>
          </cell>
          <cell r="L788" t="e">
            <v>#N/A</v>
          </cell>
          <cell r="M788" t="e">
            <v>#N/A</v>
          </cell>
          <cell r="N788" t="e">
            <v>#N/A</v>
          </cell>
          <cell r="O788" t="e">
            <v>#N/A</v>
          </cell>
          <cell r="P788">
            <v>55.39</v>
          </cell>
          <cell r="Q788" t="str">
            <v/>
          </cell>
          <cell r="R788" t="e">
            <v>#N/A</v>
          </cell>
        </row>
        <row r="789">
          <cell r="A789">
            <v>40359</v>
          </cell>
          <cell r="B789">
            <v>40359</v>
          </cell>
          <cell r="C789" t="str">
            <v>Future</v>
          </cell>
          <cell r="D789" t="e">
            <v>#N/A</v>
          </cell>
          <cell r="E789">
            <v>4.8356349206346092</v>
          </cell>
          <cell r="F789">
            <v>64.161031746030929</v>
          </cell>
          <cell r="G789">
            <v>41.343571428570897</v>
          </cell>
          <cell r="H789">
            <v>41.343571428570897</v>
          </cell>
          <cell r="I789" t="e">
            <v>#N/A</v>
          </cell>
          <cell r="J789" t="e">
            <v>#N/A</v>
          </cell>
          <cell r="K789" t="e">
            <v>#N/A</v>
          </cell>
          <cell r="L789" t="e">
            <v>#N/A</v>
          </cell>
          <cell r="M789" t="e">
            <v>#N/A</v>
          </cell>
          <cell r="N789" t="e">
            <v>#N/A</v>
          </cell>
          <cell r="O789" t="e">
            <v>#N/A</v>
          </cell>
          <cell r="P789">
            <v>55.39</v>
          </cell>
          <cell r="Q789" t="str">
            <v/>
          </cell>
          <cell r="R789" t="e">
            <v>#N/A</v>
          </cell>
        </row>
        <row r="790">
          <cell r="A790">
            <v>40360</v>
          </cell>
          <cell r="B790">
            <v>40360</v>
          </cell>
          <cell r="C790" t="str">
            <v>Future</v>
          </cell>
          <cell r="D790" t="e">
            <v>#N/A</v>
          </cell>
          <cell r="E790">
            <v>4.6158333333330219</v>
          </cell>
          <cell r="F790">
            <v>64.199166666665846</v>
          </cell>
          <cell r="G790">
            <v>41.282499999999466</v>
          </cell>
          <cell r="H790">
            <v>41.282499999999466</v>
          </cell>
          <cell r="I790" t="e">
            <v>#N/A</v>
          </cell>
          <cell r="J790" t="e">
            <v>#N/A</v>
          </cell>
          <cell r="K790" t="e">
            <v>#N/A</v>
          </cell>
          <cell r="L790" t="e">
            <v>#N/A</v>
          </cell>
          <cell r="M790" t="e">
            <v>#N/A</v>
          </cell>
          <cell r="N790" t="e">
            <v>#N/A</v>
          </cell>
          <cell r="O790" t="e">
            <v>#N/A</v>
          </cell>
          <cell r="P790">
            <v>55.39</v>
          </cell>
          <cell r="Q790" t="str">
            <v/>
          </cell>
          <cell r="R790" t="e">
            <v>#N/A</v>
          </cell>
        </row>
        <row r="791">
          <cell r="A791">
            <v>40361</v>
          </cell>
          <cell r="B791">
            <v>40361</v>
          </cell>
          <cell r="C791" t="str">
            <v>Future</v>
          </cell>
          <cell r="D791" t="e">
            <v>#N/A</v>
          </cell>
          <cell r="E791">
            <v>4.3960317460314347</v>
          </cell>
          <cell r="F791">
            <v>64.237301587300763</v>
          </cell>
          <cell r="G791">
            <v>41.221428571428035</v>
          </cell>
          <cell r="H791">
            <v>41.221428571428035</v>
          </cell>
          <cell r="I791" t="e">
            <v>#N/A</v>
          </cell>
          <cell r="J791" t="e">
            <v>#N/A</v>
          </cell>
          <cell r="K791" t="e">
            <v>#N/A</v>
          </cell>
          <cell r="L791" t="e">
            <v>#N/A</v>
          </cell>
          <cell r="M791" t="e">
            <v>#N/A</v>
          </cell>
          <cell r="N791" t="e">
            <v>#N/A</v>
          </cell>
          <cell r="O791" t="e">
            <v>#N/A</v>
          </cell>
          <cell r="P791">
            <v>55.39</v>
          </cell>
          <cell r="Q791" t="str">
            <v/>
          </cell>
          <cell r="R791" t="e">
            <v>#N/A</v>
          </cell>
        </row>
        <row r="792">
          <cell r="A792">
            <v>40365</v>
          </cell>
          <cell r="B792">
            <v>40365</v>
          </cell>
          <cell r="C792" t="str">
            <v>Future</v>
          </cell>
          <cell r="D792" t="e">
            <v>#N/A</v>
          </cell>
          <cell r="E792">
            <v>4.1762301587298474</v>
          </cell>
          <cell r="F792">
            <v>64.27543650793568</v>
          </cell>
          <cell r="G792">
            <v>41.160357142856604</v>
          </cell>
          <cell r="H792">
            <v>41.160357142856604</v>
          </cell>
          <cell r="I792" t="e">
            <v>#N/A</v>
          </cell>
          <cell r="J792" t="e">
            <v>#N/A</v>
          </cell>
          <cell r="K792" t="e">
            <v>#N/A</v>
          </cell>
          <cell r="L792" t="e">
            <v>#N/A</v>
          </cell>
          <cell r="M792" t="e">
            <v>#N/A</v>
          </cell>
          <cell r="N792" t="e">
            <v>#N/A</v>
          </cell>
          <cell r="O792" t="e">
            <v>#N/A</v>
          </cell>
          <cell r="P792">
            <v>55.39</v>
          </cell>
          <cell r="Q792" t="str">
            <v/>
          </cell>
          <cell r="R792" t="e">
            <v>#N/A</v>
          </cell>
        </row>
        <row r="793">
          <cell r="A793">
            <v>40366</v>
          </cell>
          <cell r="B793">
            <v>40366</v>
          </cell>
          <cell r="C793" t="str">
            <v>Future</v>
          </cell>
          <cell r="D793" t="e">
            <v>#N/A</v>
          </cell>
          <cell r="E793">
            <v>3.9564285714282601</v>
          </cell>
          <cell r="F793">
            <v>64.313571428570597</v>
          </cell>
          <cell r="G793">
            <v>41.099285714285173</v>
          </cell>
          <cell r="H793">
            <v>41.099285714285173</v>
          </cell>
          <cell r="I793" t="e">
            <v>#N/A</v>
          </cell>
          <cell r="J793" t="e">
            <v>#N/A</v>
          </cell>
          <cell r="K793" t="e">
            <v>#N/A</v>
          </cell>
          <cell r="L793" t="e">
            <v>#N/A</v>
          </cell>
          <cell r="M793" t="e">
            <v>#N/A</v>
          </cell>
          <cell r="N793" t="e">
            <v>#N/A</v>
          </cell>
          <cell r="O793" t="e">
            <v>#N/A</v>
          </cell>
          <cell r="P793">
            <v>55.39</v>
          </cell>
          <cell r="Q793" t="str">
            <v/>
          </cell>
          <cell r="R793" t="e">
            <v>#N/A</v>
          </cell>
        </row>
        <row r="794">
          <cell r="A794">
            <v>40367</v>
          </cell>
          <cell r="B794">
            <v>40367</v>
          </cell>
          <cell r="C794" t="str">
            <v>Future</v>
          </cell>
          <cell r="D794" t="e">
            <v>#N/A</v>
          </cell>
          <cell r="E794">
            <v>3.7366269841266728</v>
          </cell>
          <cell r="F794">
            <v>64.351706349205514</v>
          </cell>
          <cell r="G794">
            <v>41.038214285713742</v>
          </cell>
          <cell r="H794">
            <v>41.038214285713742</v>
          </cell>
          <cell r="I794" t="e">
            <v>#N/A</v>
          </cell>
          <cell r="J794" t="e">
            <v>#N/A</v>
          </cell>
          <cell r="K794" t="e">
            <v>#N/A</v>
          </cell>
          <cell r="L794" t="e">
            <v>#N/A</v>
          </cell>
          <cell r="M794" t="e">
            <v>#N/A</v>
          </cell>
          <cell r="N794" t="e">
            <v>#N/A</v>
          </cell>
          <cell r="O794" t="e">
            <v>#N/A</v>
          </cell>
          <cell r="P794">
            <v>55.39</v>
          </cell>
          <cell r="Q794" t="str">
            <v/>
          </cell>
          <cell r="R794" t="e">
            <v>#N/A</v>
          </cell>
        </row>
        <row r="795">
          <cell r="A795">
            <v>40368</v>
          </cell>
          <cell r="B795">
            <v>40368</v>
          </cell>
          <cell r="C795" t="str">
            <v>Future</v>
          </cell>
          <cell r="D795" t="e">
            <v>#N/A</v>
          </cell>
          <cell r="E795">
            <v>3.5168253968250855</v>
          </cell>
          <cell r="F795">
            <v>64.389841269840431</v>
          </cell>
          <cell r="G795">
            <v>40.977142857142312</v>
          </cell>
          <cell r="H795">
            <v>40.977142857142312</v>
          </cell>
          <cell r="I795" t="e">
            <v>#N/A</v>
          </cell>
          <cell r="J795" t="e">
            <v>#N/A</v>
          </cell>
          <cell r="K795" t="e">
            <v>#N/A</v>
          </cell>
          <cell r="L795" t="e">
            <v>#N/A</v>
          </cell>
          <cell r="M795" t="e">
            <v>#N/A</v>
          </cell>
          <cell r="N795" t="e">
            <v>#N/A</v>
          </cell>
          <cell r="O795" t="e">
            <v>#N/A</v>
          </cell>
          <cell r="P795">
            <v>55.39</v>
          </cell>
          <cell r="Q795" t="str">
            <v/>
          </cell>
          <cell r="R795" t="e">
            <v>#N/A</v>
          </cell>
        </row>
        <row r="796">
          <cell r="A796">
            <v>40371</v>
          </cell>
          <cell r="B796">
            <v>40371</v>
          </cell>
          <cell r="C796" t="str">
            <v>Future</v>
          </cell>
          <cell r="D796" t="e">
            <v>#N/A</v>
          </cell>
          <cell r="E796">
            <v>3.2970238095234983</v>
          </cell>
          <cell r="F796">
            <v>64.427976190475349</v>
          </cell>
          <cell r="G796">
            <v>40.916071428570881</v>
          </cell>
          <cell r="H796">
            <v>40.916071428570881</v>
          </cell>
          <cell r="I796" t="e">
            <v>#N/A</v>
          </cell>
          <cell r="J796" t="e">
            <v>#N/A</v>
          </cell>
          <cell r="K796" t="e">
            <v>#N/A</v>
          </cell>
          <cell r="L796" t="e">
            <v>#N/A</v>
          </cell>
          <cell r="M796" t="e">
            <v>#N/A</v>
          </cell>
          <cell r="N796" t="e">
            <v>#N/A</v>
          </cell>
          <cell r="O796" t="e">
            <v>#N/A</v>
          </cell>
          <cell r="P796">
            <v>55.39</v>
          </cell>
          <cell r="Q796" t="str">
            <v/>
          </cell>
          <cell r="R796" t="e">
            <v>#N/A</v>
          </cell>
        </row>
        <row r="797">
          <cell r="A797">
            <v>40372</v>
          </cell>
          <cell r="B797">
            <v>40372</v>
          </cell>
          <cell r="C797" t="str">
            <v>Future</v>
          </cell>
          <cell r="D797" t="e">
            <v>#N/A</v>
          </cell>
          <cell r="E797">
            <v>3.077222222221911</v>
          </cell>
          <cell r="F797">
            <v>64.466111111110266</v>
          </cell>
          <cell r="G797">
            <v>40.85499999999945</v>
          </cell>
          <cell r="H797">
            <v>40.85499999999945</v>
          </cell>
          <cell r="I797" t="e">
            <v>#N/A</v>
          </cell>
          <cell r="J797" t="e">
            <v>#N/A</v>
          </cell>
          <cell r="K797" t="e">
            <v>#N/A</v>
          </cell>
          <cell r="L797" t="e">
            <v>#N/A</v>
          </cell>
          <cell r="M797" t="e">
            <v>#N/A</v>
          </cell>
          <cell r="N797" t="e">
            <v>#N/A</v>
          </cell>
          <cell r="O797" t="e">
            <v>#N/A</v>
          </cell>
          <cell r="P797">
            <v>55.39</v>
          </cell>
          <cell r="Q797" t="str">
            <v/>
          </cell>
          <cell r="R797" t="e">
            <v>#N/A</v>
          </cell>
        </row>
        <row r="798">
          <cell r="A798">
            <v>40373</v>
          </cell>
          <cell r="B798">
            <v>40373</v>
          </cell>
          <cell r="C798" t="str">
            <v>Future</v>
          </cell>
          <cell r="D798" t="e">
            <v>#N/A</v>
          </cell>
          <cell r="E798">
            <v>2.8574206349203237</v>
          </cell>
          <cell r="F798">
            <v>64.504246031745183</v>
          </cell>
          <cell r="G798">
            <v>40.793928571428019</v>
          </cell>
          <cell r="H798">
            <v>40.793928571428019</v>
          </cell>
          <cell r="I798" t="e">
            <v>#N/A</v>
          </cell>
          <cell r="J798" t="e">
            <v>#N/A</v>
          </cell>
          <cell r="K798" t="e">
            <v>#N/A</v>
          </cell>
          <cell r="L798" t="e">
            <v>#N/A</v>
          </cell>
          <cell r="M798" t="e">
            <v>#N/A</v>
          </cell>
          <cell r="N798" t="e">
            <v>#N/A</v>
          </cell>
          <cell r="O798" t="e">
            <v>#N/A</v>
          </cell>
          <cell r="P798">
            <v>55.39</v>
          </cell>
          <cell r="Q798" t="str">
            <v/>
          </cell>
          <cell r="R798" t="e">
            <v>#N/A</v>
          </cell>
        </row>
        <row r="799">
          <cell r="A799">
            <v>40374</v>
          </cell>
          <cell r="B799">
            <v>40374</v>
          </cell>
          <cell r="C799" t="str">
            <v>Future</v>
          </cell>
          <cell r="D799" t="e">
            <v>#N/A</v>
          </cell>
          <cell r="E799">
            <v>2.6376190476187364</v>
          </cell>
          <cell r="F799">
            <v>64.5423809523801</v>
          </cell>
          <cell r="G799">
            <v>40.732857142856588</v>
          </cell>
          <cell r="H799">
            <v>40.732857142856588</v>
          </cell>
          <cell r="I799" t="e">
            <v>#N/A</v>
          </cell>
          <cell r="J799" t="e">
            <v>#N/A</v>
          </cell>
          <cell r="K799" t="e">
            <v>#N/A</v>
          </cell>
          <cell r="L799" t="e">
            <v>#N/A</v>
          </cell>
          <cell r="M799" t="e">
            <v>#N/A</v>
          </cell>
          <cell r="N799" t="e">
            <v>#N/A</v>
          </cell>
          <cell r="O799" t="e">
            <v>#N/A</v>
          </cell>
          <cell r="P799">
            <v>55.39</v>
          </cell>
          <cell r="Q799" t="str">
            <v/>
          </cell>
          <cell r="R799" t="e">
            <v>#N/A</v>
          </cell>
        </row>
        <row r="800">
          <cell r="A800">
            <v>40375</v>
          </cell>
          <cell r="B800">
            <v>40375</v>
          </cell>
          <cell r="C800" t="str">
            <v>Future</v>
          </cell>
          <cell r="D800" t="e">
            <v>#N/A</v>
          </cell>
          <cell r="E800">
            <v>2.4178174603171492</v>
          </cell>
          <cell r="F800">
            <v>64.580515873015017</v>
          </cell>
          <cell r="G800">
            <v>40.671785714285157</v>
          </cell>
          <cell r="H800">
            <v>40.671785714285157</v>
          </cell>
          <cell r="I800" t="e">
            <v>#N/A</v>
          </cell>
          <cell r="J800" t="e">
            <v>#N/A</v>
          </cell>
          <cell r="K800" t="e">
            <v>#N/A</v>
          </cell>
          <cell r="L800" t="e">
            <v>#N/A</v>
          </cell>
          <cell r="M800" t="e">
            <v>#N/A</v>
          </cell>
          <cell r="N800" t="e">
            <v>#N/A</v>
          </cell>
          <cell r="O800" t="e">
            <v>#N/A</v>
          </cell>
          <cell r="P800">
            <v>55.39</v>
          </cell>
          <cell r="Q800" t="str">
            <v/>
          </cell>
          <cell r="R800" t="e">
            <v>#N/A</v>
          </cell>
        </row>
        <row r="801">
          <cell r="A801">
            <v>40378</v>
          </cell>
          <cell r="B801">
            <v>40378</v>
          </cell>
          <cell r="C801" t="str">
            <v>Future</v>
          </cell>
          <cell r="D801" t="e">
            <v>#N/A</v>
          </cell>
          <cell r="E801">
            <v>2.1980158730155619</v>
          </cell>
          <cell r="F801">
            <v>64.618650793649934</v>
          </cell>
          <cell r="G801">
            <v>40.610714285713726</v>
          </cell>
          <cell r="H801">
            <v>40.610714285713726</v>
          </cell>
          <cell r="I801" t="e">
            <v>#N/A</v>
          </cell>
          <cell r="J801" t="e">
            <v>#N/A</v>
          </cell>
          <cell r="K801" t="e">
            <v>#N/A</v>
          </cell>
          <cell r="L801" t="e">
            <v>#N/A</v>
          </cell>
          <cell r="M801" t="e">
            <v>#N/A</v>
          </cell>
          <cell r="N801" t="e">
            <v>#N/A</v>
          </cell>
          <cell r="O801" t="e">
            <v>#N/A</v>
          </cell>
          <cell r="P801">
            <v>55.39</v>
          </cell>
          <cell r="Q801" t="str">
            <v/>
          </cell>
          <cell r="R801" t="e">
            <v>#N/A</v>
          </cell>
        </row>
        <row r="802">
          <cell r="A802">
            <v>40379</v>
          </cell>
          <cell r="B802">
            <v>40379</v>
          </cell>
          <cell r="C802" t="str">
            <v>Future</v>
          </cell>
          <cell r="D802" t="e">
            <v>#N/A</v>
          </cell>
          <cell r="E802">
            <v>1.9782142857139746</v>
          </cell>
          <cell r="F802">
            <v>64.656785714284851</v>
          </cell>
          <cell r="G802">
            <v>40.549642857142295</v>
          </cell>
          <cell r="H802">
            <v>40.549642857142295</v>
          </cell>
          <cell r="I802" t="e">
            <v>#N/A</v>
          </cell>
          <cell r="J802" t="e">
            <v>#N/A</v>
          </cell>
          <cell r="K802" t="e">
            <v>#N/A</v>
          </cell>
          <cell r="L802" t="e">
            <v>#N/A</v>
          </cell>
          <cell r="M802" t="e">
            <v>#N/A</v>
          </cell>
          <cell r="N802" t="e">
            <v>#N/A</v>
          </cell>
          <cell r="O802" t="e">
            <v>#N/A</v>
          </cell>
          <cell r="P802">
            <v>55.39</v>
          </cell>
          <cell r="Q802" t="str">
            <v/>
          </cell>
          <cell r="R802" t="e">
            <v>#N/A</v>
          </cell>
        </row>
        <row r="803">
          <cell r="A803">
            <v>40380</v>
          </cell>
          <cell r="B803">
            <v>40380</v>
          </cell>
          <cell r="C803" t="str">
            <v>Future</v>
          </cell>
          <cell r="D803" t="e">
            <v>#N/A</v>
          </cell>
          <cell r="E803">
            <v>1.7584126984123873</v>
          </cell>
          <cell r="F803">
            <v>64.694920634919768</v>
          </cell>
          <cell r="G803">
            <v>40.488571428570864</v>
          </cell>
          <cell r="H803">
            <v>40.488571428570864</v>
          </cell>
          <cell r="I803" t="e">
            <v>#N/A</v>
          </cell>
          <cell r="J803" t="e">
            <v>#N/A</v>
          </cell>
          <cell r="K803" t="e">
            <v>#N/A</v>
          </cell>
          <cell r="L803" t="e">
            <v>#N/A</v>
          </cell>
          <cell r="M803" t="e">
            <v>#N/A</v>
          </cell>
          <cell r="N803" t="e">
            <v>#N/A</v>
          </cell>
          <cell r="O803" t="e">
            <v>#N/A</v>
          </cell>
          <cell r="P803">
            <v>55.39</v>
          </cell>
          <cell r="Q803" t="str">
            <v/>
          </cell>
          <cell r="R803" t="e">
            <v>#N/A</v>
          </cell>
        </row>
        <row r="804">
          <cell r="A804">
            <v>40381</v>
          </cell>
          <cell r="B804">
            <v>40381</v>
          </cell>
          <cell r="C804" t="str">
            <v>Future</v>
          </cell>
          <cell r="D804" t="e">
            <v>#N/A</v>
          </cell>
          <cell r="E804">
            <v>1.5386111111108001</v>
          </cell>
          <cell r="F804">
            <v>64.733055555554685</v>
          </cell>
          <cell r="G804">
            <v>40.427499999999434</v>
          </cell>
          <cell r="H804">
            <v>40.427499999999434</v>
          </cell>
          <cell r="I804" t="e">
            <v>#N/A</v>
          </cell>
          <cell r="J804" t="e">
            <v>#N/A</v>
          </cell>
          <cell r="K804" t="e">
            <v>#N/A</v>
          </cell>
          <cell r="L804" t="e">
            <v>#N/A</v>
          </cell>
          <cell r="M804" t="e">
            <v>#N/A</v>
          </cell>
          <cell r="N804" t="e">
            <v>#N/A</v>
          </cell>
          <cell r="O804" t="e">
            <v>#N/A</v>
          </cell>
          <cell r="P804">
            <v>55.39</v>
          </cell>
          <cell r="Q804" t="str">
            <v/>
          </cell>
          <cell r="R804" t="e">
            <v>#N/A</v>
          </cell>
        </row>
        <row r="805">
          <cell r="A805">
            <v>40382</v>
          </cell>
          <cell r="B805">
            <v>40382</v>
          </cell>
          <cell r="C805" t="str">
            <v>Future</v>
          </cell>
          <cell r="D805" t="e">
            <v>#N/A</v>
          </cell>
          <cell r="E805">
            <v>1.3188095238092128</v>
          </cell>
          <cell r="F805">
            <v>64.771190476189602</v>
          </cell>
          <cell r="G805">
            <v>40.366428571428003</v>
          </cell>
          <cell r="H805">
            <v>40.366428571428003</v>
          </cell>
          <cell r="I805" t="e">
            <v>#N/A</v>
          </cell>
          <cell r="J805" t="e">
            <v>#N/A</v>
          </cell>
          <cell r="K805" t="e">
            <v>#N/A</v>
          </cell>
          <cell r="L805" t="e">
            <v>#N/A</v>
          </cell>
          <cell r="M805" t="e">
            <v>#N/A</v>
          </cell>
          <cell r="N805" t="e">
            <v>#N/A</v>
          </cell>
          <cell r="O805" t="e">
            <v>#N/A</v>
          </cell>
          <cell r="P805">
            <v>55.39</v>
          </cell>
          <cell r="Q805" t="str">
            <v/>
          </cell>
          <cell r="R805" t="e">
            <v>#N/A</v>
          </cell>
        </row>
        <row r="806">
          <cell r="A806">
            <v>40385</v>
          </cell>
          <cell r="B806">
            <v>40385</v>
          </cell>
          <cell r="C806" t="str">
            <v>Future</v>
          </cell>
          <cell r="D806" t="e">
            <v>#N/A</v>
          </cell>
          <cell r="E806">
            <v>1.0990079365076255</v>
          </cell>
          <cell r="F806">
            <v>64.809325396824519</v>
          </cell>
          <cell r="G806">
            <v>40.305357142856572</v>
          </cell>
          <cell r="H806">
            <v>40.305357142856572</v>
          </cell>
          <cell r="I806" t="e">
            <v>#N/A</v>
          </cell>
          <cell r="J806" t="e">
            <v>#N/A</v>
          </cell>
          <cell r="K806" t="e">
            <v>#N/A</v>
          </cell>
          <cell r="L806" t="e">
            <v>#N/A</v>
          </cell>
          <cell r="M806" t="e">
            <v>#N/A</v>
          </cell>
          <cell r="N806" t="e">
            <v>#N/A</v>
          </cell>
          <cell r="O806" t="e">
            <v>#N/A</v>
          </cell>
          <cell r="P806">
            <v>55.39</v>
          </cell>
          <cell r="Q806" t="str">
            <v/>
          </cell>
          <cell r="R806" t="e">
            <v>#N/A</v>
          </cell>
        </row>
        <row r="807">
          <cell r="A807">
            <v>40386</v>
          </cell>
          <cell r="B807">
            <v>40386</v>
          </cell>
          <cell r="C807" t="str">
            <v>Future</v>
          </cell>
          <cell r="D807" t="e">
            <v>#N/A</v>
          </cell>
          <cell r="E807">
            <v>0.87920634920603824</v>
          </cell>
          <cell r="F807">
            <v>64.847460317459436</v>
          </cell>
          <cell r="G807">
            <v>40.244285714285141</v>
          </cell>
          <cell r="H807">
            <v>40.244285714285141</v>
          </cell>
          <cell r="I807" t="e">
            <v>#N/A</v>
          </cell>
          <cell r="J807" t="e">
            <v>#N/A</v>
          </cell>
          <cell r="K807" t="e">
            <v>#N/A</v>
          </cell>
          <cell r="L807" t="e">
            <v>#N/A</v>
          </cell>
          <cell r="M807" t="e">
            <v>#N/A</v>
          </cell>
          <cell r="N807" t="e">
            <v>#N/A</v>
          </cell>
          <cell r="O807" t="e">
            <v>#N/A</v>
          </cell>
          <cell r="P807">
            <v>55.39</v>
          </cell>
          <cell r="Q807" t="str">
            <v/>
          </cell>
          <cell r="R807" t="e">
            <v>#N/A</v>
          </cell>
        </row>
        <row r="808">
          <cell r="A808">
            <v>40387</v>
          </cell>
          <cell r="B808">
            <v>40387</v>
          </cell>
          <cell r="C808" t="str">
            <v>Future</v>
          </cell>
          <cell r="D808" t="e">
            <v>#N/A</v>
          </cell>
          <cell r="E808">
            <v>0.65940476190445096</v>
          </cell>
          <cell r="F808">
            <v>64.885595238094353</v>
          </cell>
          <cell r="G808">
            <v>40.18321428571371</v>
          </cell>
          <cell r="H808">
            <v>40.18321428571371</v>
          </cell>
          <cell r="I808" t="e">
            <v>#N/A</v>
          </cell>
          <cell r="J808" t="e">
            <v>#N/A</v>
          </cell>
          <cell r="K808" t="e">
            <v>#N/A</v>
          </cell>
          <cell r="L808" t="e">
            <v>#N/A</v>
          </cell>
          <cell r="M808" t="e">
            <v>#N/A</v>
          </cell>
          <cell r="N808" t="e">
            <v>#N/A</v>
          </cell>
          <cell r="O808" t="e">
            <v>#N/A</v>
          </cell>
          <cell r="P808">
            <v>55.39</v>
          </cell>
          <cell r="Q808" t="str">
            <v/>
          </cell>
          <cell r="R808" t="e">
            <v>#N/A</v>
          </cell>
        </row>
        <row r="809">
          <cell r="A809">
            <v>40388</v>
          </cell>
          <cell r="B809">
            <v>40388</v>
          </cell>
          <cell r="C809" t="str">
            <v>Future</v>
          </cell>
          <cell r="D809" t="e">
            <v>#N/A</v>
          </cell>
          <cell r="E809">
            <v>0.43960317460286369</v>
          </cell>
          <cell r="F809">
            <v>64.923730158729271</v>
          </cell>
          <cell r="G809">
            <v>40.122142857142279</v>
          </cell>
          <cell r="H809">
            <v>40.122142857142279</v>
          </cell>
          <cell r="I809" t="e">
            <v>#N/A</v>
          </cell>
          <cell r="J809" t="e">
            <v>#N/A</v>
          </cell>
          <cell r="K809" t="e">
            <v>#N/A</v>
          </cell>
          <cell r="L809" t="e">
            <v>#N/A</v>
          </cell>
          <cell r="M809" t="e">
            <v>#N/A</v>
          </cell>
          <cell r="N809" t="e">
            <v>#N/A</v>
          </cell>
          <cell r="O809" t="e">
            <v>#N/A</v>
          </cell>
          <cell r="P809">
            <v>55.39</v>
          </cell>
          <cell r="Q809" t="str">
            <v/>
          </cell>
          <cell r="R809" t="e">
            <v>#N/A</v>
          </cell>
        </row>
        <row r="810">
          <cell r="A810">
            <v>40389</v>
          </cell>
          <cell r="B810">
            <v>40389</v>
          </cell>
          <cell r="C810" t="str">
            <v>Future</v>
          </cell>
          <cell r="D810" t="e">
            <v>#N/A</v>
          </cell>
          <cell r="E810">
            <v>0.21980158730127639</v>
          </cell>
          <cell r="F810">
            <v>64.961865079364188</v>
          </cell>
          <cell r="G810">
            <v>40.061071428570848</v>
          </cell>
          <cell r="H810">
            <v>40.061071428570848</v>
          </cell>
          <cell r="I810" t="e">
            <v>#N/A</v>
          </cell>
          <cell r="J810" t="e">
            <v>#N/A</v>
          </cell>
          <cell r="K810">
            <v>65</v>
          </cell>
          <cell r="L810">
            <v>40</v>
          </cell>
          <cell r="M810" t="e">
            <v>#N/A</v>
          </cell>
          <cell r="N810">
            <v>52</v>
          </cell>
          <cell r="O810" t="e">
            <v>#N/A</v>
          </cell>
          <cell r="P810">
            <v>55.39</v>
          </cell>
          <cell r="Q810" t="str">
            <v/>
          </cell>
          <cell r="R810" t="e">
            <v>#N/A</v>
          </cell>
        </row>
        <row r="811">
          <cell r="A811" t="str">
            <v/>
          </cell>
          <cell r="B811" t="str">
            <v/>
          </cell>
          <cell r="C811" t="str">
            <v>Future</v>
          </cell>
          <cell r="D811" t="e">
            <v>#N/A</v>
          </cell>
          <cell r="E811">
            <v>-3.1091795804627509E-13</v>
          </cell>
          <cell r="F811">
            <v>64.999999999999105</v>
          </cell>
          <cell r="G811">
            <v>39.999999999999417</v>
          </cell>
          <cell r="H811">
            <v>39.999999999999417</v>
          </cell>
          <cell r="I811" t="e">
            <v>#N/A</v>
          </cell>
          <cell r="J811" t="e">
            <v>#N/A</v>
          </cell>
          <cell r="K811">
            <v>65</v>
          </cell>
          <cell r="L811">
            <v>40</v>
          </cell>
          <cell r="M811" t="e">
            <v>#N/A</v>
          </cell>
          <cell r="N811">
            <v>52</v>
          </cell>
          <cell r="O811" t="e">
            <v>#N/A</v>
          </cell>
          <cell r="P811" t="str">
            <v/>
          </cell>
          <cell r="Q811" t="str">
            <v/>
          </cell>
          <cell r="R811" t="e">
            <v>#N/A</v>
          </cell>
        </row>
        <row r="812">
          <cell r="A812" t="str">
            <v/>
          </cell>
          <cell r="B812" t="str">
            <v/>
          </cell>
          <cell r="C812" t="str">
            <v>Future</v>
          </cell>
          <cell r="D812" t="e">
            <v>#N/A</v>
          </cell>
          <cell r="E812">
            <v>-0.21980158730189822</v>
          </cell>
          <cell r="F812">
            <v>65.038134920634022</v>
          </cell>
          <cell r="G812">
            <v>39.938928571427986</v>
          </cell>
          <cell r="H812">
            <v>39.938928571427986</v>
          </cell>
          <cell r="I812" t="e">
            <v>#N/A</v>
          </cell>
          <cell r="J812" t="e">
            <v>#N/A</v>
          </cell>
          <cell r="K812">
            <v>65</v>
          </cell>
          <cell r="L812">
            <v>40</v>
          </cell>
          <cell r="M812" t="e">
            <v>#N/A</v>
          </cell>
          <cell r="N812">
            <v>52</v>
          </cell>
          <cell r="O812" t="e">
            <v>#N/A</v>
          </cell>
          <cell r="P812" t="str">
            <v/>
          </cell>
          <cell r="Q812" t="str">
            <v/>
          </cell>
          <cell r="R812" t="e">
            <v>#N/A</v>
          </cell>
        </row>
        <row r="813">
          <cell r="A813" t="str">
            <v/>
          </cell>
          <cell r="B813" t="str">
            <v/>
          </cell>
          <cell r="C813" t="str">
            <v>Future</v>
          </cell>
          <cell r="D813" t="e">
            <v>#N/A</v>
          </cell>
          <cell r="E813">
            <v>-0.43960317460348552</v>
          </cell>
          <cell r="F813">
            <v>65.076269841268939</v>
          </cell>
          <cell r="G813">
            <v>39.877857142856556</v>
          </cell>
          <cell r="H813">
            <v>39.877857142856556</v>
          </cell>
          <cell r="I813" t="e">
            <v>#N/A</v>
          </cell>
          <cell r="J813" t="e">
            <v>#N/A</v>
          </cell>
          <cell r="K813">
            <v>65</v>
          </cell>
          <cell r="L813">
            <v>40</v>
          </cell>
          <cell r="M813" t="e">
            <v>#N/A</v>
          </cell>
          <cell r="N813">
            <v>52</v>
          </cell>
          <cell r="O813" t="e">
            <v>#N/A</v>
          </cell>
          <cell r="P813" t="str">
            <v/>
          </cell>
          <cell r="Q813" t="str">
            <v/>
          </cell>
          <cell r="R813" t="e">
            <v>#N/A</v>
          </cell>
        </row>
        <row r="814">
          <cell r="A814" t="str">
            <v/>
          </cell>
          <cell r="B814" t="str">
            <v/>
          </cell>
          <cell r="C814" t="str">
            <v>Future</v>
          </cell>
          <cell r="D814" t="e">
            <v>#N/A</v>
          </cell>
          <cell r="E814">
            <v>-0.6594047619050728</v>
          </cell>
          <cell r="F814">
            <v>65.114404761903856</v>
          </cell>
          <cell r="G814">
            <v>39.816785714285125</v>
          </cell>
          <cell r="H814">
            <v>39.816785714285125</v>
          </cell>
          <cell r="I814" t="e">
            <v>#N/A</v>
          </cell>
          <cell r="J814" t="e">
            <v>#N/A</v>
          </cell>
          <cell r="K814">
            <v>65</v>
          </cell>
          <cell r="L814">
            <v>40</v>
          </cell>
          <cell r="M814" t="e">
            <v>#N/A</v>
          </cell>
          <cell r="N814">
            <v>52</v>
          </cell>
          <cell r="O814" t="e">
            <v>#N/A</v>
          </cell>
          <cell r="P814" t="str">
            <v/>
          </cell>
          <cell r="Q814" t="str">
            <v/>
          </cell>
          <cell r="R814" t="e">
            <v>#N/A</v>
          </cell>
        </row>
        <row r="815">
          <cell r="A815" t="str">
            <v/>
          </cell>
          <cell r="B815" t="str">
            <v/>
          </cell>
          <cell r="C815" t="str">
            <v>Future</v>
          </cell>
          <cell r="D815" t="e">
            <v>#N/A</v>
          </cell>
          <cell r="E815">
            <v>-0.87920634920666008</v>
          </cell>
          <cell r="F815">
            <v>65.152539682538773</v>
          </cell>
          <cell r="G815">
            <v>39.755714285713694</v>
          </cell>
          <cell r="H815">
            <v>39.755714285713694</v>
          </cell>
          <cell r="I815" t="e">
            <v>#N/A</v>
          </cell>
          <cell r="J815" t="e">
            <v>#N/A</v>
          </cell>
          <cell r="K815">
            <v>65</v>
          </cell>
          <cell r="L815">
            <v>40</v>
          </cell>
          <cell r="M815" t="e">
            <v>#N/A</v>
          </cell>
          <cell r="N815">
            <v>52</v>
          </cell>
          <cell r="O815" t="e">
            <v>#N/A</v>
          </cell>
          <cell r="P815" t="str">
            <v/>
          </cell>
          <cell r="Q815" t="str">
            <v/>
          </cell>
          <cell r="R815" t="e">
            <v>#N/A</v>
          </cell>
        </row>
        <row r="816">
          <cell r="A816" t="str">
            <v/>
          </cell>
          <cell r="B816" t="str">
            <v/>
          </cell>
          <cell r="C816" t="str">
            <v>Future</v>
          </cell>
          <cell r="D816" t="e">
            <v>#N/A</v>
          </cell>
          <cell r="E816">
            <v>-1.0990079365082475</v>
          </cell>
          <cell r="F816">
            <v>65.19067460317369</v>
          </cell>
          <cell r="G816">
            <v>39.694642857142263</v>
          </cell>
          <cell r="H816">
            <v>39.694642857142263</v>
          </cell>
          <cell r="I816" t="e">
            <v>#N/A</v>
          </cell>
          <cell r="J816" t="e">
            <v>#N/A</v>
          </cell>
          <cell r="K816">
            <v>65</v>
          </cell>
          <cell r="L816">
            <v>40</v>
          </cell>
          <cell r="M816" t="e">
            <v>#N/A</v>
          </cell>
          <cell r="N816">
            <v>52</v>
          </cell>
          <cell r="O816" t="e">
            <v>#N/A</v>
          </cell>
          <cell r="P816" t="str">
            <v/>
          </cell>
          <cell r="Q816" t="str">
            <v/>
          </cell>
          <cell r="R816" t="e">
            <v>#N/A</v>
          </cell>
        </row>
        <row r="817">
          <cell r="A817" t="str">
            <v/>
          </cell>
          <cell r="B817" t="str">
            <v/>
          </cell>
          <cell r="C817" t="str">
            <v>Future</v>
          </cell>
          <cell r="D817" t="e">
            <v>#N/A</v>
          </cell>
          <cell r="E817">
            <v>-1.3188095238098347</v>
          </cell>
          <cell r="F817">
            <v>65.228809523808607</v>
          </cell>
          <cell r="G817">
            <v>39.633571428570832</v>
          </cell>
          <cell r="H817">
            <v>39.633571428570832</v>
          </cell>
          <cell r="I817" t="e">
            <v>#N/A</v>
          </cell>
          <cell r="J817" t="e">
            <v>#N/A</v>
          </cell>
          <cell r="K817">
            <v>65</v>
          </cell>
          <cell r="L817">
            <v>40</v>
          </cell>
          <cell r="M817" t="e">
            <v>#N/A</v>
          </cell>
          <cell r="N817">
            <v>52</v>
          </cell>
          <cell r="O817" t="e">
            <v>#N/A</v>
          </cell>
          <cell r="P817" t="str">
            <v/>
          </cell>
          <cell r="Q817" t="str">
            <v/>
          </cell>
          <cell r="R817" t="e">
            <v>#N/A</v>
          </cell>
        </row>
        <row r="818">
          <cell r="A818" t="str">
            <v/>
          </cell>
          <cell r="B818" t="str">
            <v/>
          </cell>
          <cell r="C818" t="str">
            <v>Future</v>
          </cell>
          <cell r="D818" t="e">
            <v>#N/A</v>
          </cell>
          <cell r="E818">
            <v>-1.538611111111422</v>
          </cell>
          <cell r="F818">
            <v>65.266944444443524</v>
          </cell>
          <cell r="G818">
            <v>39.572499999999401</v>
          </cell>
          <cell r="H818">
            <v>39.572499999999401</v>
          </cell>
          <cell r="I818" t="e">
            <v>#N/A</v>
          </cell>
          <cell r="J818" t="e">
            <v>#N/A</v>
          </cell>
          <cell r="K818">
            <v>65</v>
          </cell>
          <cell r="L818">
            <v>40</v>
          </cell>
          <cell r="M818" t="e">
            <v>#N/A</v>
          </cell>
          <cell r="N818">
            <v>52</v>
          </cell>
          <cell r="O818" t="e">
            <v>#N/A</v>
          </cell>
          <cell r="P818" t="str">
            <v/>
          </cell>
          <cell r="Q818" t="str">
            <v/>
          </cell>
          <cell r="R818" t="e">
            <v>#N/A</v>
          </cell>
        </row>
        <row r="819">
          <cell r="A819" t="str">
            <v/>
          </cell>
          <cell r="B819" t="str">
            <v/>
          </cell>
          <cell r="C819" t="str">
            <v>Future</v>
          </cell>
          <cell r="D819" t="e">
            <v>#N/A</v>
          </cell>
          <cell r="E819">
            <v>-1.7584126984130093</v>
          </cell>
          <cell r="F819">
            <v>65.305079365078441</v>
          </cell>
          <cell r="G819">
            <v>39.51142857142797</v>
          </cell>
          <cell r="H819">
            <v>39.51142857142797</v>
          </cell>
          <cell r="I819" t="e">
            <v>#N/A</v>
          </cell>
          <cell r="J819" t="e">
            <v>#N/A</v>
          </cell>
          <cell r="K819">
            <v>65</v>
          </cell>
          <cell r="L819">
            <v>40</v>
          </cell>
          <cell r="M819" t="e">
            <v>#N/A</v>
          </cell>
          <cell r="N819">
            <v>52</v>
          </cell>
          <cell r="O819" t="e">
            <v>#N/A</v>
          </cell>
          <cell r="P819" t="str">
            <v/>
          </cell>
          <cell r="Q819" t="str">
            <v/>
          </cell>
          <cell r="R819" t="e">
            <v>#N/A</v>
          </cell>
        </row>
        <row r="820">
          <cell r="A820" t="str">
            <v/>
          </cell>
          <cell r="B820" t="str">
            <v/>
          </cell>
          <cell r="C820" t="str">
            <v>Future</v>
          </cell>
          <cell r="D820" t="e">
            <v>#N/A</v>
          </cell>
          <cell r="E820">
            <v>-1.9782142857145966</v>
          </cell>
          <cell r="F820">
            <v>65.343214285713358</v>
          </cell>
          <cell r="G820">
            <v>39.450357142856539</v>
          </cell>
          <cell r="H820">
            <v>39.450357142856539</v>
          </cell>
          <cell r="I820" t="e">
            <v>#N/A</v>
          </cell>
          <cell r="J820" t="e">
            <v>#N/A</v>
          </cell>
          <cell r="K820">
            <v>65</v>
          </cell>
          <cell r="L820">
            <v>40</v>
          </cell>
          <cell r="M820" t="e">
            <v>#N/A</v>
          </cell>
          <cell r="N820">
            <v>52</v>
          </cell>
          <cell r="O820" t="e">
            <v>#N/A</v>
          </cell>
          <cell r="P820" t="str">
            <v/>
          </cell>
          <cell r="Q820" t="str">
            <v/>
          </cell>
          <cell r="R820" t="e">
            <v>#N/A</v>
          </cell>
        </row>
        <row r="821">
          <cell r="A821" t="str">
            <v/>
          </cell>
          <cell r="B821" t="str">
            <v/>
          </cell>
          <cell r="C821" t="str">
            <v>Future</v>
          </cell>
          <cell r="D821" t="e">
            <v>#N/A</v>
          </cell>
          <cell r="E821">
            <v>-2.1980158730161841</v>
          </cell>
          <cell r="F821">
            <v>65.381349206348276</v>
          </cell>
          <cell r="G821">
            <v>39.389285714285108</v>
          </cell>
          <cell r="H821">
            <v>39.389285714285108</v>
          </cell>
          <cell r="I821" t="e">
            <v>#N/A</v>
          </cell>
          <cell r="J821" t="e">
            <v>#N/A</v>
          </cell>
          <cell r="K821">
            <v>65</v>
          </cell>
          <cell r="L821">
            <v>40</v>
          </cell>
          <cell r="M821" t="e">
            <v>#N/A</v>
          </cell>
          <cell r="N821">
            <v>52</v>
          </cell>
          <cell r="O821" t="e">
            <v>#N/A</v>
          </cell>
          <cell r="P821" t="str">
            <v/>
          </cell>
          <cell r="Q821" t="str">
            <v/>
          </cell>
          <cell r="R821" t="e">
            <v>#N/A</v>
          </cell>
        </row>
        <row r="822">
          <cell r="A822" t="str">
            <v/>
          </cell>
          <cell r="B822" t="str">
            <v/>
          </cell>
          <cell r="C822" t="str">
            <v>Future</v>
          </cell>
          <cell r="D822" t="e">
            <v>#N/A</v>
          </cell>
          <cell r="E822">
            <v>-2.4178174603177713</v>
          </cell>
          <cell r="F822">
            <v>65.419484126983193</v>
          </cell>
          <cell r="G822">
            <v>39.328214285713678</v>
          </cell>
          <cell r="H822">
            <v>39.328214285713678</v>
          </cell>
          <cell r="I822" t="e">
            <v>#N/A</v>
          </cell>
          <cell r="J822" t="e">
            <v>#N/A</v>
          </cell>
          <cell r="K822">
            <v>65</v>
          </cell>
          <cell r="L822">
            <v>40</v>
          </cell>
          <cell r="M822" t="e">
            <v>#N/A</v>
          </cell>
          <cell r="N822">
            <v>52</v>
          </cell>
          <cell r="O822" t="e">
            <v>#N/A</v>
          </cell>
          <cell r="P822" t="str">
            <v/>
          </cell>
          <cell r="Q822" t="str">
            <v/>
          </cell>
          <cell r="R822" t="e">
            <v>#N/A</v>
          </cell>
        </row>
        <row r="823">
          <cell r="A823" t="str">
            <v/>
          </cell>
          <cell r="B823" t="str">
            <v/>
          </cell>
          <cell r="C823" t="str">
            <v>Future</v>
          </cell>
          <cell r="D823" t="e">
            <v>#N/A</v>
          </cell>
          <cell r="E823">
            <v>-2.6376190476193586</v>
          </cell>
          <cell r="F823">
            <v>65.45761904761811</v>
          </cell>
          <cell r="G823">
            <v>39.267142857142247</v>
          </cell>
          <cell r="H823">
            <v>39.267142857142247</v>
          </cell>
          <cell r="I823" t="e">
            <v>#N/A</v>
          </cell>
          <cell r="J823" t="e">
            <v>#N/A</v>
          </cell>
          <cell r="K823">
            <v>65</v>
          </cell>
          <cell r="L823">
            <v>40</v>
          </cell>
          <cell r="M823" t="e">
            <v>#N/A</v>
          </cell>
          <cell r="N823">
            <v>52</v>
          </cell>
          <cell r="O823" t="e">
            <v>#N/A</v>
          </cell>
          <cell r="P823" t="str">
            <v/>
          </cell>
          <cell r="Q823" t="str">
            <v/>
          </cell>
          <cell r="R823" t="e">
            <v>#N/A</v>
          </cell>
        </row>
        <row r="824">
          <cell r="A824" t="str">
            <v/>
          </cell>
          <cell r="B824" t="str">
            <v/>
          </cell>
          <cell r="C824" t="str">
            <v>Future</v>
          </cell>
          <cell r="D824" t="e">
            <v>#N/A</v>
          </cell>
          <cell r="E824">
            <v>-2.8574206349209459</v>
          </cell>
          <cell r="F824">
            <v>65.495753968253027</v>
          </cell>
          <cell r="G824">
            <v>39.206071428570816</v>
          </cell>
          <cell r="H824">
            <v>39.206071428570816</v>
          </cell>
          <cell r="I824" t="e">
            <v>#N/A</v>
          </cell>
          <cell r="J824" t="e">
            <v>#N/A</v>
          </cell>
          <cell r="K824">
            <v>65</v>
          </cell>
          <cell r="L824">
            <v>40</v>
          </cell>
          <cell r="M824" t="e">
            <v>#N/A</v>
          </cell>
          <cell r="N824">
            <v>52</v>
          </cell>
          <cell r="O824" t="e">
            <v>#N/A</v>
          </cell>
          <cell r="P824" t="str">
            <v/>
          </cell>
          <cell r="Q824" t="str">
            <v/>
          </cell>
          <cell r="R824" t="e">
            <v>#N/A</v>
          </cell>
        </row>
        <row r="825">
          <cell r="A825" t="str">
            <v/>
          </cell>
          <cell r="B825" t="str">
            <v/>
          </cell>
          <cell r="C825" t="str">
            <v>Future</v>
          </cell>
          <cell r="D825" t="e">
            <v>#N/A</v>
          </cell>
          <cell r="E825">
            <v>-3.0772222222225332</v>
          </cell>
          <cell r="F825">
            <v>65.533888888887944</v>
          </cell>
          <cell r="G825">
            <v>39.144999999999385</v>
          </cell>
          <cell r="H825">
            <v>39.144999999999385</v>
          </cell>
          <cell r="I825" t="e">
            <v>#N/A</v>
          </cell>
          <cell r="J825" t="e">
            <v>#N/A</v>
          </cell>
          <cell r="K825">
            <v>65</v>
          </cell>
          <cell r="L825">
            <v>40</v>
          </cell>
          <cell r="M825" t="e">
            <v>#N/A</v>
          </cell>
          <cell r="N825">
            <v>52</v>
          </cell>
          <cell r="O825" t="e">
            <v>#N/A</v>
          </cell>
          <cell r="P825" t="str">
            <v/>
          </cell>
          <cell r="Q825" t="str">
            <v/>
          </cell>
          <cell r="R825" t="e">
            <v>#N/A</v>
          </cell>
        </row>
        <row r="826">
          <cell r="A826" t="str">
            <v/>
          </cell>
          <cell r="B826" t="str">
            <v/>
          </cell>
          <cell r="C826" t="str">
            <v>Future</v>
          </cell>
          <cell r="D826" t="e">
            <v>#N/A</v>
          </cell>
          <cell r="E826">
            <v>-3.2970238095241204</v>
          </cell>
          <cell r="F826">
            <v>65.572023809522861</v>
          </cell>
          <cell r="G826">
            <v>39.083928571427954</v>
          </cell>
          <cell r="H826">
            <v>39.083928571427954</v>
          </cell>
          <cell r="I826" t="e">
            <v>#N/A</v>
          </cell>
          <cell r="J826" t="e">
            <v>#N/A</v>
          </cell>
          <cell r="K826">
            <v>65</v>
          </cell>
          <cell r="L826">
            <v>40</v>
          </cell>
          <cell r="M826" t="e">
            <v>#N/A</v>
          </cell>
          <cell r="N826">
            <v>52</v>
          </cell>
          <cell r="O826" t="e">
            <v>#N/A</v>
          </cell>
          <cell r="P826" t="str">
            <v/>
          </cell>
          <cell r="Q826" t="str">
            <v/>
          </cell>
          <cell r="R826" t="e">
            <v>#N/A</v>
          </cell>
        </row>
        <row r="827">
          <cell r="A827" t="str">
            <v/>
          </cell>
          <cell r="B827" t="str">
            <v/>
          </cell>
          <cell r="C827" t="str">
            <v>Future</v>
          </cell>
          <cell r="D827" t="e">
            <v>#N/A</v>
          </cell>
          <cell r="E827">
            <v>-3.5168253968257077</v>
          </cell>
          <cell r="F827">
            <v>65.610158730157778</v>
          </cell>
          <cell r="G827">
            <v>39.022857142856523</v>
          </cell>
          <cell r="H827">
            <v>39.022857142856523</v>
          </cell>
          <cell r="I827" t="e">
            <v>#N/A</v>
          </cell>
          <cell r="J827" t="e">
            <v>#N/A</v>
          </cell>
          <cell r="K827">
            <v>65</v>
          </cell>
          <cell r="L827">
            <v>40</v>
          </cell>
          <cell r="M827" t="e">
            <v>#N/A</v>
          </cell>
          <cell r="N827">
            <v>52</v>
          </cell>
          <cell r="O827" t="e">
            <v>#N/A</v>
          </cell>
          <cell r="P827" t="str">
            <v/>
          </cell>
          <cell r="Q827" t="str">
            <v/>
          </cell>
          <cell r="R827" t="e">
            <v>#N/A</v>
          </cell>
        </row>
        <row r="828">
          <cell r="A828" t="str">
            <v/>
          </cell>
          <cell r="B828" t="str">
            <v/>
          </cell>
          <cell r="C828" t="str">
            <v>Future</v>
          </cell>
          <cell r="D828" t="e">
            <v>#N/A</v>
          </cell>
          <cell r="E828">
            <v>-3.736626984127295</v>
          </cell>
          <cell r="F828">
            <v>65.648293650792695</v>
          </cell>
          <cell r="G828">
            <v>38.961785714285092</v>
          </cell>
          <cell r="H828">
            <v>38.961785714285092</v>
          </cell>
          <cell r="I828" t="e">
            <v>#N/A</v>
          </cell>
          <cell r="J828" t="e">
            <v>#N/A</v>
          </cell>
          <cell r="K828">
            <v>65</v>
          </cell>
          <cell r="L828">
            <v>40</v>
          </cell>
          <cell r="M828" t="e">
            <v>#N/A</v>
          </cell>
          <cell r="N828">
            <v>52</v>
          </cell>
          <cell r="O828" t="e">
            <v>#N/A</v>
          </cell>
          <cell r="P828" t="str">
            <v/>
          </cell>
          <cell r="Q828" t="str">
            <v/>
          </cell>
          <cell r="R828" t="e">
            <v>#N/A</v>
          </cell>
        </row>
        <row r="829">
          <cell r="A829" t="str">
            <v/>
          </cell>
          <cell r="B829" t="str">
            <v/>
          </cell>
          <cell r="C829" t="str">
            <v>Future</v>
          </cell>
          <cell r="D829" t="e">
            <v>#N/A</v>
          </cell>
          <cell r="E829">
            <v>-3.9564285714288823</v>
          </cell>
          <cell r="F829">
            <v>65.686428571427612</v>
          </cell>
          <cell r="G829">
            <v>38.900714285713661</v>
          </cell>
          <cell r="H829">
            <v>38.900714285713661</v>
          </cell>
          <cell r="I829" t="e">
            <v>#N/A</v>
          </cell>
          <cell r="J829" t="e">
            <v>#N/A</v>
          </cell>
          <cell r="K829">
            <v>65</v>
          </cell>
          <cell r="L829">
            <v>40</v>
          </cell>
          <cell r="M829" t="e">
            <v>#N/A</v>
          </cell>
          <cell r="N829">
            <v>52</v>
          </cell>
          <cell r="O829" t="e">
            <v>#N/A</v>
          </cell>
          <cell r="P829" t="str">
            <v/>
          </cell>
          <cell r="Q829" t="str">
            <v/>
          </cell>
          <cell r="R829" t="e">
            <v>#N/A</v>
          </cell>
        </row>
        <row r="830">
          <cell r="A830" t="str">
            <v/>
          </cell>
          <cell r="B830" t="str">
            <v/>
          </cell>
          <cell r="C830" t="str">
            <v>Future</v>
          </cell>
          <cell r="D830" t="e">
            <v>#N/A</v>
          </cell>
          <cell r="E830">
            <v>-4.17623015873047</v>
          </cell>
          <cell r="F830">
            <v>65.724563492062529</v>
          </cell>
          <cell r="G830">
            <v>38.839642857142231</v>
          </cell>
          <cell r="H830">
            <v>38.839642857142231</v>
          </cell>
          <cell r="I830" t="e">
            <v>#N/A</v>
          </cell>
          <cell r="J830" t="e">
            <v>#N/A</v>
          </cell>
          <cell r="K830">
            <v>65</v>
          </cell>
          <cell r="L830">
            <v>40</v>
          </cell>
          <cell r="M830" t="e">
            <v>#N/A</v>
          </cell>
          <cell r="N830">
            <v>52</v>
          </cell>
          <cell r="O830" t="e">
            <v>#N/A</v>
          </cell>
          <cell r="P830" t="str">
            <v/>
          </cell>
          <cell r="Q830" t="str">
            <v/>
          </cell>
          <cell r="R830" t="e">
            <v>#N/A</v>
          </cell>
        </row>
        <row r="831">
          <cell r="A831" t="str">
            <v/>
          </cell>
          <cell r="B831" t="str">
            <v/>
          </cell>
          <cell r="C831" t="str">
            <v>Future</v>
          </cell>
          <cell r="D831" t="e">
            <v>#N/A</v>
          </cell>
          <cell r="E831">
            <v>-4.3960317460320573</v>
          </cell>
          <cell r="F831">
            <v>65.762698412697446</v>
          </cell>
          <cell r="G831">
            <v>38.7785714285708</v>
          </cell>
          <cell r="H831">
            <v>38.7785714285708</v>
          </cell>
          <cell r="I831" t="e">
            <v>#N/A</v>
          </cell>
          <cell r="J831" t="e">
            <v>#N/A</v>
          </cell>
          <cell r="K831">
            <v>65</v>
          </cell>
          <cell r="L831">
            <v>40</v>
          </cell>
          <cell r="M831" t="e">
            <v>#N/A</v>
          </cell>
          <cell r="N831">
            <v>52</v>
          </cell>
          <cell r="O831" t="e">
            <v>#N/A</v>
          </cell>
          <cell r="P831" t="str">
            <v/>
          </cell>
          <cell r="Q831" t="str">
            <v/>
          </cell>
          <cell r="R831" t="e">
            <v>#N/A</v>
          </cell>
        </row>
        <row r="832">
          <cell r="A832" t="str">
            <v/>
          </cell>
          <cell r="B832" t="str">
            <v/>
          </cell>
          <cell r="C832" t="str">
            <v>Future</v>
          </cell>
          <cell r="D832" t="e">
            <v>#N/A</v>
          </cell>
          <cell r="E832">
            <v>-4.6158333333336445</v>
          </cell>
          <cell r="F832">
            <v>65.800833333332363</v>
          </cell>
          <cell r="G832">
            <v>38.717499999999369</v>
          </cell>
          <cell r="H832">
            <v>38.717499999999369</v>
          </cell>
          <cell r="I832" t="e">
            <v>#N/A</v>
          </cell>
          <cell r="J832" t="e">
            <v>#N/A</v>
          </cell>
          <cell r="K832">
            <v>65</v>
          </cell>
          <cell r="L832">
            <v>40</v>
          </cell>
          <cell r="M832" t="e">
            <v>#N/A</v>
          </cell>
          <cell r="N832">
            <v>52</v>
          </cell>
          <cell r="O832" t="e">
            <v>#N/A</v>
          </cell>
          <cell r="P832" t="str">
            <v/>
          </cell>
          <cell r="Q832" t="str">
            <v/>
          </cell>
          <cell r="R832" t="e">
            <v>#N/A</v>
          </cell>
        </row>
        <row r="833">
          <cell r="A833" t="str">
            <v/>
          </cell>
          <cell r="B833" t="str">
            <v/>
          </cell>
          <cell r="C833" t="str">
            <v>Future</v>
          </cell>
          <cell r="D833" t="e">
            <v>#N/A</v>
          </cell>
          <cell r="E833">
            <v>-4.8356349206352318</v>
          </cell>
          <cell r="F833">
            <v>65.83896825396728</v>
          </cell>
          <cell r="G833">
            <v>38.656428571427938</v>
          </cell>
          <cell r="H833">
            <v>38.656428571427938</v>
          </cell>
          <cell r="I833" t="e">
            <v>#N/A</v>
          </cell>
          <cell r="J833" t="e">
            <v>#N/A</v>
          </cell>
          <cell r="K833">
            <v>65</v>
          </cell>
          <cell r="L833">
            <v>40</v>
          </cell>
          <cell r="M833" t="e">
            <v>#N/A</v>
          </cell>
          <cell r="N833">
            <v>52</v>
          </cell>
          <cell r="O833" t="e">
            <v>#N/A</v>
          </cell>
          <cell r="P833" t="str">
            <v/>
          </cell>
          <cell r="Q833" t="str">
            <v/>
          </cell>
          <cell r="R833" t="e">
            <v>#N/A</v>
          </cell>
        </row>
        <row r="834">
          <cell r="A834" t="str">
            <v/>
          </cell>
          <cell r="B834" t="str">
            <v/>
          </cell>
          <cell r="C834" t="str">
            <v>Future</v>
          </cell>
          <cell r="D834" t="e">
            <v>#N/A</v>
          </cell>
          <cell r="E834">
            <v>-5.0554365079368191</v>
          </cell>
          <cell r="F834">
            <v>65.877103174602198</v>
          </cell>
          <cell r="G834">
            <v>38.595357142856507</v>
          </cell>
          <cell r="H834">
            <v>38.595357142856507</v>
          </cell>
          <cell r="I834" t="e">
            <v>#N/A</v>
          </cell>
          <cell r="J834" t="e">
            <v>#N/A</v>
          </cell>
          <cell r="K834">
            <v>65</v>
          </cell>
          <cell r="L834">
            <v>40</v>
          </cell>
          <cell r="M834" t="e">
            <v>#N/A</v>
          </cell>
          <cell r="N834">
            <v>52</v>
          </cell>
          <cell r="O834" t="e">
            <v>#N/A</v>
          </cell>
          <cell r="P834" t="str">
            <v/>
          </cell>
          <cell r="Q834" t="str">
            <v/>
          </cell>
          <cell r="R834" t="e">
            <v>#N/A</v>
          </cell>
        </row>
        <row r="835">
          <cell r="A835" t="str">
            <v/>
          </cell>
          <cell r="B835" t="str">
            <v/>
          </cell>
          <cell r="C835" t="str">
            <v>Future</v>
          </cell>
          <cell r="D835" t="e">
            <v>#N/A</v>
          </cell>
          <cell r="E835">
            <v>-5.2752380952384064</v>
          </cell>
          <cell r="F835">
            <v>65.915238095237115</v>
          </cell>
          <cell r="G835">
            <v>38.534285714285076</v>
          </cell>
          <cell r="H835">
            <v>38.534285714285076</v>
          </cell>
          <cell r="I835" t="e">
            <v>#N/A</v>
          </cell>
          <cell r="J835" t="e">
            <v>#N/A</v>
          </cell>
          <cell r="K835">
            <v>65</v>
          </cell>
          <cell r="L835">
            <v>40</v>
          </cell>
          <cell r="M835" t="e">
            <v>#N/A</v>
          </cell>
          <cell r="N835">
            <v>52</v>
          </cell>
          <cell r="O835" t="e">
            <v>#N/A</v>
          </cell>
          <cell r="P835" t="str">
            <v/>
          </cell>
          <cell r="Q835" t="str">
            <v/>
          </cell>
          <cell r="R835" t="e">
            <v>#N/A</v>
          </cell>
        </row>
        <row r="836">
          <cell r="A836" t="str">
            <v/>
          </cell>
          <cell r="B836" t="str">
            <v/>
          </cell>
          <cell r="C836" t="str">
            <v>Future</v>
          </cell>
          <cell r="D836" t="e">
            <v>#N/A</v>
          </cell>
          <cell r="E836">
            <v>-5.4950396825399936</v>
          </cell>
          <cell r="F836">
            <v>65.953373015872032</v>
          </cell>
          <cell r="G836">
            <v>38.473214285713645</v>
          </cell>
          <cell r="H836">
            <v>38.473214285713645</v>
          </cell>
          <cell r="I836" t="e">
            <v>#N/A</v>
          </cell>
          <cell r="J836" t="e">
            <v>#N/A</v>
          </cell>
          <cell r="K836">
            <v>65</v>
          </cell>
          <cell r="L836">
            <v>40</v>
          </cell>
          <cell r="M836" t="e">
            <v>#N/A</v>
          </cell>
          <cell r="N836">
            <v>52</v>
          </cell>
          <cell r="O836" t="e">
            <v>#N/A</v>
          </cell>
          <cell r="P836" t="str">
            <v/>
          </cell>
          <cell r="Q836" t="str">
            <v/>
          </cell>
          <cell r="R836" t="e">
            <v>#N/A</v>
          </cell>
        </row>
        <row r="837">
          <cell r="A837" t="str">
            <v/>
          </cell>
          <cell r="B837" t="str">
            <v/>
          </cell>
          <cell r="C837" t="str">
            <v>Future</v>
          </cell>
          <cell r="D837" t="e">
            <v>#N/A</v>
          </cell>
          <cell r="E837">
            <v>-5.7148412698415809</v>
          </cell>
          <cell r="F837">
            <v>65.991507936506949</v>
          </cell>
          <cell r="G837">
            <v>38.412142857142214</v>
          </cell>
          <cell r="H837">
            <v>38.412142857142214</v>
          </cell>
          <cell r="I837" t="e">
            <v>#N/A</v>
          </cell>
          <cell r="J837" t="e">
            <v>#N/A</v>
          </cell>
          <cell r="K837">
            <v>65</v>
          </cell>
          <cell r="L837">
            <v>40</v>
          </cell>
          <cell r="M837" t="e">
            <v>#N/A</v>
          </cell>
          <cell r="N837">
            <v>52</v>
          </cell>
          <cell r="O837" t="e">
            <v>#N/A</v>
          </cell>
          <cell r="P837" t="str">
            <v/>
          </cell>
          <cell r="Q837" t="str">
            <v/>
          </cell>
          <cell r="R837" t="e">
            <v>#N/A</v>
          </cell>
        </row>
        <row r="838">
          <cell r="A838" t="str">
            <v/>
          </cell>
          <cell r="B838" t="str">
            <v/>
          </cell>
          <cell r="C838" t="str">
            <v>Future</v>
          </cell>
          <cell r="D838" t="e">
            <v>#N/A</v>
          </cell>
          <cell r="E838">
            <v>-5.9346428571431682</v>
          </cell>
          <cell r="F838">
            <v>66.029642857141866</v>
          </cell>
          <cell r="G838">
            <v>38.351071428570783</v>
          </cell>
          <cell r="H838">
            <v>38.351071428570783</v>
          </cell>
          <cell r="I838" t="e">
            <v>#N/A</v>
          </cell>
          <cell r="J838" t="e">
            <v>#N/A</v>
          </cell>
          <cell r="K838">
            <v>65</v>
          </cell>
          <cell r="L838">
            <v>40</v>
          </cell>
          <cell r="M838" t="e">
            <v>#N/A</v>
          </cell>
          <cell r="N838">
            <v>52</v>
          </cell>
          <cell r="O838" t="e">
            <v>#N/A</v>
          </cell>
          <cell r="P838" t="str">
            <v/>
          </cell>
          <cell r="Q838" t="str">
            <v/>
          </cell>
          <cell r="R838" t="e">
            <v>#N/A</v>
          </cell>
        </row>
        <row r="839">
          <cell r="A839" t="str">
            <v/>
          </cell>
          <cell r="B839" t="str">
            <v/>
          </cell>
          <cell r="C839" t="str">
            <v>Future</v>
          </cell>
          <cell r="D839" t="e">
            <v>#N/A</v>
          </cell>
          <cell r="E839">
            <v>-6.1544444444447555</v>
          </cell>
          <cell r="F839">
            <v>66.067777777776783</v>
          </cell>
          <cell r="G839">
            <v>38.289999999999353</v>
          </cell>
          <cell r="H839">
            <v>38.289999999999353</v>
          </cell>
          <cell r="I839" t="e">
            <v>#N/A</v>
          </cell>
          <cell r="J839" t="e">
            <v>#N/A</v>
          </cell>
          <cell r="K839">
            <v>65</v>
          </cell>
          <cell r="L839">
            <v>40</v>
          </cell>
          <cell r="M839" t="e">
            <v>#N/A</v>
          </cell>
          <cell r="N839">
            <v>52</v>
          </cell>
          <cell r="O839" t="e">
            <v>#N/A</v>
          </cell>
          <cell r="P839" t="str">
            <v/>
          </cell>
          <cell r="Q839" t="str">
            <v/>
          </cell>
          <cell r="R839" t="e">
            <v>#N/A</v>
          </cell>
        </row>
        <row r="840">
          <cell r="A840" t="str">
            <v/>
          </cell>
          <cell r="B840" t="str">
            <v/>
          </cell>
          <cell r="C840" t="str">
            <v>Future</v>
          </cell>
          <cell r="D840" t="e">
            <v>#N/A</v>
          </cell>
          <cell r="E840">
            <v>-6.3742460317463427</v>
          </cell>
          <cell r="F840">
            <v>66.1059126984117</v>
          </cell>
          <cell r="G840">
            <v>38.228928571427922</v>
          </cell>
          <cell r="H840">
            <v>38.228928571427922</v>
          </cell>
          <cell r="I840" t="e">
            <v>#N/A</v>
          </cell>
          <cell r="J840" t="e">
            <v>#N/A</v>
          </cell>
          <cell r="K840">
            <v>65</v>
          </cell>
          <cell r="L840">
            <v>40</v>
          </cell>
          <cell r="M840" t="e">
            <v>#N/A</v>
          </cell>
          <cell r="N840">
            <v>52</v>
          </cell>
          <cell r="O840" t="e">
            <v>#N/A</v>
          </cell>
          <cell r="P840" t="str">
            <v/>
          </cell>
          <cell r="Q840" t="str">
            <v/>
          </cell>
          <cell r="R840" t="e">
            <v>#N/A</v>
          </cell>
        </row>
        <row r="841">
          <cell r="A841" t="str">
            <v/>
          </cell>
          <cell r="B841" t="str">
            <v/>
          </cell>
          <cell r="C841" t="str">
            <v>Future</v>
          </cell>
          <cell r="D841" t="e">
            <v>#N/A</v>
          </cell>
          <cell r="E841">
            <v>-6.59404761904793</v>
          </cell>
          <cell r="F841">
            <v>66.144047619046617</v>
          </cell>
          <cell r="G841">
            <v>38.167857142856491</v>
          </cell>
          <cell r="H841">
            <v>38.167857142856491</v>
          </cell>
          <cell r="I841" t="e">
            <v>#N/A</v>
          </cell>
          <cell r="J841" t="e">
            <v>#N/A</v>
          </cell>
          <cell r="K841">
            <v>65</v>
          </cell>
          <cell r="L841">
            <v>40</v>
          </cell>
          <cell r="M841" t="e">
            <v>#N/A</v>
          </cell>
          <cell r="N841">
            <v>52</v>
          </cell>
          <cell r="O841" t="e">
            <v>#N/A</v>
          </cell>
          <cell r="P841" t="str">
            <v/>
          </cell>
          <cell r="Q841" t="str">
            <v/>
          </cell>
          <cell r="R841" t="e">
            <v>#N/A</v>
          </cell>
        </row>
        <row r="842">
          <cell r="A842" t="str">
            <v/>
          </cell>
          <cell r="B842" t="str">
            <v/>
          </cell>
          <cell r="C842" t="str">
            <v>Future</v>
          </cell>
          <cell r="D842" t="e">
            <v>#N/A</v>
          </cell>
          <cell r="E842">
            <v>-6.8138492063495173</v>
          </cell>
          <cell r="F842">
            <v>66.182182539681534</v>
          </cell>
          <cell r="G842">
            <v>38.10678571428506</v>
          </cell>
          <cell r="H842">
            <v>38.10678571428506</v>
          </cell>
          <cell r="I842" t="e">
            <v>#N/A</v>
          </cell>
          <cell r="J842" t="e">
            <v>#N/A</v>
          </cell>
          <cell r="K842">
            <v>65</v>
          </cell>
          <cell r="L842">
            <v>40</v>
          </cell>
          <cell r="M842" t="e">
            <v>#N/A</v>
          </cell>
          <cell r="N842">
            <v>52</v>
          </cell>
          <cell r="O842" t="e">
            <v>#N/A</v>
          </cell>
          <cell r="P842" t="str">
            <v/>
          </cell>
          <cell r="Q842" t="str">
            <v/>
          </cell>
          <cell r="R842" t="e">
            <v>#N/A</v>
          </cell>
        </row>
        <row r="843">
          <cell r="A843" t="str">
            <v/>
          </cell>
          <cell r="B843" t="str">
            <v/>
          </cell>
          <cell r="C843" t="str">
            <v>Future</v>
          </cell>
          <cell r="D843" t="e">
            <v>#N/A</v>
          </cell>
          <cell r="E843">
            <v>-7.0336507936511046</v>
          </cell>
          <cell r="F843">
            <v>66.220317460316451</v>
          </cell>
          <cell r="G843">
            <v>38.045714285713629</v>
          </cell>
          <cell r="H843">
            <v>38.045714285713629</v>
          </cell>
          <cell r="I843" t="e">
            <v>#N/A</v>
          </cell>
          <cell r="J843" t="e">
            <v>#N/A</v>
          </cell>
          <cell r="K843">
            <v>65</v>
          </cell>
          <cell r="L843">
            <v>40</v>
          </cell>
          <cell r="M843" t="e">
            <v>#N/A</v>
          </cell>
          <cell r="N843">
            <v>52</v>
          </cell>
          <cell r="O843" t="e">
            <v>#N/A</v>
          </cell>
          <cell r="P843" t="str">
            <v/>
          </cell>
          <cell r="Q843" t="str">
            <v/>
          </cell>
          <cell r="R843" t="e">
            <v>#N/A</v>
          </cell>
        </row>
        <row r="844">
          <cell r="A844" t="str">
            <v/>
          </cell>
          <cell r="B844" t="str">
            <v/>
          </cell>
          <cell r="C844" t="str">
            <v>Future</v>
          </cell>
          <cell r="D844" t="e">
            <v>#N/A</v>
          </cell>
          <cell r="E844">
            <v>-7.2534523809526918</v>
          </cell>
          <cell r="F844">
            <v>66.258452380951368</v>
          </cell>
          <cell r="G844">
            <v>37.984642857142198</v>
          </cell>
          <cell r="H844">
            <v>37.984642857142198</v>
          </cell>
          <cell r="I844" t="e">
            <v>#N/A</v>
          </cell>
          <cell r="J844" t="e">
            <v>#N/A</v>
          </cell>
          <cell r="K844">
            <v>65</v>
          </cell>
          <cell r="L844">
            <v>40</v>
          </cell>
          <cell r="M844" t="e">
            <v>#N/A</v>
          </cell>
          <cell r="N844">
            <v>52</v>
          </cell>
          <cell r="O844" t="e">
            <v>#N/A</v>
          </cell>
          <cell r="P844" t="str">
            <v/>
          </cell>
          <cell r="Q844" t="str">
            <v/>
          </cell>
          <cell r="R844" t="e">
            <v>#N/A</v>
          </cell>
        </row>
        <row r="845">
          <cell r="A845" t="str">
            <v/>
          </cell>
          <cell r="B845" t="str">
            <v/>
          </cell>
          <cell r="C845" t="str">
            <v>Future</v>
          </cell>
          <cell r="D845" t="e">
            <v>#N/A</v>
          </cell>
          <cell r="E845">
            <v>-7.4732539682542791</v>
          </cell>
          <cell r="F845">
            <v>66.296587301586285</v>
          </cell>
          <cell r="G845">
            <v>37.923571428570767</v>
          </cell>
          <cell r="H845">
            <v>37.923571428570767</v>
          </cell>
          <cell r="I845" t="e">
            <v>#N/A</v>
          </cell>
          <cell r="J845" t="e">
            <v>#N/A</v>
          </cell>
          <cell r="K845">
            <v>65</v>
          </cell>
          <cell r="L845">
            <v>40</v>
          </cell>
          <cell r="M845" t="e">
            <v>#N/A</v>
          </cell>
          <cell r="N845">
            <v>52</v>
          </cell>
          <cell r="O845" t="e">
            <v>#N/A</v>
          </cell>
          <cell r="P845" t="str">
            <v/>
          </cell>
          <cell r="Q845" t="str">
            <v/>
          </cell>
          <cell r="R845" t="e">
            <v>#N/A</v>
          </cell>
        </row>
        <row r="846">
          <cell r="A846" t="str">
            <v/>
          </cell>
          <cell r="B846" t="str">
            <v/>
          </cell>
          <cell r="C846" t="str">
            <v>Future</v>
          </cell>
          <cell r="D846" t="e">
            <v>#N/A</v>
          </cell>
          <cell r="E846">
            <v>-7.6930555555558664</v>
          </cell>
          <cell r="F846">
            <v>66.334722222221203</v>
          </cell>
          <cell r="G846">
            <v>37.862499999999336</v>
          </cell>
          <cell r="H846">
            <v>37.862499999999336</v>
          </cell>
          <cell r="I846" t="e">
            <v>#N/A</v>
          </cell>
          <cell r="J846" t="e">
            <v>#N/A</v>
          </cell>
          <cell r="K846">
            <v>65</v>
          </cell>
          <cell r="L846">
            <v>40</v>
          </cell>
          <cell r="M846" t="e">
            <v>#N/A</v>
          </cell>
          <cell r="N846">
            <v>52</v>
          </cell>
          <cell r="O846" t="e">
            <v>#N/A</v>
          </cell>
          <cell r="P846" t="str">
            <v/>
          </cell>
          <cell r="Q846" t="str">
            <v/>
          </cell>
          <cell r="R846" t="e">
            <v>#N/A</v>
          </cell>
        </row>
        <row r="847">
          <cell r="A847" t="str">
            <v/>
          </cell>
          <cell r="B847" t="str">
            <v/>
          </cell>
          <cell r="C847" t="str">
            <v>Future</v>
          </cell>
          <cell r="D847" t="e">
            <v>#N/A</v>
          </cell>
          <cell r="E847">
            <v>-7.9128571428574537</v>
          </cell>
          <cell r="F847">
            <v>66.37285714285612</v>
          </cell>
          <cell r="G847">
            <v>37.801428571427905</v>
          </cell>
          <cell r="H847">
            <v>37.801428571427905</v>
          </cell>
          <cell r="I847" t="e">
            <v>#N/A</v>
          </cell>
          <cell r="J847" t="e">
            <v>#N/A</v>
          </cell>
          <cell r="K847">
            <v>65</v>
          </cell>
          <cell r="L847">
            <v>40</v>
          </cell>
          <cell r="M847" t="e">
            <v>#N/A</v>
          </cell>
          <cell r="N847">
            <v>52</v>
          </cell>
          <cell r="O847" t="e">
            <v>#N/A</v>
          </cell>
          <cell r="P847" t="str">
            <v/>
          </cell>
          <cell r="Q847" t="str">
            <v/>
          </cell>
          <cell r="R847" t="e">
            <v>#N/A</v>
          </cell>
        </row>
        <row r="848">
          <cell r="A848" t="str">
            <v/>
          </cell>
          <cell r="B848" t="str">
            <v/>
          </cell>
          <cell r="C848" t="str">
            <v>Future</v>
          </cell>
          <cell r="D848" t="e">
            <v>#N/A</v>
          </cell>
          <cell r="E848">
            <v>-8.1326587301590418</v>
          </cell>
          <cell r="F848">
            <v>66.410992063491037</v>
          </cell>
          <cell r="G848">
            <v>37.740357142856475</v>
          </cell>
          <cell r="H848">
            <v>37.740357142856475</v>
          </cell>
          <cell r="I848" t="e">
            <v>#N/A</v>
          </cell>
          <cell r="J848" t="e">
            <v>#N/A</v>
          </cell>
          <cell r="K848">
            <v>65</v>
          </cell>
          <cell r="L848">
            <v>40</v>
          </cell>
          <cell r="M848" t="e">
            <v>#N/A</v>
          </cell>
          <cell r="N848">
            <v>52</v>
          </cell>
          <cell r="O848" t="e">
            <v>#N/A</v>
          </cell>
          <cell r="P848" t="str">
            <v/>
          </cell>
          <cell r="Q848" t="str">
            <v/>
          </cell>
          <cell r="R848" t="e">
            <v>#N/A</v>
          </cell>
        </row>
        <row r="849">
          <cell r="A849" t="str">
            <v/>
          </cell>
          <cell r="B849" t="str">
            <v/>
          </cell>
          <cell r="C849" t="str">
            <v>Future</v>
          </cell>
          <cell r="D849" t="e">
            <v>#N/A</v>
          </cell>
          <cell r="E849">
            <v>-8.3524603174606291</v>
          </cell>
          <cell r="F849">
            <v>66.449126984125954</v>
          </cell>
          <cell r="G849">
            <v>37.679285714285044</v>
          </cell>
          <cell r="H849">
            <v>37.679285714285044</v>
          </cell>
          <cell r="I849" t="e">
            <v>#N/A</v>
          </cell>
          <cell r="J849" t="e">
            <v>#N/A</v>
          </cell>
          <cell r="K849">
            <v>65</v>
          </cell>
          <cell r="L849">
            <v>40</v>
          </cell>
          <cell r="M849" t="e">
            <v>#N/A</v>
          </cell>
          <cell r="N849">
            <v>52</v>
          </cell>
          <cell r="O849" t="e">
            <v>#N/A</v>
          </cell>
          <cell r="P849" t="str">
            <v/>
          </cell>
          <cell r="Q849" t="str">
            <v/>
          </cell>
          <cell r="R849" t="e">
            <v>#N/A</v>
          </cell>
        </row>
        <row r="850">
          <cell r="A850" t="str">
            <v/>
          </cell>
          <cell r="B850" t="str">
            <v/>
          </cell>
          <cell r="C850" t="str">
            <v>Future</v>
          </cell>
          <cell r="D850" t="e">
            <v>#N/A</v>
          </cell>
          <cell r="E850">
            <v>-8.5722619047622164</v>
          </cell>
          <cell r="F850">
            <v>66.487261904760871</v>
          </cell>
          <cell r="G850">
            <v>37.618214285713613</v>
          </cell>
          <cell r="H850">
            <v>37.618214285713613</v>
          </cell>
          <cell r="I850" t="e">
            <v>#N/A</v>
          </cell>
          <cell r="J850" t="e">
            <v>#N/A</v>
          </cell>
          <cell r="K850">
            <v>65</v>
          </cell>
          <cell r="L850">
            <v>40</v>
          </cell>
          <cell r="M850" t="e">
            <v>#N/A</v>
          </cell>
          <cell r="N850">
            <v>52</v>
          </cell>
          <cell r="O850" t="e">
            <v>#N/A</v>
          </cell>
          <cell r="P850" t="str">
            <v/>
          </cell>
          <cell r="Q850" t="str">
            <v/>
          </cell>
          <cell r="R850" t="e">
            <v>#N/A</v>
          </cell>
        </row>
        <row r="851">
          <cell r="A851" t="str">
            <v/>
          </cell>
          <cell r="B851" t="str">
            <v/>
          </cell>
          <cell r="C851" t="str">
            <v>Future</v>
          </cell>
          <cell r="D851" t="e">
            <v>#N/A</v>
          </cell>
          <cell r="E851">
            <v>-8.7920634920638037</v>
          </cell>
          <cell r="F851">
            <v>66.525396825395788</v>
          </cell>
          <cell r="G851">
            <v>37.557142857142182</v>
          </cell>
          <cell r="H851">
            <v>37.557142857142182</v>
          </cell>
          <cell r="I851" t="e">
            <v>#N/A</v>
          </cell>
          <cell r="J851" t="e">
            <v>#N/A</v>
          </cell>
          <cell r="K851">
            <v>65</v>
          </cell>
          <cell r="L851">
            <v>40</v>
          </cell>
          <cell r="M851" t="e">
            <v>#N/A</v>
          </cell>
          <cell r="N851">
            <v>52</v>
          </cell>
          <cell r="O851" t="e">
            <v>#N/A</v>
          </cell>
          <cell r="P851" t="str">
            <v/>
          </cell>
          <cell r="Q851" t="str">
            <v/>
          </cell>
          <cell r="R851" t="e">
            <v>#N/A</v>
          </cell>
        </row>
        <row r="852">
          <cell r="A852" t="str">
            <v/>
          </cell>
          <cell r="B852" t="str">
            <v/>
          </cell>
          <cell r="C852" t="str">
            <v>Future</v>
          </cell>
          <cell r="D852" t="e">
            <v>#N/A</v>
          </cell>
          <cell r="E852">
            <v>-9.0118650793653909</v>
          </cell>
          <cell r="F852">
            <v>66.563531746030705</v>
          </cell>
          <cell r="G852">
            <v>37.496071428570751</v>
          </cell>
          <cell r="H852">
            <v>37.496071428570751</v>
          </cell>
          <cell r="I852" t="e">
            <v>#N/A</v>
          </cell>
          <cell r="J852" t="e">
            <v>#N/A</v>
          </cell>
          <cell r="K852">
            <v>65</v>
          </cell>
          <cell r="L852">
            <v>40</v>
          </cell>
          <cell r="M852" t="e">
            <v>#N/A</v>
          </cell>
          <cell r="N852">
            <v>52</v>
          </cell>
          <cell r="O852" t="e">
            <v>#N/A</v>
          </cell>
          <cell r="P852" t="str">
            <v/>
          </cell>
          <cell r="Q852" t="str">
            <v/>
          </cell>
          <cell r="R852" t="e">
            <v>#N/A</v>
          </cell>
        </row>
        <row r="853">
          <cell r="A853" t="str">
            <v/>
          </cell>
          <cell r="B853" t="str">
            <v/>
          </cell>
          <cell r="C853" t="str">
            <v>Future</v>
          </cell>
          <cell r="D853" t="e">
            <v>#N/A</v>
          </cell>
          <cell r="E853">
            <v>-9.2316666666669782</v>
          </cell>
          <cell r="F853">
            <v>66.601666666665622</v>
          </cell>
          <cell r="G853">
            <v>37.43499999999932</v>
          </cell>
          <cell r="H853">
            <v>37.43499999999932</v>
          </cell>
          <cell r="I853" t="e">
            <v>#N/A</v>
          </cell>
          <cell r="J853" t="e">
            <v>#N/A</v>
          </cell>
          <cell r="K853">
            <v>65</v>
          </cell>
          <cell r="L853">
            <v>40</v>
          </cell>
          <cell r="M853" t="e">
            <v>#N/A</v>
          </cell>
          <cell r="N853">
            <v>52</v>
          </cell>
          <cell r="O853" t="e">
            <v>#N/A</v>
          </cell>
          <cell r="P853" t="str">
            <v/>
          </cell>
          <cell r="Q853" t="str">
            <v/>
          </cell>
          <cell r="R853" t="e">
            <v>#N/A</v>
          </cell>
        </row>
        <row r="854">
          <cell r="A854" t="str">
            <v/>
          </cell>
          <cell r="B854" t="str">
            <v/>
          </cell>
          <cell r="C854" t="str">
            <v>Future</v>
          </cell>
          <cell r="D854" t="e">
            <v>#N/A</v>
          </cell>
          <cell r="E854">
            <v>-9.4514682539685655</v>
          </cell>
          <cell r="F854">
            <v>66.639801587300539</v>
          </cell>
          <cell r="G854">
            <v>37.373928571427889</v>
          </cell>
          <cell r="H854">
            <v>37.373928571427889</v>
          </cell>
          <cell r="I854" t="e">
            <v>#N/A</v>
          </cell>
          <cell r="J854" t="e">
            <v>#N/A</v>
          </cell>
          <cell r="K854">
            <v>65</v>
          </cell>
          <cell r="L854">
            <v>40</v>
          </cell>
          <cell r="M854" t="e">
            <v>#N/A</v>
          </cell>
          <cell r="N854">
            <v>52</v>
          </cell>
          <cell r="O854" t="e">
            <v>#N/A</v>
          </cell>
          <cell r="P854" t="str">
            <v/>
          </cell>
          <cell r="Q854" t="str">
            <v/>
          </cell>
          <cell r="R854" t="e">
            <v>#N/A</v>
          </cell>
        </row>
        <row r="855">
          <cell r="A855" t="str">
            <v/>
          </cell>
          <cell r="B855" t="str">
            <v/>
          </cell>
          <cell r="C855" t="str">
            <v>Future</v>
          </cell>
          <cell r="D855" t="e">
            <v>#N/A</v>
          </cell>
          <cell r="E855">
            <v>-9.6712698412701528</v>
          </cell>
          <cell r="F855">
            <v>66.677936507935456</v>
          </cell>
          <cell r="G855">
            <v>37.312857142856458</v>
          </cell>
          <cell r="H855">
            <v>37.312857142856458</v>
          </cell>
          <cell r="I855" t="e">
            <v>#N/A</v>
          </cell>
          <cell r="J855" t="e">
            <v>#N/A</v>
          </cell>
          <cell r="K855">
            <v>65</v>
          </cell>
          <cell r="L855">
            <v>40</v>
          </cell>
          <cell r="M855" t="e">
            <v>#N/A</v>
          </cell>
          <cell r="N855">
            <v>52</v>
          </cell>
          <cell r="O855" t="e">
            <v>#N/A</v>
          </cell>
          <cell r="P855" t="str">
            <v/>
          </cell>
          <cell r="Q855" t="str">
            <v/>
          </cell>
          <cell r="R855" t="e">
            <v>#N/A</v>
          </cell>
        </row>
        <row r="856">
          <cell r="A856" t="str">
            <v/>
          </cell>
          <cell r="B856" t="str">
            <v/>
          </cell>
          <cell r="C856" t="str">
            <v>Future</v>
          </cell>
          <cell r="D856" t="e">
            <v>#N/A</v>
          </cell>
          <cell r="E856">
            <v>-9.89107142857174</v>
          </cell>
          <cell r="F856">
            <v>66.716071428570373</v>
          </cell>
          <cell r="G856">
            <v>37.251785714285027</v>
          </cell>
          <cell r="H856">
            <v>37.251785714285027</v>
          </cell>
          <cell r="I856" t="e">
            <v>#N/A</v>
          </cell>
          <cell r="J856" t="e">
            <v>#N/A</v>
          </cell>
          <cell r="K856">
            <v>65</v>
          </cell>
          <cell r="L856">
            <v>40</v>
          </cell>
          <cell r="M856" t="e">
            <v>#N/A</v>
          </cell>
          <cell r="N856">
            <v>52</v>
          </cell>
          <cell r="O856" t="e">
            <v>#N/A</v>
          </cell>
          <cell r="P856" t="str">
            <v/>
          </cell>
          <cell r="Q856" t="str">
            <v/>
          </cell>
          <cell r="R856" t="e">
            <v>#N/A</v>
          </cell>
        </row>
        <row r="857">
          <cell r="A857" t="str">
            <v/>
          </cell>
          <cell r="B857" t="str">
            <v/>
          </cell>
          <cell r="C857" t="str">
            <v>Future</v>
          </cell>
          <cell r="D857" t="e">
            <v>#N/A</v>
          </cell>
          <cell r="E857">
            <v>-10.110873015873327</v>
          </cell>
          <cell r="F857">
            <v>66.75420634920529</v>
          </cell>
          <cell r="G857">
            <v>37.190714285713597</v>
          </cell>
          <cell r="H857">
            <v>37.190714285713597</v>
          </cell>
          <cell r="I857" t="e">
            <v>#N/A</v>
          </cell>
          <cell r="J857" t="e">
            <v>#N/A</v>
          </cell>
          <cell r="K857">
            <v>65</v>
          </cell>
          <cell r="L857">
            <v>40</v>
          </cell>
          <cell r="M857" t="e">
            <v>#N/A</v>
          </cell>
          <cell r="N857">
            <v>52</v>
          </cell>
          <cell r="O857" t="e">
            <v>#N/A</v>
          </cell>
          <cell r="P857" t="str">
            <v/>
          </cell>
          <cell r="Q857" t="str">
            <v/>
          </cell>
          <cell r="R857" t="e">
            <v>#N/A</v>
          </cell>
        </row>
        <row r="858">
          <cell r="A858" t="str">
            <v/>
          </cell>
          <cell r="B858" t="str">
            <v/>
          </cell>
          <cell r="C858" t="str">
            <v>Future</v>
          </cell>
          <cell r="D858" t="e">
            <v>#N/A</v>
          </cell>
          <cell r="E858">
            <v>-10.330674603174915</v>
          </cell>
          <cell r="F858">
            <v>66.792341269840207</v>
          </cell>
          <cell r="G858">
            <v>37.129642857142166</v>
          </cell>
          <cell r="H858">
            <v>37.129642857142166</v>
          </cell>
          <cell r="I858" t="e">
            <v>#N/A</v>
          </cell>
          <cell r="J858" t="e">
            <v>#N/A</v>
          </cell>
          <cell r="K858">
            <v>65</v>
          </cell>
          <cell r="L858">
            <v>40</v>
          </cell>
          <cell r="M858" t="e">
            <v>#N/A</v>
          </cell>
          <cell r="N858">
            <v>52</v>
          </cell>
          <cell r="O858" t="e">
            <v>#N/A</v>
          </cell>
          <cell r="P858" t="str">
            <v/>
          </cell>
          <cell r="Q858" t="str">
            <v/>
          </cell>
          <cell r="R858" t="e">
            <v>#N/A</v>
          </cell>
        </row>
        <row r="859">
          <cell r="A859" t="str">
            <v/>
          </cell>
          <cell r="B859" t="str">
            <v/>
          </cell>
          <cell r="C859" t="str">
            <v>Future</v>
          </cell>
          <cell r="D859" t="e">
            <v>#N/A</v>
          </cell>
          <cell r="E859">
            <v>-10.550476190476502</v>
          </cell>
          <cell r="F859">
            <v>66.830476190475125</v>
          </cell>
          <cell r="G859">
            <v>37.068571428570735</v>
          </cell>
          <cell r="H859">
            <v>37.068571428570735</v>
          </cell>
          <cell r="I859" t="e">
            <v>#N/A</v>
          </cell>
          <cell r="J859" t="e">
            <v>#N/A</v>
          </cell>
          <cell r="K859">
            <v>65</v>
          </cell>
          <cell r="L859">
            <v>40</v>
          </cell>
          <cell r="M859" t="e">
            <v>#N/A</v>
          </cell>
          <cell r="N859">
            <v>52</v>
          </cell>
          <cell r="O859" t="e">
            <v>#N/A</v>
          </cell>
          <cell r="P859" t="str">
            <v/>
          </cell>
          <cell r="Q859" t="str">
            <v/>
          </cell>
          <cell r="R859" t="e">
            <v>#N/A</v>
          </cell>
        </row>
        <row r="860">
          <cell r="A860" t="str">
            <v/>
          </cell>
          <cell r="B860" t="str">
            <v/>
          </cell>
          <cell r="C860" t="str">
            <v>Future</v>
          </cell>
          <cell r="D860" t="e">
            <v>#N/A</v>
          </cell>
          <cell r="E860">
            <v>-10.770277777778089</v>
          </cell>
          <cell r="F860">
            <v>66.868611111110042</v>
          </cell>
          <cell r="G860">
            <v>37.007499999999304</v>
          </cell>
          <cell r="H860">
            <v>37.007499999999304</v>
          </cell>
          <cell r="I860" t="e">
            <v>#N/A</v>
          </cell>
          <cell r="J860" t="e">
            <v>#N/A</v>
          </cell>
          <cell r="K860">
            <v>65</v>
          </cell>
          <cell r="L860">
            <v>40</v>
          </cell>
          <cell r="M860" t="e">
            <v>#N/A</v>
          </cell>
          <cell r="N860">
            <v>52</v>
          </cell>
          <cell r="O860" t="e">
            <v>#N/A</v>
          </cell>
          <cell r="P860" t="str">
            <v/>
          </cell>
          <cell r="Q860" t="str">
            <v/>
          </cell>
          <cell r="R860" t="e">
            <v>#N/A</v>
          </cell>
        </row>
        <row r="861">
          <cell r="A861" t="str">
            <v/>
          </cell>
          <cell r="B861" t="str">
            <v/>
          </cell>
          <cell r="C861" t="str">
            <v>Future</v>
          </cell>
          <cell r="D861" t="e">
            <v>#N/A</v>
          </cell>
          <cell r="E861">
            <v>-10.990079365079676</v>
          </cell>
          <cell r="F861">
            <v>66.906746031744959</v>
          </cell>
          <cell r="G861">
            <v>36.946428571427873</v>
          </cell>
          <cell r="H861">
            <v>36.946428571427873</v>
          </cell>
          <cell r="I861" t="e">
            <v>#N/A</v>
          </cell>
          <cell r="J861" t="e">
            <v>#N/A</v>
          </cell>
          <cell r="K861">
            <v>65</v>
          </cell>
          <cell r="L861">
            <v>40</v>
          </cell>
          <cell r="M861" t="e">
            <v>#N/A</v>
          </cell>
          <cell r="N861">
            <v>52</v>
          </cell>
          <cell r="O861" t="e">
            <v>#N/A</v>
          </cell>
          <cell r="P861" t="str">
            <v/>
          </cell>
          <cell r="Q861" t="str">
            <v/>
          </cell>
          <cell r="R861" t="e">
            <v>#N/A</v>
          </cell>
        </row>
        <row r="862">
          <cell r="A862" t="str">
            <v/>
          </cell>
          <cell r="B862" t="str">
            <v/>
          </cell>
          <cell r="C862" t="str">
            <v>Future</v>
          </cell>
          <cell r="D862" t="e">
            <v>#N/A</v>
          </cell>
          <cell r="E862">
            <v>-11.209880952381264</v>
          </cell>
          <cell r="F862">
            <v>66.944880952379876</v>
          </cell>
          <cell r="G862">
            <v>36.885357142856442</v>
          </cell>
          <cell r="H862">
            <v>36.885357142856442</v>
          </cell>
          <cell r="I862" t="e">
            <v>#N/A</v>
          </cell>
          <cell r="J862" t="e">
            <v>#N/A</v>
          </cell>
          <cell r="K862">
            <v>65</v>
          </cell>
          <cell r="L862">
            <v>40</v>
          </cell>
          <cell r="M862" t="e">
            <v>#N/A</v>
          </cell>
          <cell r="N862">
            <v>52</v>
          </cell>
          <cell r="O862" t="e">
            <v>#N/A</v>
          </cell>
          <cell r="P862" t="str">
            <v/>
          </cell>
          <cell r="Q862" t="str">
            <v/>
          </cell>
          <cell r="R862" t="e">
            <v>#N/A</v>
          </cell>
        </row>
        <row r="863">
          <cell r="A863" t="str">
            <v/>
          </cell>
          <cell r="B863" t="str">
            <v/>
          </cell>
          <cell r="C863" t="str">
            <v>Future</v>
          </cell>
          <cell r="D863" t="e">
            <v>#N/A</v>
          </cell>
          <cell r="E863">
            <v>-11.429682539682851</v>
          </cell>
          <cell r="F863">
            <v>66.983015873014793</v>
          </cell>
          <cell r="G863">
            <v>36.824285714285011</v>
          </cell>
          <cell r="H863">
            <v>36.824285714285011</v>
          </cell>
          <cell r="I863" t="e">
            <v>#N/A</v>
          </cell>
          <cell r="J863" t="e">
            <v>#N/A</v>
          </cell>
          <cell r="K863">
            <v>65</v>
          </cell>
          <cell r="L863">
            <v>40</v>
          </cell>
          <cell r="M863" t="e">
            <v>#N/A</v>
          </cell>
          <cell r="N863">
            <v>52</v>
          </cell>
          <cell r="O863" t="e">
            <v>#N/A</v>
          </cell>
          <cell r="P863" t="str">
            <v/>
          </cell>
          <cell r="Q863" t="str">
            <v/>
          </cell>
          <cell r="R863" t="e">
            <v>#N/A</v>
          </cell>
        </row>
        <row r="864">
          <cell r="A864" t="str">
            <v/>
          </cell>
          <cell r="B864" t="str">
            <v/>
          </cell>
          <cell r="C864" t="str">
            <v>Future</v>
          </cell>
          <cell r="D864" t="e">
            <v>#N/A</v>
          </cell>
          <cell r="E864">
            <v>-11.649484126984438</v>
          </cell>
          <cell r="F864">
            <v>67.02115079364971</v>
          </cell>
          <cell r="G864">
            <v>36.76321428571358</v>
          </cell>
          <cell r="H864">
            <v>36.76321428571358</v>
          </cell>
          <cell r="I864" t="e">
            <v>#N/A</v>
          </cell>
          <cell r="J864" t="e">
            <v>#N/A</v>
          </cell>
          <cell r="K864">
            <v>65</v>
          </cell>
          <cell r="L864">
            <v>40</v>
          </cell>
          <cell r="M864" t="e">
            <v>#N/A</v>
          </cell>
          <cell r="N864">
            <v>52</v>
          </cell>
          <cell r="O864" t="e">
            <v>#N/A</v>
          </cell>
          <cell r="P864" t="str">
            <v/>
          </cell>
          <cell r="Q864" t="str">
            <v/>
          </cell>
          <cell r="R864" t="e">
            <v>#N/A</v>
          </cell>
        </row>
        <row r="865">
          <cell r="A865" t="str">
            <v/>
          </cell>
          <cell r="B865" t="str">
            <v/>
          </cell>
          <cell r="C865" t="str">
            <v>Future</v>
          </cell>
          <cell r="D865" t="e">
            <v>#N/A</v>
          </cell>
          <cell r="E865">
            <v>-11.869285714286026</v>
          </cell>
          <cell r="F865">
            <v>67.059285714284627</v>
          </cell>
          <cell r="G865">
            <v>36.70214285714215</v>
          </cell>
          <cell r="H865">
            <v>36.70214285714215</v>
          </cell>
          <cell r="I865" t="e">
            <v>#N/A</v>
          </cell>
          <cell r="J865" t="e">
            <v>#N/A</v>
          </cell>
          <cell r="K865">
            <v>65</v>
          </cell>
          <cell r="L865">
            <v>40</v>
          </cell>
          <cell r="M865" t="e">
            <v>#N/A</v>
          </cell>
          <cell r="N865">
            <v>52</v>
          </cell>
          <cell r="O865" t="e">
            <v>#N/A</v>
          </cell>
          <cell r="P865" t="str">
            <v/>
          </cell>
          <cell r="Q865" t="str">
            <v/>
          </cell>
          <cell r="R865" t="e">
            <v>#N/A</v>
          </cell>
        </row>
        <row r="866">
          <cell r="A866" t="str">
            <v/>
          </cell>
          <cell r="B866" t="str">
            <v/>
          </cell>
          <cell r="C866" t="str">
            <v>Future</v>
          </cell>
          <cell r="D866" t="e">
            <v>#N/A</v>
          </cell>
          <cell r="E866">
            <v>-12.089087301587613</v>
          </cell>
          <cell r="F866">
            <v>67.097420634919544</v>
          </cell>
          <cell r="G866">
            <v>36.641071428570719</v>
          </cell>
          <cell r="H866">
            <v>36.641071428570719</v>
          </cell>
          <cell r="I866" t="e">
            <v>#N/A</v>
          </cell>
          <cell r="J866" t="e">
            <v>#N/A</v>
          </cell>
          <cell r="K866">
            <v>65</v>
          </cell>
          <cell r="L866">
            <v>40</v>
          </cell>
          <cell r="M866" t="e">
            <v>#N/A</v>
          </cell>
          <cell r="N866">
            <v>52</v>
          </cell>
          <cell r="O866" t="e">
            <v>#N/A</v>
          </cell>
          <cell r="P866" t="str">
            <v/>
          </cell>
          <cell r="Q866" t="str">
            <v/>
          </cell>
          <cell r="R866" t="e">
            <v>#N/A</v>
          </cell>
        </row>
        <row r="867">
          <cell r="A867" t="str">
            <v/>
          </cell>
          <cell r="B867" t="str">
            <v/>
          </cell>
          <cell r="C867" t="str">
            <v>Future</v>
          </cell>
          <cell r="D867" t="e">
            <v>#N/A</v>
          </cell>
          <cell r="E867">
            <v>-12.3088888888892</v>
          </cell>
          <cell r="F867">
            <v>67.135555555554461</v>
          </cell>
          <cell r="G867">
            <v>36.579999999999288</v>
          </cell>
          <cell r="H867">
            <v>36.579999999999288</v>
          </cell>
          <cell r="I867" t="e">
            <v>#N/A</v>
          </cell>
          <cell r="J867" t="e">
            <v>#N/A</v>
          </cell>
          <cell r="K867">
            <v>65</v>
          </cell>
          <cell r="L867">
            <v>40</v>
          </cell>
          <cell r="M867" t="e">
            <v>#N/A</v>
          </cell>
          <cell r="N867">
            <v>52</v>
          </cell>
          <cell r="O867" t="e">
            <v>#N/A</v>
          </cell>
          <cell r="P867" t="str">
            <v/>
          </cell>
          <cell r="Q867" t="str">
            <v/>
          </cell>
          <cell r="R867" t="e">
            <v>#N/A</v>
          </cell>
        </row>
        <row r="868">
          <cell r="A868" t="str">
            <v/>
          </cell>
          <cell r="B868" t="str">
            <v/>
          </cell>
          <cell r="C868" t="str">
            <v>Future</v>
          </cell>
          <cell r="D868" t="e">
            <v>#N/A</v>
          </cell>
          <cell r="E868">
            <v>-12.528690476190787</v>
          </cell>
          <cell r="F868">
            <v>67.173690476189378</v>
          </cell>
          <cell r="G868">
            <v>36.518928571427857</v>
          </cell>
          <cell r="H868">
            <v>36.518928571427857</v>
          </cell>
          <cell r="I868" t="e">
            <v>#N/A</v>
          </cell>
          <cell r="J868" t="e">
            <v>#N/A</v>
          </cell>
          <cell r="K868">
            <v>65</v>
          </cell>
          <cell r="L868">
            <v>40</v>
          </cell>
          <cell r="M868" t="e">
            <v>#N/A</v>
          </cell>
          <cell r="N868">
            <v>52</v>
          </cell>
          <cell r="O868" t="e">
            <v>#N/A</v>
          </cell>
          <cell r="P868" t="str">
            <v/>
          </cell>
          <cell r="Q868" t="str">
            <v/>
          </cell>
          <cell r="R868" t="e">
            <v>#N/A</v>
          </cell>
        </row>
        <row r="869">
          <cell r="A869" t="str">
            <v/>
          </cell>
          <cell r="B869" t="str">
            <v/>
          </cell>
          <cell r="C869" t="str">
            <v>Future</v>
          </cell>
          <cell r="D869" t="e">
            <v>#N/A</v>
          </cell>
          <cell r="E869">
            <v>-12.748492063492375</v>
          </cell>
          <cell r="F869">
            <v>67.211825396824295</v>
          </cell>
          <cell r="G869">
            <v>36.457857142856426</v>
          </cell>
          <cell r="H869">
            <v>36.457857142856426</v>
          </cell>
          <cell r="I869" t="e">
            <v>#N/A</v>
          </cell>
          <cell r="J869" t="e">
            <v>#N/A</v>
          </cell>
          <cell r="K869">
            <v>65</v>
          </cell>
          <cell r="L869">
            <v>40</v>
          </cell>
          <cell r="M869" t="e">
            <v>#N/A</v>
          </cell>
          <cell r="N869">
            <v>52</v>
          </cell>
          <cell r="O869" t="e">
            <v>#N/A</v>
          </cell>
          <cell r="P869" t="str">
            <v/>
          </cell>
          <cell r="Q869" t="str">
            <v/>
          </cell>
          <cell r="R869" t="e">
            <v>#N/A</v>
          </cell>
        </row>
        <row r="870">
          <cell r="A870" t="str">
            <v/>
          </cell>
          <cell r="B870" t="str">
            <v/>
          </cell>
          <cell r="C870" t="str">
            <v>Future</v>
          </cell>
          <cell r="D870" t="e">
            <v>#N/A</v>
          </cell>
          <cell r="E870">
            <v>-12.968293650793962</v>
          </cell>
          <cell r="F870">
            <v>67.249960317459212</v>
          </cell>
          <cell r="G870">
            <v>36.396785714284995</v>
          </cell>
          <cell r="H870">
            <v>36.396785714284995</v>
          </cell>
          <cell r="I870" t="e">
            <v>#N/A</v>
          </cell>
          <cell r="J870" t="e">
            <v>#N/A</v>
          </cell>
          <cell r="K870">
            <v>65</v>
          </cell>
          <cell r="L870">
            <v>40</v>
          </cell>
          <cell r="M870" t="e">
            <v>#N/A</v>
          </cell>
          <cell r="N870">
            <v>52</v>
          </cell>
          <cell r="O870" t="e">
            <v>#N/A</v>
          </cell>
          <cell r="P870" t="str">
            <v/>
          </cell>
          <cell r="Q870" t="str">
            <v/>
          </cell>
          <cell r="R870" t="e">
            <v>#N/A</v>
          </cell>
        </row>
        <row r="871">
          <cell r="A871" t="str">
            <v/>
          </cell>
          <cell r="B871" t="str">
            <v/>
          </cell>
          <cell r="C871" t="str">
            <v>Future</v>
          </cell>
          <cell r="D871" t="e">
            <v>#N/A</v>
          </cell>
          <cell r="E871">
            <v>-13.188095238095549</v>
          </cell>
          <cell r="F871">
            <v>67.28809523809413</v>
          </cell>
          <cell r="G871">
            <v>36.335714285713564</v>
          </cell>
          <cell r="H871">
            <v>36.335714285713564</v>
          </cell>
          <cell r="I871" t="e">
            <v>#N/A</v>
          </cell>
          <cell r="J871" t="e">
            <v>#N/A</v>
          </cell>
          <cell r="K871">
            <v>65</v>
          </cell>
          <cell r="L871">
            <v>40</v>
          </cell>
          <cell r="M871" t="e">
            <v>#N/A</v>
          </cell>
          <cell r="N871">
            <v>52</v>
          </cell>
          <cell r="O871" t="e">
            <v>#N/A</v>
          </cell>
          <cell r="P871" t="str">
            <v/>
          </cell>
          <cell r="Q871" t="str">
            <v/>
          </cell>
          <cell r="R871" t="e">
            <v>#N/A</v>
          </cell>
        </row>
        <row r="872">
          <cell r="A872" t="str">
            <v/>
          </cell>
          <cell r="B872" t="str">
            <v/>
          </cell>
          <cell r="C872" t="str">
            <v>Future</v>
          </cell>
          <cell r="D872" t="e">
            <v>#N/A</v>
          </cell>
          <cell r="E872">
            <v>-13.407896825397136</v>
          </cell>
          <cell r="F872">
            <v>67.326230158729047</v>
          </cell>
          <cell r="G872">
            <v>36.274642857142133</v>
          </cell>
          <cell r="H872">
            <v>36.274642857142133</v>
          </cell>
          <cell r="I872" t="e">
            <v>#N/A</v>
          </cell>
          <cell r="J872" t="e">
            <v>#N/A</v>
          </cell>
          <cell r="K872">
            <v>65</v>
          </cell>
          <cell r="L872">
            <v>40</v>
          </cell>
          <cell r="M872" t="e">
            <v>#N/A</v>
          </cell>
          <cell r="N872">
            <v>52</v>
          </cell>
          <cell r="O872" t="e">
            <v>#N/A</v>
          </cell>
          <cell r="P872" t="str">
            <v/>
          </cell>
          <cell r="Q872" t="str">
            <v/>
          </cell>
          <cell r="R872" t="e">
            <v>#N/A</v>
          </cell>
        </row>
        <row r="873">
          <cell r="A873" t="str">
            <v/>
          </cell>
          <cell r="B873" t="str">
            <v/>
          </cell>
          <cell r="C873" t="str">
            <v>Future</v>
          </cell>
          <cell r="D873" t="e">
            <v>#N/A</v>
          </cell>
          <cell r="E873">
            <v>-13.627698412698724</v>
          </cell>
          <cell r="F873">
            <v>67.364365079363964</v>
          </cell>
          <cell r="G873">
            <v>36.213571428570702</v>
          </cell>
          <cell r="H873">
            <v>36.213571428570702</v>
          </cell>
          <cell r="I873" t="e">
            <v>#N/A</v>
          </cell>
          <cell r="J873" t="e">
            <v>#N/A</v>
          </cell>
          <cell r="K873">
            <v>65</v>
          </cell>
          <cell r="L873">
            <v>40</v>
          </cell>
          <cell r="M873" t="e">
            <v>#N/A</v>
          </cell>
          <cell r="N873">
            <v>52</v>
          </cell>
          <cell r="O873" t="e">
            <v>#N/A</v>
          </cell>
          <cell r="P873" t="str">
            <v/>
          </cell>
          <cell r="Q873" t="str">
            <v/>
          </cell>
          <cell r="R873" t="e">
            <v>#N/A</v>
          </cell>
        </row>
        <row r="874">
          <cell r="A874" t="str">
            <v/>
          </cell>
          <cell r="B874" t="str">
            <v/>
          </cell>
          <cell r="C874" t="str">
            <v>Future</v>
          </cell>
          <cell r="D874" t="e">
            <v>#N/A</v>
          </cell>
          <cell r="E874">
            <v>-13.847500000000311</v>
          </cell>
          <cell r="F874">
            <v>67.402499999998881</v>
          </cell>
          <cell r="G874">
            <v>36.152499999999272</v>
          </cell>
          <cell r="H874">
            <v>36.152499999999272</v>
          </cell>
          <cell r="I874" t="e">
            <v>#N/A</v>
          </cell>
          <cell r="J874" t="e">
            <v>#N/A</v>
          </cell>
          <cell r="K874">
            <v>65</v>
          </cell>
          <cell r="L874">
            <v>40</v>
          </cell>
          <cell r="M874" t="e">
            <v>#N/A</v>
          </cell>
          <cell r="N874">
            <v>52</v>
          </cell>
          <cell r="O874" t="e">
            <v>#N/A</v>
          </cell>
          <cell r="P874" t="str">
            <v/>
          </cell>
          <cell r="Q874" t="str">
            <v/>
          </cell>
          <cell r="R874" t="e">
            <v>#N/A</v>
          </cell>
        </row>
        <row r="875">
          <cell r="A875" t="str">
            <v/>
          </cell>
          <cell r="B875" t="str">
            <v/>
          </cell>
          <cell r="C875" t="str">
            <v>Future</v>
          </cell>
          <cell r="D875" t="e">
            <v>#N/A</v>
          </cell>
          <cell r="E875">
            <v>-14.067301587301898</v>
          </cell>
          <cell r="F875">
            <v>67.440634920633798</v>
          </cell>
          <cell r="G875">
            <v>36.091428571427841</v>
          </cell>
          <cell r="H875">
            <v>36.091428571427841</v>
          </cell>
          <cell r="I875" t="e">
            <v>#N/A</v>
          </cell>
          <cell r="J875" t="e">
            <v>#N/A</v>
          </cell>
          <cell r="K875">
            <v>65</v>
          </cell>
          <cell r="L875">
            <v>40</v>
          </cell>
          <cell r="M875" t="e">
            <v>#N/A</v>
          </cell>
          <cell r="N875">
            <v>52</v>
          </cell>
          <cell r="O875" t="e">
            <v>#N/A</v>
          </cell>
          <cell r="P875" t="str">
            <v/>
          </cell>
          <cell r="Q875" t="str">
            <v/>
          </cell>
          <cell r="R875" t="e">
            <v>#N/A</v>
          </cell>
        </row>
        <row r="876">
          <cell r="A876" t="str">
            <v/>
          </cell>
          <cell r="B876" t="str">
            <v/>
          </cell>
          <cell r="C876" t="str">
            <v>Future</v>
          </cell>
          <cell r="D876" t="e">
            <v>#N/A</v>
          </cell>
          <cell r="E876">
            <v>-14.287103174603486</v>
          </cell>
          <cell r="F876">
            <v>67.478769841268715</v>
          </cell>
          <cell r="G876">
            <v>36.03035714285641</v>
          </cell>
          <cell r="H876">
            <v>36.03035714285641</v>
          </cell>
          <cell r="I876" t="e">
            <v>#N/A</v>
          </cell>
          <cell r="J876" t="e">
            <v>#N/A</v>
          </cell>
          <cell r="K876">
            <v>65</v>
          </cell>
          <cell r="L876">
            <v>40</v>
          </cell>
          <cell r="M876" t="e">
            <v>#N/A</v>
          </cell>
          <cell r="N876">
            <v>52</v>
          </cell>
          <cell r="O876" t="e">
            <v>#N/A</v>
          </cell>
          <cell r="P876" t="str">
            <v/>
          </cell>
          <cell r="Q876" t="str">
            <v/>
          </cell>
          <cell r="R876" t="e">
            <v>#N/A</v>
          </cell>
        </row>
        <row r="877">
          <cell r="A877" t="str">
            <v/>
          </cell>
          <cell r="B877" t="str">
            <v/>
          </cell>
          <cell r="C877" t="str">
            <v>Future</v>
          </cell>
          <cell r="D877" t="e">
            <v>#N/A</v>
          </cell>
          <cell r="E877">
            <v>-14.506904761905073</v>
          </cell>
          <cell r="F877">
            <v>67.516904761903632</v>
          </cell>
          <cell r="G877">
            <v>35.969285714284979</v>
          </cell>
          <cell r="H877">
            <v>35.969285714284979</v>
          </cell>
          <cell r="I877" t="e">
            <v>#N/A</v>
          </cell>
          <cell r="J877" t="e">
            <v>#N/A</v>
          </cell>
          <cell r="K877">
            <v>65</v>
          </cell>
          <cell r="L877">
            <v>40</v>
          </cell>
          <cell r="M877" t="e">
            <v>#N/A</v>
          </cell>
          <cell r="N877">
            <v>52</v>
          </cell>
          <cell r="O877" t="e">
            <v>#N/A</v>
          </cell>
          <cell r="P877" t="str">
            <v/>
          </cell>
          <cell r="Q877" t="str">
            <v/>
          </cell>
          <cell r="R877" t="e">
            <v>#N/A</v>
          </cell>
        </row>
        <row r="878">
          <cell r="A878" t="str">
            <v/>
          </cell>
          <cell r="B878" t="str">
            <v/>
          </cell>
          <cell r="C878" t="str">
            <v>Future</v>
          </cell>
          <cell r="D878" t="e">
            <v>#N/A</v>
          </cell>
          <cell r="E878">
            <v>-14.72670634920666</v>
          </cell>
          <cell r="F878">
            <v>67.555039682538549</v>
          </cell>
          <cell r="G878">
            <v>35.908214285713548</v>
          </cell>
          <cell r="H878">
            <v>35.908214285713548</v>
          </cell>
          <cell r="I878" t="e">
            <v>#N/A</v>
          </cell>
          <cell r="J878" t="e">
            <v>#N/A</v>
          </cell>
          <cell r="K878">
            <v>65</v>
          </cell>
          <cell r="L878">
            <v>40</v>
          </cell>
          <cell r="M878" t="e">
            <v>#N/A</v>
          </cell>
          <cell r="N878">
            <v>52</v>
          </cell>
          <cell r="O878" t="e">
            <v>#N/A</v>
          </cell>
          <cell r="P878" t="str">
            <v/>
          </cell>
          <cell r="Q878" t="str">
            <v/>
          </cell>
          <cell r="R878" t="e">
            <v>#N/A</v>
          </cell>
        </row>
        <row r="879">
          <cell r="A879" t="str">
            <v/>
          </cell>
          <cell r="B879" t="str">
            <v/>
          </cell>
          <cell r="C879" t="str">
            <v>Future</v>
          </cell>
          <cell r="D879" t="e">
            <v>#N/A</v>
          </cell>
          <cell r="E879">
            <v>-14.946507936508247</v>
          </cell>
          <cell r="F879">
            <v>67.593174603173466</v>
          </cell>
          <cell r="G879">
            <v>35.847142857142117</v>
          </cell>
          <cell r="H879">
            <v>35.847142857142117</v>
          </cell>
          <cell r="I879" t="e">
            <v>#N/A</v>
          </cell>
          <cell r="J879" t="e">
            <v>#N/A</v>
          </cell>
          <cell r="K879">
            <v>65</v>
          </cell>
          <cell r="L879">
            <v>40</v>
          </cell>
          <cell r="M879" t="e">
            <v>#N/A</v>
          </cell>
          <cell r="N879">
            <v>52</v>
          </cell>
          <cell r="O879" t="e">
            <v>#N/A</v>
          </cell>
          <cell r="P879" t="str">
            <v/>
          </cell>
          <cell r="Q879" t="str">
            <v/>
          </cell>
          <cell r="R879" t="e">
            <v>#N/A</v>
          </cell>
        </row>
        <row r="880">
          <cell r="A880" t="str">
            <v/>
          </cell>
          <cell r="B880" t="str">
            <v/>
          </cell>
          <cell r="C880" t="str">
            <v>Future</v>
          </cell>
          <cell r="D880" t="e">
            <v>#N/A</v>
          </cell>
          <cell r="E880">
            <v>-15.166309523809835</v>
          </cell>
          <cell r="F880">
            <v>67.631309523808383</v>
          </cell>
          <cell r="G880">
            <v>35.786071428570686</v>
          </cell>
          <cell r="H880">
            <v>35.786071428570686</v>
          </cell>
          <cell r="I880" t="e">
            <v>#N/A</v>
          </cell>
          <cell r="J880" t="e">
            <v>#N/A</v>
          </cell>
          <cell r="K880">
            <v>65</v>
          </cell>
          <cell r="L880">
            <v>40</v>
          </cell>
          <cell r="M880" t="e">
            <v>#N/A</v>
          </cell>
          <cell r="N880">
            <v>52</v>
          </cell>
          <cell r="O880" t="e">
            <v>#N/A</v>
          </cell>
          <cell r="P880" t="str">
            <v/>
          </cell>
          <cell r="Q880" t="str">
            <v/>
          </cell>
          <cell r="R880" t="e">
            <v>#N/A</v>
          </cell>
        </row>
        <row r="881">
          <cell r="A881" t="str">
            <v/>
          </cell>
          <cell r="B881" t="str">
            <v/>
          </cell>
          <cell r="C881" t="str">
            <v>Future</v>
          </cell>
          <cell r="D881" t="e">
            <v>#N/A</v>
          </cell>
          <cell r="E881">
            <v>-15.386111111111422</v>
          </cell>
          <cell r="F881">
            <v>67.6694444444433</v>
          </cell>
          <cell r="G881">
            <v>35.724999999999255</v>
          </cell>
          <cell r="H881">
            <v>35.724999999999255</v>
          </cell>
          <cell r="I881" t="e">
            <v>#N/A</v>
          </cell>
          <cell r="J881" t="e">
            <v>#N/A</v>
          </cell>
          <cell r="K881">
            <v>65</v>
          </cell>
          <cell r="L881">
            <v>40</v>
          </cell>
          <cell r="M881" t="e">
            <v>#N/A</v>
          </cell>
          <cell r="N881">
            <v>52</v>
          </cell>
          <cell r="O881" t="e">
            <v>#N/A</v>
          </cell>
          <cell r="P881" t="str">
            <v/>
          </cell>
          <cell r="Q881" t="str">
            <v/>
          </cell>
          <cell r="R881" t="e">
            <v>#N/A</v>
          </cell>
        </row>
        <row r="882">
          <cell r="A882" t="str">
            <v/>
          </cell>
          <cell r="B882" t="str">
            <v/>
          </cell>
          <cell r="C882" t="str">
            <v>Future</v>
          </cell>
          <cell r="D882" t="e">
            <v>#N/A</v>
          </cell>
          <cell r="E882">
            <v>-15.605912698413009</v>
          </cell>
          <cell r="F882">
            <v>67.707579365078217</v>
          </cell>
          <cell r="G882">
            <v>35.663928571427824</v>
          </cell>
          <cell r="H882">
            <v>35.663928571427824</v>
          </cell>
          <cell r="I882" t="e">
            <v>#N/A</v>
          </cell>
          <cell r="J882" t="e">
            <v>#N/A</v>
          </cell>
          <cell r="K882">
            <v>65</v>
          </cell>
          <cell r="L882">
            <v>40</v>
          </cell>
          <cell r="M882" t="e">
            <v>#N/A</v>
          </cell>
          <cell r="N882">
            <v>52</v>
          </cell>
          <cell r="O882" t="e">
            <v>#N/A</v>
          </cell>
          <cell r="P882" t="str">
            <v/>
          </cell>
          <cell r="Q882" t="str">
            <v/>
          </cell>
          <cell r="R882" t="e">
            <v>#N/A</v>
          </cell>
        </row>
        <row r="883">
          <cell r="A883" t="str">
            <v/>
          </cell>
          <cell r="B883" t="str">
            <v/>
          </cell>
          <cell r="C883" t="str">
            <v>Future</v>
          </cell>
          <cell r="D883" t="e">
            <v>#N/A</v>
          </cell>
          <cell r="E883">
            <v>-15.825714285714596</v>
          </cell>
          <cell r="F883">
            <v>67.745714285713134</v>
          </cell>
          <cell r="G883">
            <v>35.602857142856394</v>
          </cell>
          <cell r="H883">
            <v>35.602857142856394</v>
          </cell>
          <cell r="I883" t="e">
            <v>#N/A</v>
          </cell>
          <cell r="J883" t="e">
            <v>#N/A</v>
          </cell>
          <cell r="K883">
            <v>65</v>
          </cell>
          <cell r="L883">
            <v>40</v>
          </cell>
          <cell r="M883" t="e">
            <v>#N/A</v>
          </cell>
          <cell r="N883">
            <v>52</v>
          </cell>
          <cell r="O883" t="e">
            <v>#N/A</v>
          </cell>
          <cell r="P883" t="str">
            <v/>
          </cell>
          <cell r="Q883" t="str">
            <v/>
          </cell>
          <cell r="R883" t="e">
            <v>#N/A</v>
          </cell>
        </row>
        <row r="884">
          <cell r="A884" t="str">
            <v/>
          </cell>
          <cell r="B884" t="str">
            <v/>
          </cell>
          <cell r="C884" t="str">
            <v>Future</v>
          </cell>
          <cell r="D884" t="e">
            <v>#N/A</v>
          </cell>
          <cell r="E884">
            <v>-16.045515873016186</v>
          </cell>
          <cell r="F884">
            <v>67.783849206348052</v>
          </cell>
          <cell r="G884">
            <v>35.541785714284963</v>
          </cell>
          <cell r="H884">
            <v>35.541785714284963</v>
          </cell>
          <cell r="I884" t="e">
            <v>#N/A</v>
          </cell>
          <cell r="J884" t="e">
            <v>#N/A</v>
          </cell>
          <cell r="K884">
            <v>65</v>
          </cell>
          <cell r="L884">
            <v>40</v>
          </cell>
          <cell r="M884" t="e">
            <v>#N/A</v>
          </cell>
          <cell r="N884">
            <v>52</v>
          </cell>
          <cell r="O884" t="e">
            <v>#N/A</v>
          </cell>
          <cell r="P884" t="str">
            <v/>
          </cell>
          <cell r="Q884" t="str">
            <v/>
          </cell>
          <cell r="R884" t="e">
            <v>#N/A</v>
          </cell>
        </row>
        <row r="885">
          <cell r="A885" t="str">
            <v/>
          </cell>
          <cell r="B885" t="str">
            <v/>
          </cell>
          <cell r="C885" t="str">
            <v>Future</v>
          </cell>
          <cell r="D885" t="e">
            <v>#N/A</v>
          </cell>
          <cell r="E885">
            <v>-16.265317460317775</v>
          </cell>
          <cell r="F885">
            <v>67.821984126982969</v>
          </cell>
          <cell r="G885">
            <v>35.480714285713532</v>
          </cell>
          <cell r="H885">
            <v>35.480714285713532</v>
          </cell>
          <cell r="I885" t="e">
            <v>#N/A</v>
          </cell>
          <cell r="J885" t="e">
            <v>#N/A</v>
          </cell>
          <cell r="K885">
            <v>65</v>
          </cell>
          <cell r="L885">
            <v>40</v>
          </cell>
          <cell r="M885" t="e">
            <v>#N/A</v>
          </cell>
          <cell r="N885">
            <v>52</v>
          </cell>
          <cell r="O885" t="e">
            <v>#N/A</v>
          </cell>
          <cell r="P885" t="str">
            <v/>
          </cell>
          <cell r="Q885" t="str">
            <v/>
          </cell>
          <cell r="R885" t="e">
            <v>#N/A</v>
          </cell>
        </row>
        <row r="886">
          <cell r="A886" t="str">
            <v/>
          </cell>
          <cell r="B886" t="str">
            <v/>
          </cell>
          <cell r="C886" t="str">
            <v>Future</v>
          </cell>
          <cell r="D886" t="e">
            <v>#N/A</v>
          </cell>
          <cell r="E886">
            <v>-16.485119047619364</v>
          </cell>
          <cell r="F886">
            <v>67.860119047617886</v>
          </cell>
          <cell r="G886">
            <v>35.419642857142101</v>
          </cell>
          <cell r="H886">
            <v>35.419642857142101</v>
          </cell>
          <cell r="I886" t="e">
            <v>#N/A</v>
          </cell>
          <cell r="J886" t="e">
            <v>#N/A</v>
          </cell>
          <cell r="K886">
            <v>65</v>
          </cell>
          <cell r="L886">
            <v>40</v>
          </cell>
          <cell r="M886" t="e">
            <v>#N/A</v>
          </cell>
          <cell r="N886">
            <v>52</v>
          </cell>
          <cell r="O886" t="e">
            <v>#N/A</v>
          </cell>
          <cell r="P886" t="str">
            <v/>
          </cell>
          <cell r="Q886" t="str">
            <v/>
          </cell>
          <cell r="R886" t="e">
            <v>#N/A</v>
          </cell>
        </row>
        <row r="887">
          <cell r="A887" t="str">
            <v/>
          </cell>
          <cell r="B887" t="str">
            <v/>
          </cell>
          <cell r="C887" t="str">
            <v>Future</v>
          </cell>
          <cell r="D887" t="e">
            <v>#N/A</v>
          </cell>
          <cell r="E887">
            <v>-16.704920634920953</v>
          </cell>
          <cell r="F887">
            <v>67.898253968252803</v>
          </cell>
          <cell r="G887">
            <v>35.35857142857067</v>
          </cell>
          <cell r="H887">
            <v>35.35857142857067</v>
          </cell>
          <cell r="I887" t="e">
            <v>#N/A</v>
          </cell>
          <cell r="J887" t="e">
            <v>#N/A</v>
          </cell>
          <cell r="K887">
            <v>65</v>
          </cell>
          <cell r="L887">
            <v>40</v>
          </cell>
          <cell r="M887" t="e">
            <v>#N/A</v>
          </cell>
          <cell r="N887">
            <v>52</v>
          </cell>
          <cell r="O887" t="e">
            <v>#N/A</v>
          </cell>
          <cell r="P887" t="str">
            <v/>
          </cell>
          <cell r="Q887" t="str">
            <v/>
          </cell>
          <cell r="R887" t="e">
            <v>#N/A</v>
          </cell>
        </row>
        <row r="888">
          <cell r="A888" t="str">
            <v/>
          </cell>
          <cell r="B888" t="str">
            <v/>
          </cell>
          <cell r="C888" t="str">
            <v>Future</v>
          </cell>
          <cell r="D888" t="e">
            <v>#N/A</v>
          </cell>
          <cell r="E888">
            <v>-16.924722222222542</v>
          </cell>
          <cell r="F888">
            <v>67.93638888888772</v>
          </cell>
          <cell r="G888">
            <v>35.297499999999239</v>
          </cell>
          <cell r="H888">
            <v>35.297499999999239</v>
          </cell>
          <cell r="I888" t="e">
            <v>#N/A</v>
          </cell>
          <cell r="J888" t="e">
            <v>#N/A</v>
          </cell>
          <cell r="K888">
            <v>65</v>
          </cell>
          <cell r="L888">
            <v>40</v>
          </cell>
          <cell r="M888" t="e">
            <v>#N/A</v>
          </cell>
          <cell r="N888">
            <v>52</v>
          </cell>
          <cell r="O888" t="e">
            <v>#N/A</v>
          </cell>
          <cell r="P888" t="str">
            <v/>
          </cell>
          <cell r="Q888" t="str">
            <v/>
          </cell>
          <cell r="R888" t="e">
            <v>#N/A</v>
          </cell>
        </row>
        <row r="889">
          <cell r="A889" t="str">
            <v/>
          </cell>
          <cell r="B889" t="str">
            <v/>
          </cell>
          <cell r="C889" t="str">
            <v>Future</v>
          </cell>
          <cell r="D889" t="e">
            <v>#N/A</v>
          </cell>
          <cell r="E889">
            <v>-17.144523809524131</v>
          </cell>
          <cell r="F889">
            <v>67.974523809522637</v>
          </cell>
          <cell r="G889">
            <v>35.236428571427808</v>
          </cell>
          <cell r="H889">
            <v>35.236428571427808</v>
          </cell>
          <cell r="I889" t="e">
            <v>#N/A</v>
          </cell>
          <cell r="J889" t="e">
            <v>#N/A</v>
          </cell>
          <cell r="K889">
            <v>65</v>
          </cell>
          <cell r="L889">
            <v>40</v>
          </cell>
          <cell r="M889" t="e">
            <v>#N/A</v>
          </cell>
          <cell r="N889">
            <v>52</v>
          </cell>
          <cell r="O889" t="e">
            <v>#N/A</v>
          </cell>
          <cell r="P889" t="str">
            <v/>
          </cell>
          <cell r="Q889" t="str">
            <v/>
          </cell>
          <cell r="R889" t="e">
            <v>#N/A</v>
          </cell>
        </row>
        <row r="890">
          <cell r="A890" t="str">
            <v/>
          </cell>
          <cell r="B890" t="str">
            <v/>
          </cell>
          <cell r="C890" t="str">
            <v>Future</v>
          </cell>
          <cell r="D890" t="e">
            <v>#N/A</v>
          </cell>
          <cell r="E890">
            <v>-17.36432539682572</v>
          </cell>
          <cell r="F890">
            <v>68.012658730157554</v>
          </cell>
          <cell r="G890">
            <v>35.175357142856377</v>
          </cell>
          <cell r="H890">
            <v>35.175357142856377</v>
          </cell>
          <cell r="I890" t="e">
            <v>#N/A</v>
          </cell>
          <cell r="J890" t="e">
            <v>#N/A</v>
          </cell>
          <cell r="K890">
            <v>65</v>
          </cell>
          <cell r="L890">
            <v>40</v>
          </cell>
          <cell r="M890" t="e">
            <v>#N/A</v>
          </cell>
          <cell r="N890">
            <v>52</v>
          </cell>
          <cell r="O890" t="e">
            <v>#N/A</v>
          </cell>
          <cell r="P890" t="str">
            <v/>
          </cell>
          <cell r="Q890" t="str">
            <v/>
          </cell>
          <cell r="R890" t="e">
            <v>#N/A</v>
          </cell>
        </row>
        <row r="891">
          <cell r="A891" t="str">
            <v/>
          </cell>
          <cell r="B891" t="str">
            <v/>
          </cell>
          <cell r="C891" t="str">
            <v>Future</v>
          </cell>
          <cell r="D891" t="e">
            <v>#N/A</v>
          </cell>
          <cell r="E891">
            <v>-17.584126984127309</v>
          </cell>
          <cell r="F891">
            <v>68.050793650792471</v>
          </cell>
          <cell r="G891">
            <v>35.114285714284946</v>
          </cell>
          <cell r="H891">
            <v>35.114285714284946</v>
          </cell>
          <cell r="I891" t="e">
            <v>#N/A</v>
          </cell>
          <cell r="J891" t="e">
            <v>#N/A</v>
          </cell>
          <cell r="K891">
            <v>65</v>
          </cell>
          <cell r="L891">
            <v>40</v>
          </cell>
          <cell r="M891" t="e">
            <v>#N/A</v>
          </cell>
          <cell r="N891">
            <v>52</v>
          </cell>
          <cell r="O891" t="e">
            <v>#N/A</v>
          </cell>
          <cell r="P891" t="str">
            <v/>
          </cell>
          <cell r="Q891" t="str">
            <v/>
          </cell>
          <cell r="R891" t="e">
            <v>#N/A</v>
          </cell>
        </row>
        <row r="892">
          <cell r="A892" t="str">
            <v/>
          </cell>
          <cell r="B892" t="str">
            <v/>
          </cell>
          <cell r="C892" t="str">
            <v>Future</v>
          </cell>
          <cell r="D892" t="e">
            <v>#N/A</v>
          </cell>
          <cell r="E892">
            <v>-17.803928571428898</v>
          </cell>
          <cell r="F892">
            <v>68.088928571427388</v>
          </cell>
          <cell r="G892">
            <v>35.053214285713516</v>
          </cell>
          <cell r="H892">
            <v>35.053214285713516</v>
          </cell>
          <cell r="I892" t="e">
            <v>#N/A</v>
          </cell>
          <cell r="J892" t="e">
            <v>#N/A</v>
          </cell>
          <cell r="K892">
            <v>65</v>
          </cell>
          <cell r="L892">
            <v>40</v>
          </cell>
          <cell r="M892" t="e">
            <v>#N/A</v>
          </cell>
          <cell r="N892">
            <v>52</v>
          </cell>
          <cell r="O892" t="e">
            <v>#N/A</v>
          </cell>
          <cell r="P892" t="str">
            <v/>
          </cell>
          <cell r="Q892" t="str">
            <v/>
          </cell>
          <cell r="R892" t="e">
            <v>#N/A</v>
          </cell>
        </row>
        <row r="893">
          <cell r="A893" t="str">
            <v/>
          </cell>
          <cell r="B893" t="str">
            <v/>
          </cell>
          <cell r="C893" t="str">
            <v>Future</v>
          </cell>
          <cell r="D893" t="e">
            <v>#N/A</v>
          </cell>
          <cell r="E893">
            <v>-18.023730158730487</v>
          </cell>
          <cell r="F893">
            <v>68.127063492062305</v>
          </cell>
          <cell r="G893">
            <v>34.992142857142085</v>
          </cell>
          <cell r="H893">
            <v>34.992142857142085</v>
          </cell>
          <cell r="I893" t="e">
            <v>#N/A</v>
          </cell>
          <cell r="J893" t="e">
            <v>#N/A</v>
          </cell>
          <cell r="K893">
            <v>65</v>
          </cell>
          <cell r="L893">
            <v>40</v>
          </cell>
          <cell r="M893" t="e">
            <v>#N/A</v>
          </cell>
          <cell r="N893">
            <v>52</v>
          </cell>
          <cell r="O893" t="e">
            <v>#N/A</v>
          </cell>
          <cell r="P893" t="str">
            <v/>
          </cell>
          <cell r="Q893" t="str">
            <v/>
          </cell>
          <cell r="R893" t="e">
            <v>#N/A</v>
          </cell>
        </row>
        <row r="894">
          <cell r="A894" t="str">
            <v/>
          </cell>
          <cell r="B894" t="str">
            <v/>
          </cell>
          <cell r="C894" t="str">
            <v>Future</v>
          </cell>
          <cell r="D894" t="e">
            <v>#N/A</v>
          </cell>
          <cell r="E894">
            <v>-18.243531746032076</v>
          </cell>
          <cell r="F894">
            <v>68.165198412697222</v>
          </cell>
          <cell r="G894">
            <v>34.931071428570654</v>
          </cell>
          <cell r="H894">
            <v>34.931071428570654</v>
          </cell>
          <cell r="I894" t="e">
            <v>#N/A</v>
          </cell>
          <cell r="J894" t="e">
            <v>#N/A</v>
          </cell>
          <cell r="K894">
            <v>65</v>
          </cell>
          <cell r="L894">
            <v>40</v>
          </cell>
          <cell r="M894" t="e">
            <v>#N/A</v>
          </cell>
          <cell r="N894">
            <v>52</v>
          </cell>
          <cell r="O894" t="e">
            <v>#N/A</v>
          </cell>
          <cell r="P894" t="str">
            <v/>
          </cell>
          <cell r="Q894" t="str">
            <v/>
          </cell>
          <cell r="R894" t="e">
            <v>#N/A</v>
          </cell>
        </row>
        <row r="895">
          <cell r="A895" t="str">
            <v/>
          </cell>
          <cell r="B895" t="str">
            <v/>
          </cell>
          <cell r="C895" t="str">
            <v>Future</v>
          </cell>
          <cell r="D895" t="e">
            <v>#N/A</v>
          </cell>
          <cell r="E895">
            <v>-18.463333333333665</v>
          </cell>
          <cell r="F895">
            <v>68.203333333332139</v>
          </cell>
          <cell r="G895">
            <v>34.869999999999223</v>
          </cell>
          <cell r="H895">
            <v>34.869999999999223</v>
          </cell>
          <cell r="I895" t="e">
            <v>#N/A</v>
          </cell>
          <cell r="J895" t="e">
            <v>#N/A</v>
          </cell>
          <cell r="K895">
            <v>65</v>
          </cell>
          <cell r="L895">
            <v>40</v>
          </cell>
          <cell r="M895" t="e">
            <v>#N/A</v>
          </cell>
          <cell r="N895">
            <v>52</v>
          </cell>
          <cell r="O895" t="e">
            <v>#N/A</v>
          </cell>
          <cell r="P895" t="str">
            <v/>
          </cell>
          <cell r="Q895" t="str">
            <v/>
          </cell>
          <cell r="R895" t="e">
            <v>#N/A</v>
          </cell>
        </row>
        <row r="896">
          <cell r="A896" t="str">
            <v/>
          </cell>
          <cell r="B896" t="str">
            <v/>
          </cell>
          <cell r="C896" t="str">
            <v>Future</v>
          </cell>
          <cell r="D896" t="e">
            <v>#N/A</v>
          </cell>
          <cell r="E896">
            <v>-18.683134920635254</v>
          </cell>
          <cell r="F896">
            <v>68.241468253967057</v>
          </cell>
          <cell r="G896">
            <v>34.808928571427792</v>
          </cell>
          <cell r="H896">
            <v>34.808928571427792</v>
          </cell>
          <cell r="I896" t="e">
            <v>#N/A</v>
          </cell>
          <cell r="J896" t="e">
            <v>#N/A</v>
          </cell>
          <cell r="K896">
            <v>65</v>
          </cell>
          <cell r="L896">
            <v>40</v>
          </cell>
          <cell r="M896" t="e">
            <v>#N/A</v>
          </cell>
          <cell r="N896">
            <v>52</v>
          </cell>
          <cell r="O896" t="e">
            <v>#N/A</v>
          </cell>
          <cell r="P896" t="str">
            <v/>
          </cell>
          <cell r="Q896" t="str">
            <v/>
          </cell>
          <cell r="R896" t="e">
            <v>#N/A</v>
          </cell>
        </row>
        <row r="897">
          <cell r="A897" t="str">
            <v/>
          </cell>
          <cell r="B897" t="str">
            <v/>
          </cell>
          <cell r="C897" t="str">
            <v>Future</v>
          </cell>
          <cell r="D897" t="e">
            <v>#N/A</v>
          </cell>
          <cell r="E897">
            <v>-18.902936507936843</v>
          </cell>
          <cell r="F897">
            <v>68.279603174601974</v>
          </cell>
          <cell r="G897">
            <v>34.747857142856361</v>
          </cell>
          <cell r="H897">
            <v>34.747857142856361</v>
          </cell>
          <cell r="I897" t="e">
            <v>#N/A</v>
          </cell>
          <cell r="J897" t="e">
            <v>#N/A</v>
          </cell>
          <cell r="K897">
            <v>65</v>
          </cell>
          <cell r="L897">
            <v>40</v>
          </cell>
          <cell r="M897" t="e">
            <v>#N/A</v>
          </cell>
          <cell r="N897">
            <v>52</v>
          </cell>
          <cell r="O897" t="e">
            <v>#N/A</v>
          </cell>
          <cell r="P897" t="str">
            <v/>
          </cell>
          <cell r="Q897" t="str">
            <v/>
          </cell>
          <cell r="R897" t="e">
            <v>#N/A</v>
          </cell>
        </row>
        <row r="898">
          <cell r="A898" t="str">
            <v/>
          </cell>
          <cell r="B898" t="str">
            <v/>
          </cell>
          <cell r="C898" t="str">
            <v>Future</v>
          </cell>
          <cell r="D898" t="e">
            <v>#N/A</v>
          </cell>
          <cell r="E898">
            <v>-19.122738095238432</v>
          </cell>
          <cell r="F898">
            <v>68.317738095236891</v>
          </cell>
          <cell r="G898">
            <v>34.68678571428493</v>
          </cell>
          <cell r="H898">
            <v>34.68678571428493</v>
          </cell>
          <cell r="I898" t="e">
            <v>#N/A</v>
          </cell>
          <cell r="J898" t="e">
            <v>#N/A</v>
          </cell>
          <cell r="K898">
            <v>65</v>
          </cell>
          <cell r="L898">
            <v>40</v>
          </cell>
          <cell r="M898" t="e">
            <v>#N/A</v>
          </cell>
          <cell r="N898">
            <v>52</v>
          </cell>
          <cell r="O898" t="e">
            <v>#N/A</v>
          </cell>
          <cell r="P898" t="str">
            <v/>
          </cell>
          <cell r="Q898" t="str">
            <v/>
          </cell>
          <cell r="R898" t="e">
            <v>#N/A</v>
          </cell>
        </row>
        <row r="899">
          <cell r="A899" t="str">
            <v/>
          </cell>
          <cell r="B899" t="str">
            <v/>
          </cell>
          <cell r="C899" t="str">
            <v>Future</v>
          </cell>
          <cell r="D899" t="e">
            <v>#N/A</v>
          </cell>
          <cell r="E899">
            <v>-19.342539682540021</v>
          </cell>
          <cell r="F899">
            <v>68.355873015871808</v>
          </cell>
          <cell r="G899">
            <v>34.625714285713499</v>
          </cell>
          <cell r="H899">
            <v>34.625714285713499</v>
          </cell>
          <cell r="I899" t="e">
            <v>#N/A</v>
          </cell>
          <cell r="J899" t="e">
            <v>#N/A</v>
          </cell>
          <cell r="K899">
            <v>65</v>
          </cell>
          <cell r="L899">
            <v>40</v>
          </cell>
          <cell r="M899" t="e">
            <v>#N/A</v>
          </cell>
          <cell r="N899">
            <v>52</v>
          </cell>
          <cell r="O899" t="e">
            <v>#N/A</v>
          </cell>
          <cell r="P899" t="str">
            <v/>
          </cell>
          <cell r="Q899" t="str">
            <v/>
          </cell>
          <cell r="R899" t="e">
            <v>#N/A</v>
          </cell>
        </row>
        <row r="900">
          <cell r="A900" t="str">
            <v/>
          </cell>
          <cell r="B900" t="str">
            <v/>
          </cell>
          <cell r="C900" t="str">
            <v>Future</v>
          </cell>
          <cell r="D900" t="e">
            <v>#N/A</v>
          </cell>
          <cell r="E900">
            <v>-19.56234126984161</v>
          </cell>
          <cell r="F900">
            <v>68.394007936506725</v>
          </cell>
          <cell r="G900">
            <v>34.564642857142069</v>
          </cell>
          <cell r="H900">
            <v>34.564642857142069</v>
          </cell>
          <cell r="I900" t="e">
            <v>#N/A</v>
          </cell>
          <cell r="J900" t="e">
            <v>#N/A</v>
          </cell>
          <cell r="K900">
            <v>65</v>
          </cell>
          <cell r="L900">
            <v>40</v>
          </cell>
          <cell r="M900" t="e">
            <v>#N/A</v>
          </cell>
          <cell r="N900">
            <v>52</v>
          </cell>
          <cell r="O900" t="e">
            <v>#N/A</v>
          </cell>
          <cell r="P900" t="str">
            <v/>
          </cell>
          <cell r="Q900" t="str">
            <v/>
          </cell>
          <cell r="R900" t="e">
            <v>#N/A</v>
          </cell>
        </row>
        <row r="901">
          <cell r="A901" t="str">
            <v/>
          </cell>
          <cell r="B901" t="str">
            <v/>
          </cell>
          <cell r="C901" t="str">
            <v>Future</v>
          </cell>
          <cell r="D901" t="e">
            <v>#N/A</v>
          </cell>
          <cell r="E901">
            <v>-19.782142857143199</v>
          </cell>
          <cell r="F901">
            <v>68.432142857141642</v>
          </cell>
          <cell r="G901">
            <v>34.503571428570638</v>
          </cell>
          <cell r="H901">
            <v>34.503571428570638</v>
          </cell>
          <cell r="I901" t="e">
            <v>#N/A</v>
          </cell>
          <cell r="J901" t="e">
            <v>#N/A</v>
          </cell>
          <cell r="K901">
            <v>65</v>
          </cell>
          <cell r="L901">
            <v>40</v>
          </cell>
          <cell r="M901" t="e">
            <v>#N/A</v>
          </cell>
          <cell r="N901">
            <v>52</v>
          </cell>
          <cell r="O901" t="e">
            <v>#N/A</v>
          </cell>
          <cell r="P901" t="str">
            <v/>
          </cell>
          <cell r="Q901" t="str">
            <v/>
          </cell>
          <cell r="R901" t="e">
            <v>#N/A</v>
          </cell>
        </row>
        <row r="902">
          <cell r="A902" t="str">
            <v/>
          </cell>
          <cell r="B902" t="str">
            <v/>
          </cell>
          <cell r="C902" t="str">
            <v>Future</v>
          </cell>
          <cell r="D902" t="e">
            <v>#N/A</v>
          </cell>
          <cell r="E902">
            <v>-20.001944444444788</v>
          </cell>
          <cell r="F902">
            <v>68.470277777776559</v>
          </cell>
          <cell r="G902">
            <v>34.442499999999207</v>
          </cell>
          <cell r="H902">
            <v>34.442499999999207</v>
          </cell>
          <cell r="I902" t="e">
            <v>#N/A</v>
          </cell>
          <cell r="J902" t="e">
            <v>#N/A</v>
          </cell>
          <cell r="K902">
            <v>65</v>
          </cell>
          <cell r="L902">
            <v>40</v>
          </cell>
          <cell r="M902" t="e">
            <v>#N/A</v>
          </cell>
          <cell r="N902">
            <v>52</v>
          </cell>
          <cell r="O902" t="e">
            <v>#N/A</v>
          </cell>
          <cell r="P902" t="str">
            <v/>
          </cell>
          <cell r="Q902" t="str">
            <v/>
          </cell>
          <cell r="R902" t="e">
            <v>#N/A</v>
          </cell>
        </row>
        <row r="903">
          <cell r="A903" t="str">
            <v/>
          </cell>
          <cell r="B903" t="str">
            <v/>
          </cell>
          <cell r="C903" t="str">
            <v>Future</v>
          </cell>
          <cell r="D903" t="e">
            <v>#N/A</v>
          </cell>
          <cell r="E903">
            <v>-20.221746031746378</v>
          </cell>
          <cell r="F903">
            <v>68.508412698411476</v>
          </cell>
          <cell r="G903">
            <v>34.381428571427776</v>
          </cell>
          <cell r="H903">
            <v>34.381428571427776</v>
          </cell>
          <cell r="I903" t="e">
            <v>#N/A</v>
          </cell>
          <cell r="J903" t="e">
            <v>#N/A</v>
          </cell>
          <cell r="K903">
            <v>65</v>
          </cell>
          <cell r="L903">
            <v>40</v>
          </cell>
          <cell r="M903" t="e">
            <v>#N/A</v>
          </cell>
          <cell r="N903">
            <v>52</v>
          </cell>
          <cell r="O903" t="e">
            <v>#N/A</v>
          </cell>
          <cell r="P903" t="str">
            <v/>
          </cell>
          <cell r="Q903" t="str">
            <v/>
          </cell>
          <cell r="R903" t="e">
            <v>#N/A</v>
          </cell>
        </row>
        <row r="904">
          <cell r="A904" t="str">
            <v/>
          </cell>
          <cell r="B904" t="str">
            <v/>
          </cell>
          <cell r="C904" t="str">
            <v>Future</v>
          </cell>
          <cell r="D904" t="e">
            <v>#N/A</v>
          </cell>
          <cell r="E904">
            <v>-20.441547619047967</v>
          </cell>
          <cell r="F904">
            <v>68.546547619046393</v>
          </cell>
          <cell r="G904">
            <v>34.320357142856345</v>
          </cell>
          <cell r="H904">
            <v>34.320357142856345</v>
          </cell>
          <cell r="I904" t="e">
            <v>#N/A</v>
          </cell>
          <cell r="J904" t="e">
            <v>#N/A</v>
          </cell>
          <cell r="K904">
            <v>65</v>
          </cell>
          <cell r="L904">
            <v>40</v>
          </cell>
          <cell r="M904" t="e">
            <v>#N/A</v>
          </cell>
          <cell r="N904">
            <v>52</v>
          </cell>
          <cell r="O904" t="e">
            <v>#N/A</v>
          </cell>
          <cell r="P904" t="str">
            <v/>
          </cell>
          <cell r="Q904" t="str">
            <v/>
          </cell>
          <cell r="R904" t="e">
            <v>#N/A</v>
          </cell>
        </row>
        <row r="905">
          <cell r="A905" t="str">
            <v/>
          </cell>
          <cell r="B905" t="str">
            <v/>
          </cell>
          <cell r="C905" t="str">
            <v>Future</v>
          </cell>
          <cell r="D905" t="e">
            <v>#N/A</v>
          </cell>
          <cell r="E905">
            <v>-20.661349206349556</v>
          </cell>
          <cell r="F905">
            <v>68.58468253968131</v>
          </cell>
          <cell r="G905">
            <v>34.259285714284914</v>
          </cell>
          <cell r="H905">
            <v>34.259285714284914</v>
          </cell>
          <cell r="I905" t="e">
            <v>#N/A</v>
          </cell>
          <cell r="J905" t="e">
            <v>#N/A</v>
          </cell>
          <cell r="K905">
            <v>65</v>
          </cell>
          <cell r="L905">
            <v>40</v>
          </cell>
          <cell r="M905" t="e">
            <v>#N/A</v>
          </cell>
          <cell r="N905">
            <v>52</v>
          </cell>
          <cell r="O905" t="e">
            <v>#N/A</v>
          </cell>
          <cell r="P905" t="str">
            <v/>
          </cell>
          <cell r="Q905" t="str">
            <v/>
          </cell>
          <cell r="R905" t="e">
            <v>#N/A</v>
          </cell>
        </row>
        <row r="906">
          <cell r="A906" t="str">
            <v/>
          </cell>
          <cell r="B906" t="str">
            <v/>
          </cell>
          <cell r="C906" t="str">
            <v>Future</v>
          </cell>
          <cell r="D906" t="e">
            <v>#N/A</v>
          </cell>
          <cell r="E906">
            <v>-20.881150793651145</v>
          </cell>
          <cell r="F906">
            <v>68.622817460316227</v>
          </cell>
          <cell r="G906">
            <v>34.198214285713483</v>
          </cell>
          <cell r="H906">
            <v>34.198214285713483</v>
          </cell>
          <cell r="I906" t="e">
            <v>#N/A</v>
          </cell>
          <cell r="J906" t="e">
            <v>#N/A</v>
          </cell>
          <cell r="K906">
            <v>65</v>
          </cell>
          <cell r="L906">
            <v>40</v>
          </cell>
          <cell r="M906" t="e">
            <v>#N/A</v>
          </cell>
          <cell r="N906">
            <v>52</v>
          </cell>
          <cell r="O906" t="e">
            <v>#N/A</v>
          </cell>
          <cell r="P906" t="str">
            <v/>
          </cell>
          <cell r="Q906" t="str">
            <v/>
          </cell>
          <cell r="R906" t="e">
            <v>#N/A</v>
          </cell>
        </row>
        <row r="907">
          <cell r="A907" t="str">
            <v/>
          </cell>
          <cell r="B907" t="str">
            <v/>
          </cell>
          <cell r="C907" t="str">
            <v>Future</v>
          </cell>
          <cell r="D907" t="e">
            <v>#N/A</v>
          </cell>
          <cell r="E907">
            <v>-21.100952380952734</v>
          </cell>
          <cell r="F907">
            <v>68.660952380951144</v>
          </cell>
          <cell r="G907">
            <v>34.137142857142052</v>
          </cell>
          <cell r="H907">
            <v>34.137142857142052</v>
          </cell>
          <cell r="I907" t="e">
            <v>#N/A</v>
          </cell>
          <cell r="J907" t="e">
            <v>#N/A</v>
          </cell>
          <cell r="K907">
            <v>65</v>
          </cell>
          <cell r="L907">
            <v>40</v>
          </cell>
          <cell r="M907" t="e">
            <v>#N/A</v>
          </cell>
          <cell r="N907">
            <v>52</v>
          </cell>
          <cell r="O907" t="e">
            <v>#N/A</v>
          </cell>
          <cell r="P907" t="str">
            <v/>
          </cell>
          <cell r="Q907" t="str">
            <v/>
          </cell>
          <cell r="R907" t="e">
            <v>#N/A</v>
          </cell>
        </row>
        <row r="908">
          <cell r="A908" t="str">
            <v/>
          </cell>
          <cell r="B908" t="str">
            <v/>
          </cell>
          <cell r="C908" t="str">
            <v>Future</v>
          </cell>
          <cell r="D908" t="e">
            <v>#N/A</v>
          </cell>
          <cell r="E908">
            <v>-21.320753968254323</v>
          </cell>
          <cell r="F908">
            <v>68.699087301586061</v>
          </cell>
          <cell r="G908">
            <v>34.076071428570621</v>
          </cell>
          <cell r="H908">
            <v>34.076071428570621</v>
          </cell>
          <cell r="I908" t="e">
            <v>#N/A</v>
          </cell>
          <cell r="J908" t="e">
            <v>#N/A</v>
          </cell>
          <cell r="K908">
            <v>65</v>
          </cell>
          <cell r="L908">
            <v>40</v>
          </cell>
          <cell r="M908" t="e">
            <v>#N/A</v>
          </cell>
          <cell r="N908">
            <v>52</v>
          </cell>
          <cell r="O908" t="e">
            <v>#N/A</v>
          </cell>
          <cell r="P908" t="str">
            <v/>
          </cell>
          <cell r="Q908" t="str">
            <v/>
          </cell>
          <cell r="R908" t="e">
            <v>#N/A</v>
          </cell>
        </row>
        <row r="909">
          <cell r="A909" t="str">
            <v/>
          </cell>
          <cell r="B909" t="str">
            <v/>
          </cell>
          <cell r="C909" t="str">
            <v>Future</v>
          </cell>
          <cell r="D909" t="e">
            <v>#N/A</v>
          </cell>
          <cell r="E909">
            <v>-21.540555555555912</v>
          </cell>
          <cell r="F909">
            <v>68.737222222220979</v>
          </cell>
          <cell r="G909">
            <v>34.014999999999191</v>
          </cell>
          <cell r="H909">
            <v>34.014999999999191</v>
          </cell>
          <cell r="I909" t="e">
            <v>#N/A</v>
          </cell>
          <cell r="J909" t="e">
            <v>#N/A</v>
          </cell>
          <cell r="K909">
            <v>65</v>
          </cell>
          <cell r="L909">
            <v>40</v>
          </cell>
          <cell r="M909" t="e">
            <v>#N/A</v>
          </cell>
          <cell r="N909">
            <v>52</v>
          </cell>
          <cell r="O909" t="e">
            <v>#N/A</v>
          </cell>
          <cell r="P909" t="str">
            <v/>
          </cell>
          <cell r="Q909" t="str">
            <v/>
          </cell>
          <cell r="R909" t="e">
            <v>#N/A</v>
          </cell>
        </row>
        <row r="910">
          <cell r="A910" t="str">
            <v/>
          </cell>
          <cell r="B910" t="str">
            <v/>
          </cell>
          <cell r="C910" t="str">
            <v>Future</v>
          </cell>
          <cell r="D910" t="e">
            <v>#N/A</v>
          </cell>
          <cell r="E910">
            <v>-21.760357142857501</v>
          </cell>
          <cell r="F910">
            <v>68.775357142855896</v>
          </cell>
          <cell r="G910">
            <v>33.95392857142776</v>
          </cell>
          <cell r="H910">
            <v>33.95392857142776</v>
          </cell>
          <cell r="I910" t="e">
            <v>#N/A</v>
          </cell>
          <cell r="J910" t="e">
            <v>#N/A</v>
          </cell>
          <cell r="K910">
            <v>65</v>
          </cell>
          <cell r="L910">
            <v>40</v>
          </cell>
          <cell r="M910" t="e">
            <v>#N/A</v>
          </cell>
          <cell r="N910">
            <v>52</v>
          </cell>
          <cell r="O910" t="e">
            <v>#N/A</v>
          </cell>
          <cell r="P910" t="str">
            <v/>
          </cell>
          <cell r="Q910" t="str">
            <v/>
          </cell>
          <cell r="R910" t="e">
            <v>#N/A</v>
          </cell>
        </row>
        <row r="911">
          <cell r="A911" t="str">
            <v/>
          </cell>
          <cell r="B911" t="str">
            <v/>
          </cell>
          <cell r="C911" t="str">
            <v>Future</v>
          </cell>
          <cell r="D911" t="e">
            <v>#N/A</v>
          </cell>
          <cell r="E911">
            <v>-21.98015873015909</v>
          </cell>
          <cell r="F911">
            <v>68.813492063490813</v>
          </cell>
          <cell r="G911">
            <v>33.892857142856329</v>
          </cell>
          <cell r="H911">
            <v>33.892857142856329</v>
          </cell>
          <cell r="I911" t="e">
            <v>#N/A</v>
          </cell>
          <cell r="J911" t="e">
            <v>#N/A</v>
          </cell>
          <cell r="K911">
            <v>65</v>
          </cell>
          <cell r="L911">
            <v>40</v>
          </cell>
          <cell r="M911" t="e">
            <v>#N/A</v>
          </cell>
          <cell r="N911">
            <v>52</v>
          </cell>
          <cell r="O911" t="e">
            <v>#N/A</v>
          </cell>
          <cell r="P911" t="str">
            <v/>
          </cell>
          <cell r="Q911" t="str">
            <v/>
          </cell>
          <cell r="R911" t="e">
            <v>#N/A</v>
          </cell>
        </row>
        <row r="912">
          <cell r="A912" t="str">
            <v/>
          </cell>
          <cell r="B912" t="str">
            <v/>
          </cell>
          <cell r="C912" t="str">
            <v>Future</v>
          </cell>
          <cell r="D912" t="e">
            <v>#N/A</v>
          </cell>
          <cell r="E912">
            <v>-22.199960317460679</v>
          </cell>
          <cell r="F912">
            <v>68.85162698412573</v>
          </cell>
          <cell r="G912">
            <v>33.831785714284898</v>
          </cell>
          <cell r="H912">
            <v>33.831785714284898</v>
          </cell>
          <cell r="I912" t="e">
            <v>#N/A</v>
          </cell>
          <cell r="J912" t="e">
            <v>#N/A</v>
          </cell>
          <cell r="K912">
            <v>65</v>
          </cell>
          <cell r="L912">
            <v>40</v>
          </cell>
          <cell r="M912" t="e">
            <v>#N/A</v>
          </cell>
          <cell r="N912">
            <v>52</v>
          </cell>
          <cell r="O912" t="e">
            <v>#N/A</v>
          </cell>
          <cell r="P912" t="str">
            <v/>
          </cell>
          <cell r="Q912" t="str">
            <v/>
          </cell>
          <cell r="R912" t="e">
            <v>#N/A</v>
          </cell>
        </row>
        <row r="913">
          <cell r="A913" t="str">
            <v/>
          </cell>
          <cell r="B913" t="str">
            <v/>
          </cell>
          <cell r="C913" t="str">
            <v>Future</v>
          </cell>
          <cell r="D913" t="e">
            <v>#N/A</v>
          </cell>
          <cell r="E913">
            <v>-22.419761904762268</v>
          </cell>
          <cell r="F913">
            <v>68.889761904760647</v>
          </cell>
          <cell r="G913">
            <v>33.770714285713467</v>
          </cell>
          <cell r="H913">
            <v>33.770714285713467</v>
          </cell>
          <cell r="I913" t="e">
            <v>#N/A</v>
          </cell>
          <cell r="J913" t="e">
            <v>#N/A</v>
          </cell>
          <cell r="K913">
            <v>65</v>
          </cell>
          <cell r="L913">
            <v>40</v>
          </cell>
          <cell r="M913" t="e">
            <v>#N/A</v>
          </cell>
          <cell r="N913">
            <v>52</v>
          </cell>
          <cell r="O913" t="e">
            <v>#N/A</v>
          </cell>
          <cell r="P913" t="str">
            <v/>
          </cell>
          <cell r="Q913" t="str">
            <v/>
          </cell>
          <cell r="R913" t="e">
            <v>#N/A</v>
          </cell>
        </row>
        <row r="914">
          <cell r="A914" t="str">
            <v/>
          </cell>
          <cell r="B914" t="str">
            <v/>
          </cell>
          <cell r="C914" t="str">
            <v>Future</v>
          </cell>
          <cell r="D914" t="e">
            <v>#N/A</v>
          </cell>
          <cell r="E914">
            <v>-22.639563492063857</v>
          </cell>
          <cell r="F914">
            <v>68.927896825395564</v>
          </cell>
          <cell r="G914">
            <v>33.709642857142036</v>
          </cell>
          <cell r="H914">
            <v>33.709642857142036</v>
          </cell>
          <cell r="I914" t="e">
            <v>#N/A</v>
          </cell>
          <cell r="J914" t="e">
            <v>#N/A</v>
          </cell>
          <cell r="K914">
            <v>65</v>
          </cell>
          <cell r="L914">
            <v>40</v>
          </cell>
          <cell r="M914" t="e">
            <v>#N/A</v>
          </cell>
          <cell r="N914">
            <v>52</v>
          </cell>
          <cell r="O914" t="e">
            <v>#N/A</v>
          </cell>
          <cell r="P914" t="str">
            <v/>
          </cell>
          <cell r="Q914" t="str">
            <v/>
          </cell>
          <cell r="R914" t="e">
            <v>#N/A</v>
          </cell>
        </row>
        <row r="915">
          <cell r="A915" t="str">
            <v/>
          </cell>
          <cell r="B915" t="str">
            <v/>
          </cell>
          <cell r="C915" t="str">
            <v>Future</v>
          </cell>
          <cell r="D915" t="e">
            <v>#N/A</v>
          </cell>
          <cell r="E915">
            <v>-22.859365079365446</v>
          </cell>
          <cell r="F915">
            <v>68.966031746030481</v>
          </cell>
          <cell r="G915">
            <v>33.648571428570605</v>
          </cell>
          <cell r="H915">
            <v>33.648571428570605</v>
          </cell>
          <cell r="I915" t="e">
            <v>#N/A</v>
          </cell>
          <cell r="J915" t="e">
            <v>#N/A</v>
          </cell>
          <cell r="K915">
            <v>65</v>
          </cell>
          <cell r="L915">
            <v>40</v>
          </cell>
          <cell r="M915" t="e">
            <v>#N/A</v>
          </cell>
          <cell r="N915">
            <v>52</v>
          </cell>
          <cell r="O915" t="e">
            <v>#N/A</v>
          </cell>
          <cell r="P915" t="str">
            <v/>
          </cell>
          <cell r="Q915" t="str">
            <v/>
          </cell>
          <cell r="R915" t="e">
            <v>#N/A</v>
          </cell>
        </row>
        <row r="916">
          <cell r="A916" t="str">
            <v/>
          </cell>
          <cell r="B916" t="str">
            <v/>
          </cell>
          <cell r="C916" t="str">
            <v>Future</v>
          </cell>
          <cell r="D916" t="e">
            <v>#N/A</v>
          </cell>
          <cell r="E916">
            <v>-23.079166666667035</v>
          </cell>
          <cell r="F916">
            <v>69.004166666665398</v>
          </cell>
          <cell r="G916">
            <v>33.587499999999174</v>
          </cell>
          <cell r="H916">
            <v>33.587499999999174</v>
          </cell>
          <cell r="I916" t="e">
            <v>#N/A</v>
          </cell>
          <cell r="J916" t="e">
            <v>#N/A</v>
          </cell>
          <cell r="K916">
            <v>65</v>
          </cell>
          <cell r="L916">
            <v>40</v>
          </cell>
          <cell r="M916" t="e">
            <v>#N/A</v>
          </cell>
          <cell r="N916">
            <v>52</v>
          </cell>
          <cell r="O916" t="e">
            <v>#N/A</v>
          </cell>
          <cell r="P916" t="str">
            <v/>
          </cell>
          <cell r="Q916" t="str">
            <v/>
          </cell>
          <cell r="R916" t="e">
            <v>#N/A</v>
          </cell>
        </row>
        <row r="917">
          <cell r="A917" t="str">
            <v/>
          </cell>
          <cell r="B917" t="str">
            <v/>
          </cell>
          <cell r="C917" t="str">
            <v>Future</v>
          </cell>
          <cell r="D917" t="e">
            <v>#N/A</v>
          </cell>
          <cell r="E917">
            <v>-23.298968253968624</v>
          </cell>
          <cell r="F917">
            <v>69.042301587300315</v>
          </cell>
          <cell r="G917">
            <v>33.526428571427743</v>
          </cell>
          <cell r="H917">
            <v>33.526428571427743</v>
          </cell>
          <cell r="I917" t="e">
            <v>#N/A</v>
          </cell>
          <cell r="J917" t="e">
            <v>#N/A</v>
          </cell>
          <cell r="K917">
            <v>65</v>
          </cell>
          <cell r="L917">
            <v>40</v>
          </cell>
          <cell r="M917" t="e">
            <v>#N/A</v>
          </cell>
          <cell r="N917">
            <v>52</v>
          </cell>
          <cell r="O917" t="e">
            <v>#N/A</v>
          </cell>
          <cell r="P917" t="str">
            <v/>
          </cell>
          <cell r="Q917" t="str">
            <v/>
          </cell>
          <cell r="R917" t="e">
            <v>#N/A</v>
          </cell>
        </row>
        <row r="918">
          <cell r="A918" t="str">
            <v/>
          </cell>
          <cell r="B918" t="str">
            <v/>
          </cell>
          <cell r="C918" t="str">
            <v>Future</v>
          </cell>
          <cell r="D918" t="e">
            <v>#N/A</v>
          </cell>
          <cell r="E918">
            <v>-23.518769841270213</v>
          </cell>
          <cell r="F918">
            <v>69.080436507935232</v>
          </cell>
          <cell r="G918">
            <v>33.465357142856313</v>
          </cell>
          <cell r="H918">
            <v>33.465357142856313</v>
          </cell>
          <cell r="I918" t="e">
            <v>#N/A</v>
          </cell>
          <cell r="J918" t="e">
            <v>#N/A</v>
          </cell>
          <cell r="K918">
            <v>65</v>
          </cell>
          <cell r="L918">
            <v>40</v>
          </cell>
          <cell r="M918" t="e">
            <v>#N/A</v>
          </cell>
          <cell r="N918">
            <v>52</v>
          </cell>
          <cell r="O918" t="e">
            <v>#N/A</v>
          </cell>
          <cell r="P918" t="str">
            <v/>
          </cell>
          <cell r="Q918" t="str">
            <v/>
          </cell>
          <cell r="R918" t="e">
            <v>#N/A</v>
          </cell>
        </row>
        <row r="919">
          <cell r="A919" t="str">
            <v/>
          </cell>
          <cell r="B919" t="str">
            <v/>
          </cell>
          <cell r="C919" t="str">
            <v>Future</v>
          </cell>
          <cell r="D919" t="e">
            <v>#N/A</v>
          </cell>
          <cell r="E919">
            <v>-23.738571428571802</v>
          </cell>
          <cell r="F919">
            <v>69.118571428570149</v>
          </cell>
          <cell r="G919">
            <v>33.404285714284882</v>
          </cell>
          <cell r="H919">
            <v>33.404285714284882</v>
          </cell>
          <cell r="I919" t="e">
            <v>#N/A</v>
          </cell>
          <cell r="J919" t="e">
            <v>#N/A</v>
          </cell>
          <cell r="K919">
            <v>65</v>
          </cell>
          <cell r="L919">
            <v>40</v>
          </cell>
          <cell r="M919" t="e">
            <v>#N/A</v>
          </cell>
          <cell r="N919">
            <v>52</v>
          </cell>
          <cell r="O919" t="e">
            <v>#N/A</v>
          </cell>
          <cell r="P919" t="str">
            <v/>
          </cell>
          <cell r="Q919" t="str">
            <v/>
          </cell>
          <cell r="R919" t="e">
            <v>#N/A</v>
          </cell>
        </row>
        <row r="920">
          <cell r="A920" t="str">
            <v/>
          </cell>
          <cell r="B920" t="str">
            <v/>
          </cell>
          <cell r="C920" t="str">
            <v>Future</v>
          </cell>
          <cell r="D920" t="e">
            <v>#N/A</v>
          </cell>
          <cell r="E920">
            <v>-23.958373015873391</v>
          </cell>
          <cell r="F920">
            <v>69.156706349205066</v>
          </cell>
          <cell r="G920">
            <v>33.343214285713451</v>
          </cell>
          <cell r="H920">
            <v>33.343214285713451</v>
          </cell>
          <cell r="I920" t="e">
            <v>#N/A</v>
          </cell>
          <cell r="J920" t="e">
            <v>#N/A</v>
          </cell>
          <cell r="K920">
            <v>65</v>
          </cell>
          <cell r="L920">
            <v>40</v>
          </cell>
          <cell r="M920" t="e">
            <v>#N/A</v>
          </cell>
          <cell r="N920">
            <v>52</v>
          </cell>
          <cell r="O920" t="e">
            <v>#N/A</v>
          </cell>
          <cell r="P920" t="str">
            <v/>
          </cell>
          <cell r="Q920" t="str">
            <v/>
          </cell>
          <cell r="R920" t="e">
            <v>#N/A</v>
          </cell>
        </row>
        <row r="921">
          <cell r="A921" t="str">
            <v/>
          </cell>
          <cell r="B921" t="str">
            <v/>
          </cell>
          <cell r="C921" t="str">
            <v>Future</v>
          </cell>
          <cell r="D921" t="e">
            <v>#N/A</v>
          </cell>
          <cell r="E921">
            <v>-24.17817460317498</v>
          </cell>
          <cell r="F921">
            <v>69.194841269839984</v>
          </cell>
          <cell r="G921">
            <v>33.28214285714202</v>
          </cell>
          <cell r="H921">
            <v>33.28214285714202</v>
          </cell>
          <cell r="I921" t="e">
            <v>#N/A</v>
          </cell>
          <cell r="J921" t="e">
            <v>#N/A</v>
          </cell>
          <cell r="K921">
            <v>65</v>
          </cell>
          <cell r="L921">
            <v>40</v>
          </cell>
          <cell r="M921" t="e">
            <v>#N/A</v>
          </cell>
          <cell r="N921">
            <v>52</v>
          </cell>
          <cell r="O921" t="e">
            <v>#N/A</v>
          </cell>
          <cell r="P921" t="str">
            <v/>
          </cell>
          <cell r="Q921" t="str">
            <v/>
          </cell>
          <cell r="R921" t="e">
            <v>#N/A</v>
          </cell>
        </row>
        <row r="922">
          <cell r="A922" t="str">
            <v/>
          </cell>
          <cell r="B922" t="str">
            <v/>
          </cell>
          <cell r="C922" t="str">
            <v>Future</v>
          </cell>
          <cell r="D922" t="e">
            <v>#N/A</v>
          </cell>
          <cell r="E922">
            <v>-24.39797619047657</v>
          </cell>
          <cell r="F922">
            <v>69.232976190474901</v>
          </cell>
          <cell r="G922">
            <v>33.221071428570589</v>
          </cell>
          <cell r="H922">
            <v>33.221071428570589</v>
          </cell>
          <cell r="I922" t="e">
            <v>#N/A</v>
          </cell>
          <cell r="J922" t="e">
            <v>#N/A</v>
          </cell>
          <cell r="K922">
            <v>65</v>
          </cell>
          <cell r="L922">
            <v>40</v>
          </cell>
          <cell r="M922" t="e">
            <v>#N/A</v>
          </cell>
          <cell r="N922">
            <v>52</v>
          </cell>
          <cell r="O922" t="e">
            <v>#N/A</v>
          </cell>
          <cell r="P922" t="str">
            <v/>
          </cell>
          <cell r="Q922" t="str">
            <v/>
          </cell>
          <cell r="R922" t="e">
            <v>#N/A</v>
          </cell>
        </row>
        <row r="923">
          <cell r="A923" t="str">
            <v/>
          </cell>
          <cell r="B923" t="str">
            <v/>
          </cell>
          <cell r="C923" t="str">
            <v>Future</v>
          </cell>
          <cell r="D923" t="e">
            <v>#N/A</v>
          </cell>
          <cell r="E923">
            <v>-24.617777777778159</v>
          </cell>
          <cell r="F923">
            <v>69.271111111109818</v>
          </cell>
          <cell r="G923">
            <v>33.159999999999158</v>
          </cell>
          <cell r="H923">
            <v>33.159999999999158</v>
          </cell>
          <cell r="I923" t="e">
            <v>#N/A</v>
          </cell>
          <cell r="J923" t="e">
            <v>#N/A</v>
          </cell>
          <cell r="K923">
            <v>65</v>
          </cell>
          <cell r="L923">
            <v>40</v>
          </cell>
          <cell r="M923" t="e">
            <v>#N/A</v>
          </cell>
          <cell r="N923">
            <v>52</v>
          </cell>
          <cell r="O923" t="e">
            <v>#N/A</v>
          </cell>
          <cell r="P923" t="str">
            <v/>
          </cell>
          <cell r="Q923" t="str">
            <v/>
          </cell>
          <cell r="R923" t="e">
            <v>#N/A</v>
          </cell>
        </row>
        <row r="924">
          <cell r="A924" t="str">
            <v/>
          </cell>
          <cell r="B924" t="str">
            <v/>
          </cell>
          <cell r="C924" t="str">
            <v>Future</v>
          </cell>
          <cell r="D924" t="e">
            <v>#N/A</v>
          </cell>
          <cell r="E924">
            <v>-24.837579365079748</v>
          </cell>
          <cell r="F924">
            <v>69.309246031744735</v>
          </cell>
          <cell r="G924">
            <v>33.098928571427727</v>
          </cell>
          <cell r="H924">
            <v>33.098928571427727</v>
          </cell>
          <cell r="I924" t="e">
            <v>#N/A</v>
          </cell>
          <cell r="J924" t="e">
            <v>#N/A</v>
          </cell>
          <cell r="K924">
            <v>65</v>
          </cell>
          <cell r="L924">
            <v>40</v>
          </cell>
          <cell r="M924" t="e">
            <v>#N/A</v>
          </cell>
          <cell r="N924">
            <v>52</v>
          </cell>
          <cell r="O924" t="e">
            <v>#N/A</v>
          </cell>
          <cell r="P924" t="str">
            <v/>
          </cell>
          <cell r="Q924" t="str">
            <v/>
          </cell>
          <cell r="R924" t="e">
            <v>#N/A</v>
          </cell>
        </row>
        <row r="925">
          <cell r="A925" t="str">
            <v/>
          </cell>
          <cell r="B925" t="str">
            <v/>
          </cell>
          <cell r="C925" t="str">
            <v>Future</v>
          </cell>
          <cell r="D925" t="e">
            <v>#N/A</v>
          </cell>
          <cell r="E925">
            <v>-25.057380952381337</v>
          </cell>
          <cell r="F925">
            <v>69.347380952379652</v>
          </cell>
          <cell r="G925">
            <v>33.037857142856296</v>
          </cell>
          <cell r="H925">
            <v>33.037857142856296</v>
          </cell>
          <cell r="I925" t="e">
            <v>#N/A</v>
          </cell>
          <cell r="J925" t="e">
            <v>#N/A</v>
          </cell>
          <cell r="K925">
            <v>65</v>
          </cell>
          <cell r="L925">
            <v>40</v>
          </cell>
          <cell r="M925" t="e">
            <v>#N/A</v>
          </cell>
          <cell r="N925">
            <v>52</v>
          </cell>
          <cell r="O925" t="e">
            <v>#N/A</v>
          </cell>
          <cell r="P925" t="str">
            <v/>
          </cell>
          <cell r="Q925" t="str">
            <v/>
          </cell>
          <cell r="R925" t="e">
            <v>#N/A</v>
          </cell>
        </row>
        <row r="926">
          <cell r="A926" t="str">
            <v/>
          </cell>
          <cell r="B926" t="str">
            <v/>
          </cell>
          <cell r="C926" t="str">
            <v>Future</v>
          </cell>
          <cell r="D926" t="e">
            <v>#N/A</v>
          </cell>
          <cell r="E926">
            <v>-25.277182539682926</v>
          </cell>
          <cell r="F926">
            <v>69.385515873014569</v>
          </cell>
          <cell r="G926">
            <v>32.976785714284865</v>
          </cell>
          <cell r="H926">
            <v>32.976785714284865</v>
          </cell>
          <cell r="I926" t="e">
            <v>#N/A</v>
          </cell>
          <cell r="J926" t="e">
            <v>#N/A</v>
          </cell>
          <cell r="K926">
            <v>65</v>
          </cell>
          <cell r="L926">
            <v>40</v>
          </cell>
          <cell r="M926" t="e">
            <v>#N/A</v>
          </cell>
          <cell r="N926">
            <v>52</v>
          </cell>
          <cell r="O926" t="e">
            <v>#N/A</v>
          </cell>
          <cell r="P926" t="str">
            <v/>
          </cell>
          <cell r="Q926" t="str">
            <v/>
          </cell>
          <cell r="R926" t="e">
            <v>#N/A</v>
          </cell>
        </row>
        <row r="927">
          <cell r="A927" t="str">
            <v/>
          </cell>
          <cell r="B927" t="str">
            <v/>
          </cell>
          <cell r="C927" t="str">
            <v>Future</v>
          </cell>
          <cell r="D927" t="e">
            <v>#N/A</v>
          </cell>
          <cell r="E927">
            <v>-25.496984126984515</v>
          </cell>
          <cell r="F927">
            <v>69.423650793649486</v>
          </cell>
          <cell r="G927">
            <v>32.915714285713435</v>
          </cell>
          <cell r="H927">
            <v>32.915714285713435</v>
          </cell>
          <cell r="I927" t="e">
            <v>#N/A</v>
          </cell>
          <cell r="J927" t="e">
            <v>#N/A</v>
          </cell>
          <cell r="K927">
            <v>65</v>
          </cell>
          <cell r="L927">
            <v>40</v>
          </cell>
          <cell r="M927" t="e">
            <v>#N/A</v>
          </cell>
          <cell r="N927">
            <v>52</v>
          </cell>
          <cell r="O927" t="e">
            <v>#N/A</v>
          </cell>
          <cell r="P927" t="str">
            <v/>
          </cell>
          <cell r="Q927" t="str">
            <v/>
          </cell>
          <cell r="R927" t="e">
            <v>#N/A</v>
          </cell>
        </row>
        <row r="928">
          <cell r="A928" t="str">
            <v/>
          </cell>
          <cell r="B928" t="str">
            <v/>
          </cell>
          <cell r="C928" t="str">
            <v>Future</v>
          </cell>
          <cell r="D928" t="e">
            <v>#N/A</v>
          </cell>
          <cell r="E928">
            <v>-25.716785714286104</v>
          </cell>
          <cell r="F928">
            <v>69.461785714284403</v>
          </cell>
          <cell r="G928">
            <v>32.854642857142004</v>
          </cell>
          <cell r="H928">
            <v>32.854642857142004</v>
          </cell>
          <cell r="I928" t="e">
            <v>#N/A</v>
          </cell>
          <cell r="J928" t="e">
            <v>#N/A</v>
          </cell>
          <cell r="K928">
            <v>65</v>
          </cell>
          <cell r="L928">
            <v>40</v>
          </cell>
          <cell r="M928" t="e">
            <v>#N/A</v>
          </cell>
          <cell r="N928">
            <v>52</v>
          </cell>
          <cell r="O928" t="e">
            <v>#N/A</v>
          </cell>
          <cell r="P928" t="str">
            <v/>
          </cell>
          <cell r="Q928" t="str">
            <v/>
          </cell>
          <cell r="R928" t="e">
            <v>#N/A</v>
          </cell>
        </row>
        <row r="929">
          <cell r="A929" t="str">
            <v/>
          </cell>
          <cell r="B929" t="str">
            <v/>
          </cell>
          <cell r="C929" t="str">
            <v>Future</v>
          </cell>
          <cell r="D929" t="e">
            <v>#N/A</v>
          </cell>
          <cell r="E929">
            <v>-25.936587301587693</v>
          </cell>
          <cell r="F929">
            <v>69.49992063491932</v>
          </cell>
          <cell r="G929">
            <v>32.793571428570573</v>
          </cell>
          <cell r="H929">
            <v>32.793571428570573</v>
          </cell>
          <cell r="I929" t="e">
            <v>#N/A</v>
          </cell>
          <cell r="J929" t="e">
            <v>#N/A</v>
          </cell>
          <cell r="K929">
            <v>65</v>
          </cell>
          <cell r="L929">
            <v>40</v>
          </cell>
          <cell r="M929" t="e">
            <v>#N/A</v>
          </cell>
          <cell r="N929">
            <v>52</v>
          </cell>
          <cell r="O929" t="e">
            <v>#N/A</v>
          </cell>
          <cell r="P929" t="str">
            <v/>
          </cell>
          <cell r="Q929" t="str">
            <v/>
          </cell>
          <cell r="R929" t="e">
            <v>#N/A</v>
          </cell>
        </row>
        <row r="930">
          <cell r="A930" t="str">
            <v/>
          </cell>
          <cell r="B930" t="str">
            <v/>
          </cell>
          <cell r="C930" t="str">
            <v>Future</v>
          </cell>
          <cell r="D930" t="e">
            <v>#N/A</v>
          </cell>
          <cell r="E930">
            <v>-26.156388888889282</v>
          </cell>
          <cell r="F930">
            <v>69.538055555554237</v>
          </cell>
          <cell r="G930">
            <v>32.732499999999142</v>
          </cell>
          <cell r="H930">
            <v>32.732499999999142</v>
          </cell>
          <cell r="I930" t="e">
            <v>#N/A</v>
          </cell>
          <cell r="J930" t="e">
            <v>#N/A</v>
          </cell>
          <cell r="K930">
            <v>65</v>
          </cell>
          <cell r="L930">
            <v>40</v>
          </cell>
          <cell r="M930" t="e">
            <v>#N/A</v>
          </cell>
          <cell r="N930">
            <v>52</v>
          </cell>
          <cell r="O930" t="e">
            <v>#N/A</v>
          </cell>
          <cell r="P930" t="str">
            <v/>
          </cell>
          <cell r="Q930" t="str">
            <v/>
          </cell>
          <cell r="R930" t="e">
            <v>#N/A</v>
          </cell>
        </row>
        <row r="931">
          <cell r="A931" t="str">
            <v/>
          </cell>
          <cell r="B931" t="str">
            <v/>
          </cell>
          <cell r="C931" t="str">
            <v>Future</v>
          </cell>
          <cell r="D931" t="e">
            <v>#N/A</v>
          </cell>
          <cell r="E931">
            <v>-26.376190476190871</v>
          </cell>
          <cell r="F931">
            <v>69.576190476189154</v>
          </cell>
          <cell r="G931">
            <v>32.671428571427711</v>
          </cell>
          <cell r="H931">
            <v>32.671428571427711</v>
          </cell>
          <cell r="I931" t="e">
            <v>#N/A</v>
          </cell>
          <cell r="J931" t="e">
            <v>#N/A</v>
          </cell>
          <cell r="K931">
            <v>65</v>
          </cell>
          <cell r="L931">
            <v>40</v>
          </cell>
          <cell r="M931" t="e">
            <v>#N/A</v>
          </cell>
          <cell r="N931">
            <v>52</v>
          </cell>
          <cell r="O931" t="e">
            <v>#N/A</v>
          </cell>
          <cell r="P931" t="str">
            <v/>
          </cell>
          <cell r="Q931" t="str">
            <v/>
          </cell>
          <cell r="R931" t="e">
            <v>#N/A</v>
          </cell>
        </row>
        <row r="932">
          <cell r="A932" t="str">
            <v/>
          </cell>
          <cell r="B932" t="str">
            <v/>
          </cell>
          <cell r="C932" t="str">
            <v>Future</v>
          </cell>
          <cell r="D932" t="e">
            <v>#N/A</v>
          </cell>
          <cell r="E932">
            <v>-26.59599206349246</v>
          </cell>
          <cell r="F932">
            <v>69.614325396824071</v>
          </cell>
          <cell r="G932">
            <v>32.61035714285628</v>
          </cell>
          <cell r="H932">
            <v>32.61035714285628</v>
          </cell>
          <cell r="I932" t="e">
            <v>#N/A</v>
          </cell>
          <cell r="J932" t="e">
            <v>#N/A</v>
          </cell>
          <cell r="K932">
            <v>65</v>
          </cell>
          <cell r="L932">
            <v>40</v>
          </cell>
          <cell r="M932" t="e">
            <v>#N/A</v>
          </cell>
          <cell r="N932">
            <v>52</v>
          </cell>
          <cell r="O932" t="e">
            <v>#N/A</v>
          </cell>
          <cell r="P932" t="str">
            <v/>
          </cell>
          <cell r="Q932" t="str">
            <v/>
          </cell>
          <cell r="R932" t="e">
            <v>#N/A</v>
          </cell>
        </row>
        <row r="933">
          <cell r="A933" t="str">
            <v/>
          </cell>
          <cell r="B933" t="str">
            <v/>
          </cell>
          <cell r="C933" t="str">
            <v>Future</v>
          </cell>
          <cell r="D933" t="e">
            <v>#N/A</v>
          </cell>
          <cell r="E933">
            <v>-26.815793650794049</v>
          </cell>
          <cell r="F933">
            <v>69.652460317458988</v>
          </cell>
          <cell r="G933">
            <v>32.549285714284849</v>
          </cell>
          <cell r="H933">
            <v>32.549285714284849</v>
          </cell>
          <cell r="I933" t="e">
            <v>#N/A</v>
          </cell>
          <cell r="J933" t="e">
            <v>#N/A</v>
          </cell>
          <cell r="K933">
            <v>65</v>
          </cell>
          <cell r="L933">
            <v>40</v>
          </cell>
          <cell r="M933" t="e">
            <v>#N/A</v>
          </cell>
          <cell r="N933">
            <v>52</v>
          </cell>
          <cell r="O933" t="e">
            <v>#N/A</v>
          </cell>
          <cell r="P933" t="str">
            <v/>
          </cell>
          <cell r="Q933" t="str">
            <v/>
          </cell>
          <cell r="R933" t="e">
            <v>#N/A</v>
          </cell>
        </row>
        <row r="934">
          <cell r="A934" t="str">
            <v/>
          </cell>
          <cell r="B934" t="str">
            <v/>
          </cell>
          <cell r="C934" t="str">
            <v>Future</v>
          </cell>
          <cell r="D934" t="e">
            <v>#N/A</v>
          </cell>
          <cell r="E934">
            <v>-27.035595238095638</v>
          </cell>
          <cell r="F934">
            <v>69.690595238093906</v>
          </cell>
          <cell r="G934">
            <v>32.488214285713418</v>
          </cell>
          <cell r="H934">
            <v>32.488214285713418</v>
          </cell>
          <cell r="I934" t="e">
            <v>#N/A</v>
          </cell>
          <cell r="J934" t="e">
            <v>#N/A</v>
          </cell>
          <cell r="K934">
            <v>65</v>
          </cell>
          <cell r="L934">
            <v>40</v>
          </cell>
          <cell r="M934" t="e">
            <v>#N/A</v>
          </cell>
          <cell r="N934">
            <v>52</v>
          </cell>
          <cell r="O934" t="e">
            <v>#N/A</v>
          </cell>
          <cell r="P934" t="str">
            <v/>
          </cell>
          <cell r="Q934" t="str">
            <v/>
          </cell>
          <cell r="R934" t="e">
            <v>#N/A</v>
          </cell>
        </row>
        <row r="935">
          <cell r="A935" t="str">
            <v/>
          </cell>
          <cell r="B935" t="str">
            <v/>
          </cell>
          <cell r="C935" t="str">
            <v>Future</v>
          </cell>
          <cell r="D935" t="e">
            <v>#N/A</v>
          </cell>
          <cell r="E935">
            <v>-27.255396825397227</v>
          </cell>
          <cell r="F935">
            <v>69.728730158728823</v>
          </cell>
          <cell r="G935">
            <v>32.427142857141988</v>
          </cell>
          <cell r="H935">
            <v>32.427142857141988</v>
          </cell>
          <cell r="I935" t="e">
            <v>#N/A</v>
          </cell>
          <cell r="J935" t="e">
            <v>#N/A</v>
          </cell>
          <cell r="K935">
            <v>65</v>
          </cell>
          <cell r="L935">
            <v>40</v>
          </cell>
          <cell r="M935" t="e">
            <v>#N/A</v>
          </cell>
          <cell r="N935">
            <v>52</v>
          </cell>
          <cell r="O935" t="e">
            <v>#N/A</v>
          </cell>
          <cell r="P935" t="str">
            <v/>
          </cell>
          <cell r="Q935" t="str">
            <v/>
          </cell>
          <cell r="R935" t="e">
            <v>#N/A</v>
          </cell>
        </row>
        <row r="936">
          <cell r="A936" t="str">
            <v/>
          </cell>
          <cell r="B936" t="str">
            <v/>
          </cell>
          <cell r="C936" t="str">
            <v>Future</v>
          </cell>
          <cell r="D936" t="e">
            <v>#N/A</v>
          </cell>
          <cell r="E936">
            <v>-27.475198412698816</v>
          </cell>
          <cell r="F936">
            <v>69.76686507936374</v>
          </cell>
          <cell r="G936">
            <v>32.366071428570557</v>
          </cell>
          <cell r="H936">
            <v>32.366071428570557</v>
          </cell>
          <cell r="I936" t="e">
            <v>#N/A</v>
          </cell>
          <cell r="J936" t="e">
            <v>#N/A</v>
          </cell>
          <cell r="K936">
            <v>65</v>
          </cell>
          <cell r="L936">
            <v>40</v>
          </cell>
          <cell r="M936" t="e">
            <v>#N/A</v>
          </cell>
          <cell r="N936">
            <v>52</v>
          </cell>
          <cell r="O936" t="e">
            <v>#N/A</v>
          </cell>
          <cell r="P936" t="str">
            <v/>
          </cell>
          <cell r="Q936" t="str">
            <v/>
          </cell>
          <cell r="R936" t="e">
            <v>#N/A</v>
          </cell>
        </row>
        <row r="937">
          <cell r="A937" t="str">
            <v/>
          </cell>
          <cell r="B937" t="str">
            <v/>
          </cell>
          <cell r="C937" t="str">
            <v>Future</v>
          </cell>
          <cell r="D937" t="e">
            <v>#N/A</v>
          </cell>
          <cell r="E937">
            <v>-27.695000000000405</v>
          </cell>
          <cell r="F937">
            <v>69.804999999998657</v>
          </cell>
          <cell r="G937">
            <v>32.304999999999126</v>
          </cell>
          <cell r="H937">
            <v>32.304999999999126</v>
          </cell>
          <cell r="I937" t="e">
            <v>#N/A</v>
          </cell>
          <cell r="J937" t="e">
            <v>#N/A</v>
          </cell>
          <cell r="K937">
            <v>65</v>
          </cell>
          <cell r="L937">
            <v>40</v>
          </cell>
          <cell r="M937" t="e">
            <v>#N/A</v>
          </cell>
          <cell r="N937">
            <v>52</v>
          </cell>
          <cell r="O937" t="e">
            <v>#N/A</v>
          </cell>
          <cell r="P937" t="str">
            <v/>
          </cell>
          <cell r="Q937" t="str">
            <v/>
          </cell>
          <cell r="R937" t="e">
            <v>#N/A</v>
          </cell>
        </row>
        <row r="938">
          <cell r="A938" t="str">
            <v/>
          </cell>
          <cell r="B938" t="str">
            <v/>
          </cell>
          <cell r="C938" t="str">
            <v>Future</v>
          </cell>
          <cell r="D938" t="e">
            <v>#N/A</v>
          </cell>
          <cell r="E938">
            <v>-27.914801587301994</v>
          </cell>
          <cell r="F938">
            <v>69.843134920633574</v>
          </cell>
          <cell r="G938">
            <v>32.243928571427695</v>
          </cell>
          <cell r="H938">
            <v>32.243928571427695</v>
          </cell>
          <cell r="I938" t="e">
            <v>#N/A</v>
          </cell>
          <cell r="J938" t="e">
            <v>#N/A</v>
          </cell>
          <cell r="K938">
            <v>65</v>
          </cell>
          <cell r="L938">
            <v>40</v>
          </cell>
          <cell r="M938" t="e">
            <v>#N/A</v>
          </cell>
          <cell r="N938">
            <v>52</v>
          </cell>
          <cell r="O938" t="e">
            <v>#N/A</v>
          </cell>
          <cell r="P938" t="str">
            <v/>
          </cell>
          <cell r="Q938" t="str">
            <v/>
          </cell>
          <cell r="R938" t="e">
            <v>#N/A</v>
          </cell>
        </row>
        <row r="939">
          <cell r="A939" t="str">
            <v/>
          </cell>
          <cell r="B939" t="str">
            <v/>
          </cell>
          <cell r="C939" t="str">
            <v>Future</v>
          </cell>
          <cell r="D939" t="e">
            <v>#N/A</v>
          </cell>
          <cell r="E939">
            <v>-28.134603174603583</v>
          </cell>
          <cell r="F939">
            <v>69.881269841268491</v>
          </cell>
          <cell r="G939">
            <v>32.182857142856264</v>
          </cell>
          <cell r="H939">
            <v>32.182857142856264</v>
          </cell>
          <cell r="I939" t="e">
            <v>#N/A</v>
          </cell>
          <cell r="J939" t="e">
            <v>#N/A</v>
          </cell>
          <cell r="K939">
            <v>65</v>
          </cell>
          <cell r="L939">
            <v>40</v>
          </cell>
          <cell r="M939" t="e">
            <v>#N/A</v>
          </cell>
          <cell r="N939">
            <v>52</v>
          </cell>
          <cell r="O939" t="e">
            <v>#N/A</v>
          </cell>
          <cell r="P939" t="str">
            <v/>
          </cell>
          <cell r="Q939" t="str">
            <v/>
          </cell>
          <cell r="R939" t="e">
            <v>#N/A</v>
          </cell>
        </row>
        <row r="940">
          <cell r="A940" t="str">
            <v/>
          </cell>
          <cell r="B940" t="str">
            <v/>
          </cell>
          <cell r="C940" t="str">
            <v>Future</v>
          </cell>
          <cell r="D940" t="e">
            <v>#N/A</v>
          </cell>
          <cell r="E940">
            <v>-28.354404761905172</v>
          </cell>
          <cell r="F940">
            <v>69.919404761903408</v>
          </cell>
          <cell r="G940">
            <v>32.121785714284833</v>
          </cell>
          <cell r="H940">
            <v>32.121785714284833</v>
          </cell>
          <cell r="I940" t="e">
            <v>#N/A</v>
          </cell>
          <cell r="J940" t="e">
            <v>#N/A</v>
          </cell>
          <cell r="K940">
            <v>65</v>
          </cell>
          <cell r="L940">
            <v>40</v>
          </cell>
          <cell r="M940" t="e">
            <v>#N/A</v>
          </cell>
          <cell r="N940">
            <v>52</v>
          </cell>
          <cell r="O940" t="e">
            <v>#N/A</v>
          </cell>
          <cell r="P940" t="str">
            <v/>
          </cell>
          <cell r="Q940" t="str">
            <v/>
          </cell>
          <cell r="R940" t="e">
            <v>#N/A</v>
          </cell>
        </row>
        <row r="941">
          <cell r="A941" t="str">
            <v/>
          </cell>
          <cell r="B941" t="str">
            <v/>
          </cell>
          <cell r="C941" t="str">
            <v>Future</v>
          </cell>
          <cell r="D941" t="e">
            <v>#N/A</v>
          </cell>
          <cell r="E941">
            <v>-28.574206349206762</v>
          </cell>
          <cell r="F941">
            <v>69.957539682538325</v>
          </cell>
          <cell r="G941">
            <v>32.060714285713402</v>
          </cell>
          <cell r="H941">
            <v>32.060714285713402</v>
          </cell>
          <cell r="I941" t="e">
            <v>#N/A</v>
          </cell>
          <cell r="J941" t="e">
            <v>#N/A</v>
          </cell>
          <cell r="K941">
            <v>65</v>
          </cell>
          <cell r="L941">
            <v>40</v>
          </cell>
          <cell r="M941" t="e">
            <v>#N/A</v>
          </cell>
          <cell r="N941">
            <v>52</v>
          </cell>
          <cell r="O941" t="e">
            <v>#N/A</v>
          </cell>
          <cell r="P941" t="str">
            <v/>
          </cell>
          <cell r="Q941" t="str">
            <v/>
          </cell>
          <cell r="R941" t="e">
            <v>#N/A</v>
          </cell>
        </row>
        <row r="942">
          <cell r="A942" t="str">
            <v/>
          </cell>
          <cell r="B942" t="str">
            <v/>
          </cell>
          <cell r="C942" t="str">
            <v>Future</v>
          </cell>
          <cell r="D942" t="e">
            <v>#N/A</v>
          </cell>
          <cell r="E942">
            <v>-28.794007936508351</v>
          </cell>
          <cell r="F942">
            <v>69.995674603173242</v>
          </cell>
          <cell r="G942">
            <v>31.999642857141975</v>
          </cell>
          <cell r="H942">
            <v>31.999642857141975</v>
          </cell>
          <cell r="I942" t="e">
            <v>#N/A</v>
          </cell>
          <cell r="J942" t="e">
            <v>#N/A</v>
          </cell>
          <cell r="K942">
            <v>65</v>
          </cell>
          <cell r="L942">
            <v>40</v>
          </cell>
          <cell r="M942" t="e">
            <v>#N/A</v>
          </cell>
          <cell r="N942">
            <v>52</v>
          </cell>
          <cell r="O942" t="e">
            <v>#N/A</v>
          </cell>
          <cell r="P942" t="str">
            <v/>
          </cell>
          <cell r="Q942" t="str">
            <v/>
          </cell>
          <cell r="R942" t="e">
            <v>#N/A</v>
          </cell>
        </row>
        <row r="943">
          <cell r="A943" t="str">
            <v/>
          </cell>
          <cell r="B943" t="str">
            <v/>
          </cell>
          <cell r="C943" t="str">
            <v>Future</v>
          </cell>
          <cell r="D943" t="e">
            <v>#N/A</v>
          </cell>
          <cell r="E943">
            <v>-29.01380952380994</v>
          </cell>
          <cell r="F943">
            <v>70.033809523808159</v>
          </cell>
          <cell r="G943">
            <v>31.938571428570548</v>
          </cell>
          <cell r="H943">
            <v>31.938571428570548</v>
          </cell>
          <cell r="I943" t="e">
            <v>#N/A</v>
          </cell>
          <cell r="J943" t="e">
            <v>#N/A</v>
          </cell>
          <cell r="K943">
            <v>65</v>
          </cell>
          <cell r="L943">
            <v>40</v>
          </cell>
          <cell r="M943" t="e">
            <v>#N/A</v>
          </cell>
          <cell r="N943">
            <v>52</v>
          </cell>
          <cell r="O943" t="e">
            <v>#N/A</v>
          </cell>
          <cell r="P943" t="str">
            <v/>
          </cell>
          <cell r="Q943" t="str">
            <v/>
          </cell>
          <cell r="R943" t="e">
            <v>#N/A</v>
          </cell>
        </row>
        <row r="944">
          <cell r="A944" t="str">
            <v/>
          </cell>
          <cell r="B944" t="str">
            <v/>
          </cell>
          <cell r="C944" t="str">
            <v>Future</v>
          </cell>
          <cell r="D944" t="e">
            <v>#N/A</v>
          </cell>
          <cell r="E944">
            <v>-29.233611111111529</v>
          </cell>
          <cell r="F944">
            <v>70.071944444443076</v>
          </cell>
          <cell r="G944">
            <v>31.87749999999912</v>
          </cell>
          <cell r="H944">
            <v>31.87749999999912</v>
          </cell>
          <cell r="I944" t="e">
            <v>#N/A</v>
          </cell>
          <cell r="J944" t="e">
            <v>#N/A</v>
          </cell>
          <cell r="K944">
            <v>65</v>
          </cell>
          <cell r="L944">
            <v>40</v>
          </cell>
          <cell r="M944" t="e">
            <v>#N/A</v>
          </cell>
          <cell r="N944">
            <v>52</v>
          </cell>
          <cell r="O944" t="e">
            <v>#N/A</v>
          </cell>
          <cell r="P944" t="str">
            <v/>
          </cell>
          <cell r="Q944" t="str">
            <v/>
          </cell>
          <cell r="R944" t="e">
            <v>#N/A</v>
          </cell>
        </row>
        <row r="945">
          <cell r="A945" t="str">
            <v/>
          </cell>
          <cell r="B945" t="str">
            <v/>
          </cell>
          <cell r="C945" t="str">
            <v>Future</v>
          </cell>
          <cell r="D945" t="e">
            <v>#N/A</v>
          </cell>
          <cell r="E945">
            <v>-29.453412698413118</v>
          </cell>
          <cell r="F945">
            <v>70.110079365077993</v>
          </cell>
          <cell r="G945">
            <v>31.816428571427693</v>
          </cell>
          <cell r="H945">
            <v>31.816428571427693</v>
          </cell>
          <cell r="I945" t="e">
            <v>#N/A</v>
          </cell>
          <cell r="J945" t="e">
            <v>#N/A</v>
          </cell>
          <cell r="K945">
            <v>65</v>
          </cell>
          <cell r="L945">
            <v>40</v>
          </cell>
          <cell r="M945" t="e">
            <v>#N/A</v>
          </cell>
          <cell r="N945">
            <v>52</v>
          </cell>
          <cell r="O945" t="e">
            <v>#N/A</v>
          </cell>
          <cell r="P945" t="str">
            <v/>
          </cell>
          <cell r="Q945" t="str">
            <v/>
          </cell>
          <cell r="R945" t="e">
            <v>#N/A</v>
          </cell>
        </row>
        <row r="946">
          <cell r="A946" t="str">
            <v/>
          </cell>
          <cell r="B946" t="str">
            <v/>
          </cell>
          <cell r="C946" t="str">
            <v>Future</v>
          </cell>
          <cell r="D946" t="e">
            <v>#N/A</v>
          </cell>
          <cell r="E946">
            <v>-29.673214285714707</v>
          </cell>
          <cell r="F946">
            <v>70.148214285712911</v>
          </cell>
          <cell r="G946">
            <v>31.755357142856266</v>
          </cell>
          <cell r="H946">
            <v>31.755357142856266</v>
          </cell>
          <cell r="I946" t="e">
            <v>#N/A</v>
          </cell>
          <cell r="J946" t="e">
            <v>#N/A</v>
          </cell>
          <cell r="K946">
            <v>65</v>
          </cell>
          <cell r="L946">
            <v>40</v>
          </cell>
          <cell r="M946" t="e">
            <v>#N/A</v>
          </cell>
          <cell r="N946">
            <v>52</v>
          </cell>
          <cell r="O946" t="e">
            <v>#N/A</v>
          </cell>
          <cell r="P946" t="str">
            <v/>
          </cell>
          <cell r="Q946" t="str">
            <v/>
          </cell>
          <cell r="R946" t="e">
            <v>#N/A</v>
          </cell>
        </row>
        <row r="947">
          <cell r="A947" t="str">
            <v/>
          </cell>
          <cell r="B947" t="str">
            <v/>
          </cell>
          <cell r="C947" t="str">
            <v>Future</v>
          </cell>
          <cell r="D947" t="e">
            <v>#N/A</v>
          </cell>
          <cell r="E947">
            <v>-29.893015873016296</v>
          </cell>
          <cell r="F947">
            <v>70.186349206347828</v>
          </cell>
          <cell r="G947">
            <v>31.694285714284838</v>
          </cell>
          <cell r="H947">
            <v>31.694285714284838</v>
          </cell>
          <cell r="I947" t="e">
            <v>#N/A</v>
          </cell>
          <cell r="J947" t="e">
            <v>#N/A</v>
          </cell>
          <cell r="K947">
            <v>65</v>
          </cell>
          <cell r="L947">
            <v>40</v>
          </cell>
          <cell r="M947" t="e">
            <v>#N/A</v>
          </cell>
          <cell r="N947">
            <v>52</v>
          </cell>
          <cell r="O947" t="e">
            <v>#N/A</v>
          </cell>
          <cell r="P947" t="str">
            <v/>
          </cell>
          <cell r="Q947" t="str">
            <v/>
          </cell>
          <cell r="R947" t="e">
            <v>#N/A</v>
          </cell>
        </row>
        <row r="948">
          <cell r="A948" t="str">
            <v/>
          </cell>
          <cell r="B948" t="str">
            <v/>
          </cell>
          <cell r="C948" t="str">
            <v>Future</v>
          </cell>
          <cell r="D948" t="e">
            <v>#N/A</v>
          </cell>
          <cell r="E948">
            <v>-30.112817460317885</v>
          </cell>
          <cell r="F948">
            <v>70.224484126982745</v>
          </cell>
          <cell r="G948">
            <v>31.633214285713411</v>
          </cell>
          <cell r="H948">
            <v>31.633214285713411</v>
          </cell>
          <cell r="I948" t="e">
            <v>#N/A</v>
          </cell>
          <cell r="J948" t="e">
            <v>#N/A</v>
          </cell>
          <cell r="K948">
            <v>65</v>
          </cell>
          <cell r="L948">
            <v>40</v>
          </cell>
          <cell r="M948" t="e">
            <v>#N/A</v>
          </cell>
          <cell r="N948">
            <v>52</v>
          </cell>
          <cell r="O948" t="e">
            <v>#N/A</v>
          </cell>
          <cell r="P948" t="str">
            <v/>
          </cell>
          <cell r="Q948" t="str">
            <v/>
          </cell>
          <cell r="R948" t="e">
            <v>#N/A</v>
          </cell>
        </row>
        <row r="949">
          <cell r="A949" t="str">
            <v/>
          </cell>
          <cell r="B949" t="str">
            <v/>
          </cell>
          <cell r="C949" t="str">
            <v>Future</v>
          </cell>
          <cell r="D949" t="e">
            <v>#N/A</v>
          </cell>
          <cell r="E949">
            <v>-30.332619047619474</v>
          </cell>
          <cell r="F949">
            <v>70.262619047617662</v>
          </cell>
          <cell r="G949">
            <v>31.572142857141984</v>
          </cell>
          <cell r="H949">
            <v>31.572142857141984</v>
          </cell>
          <cell r="I949" t="e">
            <v>#N/A</v>
          </cell>
          <cell r="J949" t="e">
            <v>#N/A</v>
          </cell>
          <cell r="K949">
            <v>65</v>
          </cell>
          <cell r="L949">
            <v>40</v>
          </cell>
          <cell r="M949" t="e">
            <v>#N/A</v>
          </cell>
          <cell r="N949">
            <v>52</v>
          </cell>
          <cell r="O949" t="e">
            <v>#N/A</v>
          </cell>
          <cell r="P949" t="str">
            <v/>
          </cell>
          <cell r="Q949" t="str">
            <v/>
          </cell>
          <cell r="R949" t="e">
            <v>#N/A</v>
          </cell>
        </row>
        <row r="950">
          <cell r="A950" t="str">
            <v/>
          </cell>
          <cell r="B950" t="str">
            <v/>
          </cell>
          <cell r="C950" t="str">
            <v>Future</v>
          </cell>
          <cell r="D950" t="e">
            <v>#N/A</v>
          </cell>
          <cell r="E950">
            <v>-30.552420634921063</v>
          </cell>
          <cell r="F950">
            <v>70.300753968252579</v>
          </cell>
          <cell r="G950">
            <v>31.511071428570556</v>
          </cell>
          <cell r="H950">
            <v>31.511071428570556</v>
          </cell>
          <cell r="I950" t="e">
            <v>#N/A</v>
          </cell>
          <cell r="J950" t="e">
            <v>#N/A</v>
          </cell>
          <cell r="K950">
            <v>65</v>
          </cell>
          <cell r="L950">
            <v>40</v>
          </cell>
          <cell r="M950" t="e">
            <v>#N/A</v>
          </cell>
          <cell r="N950">
            <v>52</v>
          </cell>
          <cell r="O950" t="e">
            <v>#N/A</v>
          </cell>
          <cell r="P950" t="str">
            <v/>
          </cell>
          <cell r="Q950" t="str">
            <v/>
          </cell>
          <cell r="R950" t="e">
            <v>#N/A</v>
          </cell>
        </row>
        <row r="951">
          <cell r="A951" t="str">
            <v/>
          </cell>
          <cell r="B951" t="str">
            <v/>
          </cell>
          <cell r="C951" t="str">
            <v>Future</v>
          </cell>
          <cell r="D951" t="e">
            <v>#N/A</v>
          </cell>
          <cell r="E951">
            <v>-30.772222222222652</v>
          </cell>
          <cell r="F951">
            <v>70.338888888887496</v>
          </cell>
          <cell r="G951">
            <v>31.449999999999129</v>
          </cell>
          <cell r="H951">
            <v>31.449999999999129</v>
          </cell>
          <cell r="I951" t="e">
            <v>#N/A</v>
          </cell>
          <cell r="J951" t="e">
            <v>#N/A</v>
          </cell>
          <cell r="K951">
            <v>65</v>
          </cell>
          <cell r="L951">
            <v>40</v>
          </cell>
          <cell r="M951" t="e">
            <v>#N/A</v>
          </cell>
          <cell r="N951">
            <v>52</v>
          </cell>
          <cell r="O951" t="e">
            <v>#N/A</v>
          </cell>
          <cell r="P951" t="str">
            <v/>
          </cell>
          <cell r="Q951" t="str">
            <v/>
          </cell>
          <cell r="R951" t="e">
            <v>#N/A</v>
          </cell>
        </row>
        <row r="952">
          <cell r="A952" t="str">
            <v/>
          </cell>
          <cell r="B952" t="str">
            <v/>
          </cell>
          <cell r="C952" t="str">
            <v>Future</v>
          </cell>
          <cell r="D952" t="e">
            <v>#N/A</v>
          </cell>
          <cell r="E952">
            <v>-30.992023809524241</v>
          </cell>
          <cell r="F952">
            <v>70.377023809522413</v>
          </cell>
          <cell r="G952">
            <v>31.388928571427702</v>
          </cell>
          <cell r="H952">
            <v>31.388928571427702</v>
          </cell>
          <cell r="I952" t="e">
            <v>#N/A</v>
          </cell>
          <cell r="J952" t="e">
            <v>#N/A</v>
          </cell>
          <cell r="K952">
            <v>65</v>
          </cell>
          <cell r="L952">
            <v>40</v>
          </cell>
          <cell r="M952" t="e">
            <v>#N/A</v>
          </cell>
          <cell r="N952">
            <v>52</v>
          </cell>
          <cell r="O952" t="e">
            <v>#N/A</v>
          </cell>
          <cell r="P952" t="str">
            <v/>
          </cell>
          <cell r="Q952" t="str">
            <v/>
          </cell>
          <cell r="R952" t="e">
            <v>#N/A</v>
          </cell>
        </row>
        <row r="953">
          <cell r="A953" t="str">
            <v/>
          </cell>
          <cell r="B953" t="str">
            <v/>
          </cell>
          <cell r="C953" t="str">
            <v>Future</v>
          </cell>
          <cell r="D953" t="e">
            <v>#N/A</v>
          </cell>
          <cell r="E953">
            <v>-31.21182539682583</v>
          </cell>
          <cell r="F953">
            <v>70.41515873015733</v>
          </cell>
          <cell r="G953">
            <v>31.327857142856274</v>
          </cell>
          <cell r="H953">
            <v>31.327857142856274</v>
          </cell>
          <cell r="I953" t="e">
            <v>#N/A</v>
          </cell>
          <cell r="J953" t="e">
            <v>#N/A</v>
          </cell>
          <cell r="K953">
            <v>65</v>
          </cell>
          <cell r="L953">
            <v>40</v>
          </cell>
          <cell r="M953" t="e">
            <v>#N/A</v>
          </cell>
          <cell r="N953">
            <v>52</v>
          </cell>
          <cell r="O953" t="e">
            <v>#N/A</v>
          </cell>
          <cell r="P953" t="str">
            <v/>
          </cell>
          <cell r="Q953" t="str">
            <v/>
          </cell>
          <cell r="R953" t="e">
            <v>#N/A</v>
          </cell>
        </row>
        <row r="954">
          <cell r="A954" t="str">
            <v/>
          </cell>
          <cell r="B954" t="str">
            <v/>
          </cell>
          <cell r="C954" t="str">
            <v>Future</v>
          </cell>
          <cell r="D954" t="e">
            <v>#N/A</v>
          </cell>
          <cell r="E954">
            <v>-31.431626984127419</v>
          </cell>
          <cell r="F954">
            <v>70.453293650792247</v>
          </cell>
          <cell r="G954">
            <v>31.266785714284847</v>
          </cell>
          <cell r="H954">
            <v>31.266785714284847</v>
          </cell>
          <cell r="I954" t="e">
            <v>#N/A</v>
          </cell>
          <cell r="J954" t="e">
            <v>#N/A</v>
          </cell>
          <cell r="K954">
            <v>65</v>
          </cell>
          <cell r="L954">
            <v>40</v>
          </cell>
          <cell r="M954" t="e">
            <v>#N/A</v>
          </cell>
          <cell r="N954">
            <v>52</v>
          </cell>
          <cell r="O954" t="e">
            <v>#N/A</v>
          </cell>
          <cell r="P954" t="str">
            <v/>
          </cell>
          <cell r="Q954" t="str">
            <v/>
          </cell>
          <cell r="R954" t="e">
            <v>#N/A</v>
          </cell>
        </row>
        <row r="955">
          <cell r="A955" t="str">
            <v/>
          </cell>
          <cell r="B955" t="str">
            <v/>
          </cell>
          <cell r="C955" t="str">
            <v>Future</v>
          </cell>
          <cell r="D955" t="e">
            <v>#N/A</v>
          </cell>
          <cell r="E955">
            <v>-31.651428571429008</v>
          </cell>
          <cell r="F955">
            <v>70.491428571427164</v>
          </cell>
          <cell r="G955">
            <v>31.20571428571342</v>
          </cell>
          <cell r="H955">
            <v>31.20571428571342</v>
          </cell>
          <cell r="I955" t="e">
            <v>#N/A</v>
          </cell>
          <cell r="J955" t="e">
            <v>#N/A</v>
          </cell>
          <cell r="K955">
            <v>65</v>
          </cell>
          <cell r="L955">
            <v>40</v>
          </cell>
          <cell r="M955" t="e">
            <v>#N/A</v>
          </cell>
          <cell r="N955">
            <v>52</v>
          </cell>
          <cell r="O955" t="e">
            <v>#N/A</v>
          </cell>
          <cell r="P955" t="str">
            <v/>
          </cell>
          <cell r="Q955" t="str">
            <v/>
          </cell>
          <cell r="R955" t="e">
            <v>#N/A</v>
          </cell>
        </row>
        <row r="956">
          <cell r="A956" t="str">
            <v/>
          </cell>
          <cell r="B956" t="str">
            <v/>
          </cell>
          <cell r="C956" t="str">
            <v>Future</v>
          </cell>
          <cell r="D956" t="e">
            <v>#N/A</v>
          </cell>
          <cell r="E956">
            <v>-31.871230158730597</v>
          </cell>
          <cell r="F956">
            <v>70.529563492062081</v>
          </cell>
          <cell r="G956">
            <v>31.144642857141992</v>
          </cell>
          <cell r="H956">
            <v>31.144642857141992</v>
          </cell>
          <cell r="I956" t="e">
            <v>#N/A</v>
          </cell>
          <cell r="J956" t="e">
            <v>#N/A</v>
          </cell>
          <cell r="K956">
            <v>65</v>
          </cell>
          <cell r="L956">
            <v>40</v>
          </cell>
          <cell r="M956" t="e">
            <v>#N/A</v>
          </cell>
          <cell r="N956">
            <v>52</v>
          </cell>
          <cell r="O956" t="e">
            <v>#N/A</v>
          </cell>
          <cell r="P956" t="str">
            <v/>
          </cell>
          <cell r="Q956" t="str">
            <v/>
          </cell>
          <cell r="R956" t="e">
            <v>#N/A</v>
          </cell>
        </row>
        <row r="957">
          <cell r="A957" t="str">
            <v/>
          </cell>
          <cell r="B957" t="str">
            <v/>
          </cell>
          <cell r="C957" t="str">
            <v>Future</v>
          </cell>
          <cell r="D957" t="e">
            <v>#N/A</v>
          </cell>
          <cell r="E957">
            <v>-32.091031746032186</v>
          </cell>
          <cell r="F957">
            <v>70.567698412696998</v>
          </cell>
          <cell r="G957">
            <v>31.083571428570565</v>
          </cell>
          <cell r="H957">
            <v>31.083571428570565</v>
          </cell>
          <cell r="I957" t="e">
            <v>#N/A</v>
          </cell>
          <cell r="J957" t="e">
            <v>#N/A</v>
          </cell>
          <cell r="K957">
            <v>65</v>
          </cell>
          <cell r="L957">
            <v>40</v>
          </cell>
          <cell r="M957" t="e">
            <v>#N/A</v>
          </cell>
          <cell r="N957">
            <v>52</v>
          </cell>
          <cell r="O957" t="e">
            <v>#N/A</v>
          </cell>
          <cell r="P957" t="str">
            <v/>
          </cell>
          <cell r="Q957" t="str">
            <v/>
          </cell>
          <cell r="R957" t="e">
            <v>#N/A</v>
          </cell>
        </row>
        <row r="958">
          <cell r="A958" t="str">
            <v/>
          </cell>
          <cell r="B958" t="str">
            <v/>
          </cell>
          <cell r="C958" t="str">
            <v>Future</v>
          </cell>
          <cell r="D958" t="e">
            <v>#N/A</v>
          </cell>
          <cell r="E958">
            <v>-32.310833333333775</v>
          </cell>
          <cell r="F958">
            <v>70.605833333331915</v>
          </cell>
          <cell r="G958">
            <v>31.022499999999138</v>
          </cell>
          <cell r="H958">
            <v>31.022499999999138</v>
          </cell>
          <cell r="I958" t="e">
            <v>#N/A</v>
          </cell>
          <cell r="J958" t="e">
            <v>#N/A</v>
          </cell>
          <cell r="K958">
            <v>65</v>
          </cell>
          <cell r="L958">
            <v>40</v>
          </cell>
          <cell r="M958" t="e">
            <v>#N/A</v>
          </cell>
          <cell r="N958">
            <v>52</v>
          </cell>
          <cell r="O958" t="e">
            <v>#N/A</v>
          </cell>
          <cell r="P958" t="str">
            <v/>
          </cell>
          <cell r="Q958" t="str">
            <v/>
          </cell>
          <cell r="R958" t="e">
            <v>#N/A</v>
          </cell>
        </row>
        <row r="959">
          <cell r="A959" t="str">
            <v/>
          </cell>
          <cell r="B959" t="str">
            <v/>
          </cell>
          <cell r="C959" t="str">
            <v>Future</v>
          </cell>
          <cell r="D959" t="e">
            <v>#N/A</v>
          </cell>
          <cell r="E959">
            <v>-32.530634920635364</v>
          </cell>
          <cell r="F959">
            <v>70.643968253966833</v>
          </cell>
          <cell r="G959">
            <v>30.96142857142771</v>
          </cell>
          <cell r="H959">
            <v>30.96142857142771</v>
          </cell>
          <cell r="I959" t="e">
            <v>#N/A</v>
          </cell>
          <cell r="J959" t="e">
            <v>#N/A</v>
          </cell>
          <cell r="K959">
            <v>65</v>
          </cell>
          <cell r="L959">
            <v>40</v>
          </cell>
          <cell r="M959" t="e">
            <v>#N/A</v>
          </cell>
          <cell r="N959">
            <v>52</v>
          </cell>
          <cell r="O959" t="e">
            <v>#N/A</v>
          </cell>
          <cell r="P959" t="str">
            <v/>
          </cell>
          <cell r="Q959" t="str">
            <v/>
          </cell>
          <cell r="R959" t="e">
            <v>#N/A</v>
          </cell>
        </row>
        <row r="960">
          <cell r="A960" t="str">
            <v/>
          </cell>
          <cell r="B960" t="str">
            <v/>
          </cell>
          <cell r="C960" t="str">
            <v>Future</v>
          </cell>
          <cell r="D960" t="e">
            <v>#N/A</v>
          </cell>
          <cell r="E960">
            <v>-32.750436507936953</v>
          </cell>
          <cell r="F960">
            <v>70.68210317460175</v>
          </cell>
          <cell r="G960">
            <v>30.900357142856283</v>
          </cell>
          <cell r="H960">
            <v>30.900357142856283</v>
          </cell>
          <cell r="I960" t="e">
            <v>#N/A</v>
          </cell>
          <cell r="J960" t="e">
            <v>#N/A</v>
          </cell>
          <cell r="K960">
            <v>65</v>
          </cell>
          <cell r="L960">
            <v>40</v>
          </cell>
          <cell r="M960" t="e">
            <v>#N/A</v>
          </cell>
          <cell r="N960">
            <v>52</v>
          </cell>
          <cell r="O960" t="e">
            <v>#N/A</v>
          </cell>
          <cell r="P960" t="str">
            <v/>
          </cell>
          <cell r="Q960" t="str">
            <v/>
          </cell>
          <cell r="R960" t="e">
            <v>#N/A</v>
          </cell>
        </row>
        <row r="961">
          <cell r="A961" t="str">
            <v/>
          </cell>
          <cell r="B961" t="str">
            <v/>
          </cell>
          <cell r="C961" t="str">
            <v>Future</v>
          </cell>
          <cell r="D961" t="e">
            <v>#N/A</v>
          </cell>
          <cell r="E961">
            <v>-32.970238095238543</v>
          </cell>
          <cell r="F961">
            <v>70.720238095236667</v>
          </cell>
          <cell r="G961">
            <v>30.839285714284856</v>
          </cell>
          <cell r="H961">
            <v>30.839285714284856</v>
          </cell>
          <cell r="I961" t="e">
            <v>#N/A</v>
          </cell>
          <cell r="J961" t="e">
            <v>#N/A</v>
          </cell>
          <cell r="K961">
            <v>65</v>
          </cell>
          <cell r="L961">
            <v>40</v>
          </cell>
          <cell r="M961" t="e">
            <v>#N/A</v>
          </cell>
          <cell r="N961">
            <v>52</v>
          </cell>
          <cell r="O961" t="e">
            <v>#N/A</v>
          </cell>
          <cell r="P961" t="str">
            <v/>
          </cell>
          <cell r="Q961" t="str">
            <v/>
          </cell>
          <cell r="R961" t="e">
            <v>#N/A</v>
          </cell>
        </row>
        <row r="962">
          <cell r="A962" t="str">
            <v/>
          </cell>
          <cell r="B962" t="str">
            <v/>
          </cell>
          <cell r="C962" t="str">
            <v>Future</v>
          </cell>
          <cell r="D962" t="e">
            <v>#N/A</v>
          </cell>
          <cell r="E962">
            <v>-33.190039682540132</v>
          </cell>
          <cell r="F962">
            <v>70.758373015871584</v>
          </cell>
          <cell r="G962">
            <v>30.778214285713428</v>
          </cell>
          <cell r="H962">
            <v>30.778214285713428</v>
          </cell>
          <cell r="I962" t="e">
            <v>#N/A</v>
          </cell>
          <cell r="J962" t="e">
            <v>#N/A</v>
          </cell>
          <cell r="K962">
            <v>65</v>
          </cell>
          <cell r="L962">
            <v>40</v>
          </cell>
          <cell r="M962" t="e">
            <v>#N/A</v>
          </cell>
          <cell r="N962">
            <v>52</v>
          </cell>
          <cell r="O962" t="e">
            <v>#N/A</v>
          </cell>
          <cell r="P962" t="str">
            <v/>
          </cell>
          <cell r="Q962" t="str">
            <v/>
          </cell>
          <cell r="R962" t="e">
            <v>#N/A</v>
          </cell>
        </row>
        <row r="963">
          <cell r="A963" t="str">
            <v/>
          </cell>
          <cell r="B963" t="str">
            <v/>
          </cell>
          <cell r="C963" t="str">
            <v>Future</v>
          </cell>
          <cell r="D963" t="e">
            <v>#N/A</v>
          </cell>
          <cell r="E963">
            <v>-33.409841269841721</v>
          </cell>
          <cell r="F963">
            <v>70.796507936506501</v>
          </cell>
          <cell r="G963">
            <v>30.717142857142001</v>
          </cell>
          <cell r="H963">
            <v>30.717142857142001</v>
          </cell>
          <cell r="I963" t="e">
            <v>#N/A</v>
          </cell>
          <cell r="J963" t="e">
            <v>#N/A</v>
          </cell>
          <cell r="K963">
            <v>65</v>
          </cell>
          <cell r="L963">
            <v>40</v>
          </cell>
          <cell r="M963" t="e">
            <v>#N/A</v>
          </cell>
          <cell r="N963">
            <v>52</v>
          </cell>
          <cell r="O963" t="e">
            <v>#N/A</v>
          </cell>
          <cell r="P963" t="str">
            <v/>
          </cell>
          <cell r="Q963" t="str">
            <v/>
          </cell>
          <cell r="R963" t="e">
            <v>#N/A</v>
          </cell>
        </row>
        <row r="964">
          <cell r="A964" t="str">
            <v/>
          </cell>
          <cell r="B964" t="str">
            <v/>
          </cell>
          <cell r="C964" t="str">
            <v>Future</v>
          </cell>
          <cell r="D964" t="e">
            <v>#N/A</v>
          </cell>
          <cell r="E964">
            <v>-33.62964285714331</v>
          </cell>
          <cell r="F964">
            <v>70.834642857141418</v>
          </cell>
          <cell r="G964">
            <v>30.656071428570574</v>
          </cell>
          <cell r="H964">
            <v>30.656071428570574</v>
          </cell>
          <cell r="I964" t="e">
            <v>#N/A</v>
          </cell>
          <cell r="J964" t="e">
            <v>#N/A</v>
          </cell>
          <cell r="K964">
            <v>65</v>
          </cell>
          <cell r="L964">
            <v>40</v>
          </cell>
          <cell r="M964" t="e">
            <v>#N/A</v>
          </cell>
          <cell r="N964">
            <v>52</v>
          </cell>
          <cell r="O964" t="e">
            <v>#N/A</v>
          </cell>
          <cell r="P964" t="str">
            <v/>
          </cell>
          <cell r="Q964" t="str">
            <v/>
          </cell>
          <cell r="R964" t="e">
            <v>#N/A</v>
          </cell>
        </row>
        <row r="965">
          <cell r="A965" t="str">
            <v/>
          </cell>
          <cell r="B965" t="str">
            <v/>
          </cell>
          <cell r="C965" t="str">
            <v>Future</v>
          </cell>
          <cell r="D965" t="e">
            <v>#N/A</v>
          </cell>
          <cell r="E965">
            <v>-33.849444444444899</v>
          </cell>
          <cell r="F965">
            <v>70.872777777776335</v>
          </cell>
          <cell r="G965">
            <v>30.594999999999146</v>
          </cell>
          <cell r="H965">
            <v>30.594999999999146</v>
          </cell>
          <cell r="I965" t="e">
            <v>#N/A</v>
          </cell>
          <cell r="J965" t="e">
            <v>#N/A</v>
          </cell>
          <cell r="K965">
            <v>65</v>
          </cell>
          <cell r="L965">
            <v>40</v>
          </cell>
          <cell r="M965" t="e">
            <v>#N/A</v>
          </cell>
          <cell r="N965">
            <v>52</v>
          </cell>
          <cell r="O965" t="e">
            <v>#N/A</v>
          </cell>
          <cell r="P965" t="str">
            <v/>
          </cell>
          <cell r="Q965" t="str">
            <v/>
          </cell>
          <cell r="R965" t="e">
            <v>#N/A</v>
          </cell>
        </row>
        <row r="966">
          <cell r="A966" t="str">
            <v/>
          </cell>
          <cell r="B966" t="str">
            <v/>
          </cell>
          <cell r="C966" t="str">
            <v>Future</v>
          </cell>
          <cell r="D966" t="e">
            <v>#N/A</v>
          </cell>
          <cell r="E966">
            <v>-34.069246031746488</v>
          </cell>
          <cell r="F966">
            <v>70.910912698411252</v>
          </cell>
          <cell r="G966">
            <v>30.533928571427719</v>
          </cell>
          <cell r="H966">
            <v>30.533928571427719</v>
          </cell>
          <cell r="I966" t="e">
            <v>#N/A</v>
          </cell>
          <cell r="J966" t="e">
            <v>#N/A</v>
          </cell>
          <cell r="K966">
            <v>65</v>
          </cell>
          <cell r="L966">
            <v>40</v>
          </cell>
          <cell r="M966" t="e">
            <v>#N/A</v>
          </cell>
          <cell r="N966">
            <v>52</v>
          </cell>
          <cell r="O966" t="e">
            <v>#N/A</v>
          </cell>
          <cell r="P966" t="str">
            <v/>
          </cell>
          <cell r="Q966" t="str">
            <v/>
          </cell>
          <cell r="R966" t="e">
            <v>#N/A</v>
          </cell>
        </row>
        <row r="967">
          <cell r="A967" t="str">
            <v/>
          </cell>
          <cell r="B967" t="str">
            <v/>
          </cell>
          <cell r="C967" t="str">
            <v>Future</v>
          </cell>
          <cell r="D967" t="e">
            <v>#N/A</v>
          </cell>
          <cell r="E967">
            <v>-34.289047619048077</v>
          </cell>
          <cell r="F967">
            <v>70.949047619046169</v>
          </cell>
          <cell r="G967">
            <v>30.472857142856292</v>
          </cell>
          <cell r="H967">
            <v>30.472857142856292</v>
          </cell>
          <cell r="I967" t="e">
            <v>#N/A</v>
          </cell>
          <cell r="J967" t="e">
            <v>#N/A</v>
          </cell>
          <cell r="K967">
            <v>65</v>
          </cell>
          <cell r="L967">
            <v>40</v>
          </cell>
          <cell r="M967" t="e">
            <v>#N/A</v>
          </cell>
          <cell r="N967">
            <v>52</v>
          </cell>
          <cell r="O967" t="e">
            <v>#N/A</v>
          </cell>
          <cell r="P967" t="str">
            <v/>
          </cell>
          <cell r="Q967" t="str">
            <v/>
          </cell>
          <cell r="R967" t="e">
            <v>#N/A</v>
          </cell>
        </row>
        <row r="968">
          <cell r="A968" t="str">
            <v/>
          </cell>
          <cell r="B968" t="str">
            <v/>
          </cell>
          <cell r="C968" t="str">
            <v>Future</v>
          </cell>
          <cell r="D968" t="e">
            <v>#N/A</v>
          </cell>
          <cell r="E968">
            <v>-34.508849206349666</v>
          </cell>
          <cell r="F968">
            <v>70.987182539681086</v>
          </cell>
          <cell r="G968">
            <v>30.411785714284864</v>
          </cell>
          <cell r="H968">
            <v>30.411785714284864</v>
          </cell>
          <cell r="I968" t="e">
            <v>#N/A</v>
          </cell>
          <cell r="J968" t="e">
            <v>#N/A</v>
          </cell>
          <cell r="K968">
            <v>65</v>
          </cell>
          <cell r="L968">
            <v>40</v>
          </cell>
          <cell r="M968" t="e">
            <v>#N/A</v>
          </cell>
          <cell r="N968">
            <v>52</v>
          </cell>
          <cell r="O968" t="e">
            <v>#N/A</v>
          </cell>
          <cell r="P968" t="str">
            <v/>
          </cell>
          <cell r="Q968" t="str">
            <v/>
          </cell>
          <cell r="R968" t="e">
            <v>#N/A</v>
          </cell>
        </row>
        <row r="969">
          <cell r="A969" t="str">
            <v/>
          </cell>
          <cell r="B969" t="str">
            <v/>
          </cell>
          <cell r="C969" t="str">
            <v>Future</v>
          </cell>
          <cell r="D969" t="e">
            <v>#N/A</v>
          </cell>
          <cell r="E969">
            <v>-34.728650793651255</v>
          </cell>
          <cell r="F969">
            <v>71.025317460316003</v>
          </cell>
          <cell r="G969">
            <v>30.350714285713437</v>
          </cell>
          <cell r="H969">
            <v>30.350714285713437</v>
          </cell>
          <cell r="I969" t="e">
            <v>#N/A</v>
          </cell>
          <cell r="J969" t="e">
            <v>#N/A</v>
          </cell>
          <cell r="K969">
            <v>65</v>
          </cell>
          <cell r="L969">
            <v>40</v>
          </cell>
          <cell r="M969" t="e">
            <v>#N/A</v>
          </cell>
          <cell r="N969">
            <v>52</v>
          </cell>
          <cell r="O969" t="e">
            <v>#N/A</v>
          </cell>
          <cell r="P969" t="str">
            <v/>
          </cell>
          <cell r="Q969" t="str">
            <v/>
          </cell>
          <cell r="R969" t="e">
            <v>#N/A</v>
          </cell>
        </row>
        <row r="970">
          <cell r="A970" t="str">
            <v/>
          </cell>
          <cell r="B970" t="str">
            <v/>
          </cell>
          <cell r="C970" t="str">
            <v>Future</v>
          </cell>
          <cell r="D970" t="e">
            <v>#N/A</v>
          </cell>
          <cell r="E970">
            <v>-34.948452380952844</v>
          </cell>
          <cell r="F970">
            <v>71.06345238095092</v>
          </cell>
          <cell r="G970">
            <v>30.28964285714201</v>
          </cell>
          <cell r="H970">
            <v>30.28964285714201</v>
          </cell>
          <cell r="I970" t="e">
            <v>#N/A</v>
          </cell>
          <cell r="J970" t="e">
            <v>#N/A</v>
          </cell>
          <cell r="K970">
            <v>65</v>
          </cell>
          <cell r="L970">
            <v>40</v>
          </cell>
          <cell r="M970" t="e">
            <v>#N/A</v>
          </cell>
          <cell r="N970">
            <v>52</v>
          </cell>
          <cell r="O970" t="e">
            <v>#N/A</v>
          </cell>
          <cell r="P970" t="str">
            <v/>
          </cell>
          <cell r="Q970" t="str">
            <v/>
          </cell>
          <cell r="R970" t="e">
            <v>#N/A</v>
          </cell>
        </row>
        <row r="971">
          <cell r="A971" t="str">
            <v/>
          </cell>
          <cell r="B971" t="str">
            <v/>
          </cell>
          <cell r="C971" t="str">
            <v>Future</v>
          </cell>
          <cell r="D971" t="e">
            <v>#N/A</v>
          </cell>
          <cell r="E971">
            <v>-35.168253968254433</v>
          </cell>
          <cell r="F971">
            <v>71.101587301585838</v>
          </cell>
          <cell r="G971">
            <v>30.228571428570582</v>
          </cell>
          <cell r="H971">
            <v>30.228571428570582</v>
          </cell>
          <cell r="I971" t="e">
            <v>#N/A</v>
          </cell>
          <cell r="J971" t="e">
            <v>#N/A</v>
          </cell>
          <cell r="K971">
            <v>65</v>
          </cell>
          <cell r="L971">
            <v>40</v>
          </cell>
          <cell r="M971" t="e">
            <v>#N/A</v>
          </cell>
          <cell r="N971">
            <v>52</v>
          </cell>
          <cell r="O971" t="e">
            <v>#N/A</v>
          </cell>
          <cell r="P971" t="str">
            <v/>
          </cell>
          <cell r="Q971" t="str">
            <v/>
          </cell>
          <cell r="R971" t="e">
            <v>#N/A</v>
          </cell>
        </row>
        <row r="972">
          <cell r="A972" t="str">
            <v/>
          </cell>
          <cell r="B972" t="str">
            <v/>
          </cell>
          <cell r="C972" t="str">
            <v>Future</v>
          </cell>
          <cell r="D972" t="e">
            <v>#N/A</v>
          </cell>
          <cell r="E972">
            <v>-35.388055555556022</v>
          </cell>
          <cell r="F972">
            <v>71.139722222220755</v>
          </cell>
          <cell r="G972">
            <v>30.167499999999155</v>
          </cell>
          <cell r="H972">
            <v>30.167499999999155</v>
          </cell>
          <cell r="I972" t="e">
            <v>#N/A</v>
          </cell>
          <cell r="J972" t="e">
            <v>#N/A</v>
          </cell>
          <cell r="K972">
            <v>65</v>
          </cell>
          <cell r="L972">
            <v>40</v>
          </cell>
          <cell r="M972" t="e">
            <v>#N/A</v>
          </cell>
          <cell r="N972">
            <v>52</v>
          </cell>
          <cell r="O972" t="e">
            <v>#N/A</v>
          </cell>
          <cell r="P972" t="str">
            <v/>
          </cell>
          <cell r="Q972" t="str">
            <v/>
          </cell>
          <cell r="R972" t="e">
            <v>#N/A</v>
          </cell>
        </row>
        <row r="973">
          <cell r="A973" t="str">
            <v/>
          </cell>
          <cell r="B973" t="str">
            <v/>
          </cell>
          <cell r="C973" t="str">
            <v>Future</v>
          </cell>
          <cell r="D973" t="e">
            <v>#N/A</v>
          </cell>
          <cell r="E973">
            <v>-35.607857142857611</v>
          </cell>
          <cell r="F973">
            <v>71.177857142855672</v>
          </cell>
          <cell r="G973">
            <v>30.106428571427728</v>
          </cell>
          <cell r="H973">
            <v>30.106428571427728</v>
          </cell>
          <cell r="I973" t="e">
            <v>#N/A</v>
          </cell>
          <cell r="J973" t="e">
            <v>#N/A</v>
          </cell>
          <cell r="K973">
            <v>65</v>
          </cell>
          <cell r="L973">
            <v>40</v>
          </cell>
          <cell r="M973" t="e">
            <v>#N/A</v>
          </cell>
          <cell r="N973">
            <v>52</v>
          </cell>
          <cell r="O973" t="e">
            <v>#N/A</v>
          </cell>
          <cell r="P973" t="str">
            <v/>
          </cell>
          <cell r="Q973" t="str">
            <v/>
          </cell>
          <cell r="R973" t="e">
            <v>#N/A</v>
          </cell>
        </row>
        <row r="974">
          <cell r="A974" t="str">
            <v/>
          </cell>
          <cell r="B974" t="str">
            <v/>
          </cell>
          <cell r="C974" t="str">
            <v>Future</v>
          </cell>
          <cell r="D974" t="e">
            <v>#N/A</v>
          </cell>
          <cell r="E974">
            <v>-35.8276587301592</v>
          </cell>
          <cell r="F974">
            <v>71.215992063490589</v>
          </cell>
          <cell r="G974">
            <v>30.0453571428563</v>
          </cell>
          <cell r="H974">
            <v>30.0453571428563</v>
          </cell>
          <cell r="I974" t="e">
            <v>#N/A</v>
          </cell>
          <cell r="J974" t="e">
            <v>#N/A</v>
          </cell>
          <cell r="K974">
            <v>65</v>
          </cell>
          <cell r="L974">
            <v>40</v>
          </cell>
          <cell r="M974" t="e">
            <v>#N/A</v>
          </cell>
          <cell r="N974">
            <v>52</v>
          </cell>
          <cell r="O974" t="e">
            <v>#N/A</v>
          </cell>
          <cell r="P974" t="str">
            <v/>
          </cell>
          <cell r="Q974" t="str">
            <v/>
          </cell>
          <cell r="R974" t="e">
            <v>#N/A</v>
          </cell>
        </row>
        <row r="975">
          <cell r="A975" t="str">
            <v/>
          </cell>
          <cell r="B975" t="str">
            <v/>
          </cell>
          <cell r="C975" t="str">
            <v>Future</v>
          </cell>
          <cell r="D975" t="e">
            <v>#N/A</v>
          </cell>
          <cell r="E975">
            <v>-36.047460317460789</v>
          </cell>
          <cell r="F975">
            <v>71.254126984125506</v>
          </cell>
          <cell r="G975">
            <v>29.984285714284873</v>
          </cell>
          <cell r="H975">
            <v>29.984285714284873</v>
          </cell>
          <cell r="I975" t="e">
            <v>#N/A</v>
          </cell>
          <cell r="J975" t="e">
            <v>#N/A</v>
          </cell>
          <cell r="K975">
            <v>65</v>
          </cell>
          <cell r="L975">
            <v>40</v>
          </cell>
          <cell r="M975" t="e">
            <v>#N/A</v>
          </cell>
          <cell r="N975">
            <v>52</v>
          </cell>
          <cell r="O975" t="e">
            <v>#N/A</v>
          </cell>
          <cell r="P975" t="str">
            <v/>
          </cell>
          <cell r="Q975" t="str">
            <v/>
          </cell>
          <cell r="R975" t="e">
            <v>#N/A</v>
          </cell>
        </row>
        <row r="976">
          <cell r="A976" t="str">
            <v/>
          </cell>
          <cell r="B976" t="str">
            <v/>
          </cell>
          <cell r="C976" t="str">
            <v>Future</v>
          </cell>
          <cell r="D976" t="e">
            <v>#N/A</v>
          </cell>
          <cell r="E976">
            <v>-36.267261904762378</v>
          </cell>
          <cell r="F976">
            <v>71.292261904760423</v>
          </cell>
          <cell r="G976">
            <v>29.923214285713446</v>
          </cell>
          <cell r="H976">
            <v>29.923214285713446</v>
          </cell>
          <cell r="I976" t="e">
            <v>#N/A</v>
          </cell>
          <cell r="J976" t="e">
            <v>#N/A</v>
          </cell>
          <cell r="K976">
            <v>65</v>
          </cell>
          <cell r="L976">
            <v>40</v>
          </cell>
          <cell r="M976" t="e">
            <v>#N/A</v>
          </cell>
          <cell r="N976">
            <v>52</v>
          </cell>
          <cell r="O976" t="e">
            <v>#N/A</v>
          </cell>
          <cell r="P976" t="str">
            <v/>
          </cell>
          <cell r="Q976" t="str">
            <v/>
          </cell>
          <cell r="R976" t="e">
            <v>#N/A</v>
          </cell>
        </row>
        <row r="977">
          <cell r="A977" t="str">
            <v/>
          </cell>
          <cell r="B977" t="str">
            <v/>
          </cell>
          <cell r="C977" t="str">
            <v>Future</v>
          </cell>
          <cell r="D977" t="e">
            <v>#N/A</v>
          </cell>
          <cell r="E977">
            <v>-36.487063492063967</v>
          </cell>
          <cell r="F977">
            <v>71.33039682539534</v>
          </cell>
          <cell r="G977">
            <v>29.862142857142018</v>
          </cell>
          <cell r="H977">
            <v>29.862142857142018</v>
          </cell>
          <cell r="I977" t="e">
            <v>#N/A</v>
          </cell>
          <cell r="J977" t="e">
            <v>#N/A</v>
          </cell>
          <cell r="K977">
            <v>65</v>
          </cell>
          <cell r="L977">
            <v>40</v>
          </cell>
          <cell r="M977" t="e">
            <v>#N/A</v>
          </cell>
          <cell r="N977">
            <v>52</v>
          </cell>
          <cell r="O977" t="e">
            <v>#N/A</v>
          </cell>
          <cell r="P977" t="str">
            <v/>
          </cell>
          <cell r="Q977" t="str">
            <v/>
          </cell>
          <cell r="R977" t="e">
            <v>#N/A</v>
          </cell>
        </row>
        <row r="978">
          <cell r="A978" t="str">
            <v/>
          </cell>
          <cell r="B978" t="str">
            <v/>
          </cell>
          <cell r="C978" t="str">
            <v>Future</v>
          </cell>
          <cell r="D978" t="e">
            <v>#N/A</v>
          </cell>
          <cell r="E978">
            <v>-36.706865079365556</v>
          </cell>
          <cell r="F978">
            <v>71.368531746030257</v>
          </cell>
          <cell r="G978">
            <v>29.801071428570591</v>
          </cell>
          <cell r="H978">
            <v>29.801071428570591</v>
          </cell>
          <cell r="I978" t="e">
            <v>#N/A</v>
          </cell>
          <cell r="J978" t="e">
            <v>#N/A</v>
          </cell>
          <cell r="K978">
            <v>65</v>
          </cell>
          <cell r="L978">
            <v>40</v>
          </cell>
          <cell r="M978" t="e">
            <v>#N/A</v>
          </cell>
          <cell r="N978">
            <v>52</v>
          </cell>
          <cell r="O978" t="e">
            <v>#N/A</v>
          </cell>
          <cell r="P978" t="str">
            <v/>
          </cell>
          <cell r="Q978" t="str">
            <v/>
          </cell>
          <cell r="R978" t="e">
            <v>#N/A</v>
          </cell>
        </row>
        <row r="979">
          <cell r="A979" t="str">
            <v/>
          </cell>
          <cell r="B979" t="str">
            <v/>
          </cell>
          <cell r="C979" t="str">
            <v>Future</v>
          </cell>
          <cell r="D979" t="e">
            <v>#N/A</v>
          </cell>
          <cell r="E979">
            <v>-36.926666666667145</v>
          </cell>
          <cell r="F979">
            <v>71.406666666665174</v>
          </cell>
          <cell r="G979">
            <v>29.739999999999164</v>
          </cell>
          <cell r="H979">
            <v>29.739999999999164</v>
          </cell>
          <cell r="I979" t="e">
            <v>#N/A</v>
          </cell>
          <cell r="J979" t="e">
            <v>#N/A</v>
          </cell>
          <cell r="K979">
            <v>65</v>
          </cell>
          <cell r="L979">
            <v>40</v>
          </cell>
          <cell r="M979" t="e">
            <v>#N/A</v>
          </cell>
          <cell r="N979">
            <v>52</v>
          </cell>
          <cell r="O979" t="e">
            <v>#N/A</v>
          </cell>
          <cell r="P979" t="str">
            <v/>
          </cell>
          <cell r="Q979" t="str">
            <v/>
          </cell>
          <cell r="R979" t="e">
            <v>#N/A</v>
          </cell>
        </row>
        <row r="980">
          <cell r="A980" t="str">
            <v/>
          </cell>
          <cell r="B980" t="str">
            <v/>
          </cell>
          <cell r="C980" t="str">
            <v>Future</v>
          </cell>
          <cell r="D980" t="e">
            <v>#N/A</v>
          </cell>
          <cell r="E980">
            <v>-37.146468253968735</v>
          </cell>
          <cell r="F980">
            <v>71.444801587300091</v>
          </cell>
          <cell r="G980">
            <v>29.678928571427736</v>
          </cell>
          <cell r="H980">
            <v>29.678928571427736</v>
          </cell>
          <cell r="I980" t="e">
            <v>#N/A</v>
          </cell>
          <cell r="J980" t="e">
            <v>#N/A</v>
          </cell>
          <cell r="K980">
            <v>65</v>
          </cell>
          <cell r="L980">
            <v>40</v>
          </cell>
          <cell r="M980" t="e">
            <v>#N/A</v>
          </cell>
          <cell r="N980">
            <v>52</v>
          </cell>
          <cell r="O980" t="e">
            <v>#N/A</v>
          </cell>
          <cell r="P980" t="str">
            <v/>
          </cell>
          <cell r="Q980" t="str">
            <v/>
          </cell>
          <cell r="R980" t="e">
            <v>#N/A</v>
          </cell>
        </row>
        <row r="981">
          <cell r="A981" t="str">
            <v/>
          </cell>
          <cell r="B981" t="str">
            <v/>
          </cell>
          <cell r="C981" t="str">
            <v>Future</v>
          </cell>
          <cell r="D981" t="e">
            <v>#N/A</v>
          </cell>
          <cell r="E981">
            <v>-37.366269841270324</v>
          </cell>
          <cell r="F981">
            <v>71.482936507935008</v>
          </cell>
          <cell r="G981">
            <v>29.617857142856309</v>
          </cell>
          <cell r="H981">
            <v>29.617857142856309</v>
          </cell>
          <cell r="I981" t="e">
            <v>#N/A</v>
          </cell>
          <cell r="J981" t="e">
            <v>#N/A</v>
          </cell>
          <cell r="K981">
            <v>65</v>
          </cell>
          <cell r="L981">
            <v>40</v>
          </cell>
          <cell r="M981" t="e">
            <v>#N/A</v>
          </cell>
          <cell r="N981">
            <v>52</v>
          </cell>
          <cell r="O981" t="e">
            <v>#N/A</v>
          </cell>
          <cell r="P981" t="str">
            <v/>
          </cell>
          <cell r="Q981" t="str">
            <v/>
          </cell>
          <cell r="R981" t="e">
            <v>#N/A</v>
          </cell>
        </row>
        <row r="982">
          <cell r="A982" t="str">
            <v/>
          </cell>
          <cell r="B982" t="str">
            <v/>
          </cell>
          <cell r="C982" t="str">
            <v>Future</v>
          </cell>
          <cell r="D982" t="e">
            <v>#N/A</v>
          </cell>
          <cell r="E982">
            <v>-37.586071428571913</v>
          </cell>
          <cell r="F982">
            <v>71.521071428569925</v>
          </cell>
          <cell r="G982">
            <v>29.556785714284882</v>
          </cell>
          <cell r="H982">
            <v>29.556785714284882</v>
          </cell>
          <cell r="I982" t="e">
            <v>#N/A</v>
          </cell>
          <cell r="J982" t="e">
            <v>#N/A</v>
          </cell>
          <cell r="K982">
            <v>65</v>
          </cell>
          <cell r="L982">
            <v>40</v>
          </cell>
          <cell r="M982" t="e">
            <v>#N/A</v>
          </cell>
          <cell r="N982">
            <v>52</v>
          </cell>
          <cell r="O982" t="e">
            <v>#N/A</v>
          </cell>
          <cell r="P982" t="str">
            <v/>
          </cell>
          <cell r="Q982" t="str">
            <v/>
          </cell>
          <cell r="R982" t="e">
            <v>#N/A</v>
          </cell>
        </row>
        <row r="983">
          <cell r="A983" t="str">
            <v/>
          </cell>
          <cell r="B983" t="str">
            <v/>
          </cell>
          <cell r="C983" t="str">
            <v>Future</v>
          </cell>
          <cell r="D983" t="e">
            <v>#N/A</v>
          </cell>
          <cell r="E983">
            <v>-37.805873015873502</v>
          </cell>
          <cell r="F983">
            <v>71.559206349204842</v>
          </cell>
          <cell r="G983">
            <v>29.495714285713454</v>
          </cell>
          <cell r="H983">
            <v>29.495714285713454</v>
          </cell>
          <cell r="I983" t="e">
            <v>#N/A</v>
          </cell>
          <cell r="J983" t="e">
            <v>#N/A</v>
          </cell>
          <cell r="K983">
            <v>65</v>
          </cell>
          <cell r="L983">
            <v>40</v>
          </cell>
          <cell r="M983" t="e">
            <v>#N/A</v>
          </cell>
          <cell r="N983">
            <v>52</v>
          </cell>
          <cell r="O983" t="e">
            <v>#N/A</v>
          </cell>
          <cell r="P983" t="str">
            <v/>
          </cell>
          <cell r="Q983" t="str">
            <v/>
          </cell>
          <cell r="R983" t="e">
            <v>#N/A</v>
          </cell>
        </row>
        <row r="984">
          <cell r="A984" t="str">
            <v/>
          </cell>
          <cell r="B984" t="str">
            <v/>
          </cell>
          <cell r="C984" t="str">
            <v>Future</v>
          </cell>
          <cell r="D984" t="e">
            <v>#N/A</v>
          </cell>
          <cell r="E984">
            <v>-38.025674603175091</v>
          </cell>
          <cell r="F984">
            <v>71.59734126983976</v>
          </cell>
          <cell r="G984">
            <v>29.434642857142027</v>
          </cell>
          <cell r="H984">
            <v>29.434642857142027</v>
          </cell>
          <cell r="I984" t="e">
            <v>#N/A</v>
          </cell>
          <cell r="J984" t="e">
            <v>#N/A</v>
          </cell>
          <cell r="K984">
            <v>65</v>
          </cell>
          <cell r="L984">
            <v>40</v>
          </cell>
          <cell r="M984" t="e">
            <v>#N/A</v>
          </cell>
          <cell r="N984">
            <v>52</v>
          </cell>
          <cell r="O984" t="e">
            <v>#N/A</v>
          </cell>
          <cell r="P984" t="str">
            <v/>
          </cell>
          <cell r="Q984" t="str">
            <v/>
          </cell>
          <cell r="R984" t="e">
            <v>#N/A</v>
          </cell>
        </row>
        <row r="985">
          <cell r="A985" t="str">
            <v/>
          </cell>
          <cell r="B985" t="str">
            <v/>
          </cell>
          <cell r="C985" t="str">
            <v>Future</v>
          </cell>
          <cell r="D985" t="e">
            <v>#N/A</v>
          </cell>
          <cell r="E985">
            <v>-38.24547619047668</v>
          </cell>
          <cell r="F985">
            <v>71.635476190474677</v>
          </cell>
          <cell r="G985">
            <v>29.3735714285706</v>
          </cell>
          <cell r="H985">
            <v>29.3735714285706</v>
          </cell>
          <cell r="I985" t="e">
            <v>#N/A</v>
          </cell>
          <cell r="J985" t="e">
            <v>#N/A</v>
          </cell>
          <cell r="K985">
            <v>65</v>
          </cell>
          <cell r="L985">
            <v>40</v>
          </cell>
          <cell r="M985" t="e">
            <v>#N/A</v>
          </cell>
          <cell r="N985">
            <v>52</v>
          </cell>
          <cell r="O985" t="e">
            <v>#N/A</v>
          </cell>
          <cell r="P985" t="str">
            <v/>
          </cell>
          <cell r="Q985" t="str">
            <v/>
          </cell>
          <cell r="R985" t="e">
            <v>#N/A</v>
          </cell>
        </row>
        <row r="986">
          <cell r="A986" t="str">
            <v/>
          </cell>
          <cell r="B986" t="str">
            <v/>
          </cell>
          <cell r="C986" t="str">
            <v>Future</v>
          </cell>
          <cell r="D986" t="e">
            <v>#N/A</v>
          </cell>
          <cell r="E986">
            <v>-38.465277777778269</v>
          </cell>
          <cell r="F986">
            <v>71.673611111109594</v>
          </cell>
          <cell r="G986">
            <v>29.312499999999172</v>
          </cell>
          <cell r="H986">
            <v>29.312499999999172</v>
          </cell>
          <cell r="I986" t="e">
            <v>#N/A</v>
          </cell>
          <cell r="J986" t="e">
            <v>#N/A</v>
          </cell>
          <cell r="K986">
            <v>65</v>
          </cell>
          <cell r="L986">
            <v>40</v>
          </cell>
          <cell r="M986" t="e">
            <v>#N/A</v>
          </cell>
          <cell r="N986">
            <v>52</v>
          </cell>
          <cell r="O986" t="e">
            <v>#N/A</v>
          </cell>
          <cell r="P986" t="str">
            <v/>
          </cell>
          <cell r="Q986" t="str">
            <v/>
          </cell>
          <cell r="R986" t="e">
            <v>#N/A</v>
          </cell>
        </row>
        <row r="987">
          <cell r="A987" t="str">
            <v/>
          </cell>
          <cell r="B987" t="str">
            <v/>
          </cell>
          <cell r="C987" t="str">
            <v>Future</v>
          </cell>
          <cell r="D987" t="e">
            <v>#N/A</v>
          </cell>
          <cell r="E987">
            <v>-38.685079365079858</v>
          </cell>
          <cell r="F987">
            <v>71.711746031744511</v>
          </cell>
          <cell r="G987">
            <v>29.251428571427745</v>
          </cell>
          <cell r="H987">
            <v>29.251428571427745</v>
          </cell>
          <cell r="I987" t="e">
            <v>#N/A</v>
          </cell>
          <cell r="J987" t="e">
            <v>#N/A</v>
          </cell>
          <cell r="K987">
            <v>65</v>
          </cell>
          <cell r="L987">
            <v>40</v>
          </cell>
          <cell r="M987" t="e">
            <v>#N/A</v>
          </cell>
          <cell r="N987">
            <v>52</v>
          </cell>
          <cell r="O987" t="e">
            <v>#N/A</v>
          </cell>
          <cell r="P987" t="str">
            <v/>
          </cell>
          <cell r="Q987" t="str">
            <v/>
          </cell>
          <cell r="R987" t="e">
            <v>#N/A</v>
          </cell>
        </row>
        <row r="988">
          <cell r="A988" t="str">
            <v/>
          </cell>
          <cell r="B988" t="str">
            <v/>
          </cell>
          <cell r="C988" t="str">
            <v>Future</v>
          </cell>
          <cell r="D988" t="e">
            <v>#N/A</v>
          </cell>
          <cell r="E988">
            <v>-38.904880952381447</v>
          </cell>
          <cell r="F988">
            <v>71.749880952379428</v>
          </cell>
          <cell r="G988">
            <v>29.190357142856318</v>
          </cell>
          <cell r="H988">
            <v>29.190357142856318</v>
          </cell>
          <cell r="I988" t="e">
            <v>#N/A</v>
          </cell>
          <cell r="J988" t="e">
            <v>#N/A</v>
          </cell>
          <cell r="K988">
            <v>65</v>
          </cell>
          <cell r="L988">
            <v>40</v>
          </cell>
          <cell r="M988" t="e">
            <v>#N/A</v>
          </cell>
          <cell r="N988">
            <v>52</v>
          </cell>
          <cell r="O988" t="e">
            <v>#N/A</v>
          </cell>
          <cell r="P988" t="str">
            <v/>
          </cell>
          <cell r="Q988" t="str">
            <v/>
          </cell>
          <cell r="R988" t="e">
            <v>#N/A</v>
          </cell>
        </row>
        <row r="989">
          <cell r="A989" t="str">
            <v/>
          </cell>
          <cell r="B989" t="str">
            <v/>
          </cell>
          <cell r="C989" t="str">
            <v>Future</v>
          </cell>
          <cell r="D989" t="e">
            <v>#N/A</v>
          </cell>
          <cell r="E989">
            <v>-39.124682539683036</v>
          </cell>
          <cell r="F989">
            <v>71.788015873014345</v>
          </cell>
          <cell r="G989">
            <v>29.12928571428489</v>
          </cell>
          <cell r="H989">
            <v>29.12928571428489</v>
          </cell>
          <cell r="I989" t="e">
            <v>#N/A</v>
          </cell>
          <cell r="J989" t="e">
            <v>#N/A</v>
          </cell>
          <cell r="K989">
            <v>65</v>
          </cell>
          <cell r="L989">
            <v>40</v>
          </cell>
          <cell r="M989" t="e">
            <v>#N/A</v>
          </cell>
          <cell r="N989">
            <v>52</v>
          </cell>
          <cell r="O989" t="e">
            <v>#N/A</v>
          </cell>
          <cell r="P989" t="str">
            <v/>
          </cell>
          <cell r="Q989" t="str">
            <v/>
          </cell>
          <cell r="R989" t="e">
            <v>#N/A</v>
          </cell>
        </row>
        <row r="990">
          <cell r="A990" t="str">
            <v/>
          </cell>
          <cell r="B990" t="str">
            <v/>
          </cell>
          <cell r="C990" t="str">
            <v>Future</v>
          </cell>
          <cell r="D990" t="e">
            <v>#N/A</v>
          </cell>
          <cell r="E990">
            <v>-39.344484126984625</v>
          </cell>
          <cell r="F990">
            <v>71.826150793649262</v>
          </cell>
          <cell r="G990">
            <v>29.068214285713463</v>
          </cell>
          <cell r="H990">
            <v>29.068214285713463</v>
          </cell>
          <cell r="I990" t="e">
            <v>#N/A</v>
          </cell>
          <cell r="J990" t="e">
            <v>#N/A</v>
          </cell>
          <cell r="K990">
            <v>65</v>
          </cell>
          <cell r="L990">
            <v>40</v>
          </cell>
          <cell r="M990" t="e">
            <v>#N/A</v>
          </cell>
          <cell r="N990">
            <v>52</v>
          </cell>
          <cell r="O990" t="e">
            <v>#N/A</v>
          </cell>
          <cell r="P990" t="str">
            <v/>
          </cell>
          <cell r="Q990" t="str">
            <v/>
          </cell>
          <cell r="R990" t="e">
            <v>#N/A</v>
          </cell>
        </row>
        <row r="991">
          <cell r="A991" t="str">
            <v/>
          </cell>
          <cell r="B991" t="str">
            <v/>
          </cell>
          <cell r="C991" t="str">
            <v>Future</v>
          </cell>
          <cell r="D991" t="e">
            <v>#N/A</v>
          </cell>
          <cell r="E991">
            <v>-39.564285714286214</v>
          </cell>
          <cell r="F991">
            <v>71.864285714284179</v>
          </cell>
          <cell r="G991">
            <v>29.007142857142036</v>
          </cell>
          <cell r="H991">
            <v>29.007142857142036</v>
          </cell>
          <cell r="I991" t="e">
            <v>#N/A</v>
          </cell>
          <cell r="J991" t="e">
            <v>#N/A</v>
          </cell>
          <cell r="K991">
            <v>65</v>
          </cell>
          <cell r="L991">
            <v>40</v>
          </cell>
          <cell r="M991" t="e">
            <v>#N/A</v>
          </cell>
          <cell r="N991">
            <v>52</v>
          </cell>
          <cell r="O991" t="e">
            <v>#N/A</v>
          </cell>
          <cell r="P991" t="str">
            <v/>
          </cell>
          <cell r="Q991" t="str">
            <v/>
          </cell>
          <cell r="R991" t="e">
            <v>#N/A</v>
          </cell>
        </row>
        <row r="992">
          <cell r="A992" t="str">
            <v/>
          </cell>
          <cell r="B992" t="str">
            <v/>
          </cell>
          <cell r="C992" t="str">
            <v>Future</v>
          </cell>
          <cell r="D992" t="e">
            <v>#N/A</v>
          </cell>
          <cell r="E992">
            <v>-39.784087301587803</v>
          </cell>
          <cell r="F992">
            <v>71.902420634919096</v>
          </cell>
          <cell r="G992">
            <v>28.946071428570608</v>
          </cell>
          <cell r="H992">
            <v>28.946071428570608</v>
          </cell>
          <cell r="I992" t="e">
            <v>#N/A</v>
          </cell>
          <cell r="J992" t="e">
            <v>#N/A</v>
          </cell>
          <cell r="K992">
            <v>65</v>
          </cell>
          <cell r="L992">
            <v>40</v>
          </cell>
          <cell r="M992" t="e">
            <v>#N/A</v>
          </cell>
          <cell r="N992">
            <v>52</v>
          </cell>
          <cell r="O992" t="e">
            <v>#N/A</v>
          </cell>
          <cell r="P992" t="str">
            <v/>
          </cell>
          <cell r="Q992" t="str">
            <v/>
          </cell>
          <cell r="R992" t="e">
            <v>#N/A</v>
          </cell>
        </row>
        <row r="993">
          <cell r="A993" t="str">
            <v/>
          </cell>
          <cell r="B993" t="str">
            <v/>
          </cell>
          <cell r="C993" t="str">
            <v>Future</v>
          </cell>
          <cell r="D993" t="e">
            <v>#N/A</v>
          </cell>
          <cell r="E993">
            <v>-40.003888888889392</v>
          </cell>
          <cell r="F993">
            <v>71.940555555554013</v>
          </cell>
          <cell r="G993">
            <v>28.884999999999181</v>
          </cell>
          <cell r="H993">
            <v>28.884999999999181</v>
          </cell>
          <cell r="I993" t="e">
            <v>#N/A</v>
          </cell>
          <cell r="J993" t="e">
            <v>#N/A</v>
          </cell>
          <cell r="K993">
            <v>65</v>
          </cell>
          <cell r="L993">
            <v>40</v>
          </cell>
          <cell r="M993" t="e">
            <v>#N/A</v>
          </cell>
          <cell r="N993">
            <v>52</v>
          </cell>
          <cell r="O993" t="e">
            <v>#N/A</v>
          </cell>
          <cell r="P993" t="str">
            <v/>
          </cell>
          <cell r="Q993" t="str">
            <v/>
          </cell>
          <cell r="R993" t="e">
            <v>#N/A</v>
          </cell>
        </row>
        <row r="994">
          <cell r="A994" t="str">
            <v/>
          </cell>
          <cell r="B994" t="str">
            <v/>
          </cell>
          <cell r="C994" t="str">
            <v>Future</v>
          </cell>
          <cell r="D994" t="e">
            <v>#N/A</v>
          </cell>
          <cell r="E994">
            <v>-40.223690476190981</v>
          </cell>
          <cell r="F994">
            <v>71.97869047618893</v>
          </cell>
          <cell r="G994">
            <v>28.823928571427754</v>
          </cell>
          <cell r="H994">
            <v>28.823928571427754</v>
          </cell>
          <cell r="I994" t="e">
            <v>#N/A</v>
          </cell>
          <cell r="J994" t="e">
            <v>#N/A</v>
          </cell>
          <cell r="K994">
            <v>65</v>
          </cell>
          <cell r="L994">
            <v>40</v>
          </cell>
          <cell r="M994" t="e">
            <v>#N/A</v>
          </cell>
          <cell r="N994">
            <v>52</v>
          </cell>
          <cell r="O994" t="e">
            <v>#N/A</v>
          </cell>
          <cell r="P994" t="str">
            <v/>
          </cell>
          <cell r="Q994" t="str">
            <v/>
          </cell>
          <cell r="R994" t="e">
            <v>#N/A</v>
          </cell>
        </row>
        <row r="995">
          <cell r="A995" t="str">
            <v/>
          </cell>
          <cell r="B995" t="str">
            <v/>
          </cell>
          <cell r="C995" t="str">
            <v>Future</v>
          </cell>
          <cell r="D995" t="e">
            <v>#N/A</v>
          </cell>
          <cell r="E995">
            <v>-40.44349206349257</v>
          </cell>
          <cell r="F995">
            <v>72.016825396823847</v>
          </cell>
          <cell r="G995">
            <v>28.762857142856326</v>
          </cell>
          <cell r="H995">
            <v>28.762857142856326</v>
          </cell>
          <cell r="I995" t="e">
            <v>#N/A</v>
          </cell>
          <cell r="J995" t="e">
            <v>#N/A</v>
          </cell>
          <cell r="K995">
            <v>65</v>
          </cell>
          <cell r="L995">
            <v>40</v>
          </cell>
          <cell r="M995" t="e">
            <v>#N/A</v>
          </cell>
          <cell r="N995">
            <v>52</v>
          </cell>
          <cell r="O995" t="e">
            <v>#N/A</v>
          </cell>
          <cell r="P995" t="str">
            <v/>
          </cell>
          <cell r="Q995" t="str">
            <v/>
          </cell>
          <cell r="R995" t="e">
            <v>#N/A</v>
          </cell>
        </row>
        <row r="996">
          <cell r="A996" t="str">
            <v/>
          </cell>
          <cell r="B996" t="str">
            <v/>
          </cell>
          <cell r="C996" t="str">
            <v>Future</v>
          </cell>
          <cell r="D996" t="e">
            <v>#N/A</v>
          </cell>
          <cell r="E996">
            <v>-40.663293650794159</v>
          </cell>
          <cell r="F996">
            <v>72.054960317458765</v>
          </cell>
          <cell r="G996">
            <v>28.701785714284899</v>
          </cell>
          <cell r="H996">
            <v>28.701785714284899</v>
          </cell>
          <cell r="I996" t="e">
            <v>#N/A</v>
          </cell>
          <cell r="J996" t="e">
            <v>#N/A</v>
          </cell>
          <cell r="K996">
            <v>65</v>
          </cell>
          <cell r="L996">
            <v>40</v>
          </cell>
          <cell r="M996" t="e">
            <v>#N/A</v>
          </cell>
          <cell r="N996">
            <v>52</v>
          </cell>
          <cell r="O996" t="e">
            <v>#N/A</v>
          </cell>
          <cell r="P996" t="str">
            <v/>
          </cell>
          <cell r="Q996" t="str">
            <v/>
          </cell>
          <cell r="R996" t="e">
            <v>#N/A</v>
          </cell>
        </row>
        <row r="997">
          <cell r="A997" t="str">
            <v/>
          </cell>
          <cell r="B997" t="str">
            <v/>
          </cell>
          <cell r="C997" t="str">
            <v>Future</v>
          </cell>
          <cell r="D997" t="e">
            <v>#N/A</v>
          </cell>
          <cell r="E997">
            <v>-40.883095238095748</v>
          </cell>
          <cell r="F997">
            <v>72.093095238093682</v>
          </cell>
          <cell r="G997">
            <v>28.640714285713472</v>
          </cell>
          <cell r="H997">
            <v>28.640714285713472</v>
          </cell>
          <cell r="I997" t="e">
            <v>#N/A</v>
          </cell>
          <cell r="J997" t="e">
            <v>#N/A</v>
          </cell>
          <cell r="K997">
            <v>65</v>
          </cell>
          <cell r="L997">
            <v>40</v>
          </cell>
          <cell r="M997" t="e">
            <v>#N/A</v>
          </cell>
          <cell r="N997">
            <v>52</v>
          </cell>
          <cell r="O997" t="e">
            <v>#N/A</v>
          </cell>
          <cell r="P997" t="str">
            <v/>
          </cell>
          <cell r="Q997" t="str">
            <v/>
          </cell>
          <cell r="R997" t="e">
            <v>#N/A</v>
          </cell>
        </row>
        <row r="998">
          <cell r="A998" t="str">
            <v/>
          </cell>
          <cell r="B998" t="str">
            <v/>
          </cell>
          <cell r="C998" t="str">
            <v>Future</v>
          </cell>
          <cell r="D998" t="e">
            <v>#N/A</v>
          </cell>
          <cell r="E998">
            <v>-41.102896825397337</v>
          </cell>
          <cell r="F998">
            <v>72.131230158728599</v>
          </cell>
          <cell r="G998">
            <v>28.579642857142044</v>
          </cell>
          <cell r="H998">
            <v>28.579642857142044</v>
          </cell>
          <cell r="I998" t="e">
            <v>#N/A</v>
          </cell>
          <cell r="J998" t="e">
            <v>#N/A</v>
          </cell>
          <cell r="K998">
            <v>65</v>
          </cell>
          <cell r="L998">
            <v>40</v>
          </cell>
          <cell r="M998" t="e">
            <v>#N/A</v>
          </cell>
          <cell r="N998">
            <v>52</v>
          </cell>
          <cell r="O998" t="e">
            <v>#N/A</v>
          </cell>
          <cell r="P998" t="str">
            <v/>
          </cell>
          <cell r="Q998" t="str">
            <v/>
          </cell>
          <cell r="R998" t="e">
            <v>#N/A</v>
          </cell>
        </row>
        <row r="999">
          <cell r="A999" t="str">
            <v/>
          </cell>
          <cell r="B999" t="str">
            <v/>
          </cell>
          <cell r="C999" t="str">
            <v>Future</v>
          </cell>
          <cell r="D999" t="e">
            <v>#N/A</v>
          </cell>
          <cell r="E999">
            <v>-41.322698412698927</v>
          </cell>
          <cell r="F999">
            <v>72.169365079363516</v>
          </cell>
          <cell r="G999">
            <v>28.518571428570617</v>
          </cell>
          <cell r="H999">
            <v>28.518571428570617</v>
          </cell>
          <cell r="I999" t="e">
            <v>#N/A</v>
          </cell>
          <cell r="J999" t="e">
            <v>#N/A</v>
          </cell>
          <cell r="K999">
            <v>65</v>
          </cell>
          <cell r="L999">
            <v>40</v>
          </cell>
          <cell r="M999" t="e">
            <v>#N/A</v>
          </cell>
          <cell r="N999">
            <v>52</v>
          </cell>
          <cell r="O999" t="e">
            <v>#N/A</v>
          </cell>
          <cell r="P999" t="str">
            <v/>
          </cell>
          <cell r="Q999" t="str">
            <v/>
          </cell>
          <cell r="R999" t="e">
            <v>#N/A</v>
          </cell>
        </row>
        <row r="1000">
          <cell r="A1000" t="str">
            <v/>
          </cell>
          <cell r="B1000" t="str">
            <v/>
          </cell>
          <cell r="C1000" t="str">
            <v>Future</v>
          </cell>
          <cell r="D1000" t="e">
            <v>#N/A</v>
          </cell>
          <cell r="E1000">
            <v>-41.542500000000516</v>
          </cell>
          <cell r="F1000">
            <v>72.207499999998433</v>
          </cell>
          <cell r="G1000">
            <v>28.45749999999919</v>
          </cell>
          <cell r="H1000">
            <v>28.45749999999919</v>
          </cell>
          <cell r="I1000" t="e">
            <v>#N/A</v>
          </cell>
          <cell r="J1000" t="e">
            <v>#N/A</v>
          </cell>
          <cell r="K1000">
            <v>65</v>
          </cell>
          <cell r="L1000">
            <v>40</v>
          </cell>
          <cell r="M1000" t="e">
            <v>#N/A</v>
          </cell>
          <cell r="N1000">
            <v>52</v>
          </cell>
          <cell r="O1000" t="e">
            <v>#N/A</v>
          </cell>
          <cell r="P1000" t="str">
            <v/>
          </cell>
          <cell r="Q1000" t="str">
            <v/>
          </cell>
          <cell r="R1000" t="e">
            <v>#N/A</v>
          </cell>
        </row>
        <row r="1001">
          <cell r="A1001" t="str">
            <v/>
          </cell>
          <cell r="B1001" t="str">
            <v/>
          </cell>
          <cell r="C1001" t="str">
            <v>Future</v>
          </cell>
          <cell r="D1001" t="e">
            <v>#N/A</v>
          </cell>
          <cell r="E1001">
            <v>-41.762301587302105</v>
          </cell>
          <cell r="F1001">
            <v>72.24563492063335</v>
          </cell>
          <cell r="G1001">
            <v>28.396428571427762</v>
          </cell>
          <cell r="H1001">
            <v>28.396428571427762</v>
          </cell>
          <cell r="I1001" t="e">
            <v>#N/A</v>
          </cell>
          <cell r="J1001" t="e">
            <v>#N/A</v>
          </cell>
          <cell r="K1001">
            <v>65</v>
          </cell>
          <cell r="L1001">
            <v>40</v>
          </cell>
          <cell r="M1001" t="e">
            <v>#N/A</v>
          </cell>
          <cell r="N1001">
            <v>52</v>
          </cell>
          <cell r="O1001" t="e">
            <v>#N/A</v>
          </cell>
          <cell r="P1001" t="str">
            <v/>
          </cell>
          <cell r="Q1001" t="str">
            <v/>
          </cell>
          <cell r="R1001" t="e">
            <v>#N/A</v>
          </cell>
        </row>
        <row r="1002">
          <cell r="A1002" t="str">
            <v/>
          </cell>
          <cell r="B1002" t="str">
            <v/>
          </cell>
          <cell r="C1002" t="str">
            <v>Future</v>
          </cell>
          <cell r="D1002" t="e">
            <v>#N/A</v>
          </cell>
          <cell r="E1002">
            <v>-41.982103174603694</v>
          </cell>
          <cell r="F1002">
            <v>72.283769841268267</v>
          </cell>
          <cell r="G1002">
            <v>28.335357142856335</v>
          </cell>
          <cell r="H1002">
            <v>28.335357142856335</v>
          </cell>
          <cell r="I1002" t="e">
            <v>#N/A</v>
          </cell>
          <cell r="J1002" t="e">
            <v>#N/A</v>
          </cell>
          <cell r="K1002">
            <v>65</v>
          </cell>
          <cell r="L1002">
            <v>40</v>
          </cell>
          <cell r="M1002" t="e">
            <v>#N/A</v>
          </cell>
          <cell r="N1002">
            <v>52</v>
          </cell>
          <cell r="O1002" t="e">
            <v>#N/A</v>
          </cell>
          <cell r="P1002" t="str">
            <v/>
          </cell>
          <cell r="Q1002" t="str">
            <v/>
          </cell>
          <cell r="R1002" t="e">
            <v>#N/A</v>
          </cell>
        </row>
        <row r="1003">
          <cell r="A1003" t="str">
            <v/>
          </cell>
          <cell r="B1003" t="str">
            <v/>
          </cell>
          <cell r="C1003" t="str">
            <v>Future</v>
          </cell>
          <cell r="D1003" t="e">
            <v>#N/A</v>
          </cell>
          <cell r="E1003">
            <v>-42.201904761905283</v>
          </cell>
          <cell r="F1003">
            <v>72.321904761903184</v>
          </cell>
          <cell r="G1003">
            <v>28.274285714284908</v>
          </cell>
          <cell r="H1003">
            <v>28.274285714284908</v>
          </cell>
          <cell r="I1003" t="e">
            <v>#N/A</v>
          </cell>
          <cell r="J1003" t="e">
            <v>#N/A</v>
          </cell>
          <cell r="K1003">
            <v>65</v>
          </cell>
          <cell r="L1003">
            <v>40</v>
          </cell>
          <cell r="M1003" t="e">
            <v>#N/A</v>
          </cell>
          <cell r="N1003">
            <v>52</v>
          </cell>
          <cell r="O1003" t="e">
            <v>#N/A</v>
          </cell>
          <cell r="P1003" t="str">
            <v/>
          </cell>
          <cell r="Q1003" t="str">
            <v/>
          </cell>
          <cell r="R1003" t="e">
            <v>#N/A</v>
          </cell>
        </row>
        <row r="1004">
          <cell r="A1004" t="str">
            <v/>
          </cell>
          <cell r="B1004" t="str">
            <v/>
          </cell>
          <cell r="C1004" t="str">
            <v>Future</v>
          </cell>
          <cell r="D1004" t="e">
            <v>#N/A</v>
          </cell>
          <cell r="E1004">
            <v>-42.421706349206872</v>
          </cell>
          <cell r="F1004">
            <v>72.360039682538101</v>
          </cell>
          <cell r="G1004">
            <v>28.21321428571348</v>
          </cell>
          <cell r="H1004">
            <v>28.21321428571348</v>
          </cell>
          <cell r="I1004" t="e">
            <v>#N/A</v>
          </cell>
          <cell r="J1004" t="e">
            <v>#N/A</v>
          </cell>
          <cell r="K1004">
            <v>65</v>
          </cell>
          <cell r="L1004">
            <v>40</v>
          </cell>
          <cell r="M1004" t="e">
            <v>#N/A</v>
          </cell>
          <cell r="N1004">
            <v>52</v>
          </cell>
          <cell r="O1004" t="e">
            <v>#N/A</v>
          </cell>
          <cell r="P1004" t="str">
            <v/>
          </cell>
          <cell r="Q1004" t="str">
            <v/>
          </cell>
          <cell r="R1004" t="e">
            <v>#N/A</v>
          </cell>
        </row>
        <row r="1005">
          <cell r="A1005" t="str">
            <v/>
          </cell>
          <cell r="B1005" t="str">
            <v/>
          </cell>
          <cell r="C1005" t="str">
            <v>Future</v>
          </cell>
          <cell r="D1005" t="e">
            <v>#N/A</v>
          </cell>
          <cell r="E1005">
            <v>-42.641507936508461</v>
          </cell>
          <cell r="F1005">
            <v>72.398174603173018</v>
          </cell>
          <cell r="G1005">
            <v>28.152142857142053</v>
          </cell>
          <cell r="H1005">
            <v>28.152142857142053</v>
          </cell>
          <cell r="I1005" t="e">
            <v>#N/A</v>
          </cell>
          <cell r="J1005" t="e">
            <v>#N/A</v>
          </cell>
          <cell r="K1005">
            <v>65</v>
          </cell>
          <cell r="L1005">
            <v>40</v>
          </cell>
          <cell r="M1005" t="e">
            <v>#N/A</v>
          </cell>
          <cell r="N1005">
            <v>52</v>
          </cell>
          <cell r="O1005" t="e">
            <v>#N/A</v>
          </cell>
          <cell r="P1005" t="str">
            <v/>
          </cell>
          <cell r="Q1005" t="str">
            <v/>
          </cell>
          <cell r="R1005" t="e">
            <v>#N/A</v>
          </cell>
        </row>
        <row r="1006">
          <cell r="A1006" t="str">
            <v/>
          </cell>
          <cell r="B1006" t="str">
            <v/>
          </cell>
          <cell r="C1006" t="str">
            <v>Future</v>
          </cell>
          <cell r="D1006" t="e">
            <v>#N/A</v>
          </cell>
          <cell r="E1006">
            <v>-42.86130952381005</v>
          </cell>
          <cell r="F1006">
            <v>72.436309523807935</v>
          </cell>
          <cell r="G1006">
            <v>28.091071428570626</v>
          </cell>
          <cell r="H1006">
            <v>28.091071428570626</v>
          </cell>
          <cell r="I1006" t="e">
            <v>#N/A</v>
          </cell>
          <cell r="J1006" t="e">
            <v>#N/A</v>
          </cell>
          <cell r="K1006">
            <v>65</v>
          </cell>
          <cell r="L1006">
            <v>40</v>
          </cell>
          <cell r="M1006" t="e">
            <v>#N/A</v>
          </cell>
          <cell r="N1006">
            <v>52</v>
          </cell>
          <cell r="O1006" t="e">
            <v>#N/A</v>
          </cell>
          <cell r="P1006" t="str">
            <v/>
          </cell>
          <cell r="Q1006" t="str">
            <v/>
          </cell>
          <cell r="R1006" t="e">
            <v>#N/A</v>
          </cell>
        </row>
        <row r="1007">
          <cell r="A1007" t="str">
            <v/>
          </cell>
          <cell r="B1007" t="str">
            <v/>
          </cell>
          <cell r="C1007" t="str">
            <v>Future</v>
          </cell>
          <cell r="D1007" t="e">
            <v>#N/A</v>
          </cell>
          <cell r="E1007">
            <v>-43.081111111111639</v>
          </cell>
          <cell r="F1007">
            <v>72.474444444442852</v>
          </cell>
          <cell r="G1007">
            <v>28.029999999999198</v>
          </cell>
          <cell r="H1007">
            <v>28.029999999999198</v>
          </cell>
          <cell r="I1007" t="e">
            <v>#N/A</v>
          </cell>
          <cell r="J1007" t="e">
            <v>#N/A</v>
          </cell>
          <cell r="K1007">
            <v>65</v>
          </cell>
          <cell r="L1007">
            <v>40</v>
          </cell>
          <cell r="M1007" t="e">
            <v>#N/A</v>
          </cell>
          <cell r="N1007">
            <v>52</v>
          </cell>
          <cell r="O1007" t="e">
            <v>#N/A</v>
          </cell>
          <cell r="P1007" t="str">
            <v/>
          </cell>
          <cell r="Q1007" t="str">
            <v/>
          </cell>
          <cell r="R1007" t="e">
            <v>#N/A</v>
          </cell>
        </row>
        <row r="1008">
          <cell r="A1008" t="str">
            <v/>
          </cell>
          <cell r="B1008" t="str">
            <v/>
          </cell>
          <cell r="C1008" t="str">
            <v>Future</v>
          </cell>
          <cell r="D1008" t="e">
            <v>#N/A</v>
          </cell>
          <cell r="E1008">
            <v>-43.300912698413228</v>
          </cell>
          <cell r="F1008">
            <v>72.512579365077769</v>
          </cell>
          <cell r="G1008">
            <v>27.968928571427771</v>
          </cell>
          <cell r="H1008">
            <v>27.968928571427771</v>
          </cell>
          <cell r="I1008" t="e">
            <v>#N/A</v>
          </cell>
          <cell r="J1008" t="e">
            <v>#N/A</v>
          </cell>
          <cell r="K1008">
            <v>65</v>
          </cell>
          <cell r="L1008">
            <v>40</v>
          </cell>
          <cell r="M1008" t="e">
            <v>#N/A</v>
          </cell>
          <cell r="N1008">
            <v>52</v>
          </cell>
          <cell r="O1008" t="e">
            <v>#N/A</v>
          </cell>
          <cell r="P1008" t="str">
            <v/>
          </cell>
          <cell r="Q1008" t="str">
            <v/>
          </cell>
          <cell r="R1008" t="e">
            <v>#N/A</v>
          </cell>
        </row>
        <row r="1009">
          <cell r="A1009" t="str">
            <v/>
          </cell>
          <cell r="B1009" t="str">
            <v/>
          </cell>
          <cell r="C1009" t="str">
            <v>Future</v>
          </cell>
          <cell r="D1009" t="e">
            <v>#N/A</v>
          </cell>
          <cell r="E1009">
            <v>-43.520714285714817</v>
          </cell>
          <cell r="F1009">
            <v>72.550714285712687</v>
          </cell>
          <cell r="G1009">
            <v>27.907857142856344</v>
          </cell>
          <cell r="H1009">
            <v>27.907857142856344</v>
          </cell>
          <cell r="I1009" t="e">
            <v>#N/A</v>
          </cell>
          <cell r="J1009" t="e">
            <v>#N/A</v>
          </cell>
          <cell r="K1009">
            <v>65</v>
          </cell>
          <cell r="L1009">
            <v>40</v>
          </cell>
          <cell r="M1009" t="e">
            <v>#N/A</v>
          </cell>
          <cell r="N1009">
            <v>52</v>
          </cell>
          <cell r="O1009" t="e">
            <v>#N/A</v>
          </cell>
          <cell r="P1009" t="str">
            <v/>
          </cell>
          <cell r="Q1009" t="str">
            <v/>
          </cell>
          <cell r="R1009" t="e">
            <v>#N/A</v>
          </cell>
        </row>
        <row r="1010">
          <cell r="A1010" t="str">
            <v/>
          </cell>
          <cell r="B1010" t="str">
            <v/>
          </cell>
          <cell r="C1010" t="str">
            <v>Future</v>
          </cell>
          <cell r="D1010" t="e">
            <v>#N/A</v>
          </cell>
          <cell r="E1010">
            <v>-43.740515873016406</v>
          </cell>
          <cell r="F1010">
            <v>72.588849206347604</v>
          </cell>
          <cell r="G1010">
            <v>27.846785714284916</v>
          </cell>
          <cell r="H1010">
            <v>27.846785714284916</v>
          </cell>
          <cell r="I1010" t="e">
            <v>#N/A</v>
          </cell>
          <cell r="J1010" t="e">
            <v>#N/A</v>
          </cell>
          <cell r="K1010">
            <v>65</v>
          </cell>
          <cell r="L1010">
            <v>40</v>
          </cell>
          <cell r="M1010" t="e">
            <v>#N/A</v>
          </cell>
          <cell r="N1010">
            <v>52</v>
          </cell>
          <cell r="O1010" t="e">
            <v>#N/A</v>
          </cell>
          <cell r="P1010" t="str">
            <v/>
          </cell>
          <cell r="Q1010" t="str">
            <v/>
          </cell>
          <cell r="R1010" t="e">
            <v>#N/A</v>
          </cell>
        </row>
        <row r="1011">
          <cell r="A1011" t="str">
            <v/>
          </cell>
          <cell r="B1011" t="str">
            <v/>
          </cell>
          <cell r="C1011" t="str">
            <v>Future</v>
          </cell>
          <cell r="D1011" t="e">
            <v>#N/A</v>
          </cell>
          <cell r="E1011">
            <v>-43.960317460317995</v>
          </cell>
          <cell r="F1011">
            <v>72.626984126982521</v>
          </cell>
          <cell r="G1011">
            <v>27.785714285713489</v>
          </cell>
          <cell r="H1011">
            <v>27.785714285713489</v>
          </cell>
          <cell r="I1011" t="e">
            <v>#N/A</v>
          </cell>
          <cell r="J1011" t="e">
            <v>#N/A</v>
          </cell>
          <cell r="K1011">
            <v>65</v>
          </cell>
          <cell r="L1011">
            <v>40</v>
          </cell>
          <cell r="M1011" t="e">
            <v>#N/A</v>
          </cell>
          <cell r="N1011">
            <v>52</v>
          </cell>
          <cell r="O1011" t="e">
            <v>#N/A</v>
          </cell>
          <cell r="P1011" t="str">
            <v/>
          </cell>
          <cell r="Q1011" t="str">
            <v/>
          </cell>
          <cell r="R1011" t="e">
            <v>#N/A</v>
          </cell>
        </row>
        <row r="1012">
          <cell r="A1012" t="str">
            <v/>
          </cell>
          <cell r="B1012" t="str">
            <v/>
          </cell>
          <cell r="C1012" t="str">
            <v>Future</v>
          </cell>
          <cell r="D1012" t="e">
            <v>#N/A</v>
          </cell>
          <cell r="E1012">
            <v>-44.180119047619584</v>
          </cell>
          <cell r="F1012">
            <v>72.665119047617438</v>
          </cell>
          <cell r="G1012">
            <v>27.724642857142062</v>
          </cell>
          <cell r="H1012">
            <v>27.724642857142062</v>
          </cell>
          <cell r="I1012" t="e">
            <v>#N/A</v>
          </cell>
          <cell r="J1012" t="e">
            <v>#N/A</v>
          </cell>
          <cell r="K1012">
            <v>65</v>
          </cell>
          <cell r="L1012">
            <v>40</v>
          </cell>
          <cell r="M1012" t="e">
            <v>#N/A</v>
          </cell>
          <cell r="N1012">
            <v>52</v>
          </cell>
          <cell r="O1012" t="e">
            <v>#N/A</v>
          </cell>
          <cell r="P1012" t="str">
            <v/>
          </cell>
          <cell r="Q1012" t="str">
            <v/>
          </cell>
          <cell r="R1012" t="e">
            <v>#N/A</v>
          </cell>
        </row>
        <row r="1013">
          <cell r="A1013" t="str">
            <v/>
          </cell>
          <cell r="B1013" t="str">
            <v/>
          </cell>
          <cell r="C1013" t="str">
            <v>Future</v>
          </cell>
          <cell r="D1013" t="e">
            <v>#N/A</v>
          </cell>
          <cell r="E1013">
            <v>-44.399920634921173</v>
          </cell>
          <cell r="F1013">
            <v>72.703253968252355</v>
          </cell>
          <cell r="G1013">
            <v>27.663571428570634</v>
          </cell>
          <cell r="H1013">
            <v>27.663571428570634</v>
          </cell>
          <cell r="I1013" t="e">
            <v>#N/A</v>
          </cell>
          <cell r="J1013" t="e">
            <v>#N/A</v>
          </cell>
          <cell r="K1013">
            <v>65</v>
          </cell>
          <cell r="L1013">
            <v>40</v>
          </cell>
          <cell r="M1013" t="e">
            <v>#N/A</v>
          </cell>
          <cell r="N1013">
            <v>52</v>
          </cell>
          <cell r="O1013" t="e">
            <v>#N/A</v>
          </cell>
          <cell r="P1013" t="str">
            <v/>
          </cell>
          <cell r="Q1013" t="str">
            <v/>
          </cell>
          <cell r="R1013" t="e">
            <v>#N/A</v>
          </cell>
        </row>
        <row r="1014">
          <cell r="A1014" t="str">
            <v/>
          </cell>
          <cell r="B1014" t="str">
            <v/>
          </cell>
          <cell r="C1014" t="str">
            <v>Future</v>
          </cell>
          <cell r="D1014" t="e">
            <v>#N/A</v>
          </cell>
          <cell r="E1014">
            <v>-44.619722222222762</v>
          </cell>
          <cell r="F1014">
            <v>72.741388888887272</v>
          </cell>
          <cell r="G1014">
            <v>27.602499999999207</v>
          </cell>
          <cell r="H1014">
            <v>27.602499999999207</v>
          </cell>
          <cell r="I1014" t="e">
            <v>#N/A</v>
          </cell>
          <cell r="J1014" t="e">
            <v>#N/A</v>
          </cell>
          <cell r="K1014">
            <v>65</v>
          </cell>
          <cell r="L1014">
            <v>40</v>
          </cell>
          <cell r="M1014" t="e">
            <v>#N/A</v>
          </cell>
          <cell r="N1014">
            <v>52</v>
          </cell>
          <cell r="O1014" t="e">
            <v>#N/A</v>
          </cell>
          <cell r="P1014" t="str">
            <v/>
          </cell>
          <cell r="Q1014" t="str">
            <v/>
          </cell>
          <cell r="R1014" t="e">
            <v>#N/A</v>
          </cell>
        </row>
        <row r="1015">
          <cell r="A1015" t="str">
            <v/>
          </cell>
          <cell r="B1015" t="str">
            <v/>
          </cell>
          <cell r="C1015" t="str">
            <v>Future</v>
          </cell>
          <cell r="D1015" t="e">
            <v>#N/A</v>
          </cell>
          <cell r="E1015">
            <v>-44.839523809524351</v>
          </cell>
          <cell r="F1015">
            <v>72.779523809522189</v>
          </cell>
          <cell r="G1015">
            <v>27.54142857142778</v>
          </cell>
          <cell r="H1015">
            <v>27.54142857142778</v>
          </cell>
          <cell r="I1015" t="e">
            <v>#N/A</v>
          </cell>
          <cell r="J1015" t="e">
            <v>#N/A</v>
          </cell>
          <cell r="K1015">
            <v>65</v>
          </cell>
          <cell r="L1015">
            <v>40</v>
          </cell>
          <cell r="M1015" t="e">
            <v>#N/A</v>
          </cell>
          <cell r="N1015">
            <v>52</v>
          </cell>
          <cell r="O1015" t="e">
            <v>#N/A</v>
          </cell>
          <cell r="P1015" t="str">
            <v/>
          </cell>
          <cell r="Q1015" t="str">
            <v/>
          </cell>
          <cell r="R1015" t="e">
            <v>#N/A</v>
          </cell>
        </row>
        <row r="1016">
          <cell r="A1016" t="str">
            <v/>
          </cell>
          <cell r="B1016" t="str">
            <v/>
          </cell>
          <cell r="C1016" t="str">
            <v>Future</v>
          </cell>
          <cell r="D1016" t="e">
            <v>#N/A</v>
          </cell>
          <cell r="E1016">
            <v>-45.05932539682594</v>
          </cell>
          <cell r="F1016">
            <v>72.817658730157106</v>
          </cell>
          <cell r="G1016">
            <v>27.480357142856352</v>
          </cell>
          <cell r="H1016">
            <v>27.480357142856352</v>
          </cell>
          <cell r="I1016" t="e">
            <v>#N/A</v>
          </cell>
          <cell r="J1016" t="e">
            <v>#N/A</v>
          </cell>
          <cell r="K1016">
            <v>65</v>
          </cell>
          <cell r="L1016">
            <v>40</v>
          </cell>
          <cell r="M1016" t="e">
            <v>#N/A</v>
          </cell>
          <cell r="N1016">
            <v>52</v>
          </cell>
          <cell r="O1016" t="e">
            <v>#N/A</v>
          </cell>
          <cell r="P1016" t="str">
            <v/>
          </cell>
          <cell r="Q1016" t="str">
            <v/>
          </cell>
          <cell r="R1016" t="e">
            <v>#N/A</v>
          </cell>
        </row>
        <row r="1017">
          <cell r="A1017" t="str">
            <v/>
          </cell>
          <cell r="B1017" t="str">
            <v/>
          </cell>
          <cell r="C1017" t="str">
            <v>Future</v>
          </cell>
          <cell r="D1017" t="e">
            <v>#N/A</v>
          </cell>
          <cell r="E1017">
            <v>-45.279126984127529</v>
          </cell>
          <cell r="F1017">
            <v>72.855793650792023</v>
          </cell>
          <cell r="G1017">
            <v>27.419285714284925</v>
          </cell>
          <cell r="H1017">
            <v>27.419285714284925</v>
          </cell>
          <cell r="I1017" t="e">
            <v>#N/A</v>
          </cell>
          <cell r="J1017" t="e">
            <v>#N/A</v>
          </cell>
          <cell r="K1017">
            <v>65</v>
          </cell>
          <cell r="L1017">
            <v>40</v>
          </cell>
          <cell r="M1017" t="e">
            <v>#N/A</v>
          </cell>
          <cell r="N1017">
            <v>52</v>
          </cell>
          <cell r="O1017" t="e">
            <v>#N/A</v>
          </cell>
          <cell r="P1017" t="str">
            <v/>
          </cell>
          <cell r="Q1017" t="str">
            <v/>
          </cell>
          <cell r="R1017" t="e">
            <v>#N/A</v>
          </cell>
        </row>
        <row r="1018">
          <cell r="A1018" t="str">
            <v/>
          </cell>
          <cell r="B1018" t="str">
            <v/>
          </cell>
          <cell r="C1018" t="str">
            <v>Future</v>
          </cell>
          <cell r="D1018" t="e">
            <v>#N/A</v>
          </cell>
          <cell r="E1018">
            <v>-45.498928571429119</v>
          </cell>
          <cell r="F1018">
            <v>72.89392857142694</v>
          </cell>
          <cell r="G1018">
            <v>27.358214285713498</v>
          </cell>
          <cell r="H1018">
            <v>27.358214285713498</v>
          </cell>
          <cell r="I1018" t="e">
            <v>#N/A</v>
          </cell>
          <cell r="J1018" t="e">
            <v>#N/A</v>
          </cell>
          <cell r="K1018">
            <v>65</v>
          </cell>
          <cell r="L1018">
            <v>40</v>
          </cell>
          <cell r="M1018" t="e">
            <v>#N/A</v>
          </cell>
          <cell r="N1018">
            <v>52</v>
          </cell>
          <cell r="O1018" t="e">
            <v>#N/A</v>
          </cell>
          <cell r="P1018" t="str">
            <v/>
          </cell>
          <cell r="Q1018" t="str">
            <v/>
          </cell>
          <cell r="R1018" t="e">
            <v>#N/A</v>
          </cell>
        </row>
        <row r="1019">
          <cell r="A1019" t="str">
            <v/>
          </cell>
          <cell r="B1019" t="str">
            <v/>
          </cell>
          <cell r="C1019" t="str">
            <v>Future</v>
          </cell>
          <cell r="D1019" t="e">
            <v>#N/A</v>
          </cell>
          <cell r="E1019">
            <v>-45.718730158730708</v>
          </cell>
          <cell r="F1019">
            <v>72.932063492061857</v>
          </cell>
          <cell r="G1019">
            <v>27.29714285714207</v>
          </cell>
          <cell r="H1019">
            <v>27.29714285714207</v>
          </cell>
          <cell r="I1019" t="e">
            <v>#N/A</v>
          </cell>
          <cell r="J1019" t="e">
            <v>#N/A</v>
          </cell>
          <cell r="K1019">
            <v>65</v>
          </cell>
          <cell r="L1019">
            <v>40</v>
          </cell>
          <cell r="M1019" t="e">
            <v>#N/A</v>
          </cell>
          <cell r="N1019">
            <v>52</v>
          </cell>
          <cell r="O1019" t="e">
            <v>#N/A</v>
          </cell>
          <cell r="P1019" t="str">
            <v/>
          </cell>
          <cell r="Q1019" t="str">
            <v/>
          </cell>
          <cell r="R1019" t="e">
            <v>#N/A</v>
          </cell>
        </row>
        <row r="1020">
          <cell r="A1020" t="str">
            <v/>
          </cell>
          <cell r="B1020" t="str">
            <v/>
          </cell>
          <cell r="C1020" t="str">
            <v>Future</v>
          </cell>
          <cell r="D1020" t="e">
            <v>#N/A</v>
          </cell>
          <cell r="E1020">
            <v>-45.938531746032297</v>
          </cell>
          <cell r="F1020">
            <v>72.970198412696774</v>
          </cell>
          <cell r="G1020">
            <v>27.236071428570643</v>
          </cell>
          <cell r="H1020">
            <v>27.236071428570643</v>
          </cell>
          <cell r="I1020" t="e">
            <v>#N/A</v>
          </cell>
          <cell r="J1020" t="e">
            <v>#N/A</v>
          </cell>
          <cell r="K1020">
            <v>65</v>
          </cell>
          <cell r="L1020">
            <v>40</v>
          </cell>
          <cell r="M1020" t="e">
            <v>#N/A</v>
          </cell>
          <cell r="N1020">
            <v>52</v>
          </cell>
          <cell r="O1020" t="e">
            <v>#N/A</v>
          </cell>
          <cell r="P1020" t="str">
            <v/>
          </cell>
          <cell r="Q1020" t="str">
            <v/>
          </cell>
          <cell r="R1020" t="e">
            <v>#N/A</v>
          </cell>
        </row>
        <row r="1021">
          <cell r="A1021" t="str">
            <v/>
          </cell>
          <cell r="B1021" t="str">
            <v/>
          </cell>
          <cell r="C1021" t="str">
            <v>Future</v>
          </cell>
          <cell r="D1021" t="e">
            <v>#N/A</v>
          </cell>
          <cell r="E1021">
            <v>-46.158333333333886</v>
          </cell>
          <cell r="F1021">
            <v>73.008333333331692</v>
          </cell>
          <cell r="G1021">
            <v>27.174999999999216</v>
          </cell>
          <cell r="H1021">
            <v>27.174999999999216</v>
          </cell>
          <cell r="I1021" t="e">
            <v>#N/A</v>
          </cell>
          <cell r="J1021" t="e">
            <v>#N/A</v>
          </cell>
          <cell r="K1021">
            <v>65</v>
          </cell>
          <cell r="L1021">
            <v>40</v>
          </cell>
          <cell r="M1021" t="e">
            <v>#N/A</v>
          </cell>
          <cell r="N1021">
            <v>52</v>
          </cell>
          <cell r="O1021" t="e">
            <v>#N/A</v>
          </cell>
          <cell r="P1021" t="str">
            <v/>
          </cell>
          <cell r="Q1021" t="str">
            <v/>
          </cell>
          <cell r="R1021" t="e">
            <v>#N/A</v>
          </cell>
        </row>
        <row r="1022">
          <cell r="A1022" t="str">
            <v/>
          </cell>
          <cell r="B1022" t="str">
            <v/>
          </cell>
          <cell r="C1022" t="str">
            <v>Future</v>
          </cell>
          <cell r="D1022" t="e">
            <v>#N/A</v>
          </cell>
          <cell r="E1022">
            <v>-46.378134920635475</v>
          </cell>
          <cell r="F1022">
            <v>73.046468253966609</v>
          </cell>
          <cell r="G1022">
            <v>27.113928571427788</v>
          </cell>
          <cell r="H1022">
            <v>27.113928571427788</v>
          </cell>
          <cell r="I1022" t="e">
            <v>#N/A</v>
          </cell>
          <cell r="J1022" t="e">
            <v>#N/A</v>
          </cell>
          <cell r="K1022">
            <v>65</v>
          </cell>
          <cell r="L1022">
            <v>40</v>
          </cell>
          <cell r="M1022" t="e">
            <v>#N/A</v>
          </cell>
          <cell r="N1022">
            <v>52</v>
          </cell>
          <cell r="O1022" t="e">
            <v>#N/A</v>
          </cell>
          <cell r="P1022" t="str">
            <v/>
          </cell>
          <cell r="Q1022" t="str">
            <v/>
          </cell>
          <cell r="R1022" t="e">
            <v>#N/A</v>
          </cell>
        </row>
        <row r="1023">
          <cell r="A1023" t="str">
            <v/>
          </cell>
          <cell r="B1023" t="str">
            <v/>
          </cell>
          <cell r="C1023" t="str">
            <v>Future</v>
          </cell>
          <cell r="D1023" t="e">
            <v>#N/A</v>
          </cell>
          <cell r="E1023">
            <v>-46.597936507937064</v>
          </cell>
          <cell r="F1023">
            <v>73.084603174601526</v>
          </cell>
          <cell r="G1023">
            <v>27.052857142856361</v>
          </cell>
          <cell r="H1023">
            <v>27.052857142856361</v>
          </cell>
          <cell r="I1023" t="e">
            <v>#N/A</v>
          </cell>
          <cell r="J1023" t="e">
            <v>#N/A</v>
          </cell>
          <cell r="K1023">
            <v>65</v>
          </cell>
          <cell r="L1023">
            <v>40</v>
          </cell>
          <cell r="M1023" t="e">
            <v>#N/A</v>
          </cell>
          <cell r="N1023">
            <v>52</v>
          </cell>
          <cell r="O1023" t="e">
            <v>#N/A</v>
          </cell>
          <cell r="P1023" t="str">
            <v/>
          </cell>
          <cell r="Q1023" t="str">
            <v/>
          </cell>
          <cell r="R1023" t="e">
            <v>#N/A</v>
          </cell>
        </row>
        <row r="1024">
          <cell r="A1024" t="str">
            <v/>
          </cell>
          <cell r="B1024" t="str">
            <v/>
          </cell>
          <cell r="C1024" t="str">
            <v>Future</v>
          </cell>
          <cell r="D1024" t="e">
            <v>#N/A</v>
          </cell>
          <cell r="E1024">
            <v>-46.817738095238653</v>
          </cell>
          <cell r="F1024">
            <v>73.122738095236443</v>
          </cell>
          <cell r="G1024">
            <v>26.991785714284934</v>
          </cell>
          <cell r="H1024">
            <v>26.991785714284934</v>
          </cell>
          <cell r="I1024" t="e">
            <v>#N/A</v>
          </cell>
          <cell r="J1024" t="e">
            <v>#N/A</v>
          </cell>
          <cell r="K1024">
            <v>65</v>
          </cell>
          <cell r="L1024">
            <v>40</v>
          </cell>
          <cell r="M1024" t="e">
            <v>#N/A</v>
          </cell>
          <cell r="N1024">
            <v>52</v>
          </cell>
          <cell r="O1024" t="e">
            <v>#N/A</v>
          </cell>
          <cell r="P1024" t="str">
            <v/>
          </cell>
          <cell r="Q1024" t="str">
            <v/>
          </cell>
          <cell r="R1024" t="e">
            <v>#N/A</v>
          </cell>
        </row>
        <row r="1025">
          <cell r="A1025" t="str">
            <v/>
          </cell>
          <cell r="B1025" t="str">
            <v/>
          </cell>
          <cell r="C1025" t="str">
            <v>Future</v>
          </cell>
          <cell r="D1025" t="e">
            <v>#N/A</v>
          </cell>
          <cell r="E1025">
            <v>-47.037539682540242</v>
          </cell>
          <cell r="F1025">
            <v>73.16087301587136</v>
          </cell>
          <cell r="G1025">
            <v>26.930714285713506</v>
          </cell>
          <cell r="H1025">
            <v>26.930714285713506</v>
          </cell>
          <cell r="I1025" t="e">
            <v>#N/A</v>
          </cell>
          <cell r="J1025" t="e">
            <v>#N/A</v>
          </cell>
          <cell r="K1025">
            <v>65</v>
          </cell>
          <cell r="L1025">
            <v>40</v>
          </cell>
          <cell r="M1025" t="e">
            <v>#N/A</v>
          </cell>
          <cell r="N1025">
            <v>52</v>
          </cell>
          <cell r="O1025" t="e">
            <v>#N/A</v>
          </cell>
          <cell r="P1025" t="str">
            <v/>
          </cell>
          <cell r="Q1025" t="str">
            <v/>
          </cell>
          <cell r="R1025" t="e">
            <v>#N/A</v>
          </cell>
        </row>
        <row r="1026">
          <cell r="A1026" t="str">
            <v/>
          </cell>
          <cell r="B1026" t="str">
            <v/>
          </cell>
          <cell r="C1026" t="str">
            <v>Future</v>
          </cell>
          <cell r="D1026" t="e">
            <v>#N/A</v>
          </cell>
          <cell r="E1026">
            <v>-47.257341269841831</v>
          </cell>
          <cell r="F1026">
            <v>73.199007936506277</v>
          </cell>
          <cell r="G1026">
            <v>26.869642857142079</v>
          </cell>
          <cell r="H1026">
            <v>26.869642857142079</v>
          </cell>
          <cell r="I1026" t="e">
            <v>#N/A</v>
          </cell>
          <cell r="J1026" t="e">
            <v>#N/A</v>
          </cell>
          <cell r="K1026">
            <v>65</v>
          </cell>
          <cell r="L1026">
            <v>40</v>
          </cell>
          <cell r="M1026" t="e">
            <v>#N/A</v>
          </cell>
          <cell r="N1026">
            <v>52</v>
          </cell>
          <cell r="O1026" t="e">
            <v>#N/A</v>
          </cell>
          <cell r="P1026" t="str">
            <v/>
          </cell>
          <cell r="Q1026" t="str">
            <v/>
          </cell>
          <cell r="R1026" t="e">
            <v>#N/A</v>
          </cell>
        </row>
        <row r="1027">
          <cell r="A1027" t="str">
            <v/>
          </cell>
          <cell r="B1027" t="str">
            <v/>
          </cell>
          <cell r="C1027" t="str">
            <v>Future</v>
          </cell>
          <cell r="D1027" t="e">
            <v>#N/A</v>
          </cell>
          <cell r="E1027">
            <v>-47.47714285714342</v>
          </cell>
          <cell r="F1027">
            <v>73.237142857141194</v>
          </cell>
          <cell r="G1027">
            <v>26.808571428570652</v>
          </cell>
          <cell r="H1027">
            <v>26.808571428570652</v>
          </cell>
          <cell r="I1027" t="e">
            <v>#N/A</v>
          </cell>
          <cell r="J1027" t="e">
            <v>#N/A</v>
          </cell>
          <cell r="K1027">
            <v>65</v>
          </cell>
          <cell r="L1027">
            <v>40</v>
          </cell>
          <cell r="M1027" t="e">
            <v>#N/A</v>
          </cell>
          <cell r="N1027">
            <v>52</v>
          </cell>
          <cell r="O1027" t="e">
            <v>#N/A</v>
          </cell>
          <cell r="P1027" t="str">
            <v/>
          </cell>
          <cell r="Q1027" t="str">
            <v/>
          </cell>
          <cell r="R1027" t="e">
            <v>#N/A</v>
          </cell>
        </row>
        <row r="1028">
          <cell r="A1028" t="str">
            <v/>
          </cell>
          <cell r="B1028" t="str">
            <v/>
          </cell>
          <cell r="C1028" t="str">
            <v>Future</v>
          </cell>
          <cell r="D1028" t="e">
            <v>#N/A</v>
          </cell>
          <cell r="E1028">
            <v>-47.696944444445009</v>
          </cell>
          <cell r="F1028">
            <v>73.275277777776111</v>
          </cell>
          <cell r="G1028">
            <v>26.747499999999224</v>
          </cell>
          <cell r="H1028">
            <v>26.747499999999224</v>
          </cell>
          <cell r="I1028" t="e">
            <v>#N/A</v>
          </cell>
          <cell r="J1028" t="e">
            <v>#N/A</v>
          </cell>
          <cell r="K1028">
            <v>65</v>
          </cell>
          <cell r="L1028">
            <v>40</v>
          </cell>
          <cell r="M1028" t="e">
            <v>#N/A</v>
          </cell>
          <cell r="N1028">
            <v>52</v>
          </cell>
          <cell r="O1028" t="e">
            <v>#N/A</v>
          </cell>
          <cell r="P1028" t="str">
            <v/>
          </cell>
          <cell r="Q1028" t="str">
            <v/>
          </cell>
          <cell r="R1028" t="e">
            <v>#N/A</v>
          </cell>
        </row>
        <row r="1029">
          <cell r="A1029" t="str">
            <v/>
          </cell>
          <cell r="B1029" t="str">
            <v/>
          </cell>
          <cell r="C1029" t="str">
            <v>Future</v>
          </cell>
          <cell r="D1029" t="e">
            <v>#N/A</v>
          </cell>
          <cell r="E1029">
            <v>-47.916746031746598</v>
          </cell>
          <cell r="F1029">
            <v>73.313412698411028</v>
          </cell>
          <cell r="G1029">
            <v>26.686428571427797</v>
          </cell>
          <cell r="H1029">
            <v>26.686428571427797</v>
          </cell>
          <cell r="I1029" t="e">
            <v>#N/A</v>
          </cell>
          <cell r="J1029" t="e">
            <v>#N/A</v>
          </cell>
          <cell r="K1029">
            <v>65</v>
          </cell>
          <cell r="L1029">
            <v>40</v>
          </cell>
          <cell r="M1029" t="e">
            <v>#N/A</v>
          </cell>
          <cell r="N1029">
            <v>52</v>
          </cell>
          <cell r="O1029" t="e">
            <v>#N/A</v>
          </cell>
          <cell r="P1029" t="str">
            <v/>
          </cell>
          <cell r="Q1029" t="str">
            <v/>
          </cell>
          <cell r="R1029" t="e">
            <v>#N/A</v>
          </cell>
        </row>
        <row r="1030">
          <cell r="A1030" t="str">
            <v/>
          </cell>
          <cell r="B1030" t="str">
            <v/>
          </cell>
          <cell r="C1030" t="str">
            <v>Future</v>
          </cell>
          <cell r="D1030" t="e">
            <v>#N/A</v>
          </cell>
          <cell r="E1030">
            <v>-48.136547619048187</v>
          </cell>
          <cell r="F1030">
            <v>73.351547619045945</v>
          </cell>
          <cell r="G1030">
            <v>26.62535714285637</v>
          </cell>
          <cell r="H1030">
            <v>26.62535714285637</v>
          </cell>
          <cell r="I1030" t="e">
            <v>#N/A</v>
          </cell>
          <cell r="J1030" t="e">
            <v>#N/A</v>
          </cell>
          <cell r="K1030">
            <v>65</v>
          </cell>
          <cell r="L1030">
            <v>40</v>
          </cell>
          <cell r="M1030" t="e">
            <v>#N/A</v>
          </cell>
          <cell r="N1030">
            <v>52</v>
          </cell>
          <cell r="O1030" t="e">
            <v>#N/A</v>
          </cell>
          <cell r="P1030" t="str">
            <v/>
          </cell>
          <cell r="Q1030" t="str">
            <v/>
          </cell>
          <cell r="R1030" t="e">
            <v>#N/A</v>
          </cell>
        </row>
        <row r="1031">
          <cell r="A1031" t="str">
            <v/>
          </cell>
          <cell r="B1031" t="str">
            <v/>
          </cell>
          <cell r="C1031" t="str">
            <v>Future</v>
          </cell>
          <cell r="D1031" t="e">
            <v>#N/A</v>
          </cell>
          <cell r="E1031">
            <v>-48.356349206349776</v>
          </cell>
          <cell r="F1031">
            <v>73.389682539680862</v>
          </cell>
          <cell r="G1031">
            <v>26.564285714284942</v>
          </cell>
          <cell r="H1031">
            <v>26.564285714284942</v>
          </cell>
          <cell r="I1031" t="e">
            <v>#N/A</v>
          </cell>
          <cell r="J1031" t="e">
            <v>#N/A</v>
          </cell>
          <cell r="K1031">
            <v>65</v>
          </cell>
          <cell r="L1031">
            <v>40</v>
          </cell>
          <cell r="M1031" t="e">
            <v>#N/A</v>
          </cell>
          <cell r="N1031">
            <v>52</v>
          </cell>
          <cell r="O1031" t="e">
            <v>#N/A</v>
          </cell>
          <cell r="P1031" t="str">
            <v/>
          </cell>
          <cell r="Q1031" t="str">
            <v/>
          </cell>
          <cell r="R1031" t="e">
            <v>#N/A</v>
          </cell>
        </row>
        <row r="1032">
          <cell r="A1032" t="str">
            <v/>
          </cell>
          <cell r="B1032" t="str">
            <v/>
          </cell>
          <cell r="C1032" t="str">
            <v>Future</v>
          </cell>
          <cell r="D1032" t="e">
            <v>#N/A</v>
          </cell>
          <cell r="E1032">
            <v>-48.576150793651365</v>
          </cell>
          <cell r="F1032">
            <v>73.427817460315779</v>
          </cell>
          <cell r="G1032">
            <v>26.503214285713515</v>
          </cell>
          <cell r="H1032">
            <v>26.503214285713515</v>
          </cell>
          <cell r="I1032" t="e">
            <v>#N/A</v>
          </cell>
          <cell r="J1032" t="e">
            <v>#N/A</v>
          </cell>
          <cell r="K1032">
            <v>65</v>
          </cell>
          <cell r="L1032">
            <v>40</v>
          </cell>
          <cell r="M1032" t="e">
            <v>#N/A</v>
          </cell>
          <cell r="N1032">
            <v>52</v>
          </cell>
          <cell r="O1032" t="e">
            <v>#N/A</v>
          </cell>
          <cell r="P1032" t="str">
            <v/>
          </cell>
          <cell r="Q1032" t="str">
            <v/>
          </cell>
          <cell r="R1032" t="e">
            <v>#N/A</v>
          </cell>
        </row>
        <row r="1033">
          <cell r="A1033" t="str">
            <v/>
          </cell>
          <cell r="B1033" t="str">
            <v/>
          </cell>
          <cell r="C1033" t="str">
            <v>Future</v>
          </cell>
          <cell r="D1033" t="e">
            <v>#N/A</v>
          </cell>
          <cell r="E1033">
            <v>-48.795952380952954</v>
          </cell>
          <cell r="F1033">
            <v>73.465952380950696</v>
          </cell>
          <cell r="G1033">
            <v>26.442142857142088</v>
          </cell>
          <cell r="H1033">
            <v>26.442142857142088</v>
          </cell>
          <cell r="I1033" t="e">
            <v>#N/A</v>
          </cell>
          <cell r="J1033" t="e">
            <v>#N/A</v>
          </cell>
          <cell r="K1033">
            <v>65</v>
          </cell>
          <cell r="L1033">
            <v>40</v>
          </cell>
          <cell r="M1033" t="e">
            <v>#N/A</v>
          </cell>
          <cell r="N1033">
            <v>52</v>
          </cell>
          <cell r="O1033" t="e">
            <v>#N/A</v>
          </cell>
          <cell r="P1033" t="str">
            <v/>
          </cell>
          <cell r="Q1033" t="str">
            <v/>
          </cell>
          <cell r="R1033" t="e">
            <v>#N/A</v>
          </cell>
        </row>
        <row r="1034">
          <cell r="A1034" t="str">
            <v/>
          </cell>
          <cell r="B1034" t="str">
            <v/>
          </cell>
          <cell r="C1034" t="str">
            <v>Future</v>
          </cell>
          <cell r="D1034" t="e">
            <v>#N/A</v>
          </cell>
          <cell r="E1034">
            <v>-49.015753968254543</v>
          </cell>
          <cell r="F1034">
            <v>73.504087301585614</v>
          </cell>
          <cell r="G1034">
            <v>26.38107142857066</v>
          </cell>
          <cell r="H1034">
            <v>26.38107142857066</v>
          </cell>
          <cell r="I1034" t="e">
            <v>#N/A</v>
          </cell>
          <cell r="J1034" t="e">
            <v>#N/A</v>
          </cell>
          <cell r="K1034">
            <v>65</v>
          </cell>
          <cell r="L1034">
            <v>40</v>
          </cell>
          <cell r="M1034" t="e">
            <v>#N/A</v>
          </cell>
          <cell r="N1034">
            <v>52</v>
          </cell>
          <cell r="O1034" t="e">
            <v>#N/A</v>
          </cell>
          <cell r="P1034" t="str">
            <v/>
          </cell>
          <cell r="Q1034" t="str">
            <v/>
          </cell>
          <cell r="R1034" t="e">
            <v>#N/A</v>
          </cell>
        </row>
        <row r="1035">
          <cell r="A1035" t="str">
            <v/>
          </cell>
          <cell r="B1035" t="str">
            <v/>
          </cell>
          <cell r="C1035" t="str">
            <v>Future</v>
          </cell>
          <cell r="D1035" t="e">
            <v>#N/A</v>
          </cell>
          <cell r="E1035">
            <v>-49.235555555556132</v>
          </cell>
          <cell r="F1035">
            <v>73.542222222220531</v>
          </cell>
          <cell r="G1035">
            <v>26.319999999999233</v>
          </cell>
          <cell r="H1035">
            <v>26.319999999999233</v>
          </cell>
          <cell r="I1035" t="e">
            <v>#N/A</v>
          </cell>
          <cell r="J1035" t="e">
            <v>#N/A</v>
          </cell>
          <cell r="K1035">
            <v>65</v>
          </cell>
          <cell r="L1035">
            <v>40</v>
          </cell>
          <cell r="M1035" t="e">
            <v>#N/A</v>
          </cell>
          <cell r="N1035">
            <v>52</v>
          </cell>
          <cell r="O1035" t="e">
            <v>#N/A</v>
          </cell>
          <cell r="P1035" t="str">
            <v/>
          </cell>
          <cell r="Q1035" t="str">
            <v/>
          </cell>
          <cell r="R1035" t="e">
            <v>#N/A</v>
          </cell>
        </row>
        <row r="1036">
          <cell r="A1036" t="str">
            <v/>
          </cell>
          <cell r="B1036" t="str">
            <v/>
          </cell>
          <cell r="C1036" t="str">
            <v>Future</v>
          </cell>
          <cell r="D1036" t="e">
            <v>#N/A</v>
          </cell>
          <cell r="E1036">
            <v>-49.455357142857721</v>
          </cell>
          <cell r="F1036">
            <v>73.580357142855448</v>
          </cell>
          <cell r="G1036">
            <v>26.258928571427806</v>
          </cell>
          <cell r="H1036">
            <v>26.258928571427806</v>
          </cell>
          <cell r="I1036" t="e">
            <v>#N/A</v>
          </cell>
          <cell r="J1036" t="e">
            <v>#N/A</v>
          </cell>
          <cell r="K1036">
            <v>65</v>
          </cell>
          <cell r="L1036">
            <v>40</v>
          </cell>
          <cell r="M1036" t="e">
            <v>#N/A</v>
          </cell>
          <cell r="N1036">
            <v>52</v>
          </cell>
          <cell r="O1036" t="e">
            <v>#N/A</v>
          </cell>
          <cell r="P1036" t="str">
            <v/>
          </cell>
          <cell r="Q1036" t="str">
            <v/>
          </cell>
          <cell r="R1036" t="e">
            <v>#N/A</v>
          </cell>
        </row>
        <row r="1037">
          <cell r="A1037" t="str">
            <v/>
          </cell>
          <cell r="B1037" t="str">
            <v/>
          </cell>
          <cell r="C1037" t="str">
            <v>Future</v>
          </cell>
          <cell r="D1037" t="e">
            <v>#N/A</v>
          </cell>
          <cell r="E1037">
            <v>-49.67515873015931</v>
          </cell>
          <cell r="F1037">
            <v>73.618492063490365</v>
          </cell>
          <cell r="G1037">
            <v>26.197857142856378</v>
          </cell>
          <cell r="H1037">
            <v>26.197857142856378</v>
          </cell>
          <cell r="I1037" t="e">
            <v>#N/A</v>
          </cell>
          <cell r="J1037" t="e">
            <v>#N/A</v>
          </cell>
          <cell r="K1037">
            <v>65</v>
          </cell>
          <cell r="L1037">
            <v>40</v>
          </cell>
          <cell r="M1037" t="e">
            <v>#N/A</v>
          </cell>
          <cell r="N1037">
            <v>52</v>
          </cell>
          <cell r="O1037" t="e">
            <v>#N/A</v>
          </cell>
          <cell r="P1037" t="str">
            <v/>
          </cell>
          <cell r="Q1037" t="str">
            <v/>
          </cell>
          <cell r="R1037" t="e">
            <v>#N/A</v>
          </cell>
        </row>
        <row r="1038">
          <cell r="A1038" t="str">
            <v/>
          </cell>
          <cell r="B1038" t="str">
            <v/>
          </cell>
          <cell r="C1038" t="str">
            <v>Future</v>
          </cell>
          <cell r="D1038" t="e">
            <v>#N/A</v>
          </cell>
          <cell r="E1038">
            <v>-49.8949603174609</v>
          </cell>
          <cell r="F1038">
            <v>73.656626984125282</v>
          </cell>
          <cell r="G1038">
            <v>26.136785714284951</v>
          </cell>
          <cell r="H1038">
            <v>26.136785714284951</v>
          </cell>
          <cell r="I1038" t="e">
            <v>#N/A</v>
          </cell>
          <cell r="J1038" t="e">
            <v>#N/A</v>
          </cell>
          <cell r="K1038">
            <v>65</v>
          </cell>
          <cell r="L1038">
            <v>40</v>
          </cell>
          <cell r="M1038" t="e">
            <v>#N/A</v>
          </cell>
          <cell r="N1038">
            <v>52</v>
          </cell>
          <cell r="O1038" t="e">
            <v>#N/A</v>
          </cell>
          <cell r="P1038" t="str">
            <v/>
          </cell>
          <cell r="Q1038" t="str">
            <v/>
          </cell>
          <cell r="R1038" t="e">
            <v>#N/A</v>
          </cell>
        </row>
        <row r="1039">
          <cell r="A1039" t="str">
            <v/>
          </cell>
          <cell r="B1039" t="str">
            <v/>
          </cell>
          <cell r="C1039" t="str">
            <v>Future</v>
          </cell>
          <cell r="D1039" t="e">
            <v>#N/A</v>
          </cell>
          <cell r="E1039">
            <v>-50.114761904762489</v>
          </cell>
          <cell r="F1039">
            <v>73.694761904760199</v>
          </cell>
          <cell r="G1039">
            <v>26.075714285713524</v>
          </cell>
          <cell r="H1039">
            <v>26.075714285713524</v>
          </cell>
          <cell r="I1039" t="e">
            <v>#N/A</v>
          </cell>
          <cell r="J1039" t="e">
            <v>#N/A</v>
          </cell>
          <cell r="K1039">
            <v>65</v>
          </cell>
          <cell r="L1039">
            <v>40</v>
          </cell>
          <cell r="M1039" t="e">
            <v>#N/A</v>
          </cell>
          <cell r="N1039">
            <v>52</v>
          </cell>
          <cell r="O1039" t="e">
            <v>#N/A</v>
          </cell>
          <cell r="P1039" t="str">
            <v/>
          </cell>
          <cell r="Q1039" t="str">
            <v/>
          </cell>
          <cell r="R1039" t="e">
            <v>#N/A</v>
          </cell>
        </row>
        <row r="1040">
          <cell r="A1040" t="str">
            <v/>
          </cell>
          <cell r="B1040" t="str">
            <v/>
          </cell>
          <cell r="C1040" t="str">
            <v>Future</v>
          </cell>
          <cell r="D1040" t="e">
            <v>#N/A</v>
          </cell>
          <cell r="E1040">
            <v>-50.334563492064078</v>
          </cell>
          <cell r="F1040">
            <v>73.732896825395116</v>
          </cell>
          <cell r="G1040">
            <v>26.014642857142096</v>
          </cell>
          <cell r="H1040">
            <v>26.014642857142096</v>
          </cell>
          <cell r="I1040" t="e">
            <v>#N/A</v>
          </cell>
          <cell r="J1040" t="e">
            <v>#N/A</v>
          </cell>
          <cell r="K1040">
            <v>65</v>
          </cell>
          <cell r="L1040">
            <v>40</v>
          </cell>
          <cell r="M1040" t="e">
            <v>#N/A</v>
          </cell>
          <cell r="N1040">
            <v>52</v>
          </cell>
          <cell r="O1040" t="e">
            <v>#N/A</v>
          </cell>
          <cell r="P1040" t="str">
            <v/>
          </cell>
          <cell r="Q1040" t="str">
            <v/>
          </cell>
          <cell r="R1040" t="e">
            <v>#N/A</v>
          </cell>
        </row>
        <row r="1041">
          <cell r="A1041" t="str">
            <v/>
          </cell>
          <cell r="B1041" t="str">
            <v/>
          </cell>
          <cell r="C1041" t="str">
            <v>Future</v>
          </cell>
          <cell r="D1041" t="e">
            <v>#N/A</v>
          </cell>
          <cell r="E1041">
            <v>-50.554365079365667</v>
          </cell>
          <cell r="F1041">
            <v>73.771031746030033</v>
          </cell>
          <cell r="G1041">
            <v>25.953571428570669</v>
          </cell>
          <cell r="H1041">
            <v>25.953571428570669</v>
          </cell>
          <cell r="I1041" t="e">
            <v>#N/A</v>
          </cell>
          <cell r="J1041" t="e">
            <v>#N/A</v>
          </cell>
          <cell r="K1041">
            <v>65</v>
          </cell>
          <cell r="L1041">
            <v>40</v>
          </cell>
          <cell r="M1041" t="e">
            <v>#N/A</v>
          </cell>
          <cell r="N1041">
            <v>52</v>
          </cell>
          <cell r="O1041" t="e">
            <v>#N/A</v>
          </cell>
          <cell r="P1041" t="str">
            <v/>
          </cell>
          <cell r="Q1041" t="str">
            <v/>
          </cell>
          <cell r="R1041" t="e">
            <v>#N/A</v>
          </cell>
        </row>
        <row r="1042">
          <cell r="A1042" t="str">
            <v/>
          </cell>
          <cell r="B1042" t="str">
            <v/>
          </cell>
          <cell r="C1042" t="str">
            <v>Future</v>
          </cell>
          <cell r="D1042" t="e">
            <v>#N/A</v>
          </cell>
          <cell r="E1042">
            <v>-50.774166666667256</v>
          </cell>
          <cell r="F1042">
            <v>73.80916666666495</v>
          </cell>
          <cell r="G1042">
            <v>25.892499999999242</v>
          </cell>
          <cell r="H1042">
            <v>25.892499999999242</v>
          </cell>
          <cell r="I1042" t="e">
            <v>#N/A</v>
          </cell>
          <cell r="J1042" t="e">
            <v>#N/A</v>
          </cell>
          <cell r="K1042">
            <v>65</v>
          </cell>
          <cell r="L1042">
            <v>40</v>
          </cell>
          <cell r="M1042" t="e">
            <v>#N/A</v>
          </cell>
          <cell r="N1042">
            <v>52</v>
          </cell>
          <cell r="O1042" t="e">
            <v>#N/A</v>
          </cell>
          <cell r="P1042" t="str">
            <v/>
          </cell>
          <cell r="Q1042" t="str">
            <v/>
          </cell>
          <cell r="R1042" t="e">
            <v>#N/A</v>
          </cell>
        </row>
        <row r="1043">
          <cell r="A1043" t="str">
            <v/>
          </cell>
          <cell r="B1043" t="str">
            <v/>
          </cell>
          <cell r="C1043" t="str">
            <v>Future</v>
          </cell>
          <cell r="D1043" t="e">
            <v>#N/A</v>
          </cell>
          <cell r="E1043">
            <v>-50.993968253968845</v>
          </cell>
          <cell r="F1043">
            <v>73.847301587299867</v>
          </cell>
          <cell r="G1043">
            <v>25.831428571427814</v>
          </cell>
          <cell r="H1043">
            <v>25.831428571427814</v>
          </cell>
          <cell r="I1043" t="e">
            <v>#N/A</v>
          </cell>
          <cell r="J1043" t="e">
            <v>#N/A</v>
          </cell>
          <cell r="K1043">
            <v>65</v>
          </cell>
          <cell r="L1043">
            <v>40</v>
          </cell>
          <cell r="M1043" t="e">
            <v>#N/A</v>
          </cell>
          <cell r="N1043">
            <v>52</v>
          </cell>
          <cell r="O1043" t="e">
            <v>#N/A</v>
          </cell>
          <cell r="P1043" t="str">
            <v/>
          </cell>
          <cell r="Q1043" t="str">
            <v/>
          </cell>
          <cell r="R1043" t="e">
            <v>#N/A</v>
          </cell>
        </row>
        <row r="1044">
          <cell r="A1044" t="str">
            <v/>
          </cell>
          <cell r="B1044" t="str">
            <v/>
          </cell>
          <cell r="C1044" t="str">
            <v>Future</v>
          </cell>
          <cell r="D1044" t="e">
            <v>#N/A</v>
          </cell>
          <cell r="E1044">
            <v>-51.213769841270434</v>
          </cell>
          <cell r="F1044">
            <v>73.885436507934784</v>
          </cell>
          <cell r="G1044">
            <v>25.770357142856387</v>
          </cell>
          <cell r="H1044">
            <v>25.770357142856387</v>
          </cell>
          <cell r="I1044" t="e">
            <v>#N/A</v>
          </cell>
          <cell r="J1044" t="e">
            <v>#N/A</v>
          </cell>
          <cell r="K1044">
            <v>65</v>
          </cell>
          <cell r="L1044">
            <v>40</v>
          </cell>
          <cell r="M1044" t="e">
            <v>#N/A</v>
          </cell>
          <cell r="N1044">
            <v>52</v>
          </cell>
          <cell r="O1044" t="e">
            <v>#N/A</v>
          </cell>
          <cell r="P1044" t="str">
            <v/>
          </cell>
          <cell r="Q1044" t="str">
            <v/>
          </cell>
          <cell r="R1044" t="e">
            <v>#N/A</v>
          </cell>
        </row>
        <row r="1045">
          <cell r="A1045" t="str">
            <v/>
          </cell>
          <cell r="B1045" t="str">
            <v/>
          </cell>
          <cell r="C1045" t="str">
            <v>Future</v>
          </cell>
          <cell r="D1045" t="e">
            <v>#N/A</v>
          </cell>
          <cell r="E1045">
            <v>-51.433571428572023</v>
          </cell>
          <cell r="F1045">
            <v>73.923571428569701</v>
          </cell>
          <cell r="G1045">
            <v>25.70928571428496</v>
          </cell>
          <cell r="H1045">
            <v>25.70928571428496</v>
          </cell>
          <cell r="I1045" t="e">
            <v>#N/A</v>
          </cell>
          <cell r="J1045" t="e">
            <v>#N/A</v>
          </cell>
          <cell r="K1045">
            <v>65</v>
          </cell>
          <cell r="L1045">
            <v>40</v>
          </cell>
          <cell r="M1045" t="e">
            <v>#N/A</v>
          </cell>
          <cell r="N1045">
            <v>52</v>
          </cell>
          <cell r="O1045" t="e">
            <v>#N/A</v>
          </cell>
          <cell r="P1045" t="str">
            <v/>
          </cell>
          <cell r="Q1045" t="str">
            <v/>
          </cell>
          <cell r="R1045" t="e">
            <v>#N/A</v>
          </cell>
        </row>
        <row r="1046">
          <cell r="A1046" t="str">
            <v/>
          </cell>
          <cell r="B1046" t="str">
            <v/>
          </cell>
          <cell r="C1046" t="str">
            <v>Future</v>
          </cell>
          <cell r="D1046" t="e">
            <v>#N/A</v>
          </cell>
          <cell r="E1046">
            <v>-51.653373015873612</v>
          </cell>
          <cell r="F1046">
            <v>73.961706349204619</v>
          </cell>
          <cell r="G1046">
            <v>25.648214285713532</v>
          </cell>
          <cell r="H1046">
            <v>25.648214285713532</v>
          </cell>
          <cell r="I1046" t="e">
            <v>#N/A</v>
          </cell>
          <cell r="J1046" t="e">
            <v>#N/A</v>
          </cell>
          <cell r="K1046">
            <v>65</v>
          </cell>
          <cell r="L1046">
            <v>40</v>
          </cell>
          <cell r="M1046" t="e">
            <v>#N/A</v>
          </cell>
          <cell r="N1046">
            <v>52</v>
          </cell>
          <cell r="O1046" t="e">
            <v>#N/A</v>
          </cell>
          <cell r="P1046" t="str">
            <v/>
          </cell>
          <cell r="Q1046" t="str">
            <v/>
          </cell>
          <cell r="R1046" t="e">
            <v>#N/A</v>
          </cell>
        </row>
        <row r="1047">
          <cell r="A1047" t="str">
            <v/>
          </cell>
          <cell r="B1047" t="str">
            <v/>
          </cell>
          <cell r="C1047" t="str">
            <v>Future</v>
          </cell>
          <cell r="D1047" t="e">
            <v>#N/A</v>
          </cell>
          <cell r="E1047">
            <v>-51.873174603175201</v>
          </cell>
          <cell r="F1047">
            <v>73.999841269839536</v>
          </cell>
          <cell r="G1047">
            <v>25.587142857142105</v>
          </cell>
          <cell r="H1047">
            <v>25.587142857142105</v>
          </cell>
          <cell r="I1047" t="e">
            <v>#N/A</v>
          </cell>
          <cell r="J1047" t="e">
            <v>#N/A</v>
          </cell>
          <cell r="K1047">
            <v>65</v>
          </cell>
          <cell r="L1047">
            <v>40</v>
          </cell>
          <cell r="M1047" t="e">
            <v>#N/A</v>
          </cell>
          <cell r="N1047">
            <v>52</v>
          </cell>
          <cell r="O1047" t="e">
            <v>#N/A</v>
          </cell>
          <cell r="P1047" t="str">
            <v/>
          </cell>
          <cell r="Q1047" t="str">
            <v/>
          </cell>
          <cell r="R1047" t="e">
            <v>#N/A</v>
          </cell>
        </row>
        <row r="1048">
          <cell r="A1048" t="str">
            <v/>
          </cell>
          <cell r="B1048" t="str">
            <v/>
          </cell>
          <cell r="C1048" t="str">
            <v>Future</v>
          </cell>
          <cell r="D1048" t="e">
            <v>#N/A</v>
          </cell>
          <cell r="E1048">
            <v>-52.09297619047679</v>
          </cell>
          <cell r="F1048">
            <v>74.037976190474453</v>
          </cell>
          <cell r="G1048">
            <v>25.526071428570678</v>
          </cell>
          <cell r="H1048">
            <v>25.526071428570678</v>
          </cell>
          <cell r="I1048" t="e">
            <v>#N/A</v>
          </cell>
          <cell r="J1048" t="e">
            <v>#N/A</v>
          </cell>
          <cell r="K1048">
            <v>65</v>
          </cell>
          <cell r="L1048">
            <v>40</v>
          </cell>
          <cell r="M1048" t="e">
            <v>#N/A</v>
          </cell>
          <cell r="N1048">
            <v>52</v>
          </cell>
          <cell r="O1048" t="e">
            <v>#N/A</v>
          </cell>
          <cell r="P1048" t="str">
            <v/>
          </cell>
          <cell r="Q1048" t="str">
            <v/>
          </cell>
          <cell r="R1048" t="e">
            <v>#N/A</v>
          </cell>
        </row>
        <row r="1049">
          <cell r="A1049" t="str">
            <v/>
          </cell>
          <cell r="B1049" t="str">
            <v/>
          </cell>
          <cell r="C1049" t="str">
            <v>Future</v>
          </cell>
          <cell r="D1049" t="e">
            <v>#N/A</v>
          </cell>
          <cell r="E1049">
            <v>-52.312777777778379</v>
          </cell>
          <cell r="F1049">
            <v>74.07611111110937</v>
          </cell>
          <cell r="G1049">
            <v>25.46499999999925</v>
          </cell>
          <cell r="H1049">
            <v>25.46499999999925</v>
          </cell>
          <cell r="I1049" t="e">
            <v>#N/A</v>
          </cell>
          <cell r="J1049" t="e">
            <v>#N/A</v>
          </cell>
          <cell r="K1049">
            <v>65</v>
          </cell>
          <cell r="L1049">
            <v>40</v>
          </cell>
          <cell r="M1049" t="e">
            <v>#N/A</v>
          </cell>
          <cell r="N1049">
            <v>52</v>
          </cell>
          <cell r="O1049" t="e">
            <v>#N/A</v>
          </cell>
          <cell r="P1049" t="str">
            <v/>
          </cell>
          <cell r="Q1049" t="str">
            <v/>
          </cell>
          <cell r="R1049" t="e">
            <v>#N/A</v>
          </cell>
        </row>
        <row r="1050">
          <cell r="A1050" t="str">
            <v/>
          </cell>
          <cell r="B1050" t="str">
            <v/>
          </cell>
          <cell r="C1050" t="str">
            <v>Future</v>
          </cell>
          <cell r="D1050" t="e">
            <v>#N/A</v>
          </cell>
          <cell r="E1050">
            <v>-52.532579365079968</v>
          </cell>
          <cell r="F1050">
            <v>74.114246031744287</v>
          </cell>
          <cell r="G1050">
            <v>25.403928571427823</v>
          </cell>
          <cell r="H1050">
            <v>25.403928571427823</v>
          </cell>
          <cell r="I1050" t="e">
            <v>#N/A</v>
          </cell>
          <cell r="J1050" t="e">
            <v>#N/A</v>
          </cell>
          <cell r="K1050">
            <v>65</v>
          </cell>
          <cell r="L1050">
            <v>40</v>
          </cell>
          <cell r="M1050" t="e">
            <v>#N/A</v>
          </cell>
          <cell r="N1050">
            <v>52</v>
          </cell>
          <cell r="O1050" t="e">
            <v>#N/A</v>
          </cell>
          <cell r="P1050" t="str">
            <v/>
          </cell>
          <cell r="Q1050" t="str">
            <v/>
          </cell>
          <cell r="R1050" t="e">
            <v>#N/A</v>
          </cell>
        </row>
        <row r="1051">
          <cell r="A1051" t="str">
            <v/>
          </cell>
          <cell r="B1051" t="str">
            <v/>
          </cell>
          <cell r="C1051" t="str">
            <v>Future</v>
          </cell>
          <cell r="D1051" t="e">
            <v>#N/A</v>
          </cell>
          <cell r="E1051">
            <v>-52.752380952381557</v>
          </cell>
          <cell r="F1051">
            <v>74.152380952379204</v>
          </cell>
          <cell r="G1051">
            <v>25.342857142856396</v>
          </cell>
          <cell r="H1051">
            <v>25.342857142856396</v>
          </cell>
          <cell r="I1051" t="e">
            <v>#N/A</v>
          </cell>
          <cell r="J1051" t="e">
            <v>#N/A</v>
          </cell>
          <cell r="K1051">
            <v>65</v>
          </cell>
          <cell r="L1051">
            <v>40</v>
          </cell>
          <cell r="M1051" t="e">
            <v>#N/A</v>
          </cell>
          <cell r="N1051">
            <v>52</v>
          </cell>
          <cell r="O1051" t="e">
            <v>#N/A</v>
          </cell>
          <cell r="P1051" t="str">
            <v/>
          </cell>
          <cell r="Q1051" t="str">
            <v/>
          </cell>
          <cell r="R1051" t="e">
            <v>#N/A</v>
          </cell>
        </row>
        <row r="1052">
          <cell r="A1052" t="str">
            <v/>
          </cell>
          <cell r="B1052" t="str">
            <v/>
          </cell>
          <cell r="C1052" t="str">
            <v>Future</v>
          </cell>
          <cell r="D1052" t="e">
            <v>#N/A</v>
          </cell>
          <cell r="E1052">
            <v>-52.972182539683146</v>
          </cell>
          <cell r="F1052">
            <v>74.190515873014121</v>
          </cell>
          <cell r="G1052">
            <v>25.281785714284968</v>
          </cell>
          <cell r="H1052">
            <v>25.281785714284968</v>
          </cell>
          <cell r="I1052" t="e">
            <v>#N/A</v>
          </cell>
          <cell r="J1052" t="e">
            <v>#N/A</v>
          </cell>
          <cell r="K1052">
            <v>65</v>
          </cell>
          <cell r="L1052">
            <v>40</v>
          </cell>
          <cell r="M1052" t="e">
            <v>#N/A</v>
          </cell>
          <cell r="N1052">
            <v>52</v>
          </cell>
          <cell r="O1052" t="e">
            <v>#N/A</v>
          </cell>
          <cell r="P1052" t="str">
            <v/>
          </cell>
          <cell r="Q1052" t="str">
            <v/>
          </cell>
          <cell r="R1052" t="e">
            <v>#N/A</v>
          </cell>
        </row>
        <row r="1053">
          <cell r="A1053" t="str">
            <v/>
          </cell>
          <cell r="B1053" t="str">
            <v/>
          </cell>
          <cell r="C1053" t="str">
            <v>Future</v>
          </cell>
          <cell r="D1053" t="e">
            <v>#N/A</v>
          </cell>
          <cell r="E1053">
            <v>-53.191984126984735</v>
          </cell>
          <cell r="F1053">
            <v>74.228650793649038</v>
          </cell>
          <cell r="G1053">
            <v>25.220714285713541</v>
          </cell>
          <cell r="H1053">
            <v>25.220714285713541</v>
          </cell>
          <cell r="I1053" t="e">
            <v>#N/A</v>
          </cell>
          <cell r="J1053" t="e">
            <v>#N/A</v>
          </cell>
          <cell r="K1053">
            <v>65</v>
          </cell>
          <cell r="L1053">
            <v>40</v>
          </cell>
          <cell r="M1053" t="e">
            <v>#N/A</v>
          </cell>
          <cell r="N1053">
            <v>52</v>
          </cell>
          <cell r="O1053" t="e">
            <v>#N/A</v>
          </cell>
          <cell r="P1053" t="str">
            <v/>
          </cell>
          <cell r="Q1053" t="str">
            <v/>
          </cell>
          <cell r="R1053" t="e">
            <v>#N/A</v>
          </cell>
        </row>
        <row r="1054">
          <cell r="A1054" t="str">
            <v/>
          </cell>
          <cell r="B1054" t="str">
            <v/>
          </cell>
          <cell r="C1054" t="str">
            <v>Future</v>
          </cell>
          <cell r="D1054" t="e">
            <v>#N/A</v>
          </cell>
          <cell r="E1054">
            <v>-53.411785714286324</v>
          </cell>
          <cell r="F1054">
            <v>74.266785714283955</v>
          </cell>
          <cell r="G1054">
            <v>25.159642857142114</v>
          </cell>
          <cell r="H1054">
            <v>25.159642857142114</v>
          </cell>
          <cell r="I1054" t="e">
            <v>#N/A</v>
          </cell>
          <cell r="J1054" t="e">
            <v>#N/A</v>
          </cell>
          <cell r="K1054">
            <v>65</v>
          </cell>
          <cell r="L1054">
            <v>40</v>
          </cell>
          <cell r="M1054" t="e">
            <v>#N/A</v>
          </cell>
          <cell r="N1054">
            <v>52</v>
          </cell>
          <cell r="O1054" t="e">
            <v>#N/A</v>
          </cell>
          <cell r="P1054" t="str">
            <v/>
          </cell>
          <cell r="Q1054" t="str">
            <v/>
          </cell>
          <cell r="R1054" t="e">
            <v>#N/A</v>
          </cell>
        </row>
        <row r="1055">
          <cell r="A1055" t="str">
            <v/>
          </cell>
          <cell r="B1055" t="str">
            <v/>
          </cell>
          <cell r="C1055" t="str">
            <v>Future</v>
          </cell>
          <cell r="D1055" t="e">
            <v>#N/A</v>
          </cell>
          <cell r="E1055">
            <v>-53.631587301587913</v>
          </cell>
          <cell r="F1055">
            <v>74.304920634918872</v>
          </cell>
          <cell r="G1055">
            <v>25.098571428570686</v>
          </cell>
          <cell r="H1055">
            <v>25.098571428570686</v>
          </cell>
          <cell r="I1055" t="e">
            <v>#N/A</v>
          </cell>
          <cell r="J1055" t="e">
            <v>#N/A</v>
          </cell>
          <cell r="K1055">
            <v>65</v>
          </cell>
          <cell r="L1055">
            <v>40</v>
          </cell>
          <cell r="M1055" t="e">
            <v>#N/A</v>
          </cell>
          <cell r="N1055">
            <v>52</v>
          </cell>
          <cell r="O1055" t="e">
            <v>#N/A</v>
          </cell>
          <cell r="P1055" t="str">
            <v/>
          </cell>
          <cell r="Q1055" t="str">
            <v/>
          </cell>
          <cell r="R1055" t="e">
            <v>#N/A</v>
          </cell>
        </row>
        <row r="1056">
          <cell r="A1056" t="str">
            <v/>
          </cell>
          <cell r="B1056" t="str">
            <v/>
          </cell>
          <cell r="C1056" t="str">
            <v>Future</v>
          </cell>
          <cell r="D1056" t="e">
            <v>#N/A</v>
          </cell>
          <cell r="E1056">
            <v>-53.851388888889502</v>
          </cell>
          <cell r="F1056">
            <v>74.343055555553789</v>
          </cell>
          <cell r="G1056">
            <v>25.037499999999259</v>
          </cell>
          <cell r="H1056">
            <v>25.037499999999259</v>
          </cell>
          <cell r="I1056" t="e">
            <v>#N/A</v>
          </cell>
          <cell r="J1056" t="e">
            <v>#N/A</v>
          </cell>
          <cell r="K1056">
            <v>65</v>
          </cell>
          <cell r="L1056">
            <v>40</v>
          </cell>
          <cell r="M1056" t="e">
            <v>#N/A</v>
          </cell>
          <cell r="N1056">
            <v>52</v>
          </cell>
          <cell r="O1056" t="e">
            <v>#N/A</v>
          </cell>
          <cell r="P1056" t="str">
            <v/>
          </cell>
          <cell r="Q1056" t="str">
            <v/>
          </cell>
          <cell r="R1056" t="e">
            <v>#N/A</v>
          </cell>
        </row>
        <row r="1057">
          <cell r="A1057" t="str">
            <v/>
          </cell>
          <cell r="B1057" t="str">
            <v/>
          </cell>
          <cell r="C1057" t="str">
            <v>Future</v>
          </cell>
          <cell r="D1057" t="e">
            <v>#N/A</v>
          </cell>
          <cell r="E1057">
            <v>-54.071190476191092</v>
          </cell>
          <cell r="F1057">
            <v>74.381190476188706</v>
          </cell>
          <cell r="G1057">
            <v>24.976428571427832</v>
          </cell>
          <cell r="H1057">
            <v>24.976428571427832</v>
          </cell>
          <cell r="I1057" t="e">
            <v>#N/A</v>
          </cell>
          <cell r="J1057" t="e">
            <v>#N/A</v>
          </cell>
          <cell r="K1057">
            <v>65</v>
          </cell>
          <cell r="L1057">
            <v>40</v>
          </cell>
          <cell r="M1057" t="e">
            <v>#N/A</v>
          </cell>
          <cell r="N1057">
            <v>52</v>
          </cell>
          <cell r="O1057" t="e">
            <v>#N/A</v>
          </cell>
          <cell r="P1057" t="str">
            <v/>
          </cell>
          <cell r="Q1057" t="str">
            <v/>
          </cell>
          <cell r="R1057" t="e">
            <v>#N/A</v>
          </cell>
        </row>
        <row r="1058">
          <cell r="A1058" t="str">
            <v/>
          </cell>
          <cell r="B1058" t="str">
            <v/>
          </cell>
          <cell r="C1058" t="str">
            <v>Future</v>
          </cell>
          <cell r="D1058" t="e">
            <v>#N/A</v>
          </cell>
          <cell r="E1058">
            <v>-54.290992063492681</v>
          </cell>
          <cell r="F1058">
            <v>74.419325396823623</v>
          </cell>
          <cell r="G1058">
            <v>24.915357142856404</v>
          </cell>
          <cell r="H1058">
            <v>24.915357142856404</v>
          </cell>
          <cell r="I1058" t="e">
            <v>#N/A</v>
          </cell>
          <cell r="J1058" t="e">
            <v>#N/A</v>
          </cell>
          <cell r="K1058">
            <v>65</v>
          </cell>
          <cell r="L1058">
            <v>40</v>
          </cell>
          <cell r="M1058" t="e">
            <v>#N/A</v>
          </cell>
          <cell r="N1058">
            <v>52</v>
          </cell>
          <cell r="O1058" t="e">
            <v>#N/A</v>
          </cell>
          <cell r="P1058" t="str">
            <v/>
          </cell>
          <cell r="Q1058" t="str">
            <v/>
          </cell>
          <cell r="R1058" t="e">
            <v>#N/A</v>
          </cell>
        </row>
        <row r="1059">
          <cell r="A1059" t="str">
            <v/>
          </cell>
          <cell r="B1059" t="str">
            <v/>
          </cell>
          <cell r="C1059" t="str">
            <v>Future</v>
          </cell>
          <cell r="D1059" t="e">
            <v>#N/A</v>
          </cell>
          <cell r="E1059">
            <v>-54.51079365079427</v>
          </cell>
          <cell r="F1059">
            <v>74.457460317458541</v>
          </cell>
          <cell r="G1059">
            <v>24.854285714284977</v>
          </cell>
          <cell r="H1059">
            <v>24.854285714284977</v>
          </cell>
          <cell r="I1059" t="e">
            <v>#N/A</v>
          </cell>
          <cell r="J1059" t="e">
            <v>#N/A</v>
          </cell>
          <cell r="K1059">
            <v>65</v>
          </cell>
          <cell r="L1059">
            <v>40</v>
          </cell>
          <cell r="M1059" t="e">
            <v>#N/A</v>
          </cell>
          <cell r="N1059">
            <v>52</v>
          </cell>
          <cell r="O1059" t="e">
            <v>#N/A</v>
          </cell>
          <cell r="P1059" t="str">
            <v/>
          </cell>
          <cell r="Q1059" t="str">
            <v/>
          </cell>
          <cell r="R1059" t="e">
            <v>#N/A</v>
          </cell>
        </row>
        <row r="1060">
          <cell r="A1060" t="str">
            <v/>
          </cell>
          <cell r="B1060" t="str">
            <v/>
          </cell>
          <cell r="C1060" t="str">
            <v>Future</v>
          </cell>
          <cell r="D1060" t="e">
            <v>#N/A</v>
          </cell>
          <cell r="E1060">
            <v>-54.730595238095859</v>
          </cell>
          <cell r="F1060">
            <v>74.495595238093458</v>
          </cell>
          <cell r="G1060">
            <v>24.79321428571355</v>
          </cell>
          <cell r="H1060">
            <v>24.79321428571355</v>
          </cell>
          <cell r="I1060" t="e">
            <v>#N/A</v>
          </cell>
          <cell r="J1060" t="e">
            <v>#N/A</v>
          </cell>
          <cell r="K1060">
            <v>65</v>
          </cell>
          <cell r="L1060">
            <v>40</v>
          </cell>
          <cell r="M1060" t="e">
            <v>#N/A</v>
          </cell>
          <cell r="N1060">
            <v>52</v>
          </cell>
          <cell r="O1060" t="e">
            <v>#N/A</v>
          </cell>
          <cell r="P1060" t="str">
            <v/>
          </cell>
          <cell r="Q1060" t="str">
            <v/>
          </cell>
          <cell r="R1060" t="e">
            <v>#N/A</v>
          </cell>
        </row>
        <row r="1061">
          <cell r="A1061" t="str">
            <v/>
          </cell>
          <cell r="B1061" t="str">
            <v/>
          </cell>
          <cell r="C1061" t="str">
            <v>Future</v>
          </cell>
          <cell r="D1061" t="e">
            <v>#N/A</v>
          </cell>
          <cell r="E1061">
            <v>-54.950396825397448</v>
          </cell>
          <cell r="F1061">
            <v>74.533730158728375</v>
          </cell>
          <cell r="G1061">
            <v>24.732142857142122</v>
          </cell>
          <cell r="H1061">
            <v>24.732142857142122</v>
          </cell>
          <cell r="I1061" t="e">
            <v>#N/A</v>
          </cell>
          <cell r="J1061" t="e">
            <v>#N/A</v>
          </cell>
          <cell r="K1061">
            <v>65</v>
          </cell>
          <cell r="L1061">
            <v>40</v>
          </cell>
          <cell r="M1061" t="e">
            <v>#N/A</v>
          </cell>
          <cell r="N1061">
            <v>52</v>
          </cell>
          <cell r="O1061" t="e">
            <v>#N/A</v>
          </cell>
          <cell r="P1061" t="str">
            <v/>
          </cell>
          <cell r="Q1061" t="str">
            <v/>
          </cell>
          <cell r="R1061" t="e">
            <v>#N/A</v>
          </cell>
        </row>
        <row r="1062">
          <cell r="A1062" t="str">
            <v/>
          </cell>
          <cell r="B1062" t="str">
            <v/>
          </cell>
          <cell r="C1062" t="str">
            <v>Future</v>
          </cell>
          <cell r="D1062" t="e">
            <v>#N/A</v>
          </cell>
          <cell r="E1062">
            <v>-55.170198412699037</v>
          </cell>
          <cell r="F1062">
            <v>74.571865079363292</v>
          </cell>
          <cell r="G1062">
            <v>24.671071428570695</v>
          </cell>
          <cell r="H1062">
            <v>24.671071428570695</v>
          </cell>
          <cell r="I1062" t="e">
            <v>#N/A</v>
          </cell>
          <cell r="J1062" t="e">
            <v>#N/A</v>
          </cell>
          <cell r="K1062">
            <v>65</v>
          </cell>
          <cell r="L1062">
            <v>40</v>
          </cell>
          <cell r="M1062" t="e">
            <v>#N/A</v>
          </cell>
          <cell r="N1062">
            <v>52</v>
          </cell>
          <cell r="O1062" t="e">
            <v>#N/A</v>
          </cell>
          <cell r="P1062" t="str">
            <v/>
          </cell>
          <cell r="Q1062" t="str">
            <v/>
          </cell>
          <cell r="R1062" t="e">
            <v>#N/A</v>
          </cell>
        </row>
        <row r="1063">
          <cell r="A1063" t="str">
            <v/>
          </cell>
          <cell r="B1063" t="str">
            <v/>
          </cell>
          <cell r="C1063" t="str">
            <v>Future</v>
          </cell>
          <cell r="D1063" t="e">
            <v>#N/A</v>
          </cell>
          <cell r="E1063">
            <v>-55.390000000000626</v>
          </cell>
          <cell r="F1063">
            <v>74.609999999998209</v>
          </cell>
          <cell r="G1063">
            <v>24.609999999999268</v>
          </cell>
          <cell r="H1063">
            <v>24.609999999999268</v>
          </cell>
          <cell r="I1063" t="e">
            <v>#N/A</v>
          </cell>
          <cell r="J1063" t="e">
            <v>#N/A</v>
          </cell>
          <cell r="K1063">
            <v>65</v>
          </cell>
          <cell r="L1063">
            <v>40</v>
          </cell>
          <cell r="M1063" t="e">
            <v>#N/A</v>
          </cell>
          <cell r="N1063">
            <v>52</v>
          </cell>
          <cell r="O1063" t="e">
            <v>#N/A</v>
          </cell>
          <cell r="P1063" t="str">
            <v/>
          </cell>
          <cell r="Q1063" t="str">
            <v/>
          </cell>
          <cell r="R1063" t="e">
            <v>#N/A</v>
          </cell>
        </row>
        <row r="1064">
          <cell r="A1064" t="str">
            <v/>
          </cell>
          <cell r="B1064" t="str">
            <v/>
          </cell>
          <cell r="C1064" t="str">
            <v>Future</v>
          </cell>
          <cell r="D1064" t="e">
            <v>#N/A</v>
          </cell>
          <cell r="E1064">
            <v>-55.609801587302215</v>
          </cell>
          <cell r="F1064">
            <v>74.648134920633126</v>
          </cell>
          <cell r="G1064">
            <v>24.54892857142784</v>
          </cell>
          <cell r="H1064">
            <v>24.54892857142784</v>
          </cell>
          <cell r="I1064" t="e">
            <v>#N/A</v>
          </cell>
          <cell r="J1064" t="e">
            <v>#N/A</v>
          </cell>
          <cell r="K1064">
            <v>65</v>
          </cell>
          <cell r="L1064">
            <v>40</v>
          </cell>
          <cell r="M1064" t="e">
            <v>#N/A</v>
          </cell>
          <cell r="N1064">
            <v>52</v>
          </cell>
          <cell r="O1064" t="e">
            <v>#N/A</v>
          </cell>
          <cell r="P1064" t="str">
            <v/>
          </cell>
          <cell r="Q1064" t="str">
            <v/>
          </cell>
          <cell r="R1064" t="e">
            <v>#N/A</v>
          </cell>
        </row>
        <row r="1065">
          <cell r="A1065" t="str">
            <v/>
          </cell>
          <cell r="B1065" t="str">
            <v/>
          </cell>
          <cell r="C1065" t="str">
            <v>Future</v>
          </cell>
          <cell r="D1065" t="e">
            <v>#N/A</v>
          </cell>
          <cell r="E1065">
            <v>-55.829603174603804</v>
          </cell>
          <cell r="F1065">
            <v>74.686269841268043</v>
          </cell>
          <cell r="G1065">
            <v>24.487857142856413</v>
          </cell>
          <cell r="H1065">
            <v>24.487857142856413</v>
          </cell>
          <cell r="I1065" t="e">
            <v>#N/A</v>
          </cell>
          <cell r="J1065" t="e">
            <v>#N/A</v>
          </cell>
          <cell r="K1065">
            <v>65</v>
          </cell>
          <cell r="L1065">
            <v>40</v>
          </cell>
          <cell r="M1065" t="e">
            <v>#N/A</v>
          </cell>
          <cell r="N1065">
            <v>52</v>
          </cell>
          <cell r="O1065" t="e">
            <v>#N/A</v>
          </cell>
          <cell r="P1065" t="str">
            <v/>
          </cell>
          <cell r="Q1065" t="str">
            <v/>
          </cell>
          <cell r="R1065" t="e">
            <v>#N/A</v>
          </cell>
        </row>
        <row r="1066">
          <cell r="A1066" t="str">
            <v/>
          </cell>
          <cell r="B1066" t="str">
            <v/>
          </cell>
          <cell r="C1066" t="str">
            <v>Future</v>
          </cell>
          <cell r="D1066" t="e">
            <v>#N/A</v>
          </cell>
          <cell r="E1066">
            <v>-56.049404761905393</v>
          </cell>
          <cell r="F1066">
            <v>74.72440476190296</v>
          </cell>
          <cell r="G1066">
            <v>24.426785714284986</v>
          </cell>
          <cell r="H1066">
            <v>24.426785714284986</v>
          </cell>
          <cell r="I1066" t="e">
            <v>#N/A</v>
          </cell>
          <cell r="J1066" t="e">
            <v>#N/A</v>
          </cell>
          <cell r="K1066">
            <v>65</v>
          </cell>
          <cell r="L1066">
            <v>40</v>
          </cell>
          <cell r="M1066" t="e">
            <v>#N/A</v>
          </cell>
          <cell r="N1066">
            <v>52</v>
          </cell>
          <cell r="O1066" t="e">
            <v>#N/A</v>
          </cell>
          <cell r="P1066" t="str">
            <v/>
          </cell>
          <cell r="Q1066" t="str">
            <v/>
          </cell>
          <cell r="R1066" t="e">
            <v>#N/A</v>
          </cell>
        </row>
        <row r="1067">
          <cell r="A1067" t="str">
            <v/>
          </cell>
          <cell r="B1067" t="str">
            <v/>
          </cell>
          <cell r="C1067" t="str">
            <v>Future</v>
          </cell>
          <cell r="D1067" t="e">
            <v>#N/A</v>
          </cell>
          <cell r="E1067">
            <v>-56.269206349206982</v>
          </cell>
          <cell r="F1067">
            <v>74.762539682537877</v>
          </cell>
          <cell r="G1067">
            <v>24.365714285713558</v>
          </cell>
          <cell r="H1067">
            <v>24.365714285713558</v>
          </cell>
          <cell r="I1067" t="e">
            <v>#N/A</v>
          </cell>
          <cell r="J1067" t="e">
            <v>#N/A</v>
          </cell>
          <cell r="K1067">
            <v>65</v>
          </cell>
          <cell r="L1067">
            <v>40</v>
          </cell>
          <cell r="M1067" t="e">
            <v>#N/A</v>
          </cell>
          <cell r="N1067">
            <v>52</v>
          </cell>
          <cell r="O1067" t="e">
            <v>#N/A</v>
          </cell>
          <cell r="P1067" t="str">
            <v/>
          </cell>
          <cell r="Q1067" t="str">
            <v/>
          </cell>
          <cell r="R1067" t="e">
            <v>#N/A</v>
          </cell>
        </row>
        <row r="1068">
          <cell r="A1068" t="str">
            <v/>
          </cell>
          <cell r="B1068" t="str">
            <v/>
          </cell>
          <cell r="C1068" t="str">
            <v>Future</v>
          </cell>
          <cell r="D1068" t="e">
            <v>#N/A</v>
          </cell>
          <cell r="E1068">
            <v>-56.489007936508571</v>
          </cell>
          <cell r="F1068">
            <v>74.800674603172794</v>
          </cell>
          <cell r="G1068">
            <v>24.304642857142131</v>
          </cell>
          <cell r="H1068">
            <v>24.304642857142131</v>
          </cell>
          <cell r="I1068" t="e">
            <v>#N/A</v>
          </cell>
          <cell r="J1068" t="e">
            <v>#N/A</v>
          </cell>
          <cell r="K1068">
            <v>65</v>
          </cell>
          <cell r="L1068">
            <v>40</v>
          </cell>
          <cell r="M1068" t="e">
            <v>#N/A</v>
          </cell>
          <cell r="N1068">
            <v>52</v>
          </cell>
          <cell r="O1068" t="e">
            <v>#N/A</v>
          </cell>
          <cell r="P1068" t="str">
            <v/>
          </cell>
          <cell r="Q1068" t="str">
            <v/>
          </cell>
          <cell r="R1068" t="e">
            <v>#N/A</v>
          </cell>
        </row>
        <row r="1069">
          <cell r="A1069" t="str">
            <v/>
          </cell>
          <cell r="B1069" t="str">
            <v/>
          </cell>
          <cell r="C1069" t="str">
            <v>Future</v>
          </cell>
          <cell r="D1069" t="e">
            <v>#N/A</v>
          </cell>
          <cell r="E1069">
            <v>-56.70880952381016</v>
          </cell>
          <cell r="F1069">
            <v>74.838809523807711</v>
          </cell>
          <cell r="G1069">
            <v>24.243571428570704</v>
          </cell>
          <cell r="H1069">
            <v>24.243571428570704</v>
          </cell>
          <cell r="I1069" t="e">
            <v>#N/A</v>
          </cell>
          <cell r="J1069" t="e">
            <v>#N/A</v>
          </cell>
          <cell r="K1069">
            <v>65</v>
          </cell>
          <cell r="L1069">
            <v>40</v>
          </cell>
          <cell r="M1069" t="e">
            <v>#N/A</v>
          </cell>
          <cell r="N1069">
            <v>52</v>
          </cell>
          <cell r="O1069" t="e">
            <v>#N/A</v>
          </cell>
          <cell r="P1069" t="str">
            <v/>
          </cell>
          <cell r="Q1069" t="str">
            <v/>
          </cell>
          <cell r="R1069" t="e">
            <v>#N/A</v>
          </cell>
        </row>
        <row r="1070">
          <cell r="A1070" t="str">
            <v/>
          </cell>
          <cell r="B1070" t="str">
            <v/>
          </cell>
          <cell r="C1070" t="str">
            <v>Future</v>
          </cell>
          <cell r="D1070" t="e">
            <v>#N/A</v>
          </cell>
          <cell r="E1070">
            <v>-56.928611111111749</v>
          </cell>
          <cell r="F1070">
            <v>74.876944444442628</v>
          </cell>
          <cell r="G1070">
            <v>24.182499999999276</v>
          </cell>
          <cell r="H1070">
            <v>24.182499999999276</v>
          </cell>
          <cell r="I1070" t="e">
            <v>#N/A</v>
          </cell>
          <cell r="J1070" t="e">
            <v>#N/A</v>
          </cell>
          <cell r="K1070">
            <v>65</v>
          </cell>
          <cell r="L1070">
            <v>40</v>
          </cell>
          <cell r="M1070" t="e">
            <v>#N/A</v>
          </cell>
          <cell r="N1070">
            <v>52</v>
          </cell>
          <cell r="O1070" t="e">
            <v>#N/A</v>
          </cell>
          <cell r="P1070" t="str">
            <v/>
          </cell>
          <cell r="Q1070" t="str">
            <v/>
          </cell>
          <cell r="R1070" t="e">
            <v>#N/A</v>
          </cell>
        </row>
        <row r="1071">
          <cell r="A1071" t="str">
            <v/>
          </cell>
          <cell r="B1071" t="str">
            <v/>
          </cell>
          <cell r="C1071" t="str">
            <v>Future</v>
          </cell>
          <cell r="D1071" t="e">
            <v>#N/A</v>
          </cell>
          <cell r="E1071">
            <v>-57.148412698413338</v>
          </cell>
          <cell r="F1071">
            <v>74.915079365077546</v>
          </cell>
          <cell r="G1071">
            <v>24.121428571427849</v>
          </cell>
          <cell r="H1071">
            <v>24.121428571427849</v>
          </cell>
          <cell r="I1071" t="e">
            <v>#N/A</v>
          </cell>
          <cell r="J1071" t="e">
            <v>#N/A</v>
          </cell>
          <cell r="K1071">
            <v>65</v>
          </cell>
          <cell r="L1071">
            <v>40</v>
          </cell>
          <cell r="M1071" t="e">
            <v>#N/A</v>
          </cell>
          <cell r="N1071">
            <v>52</v>
          </cell>
          <cell r="O1071" t="e">
            <v>#N/A</v>
          </cell>
          <cell r="P1071" t="str">
            <v/>
          </cell>
          <cell r="Q1071" t="str">
            <v/>
          </cell>
          <cell r="R1071" t="e">
            <v>#N/A</v>
          </cell>
        </row>
        <row r="1072">
          <cell r="A1072" t="str">
            <v/>
          </cell>
          <cell r="B1072" t="str">
            <v/>
          </cell>
          <cell r="C1072" t="str">
            <v>Future</v>
          </cell>
          <cell r="D1072" t="e">
            <v>#N/A</v>
          </cell>
          <cell r="E1072">
            <v>-57.368214285714927</v>
          </cell>
          <cell r="F1072">
            <v>74.953214285712463</v>
          </cell>
          <cell r="G1072">
            <v>24.060357142856422</v>
          </cell>
          <cell r="H1072">
            <v>24.060357142856422</v>
          </cell>
          <cell r="I1072" t="e">
            <v>#N/A</v>
          </cell>
          <cell r="J1072" t="e">
            <v>#N/A</v>
          </cell>
          <cell r="K1072">
            <v>65</v>
          </cell>
          <cell r="L1072">
            <v>40</v>
          </cell>
          <cell r="M1072" t="e">
            <v>#N/A</v>
          </cell>
          <cell r="N1072">
            <v>52</v>
          </cell>
          <cell r="O1072" t="e">
            <v>#N/A</v>
          </cell>
          <cell r="P1072" t="str">
            <v/>
          </cell>
          <cell r="Q1072" t="str">
            <v/>
          </cell>
          <cell r="R1072" t="e">
            <v>#N/A</v>
          </cell>
        </row>
        <row r="1073">
          <cell r="A1073" t="str">
            <v/>
          </cell>
          <cell r="B1073" t="str">
            <v/>
          </cell>
          <cell r="C1073" t="str">
            <v>Future</v>
          </cell>
          <cell r="D1073" t="e">
            <v>#N/A</v>
          </cell>
          <cell r="E1073">
            <v>-57.588015873016516</v>
          </cell>
          <cell r="F1073">
            <v>74.99134920634738</v>
          </cell>
          <cell r="G1073">
            <v>23.999285714284994</v>
          </cell>
          <cell r="H1073">
            <v>23.999285714284994</v>
          </cell>
          <cell r="I1073" t="e">
            <v>#N/A</v>
          </cell>
          <cell r="J1073" t="e">
            <v>#N/A</v>
          </cell>
          <cell r="K1073">
            <v>65</v>
          </cell>
          <cell r="L1073">
            <v>40</v>
          </cell>
          <cell r="M1073" t="e">
            <v>#N/A</v>
          </cell>
          <cell r="N1073">
            <v>52</v>
          </cell>
          <cell r="O1073" t="e">
            <v>#N/A</v>
          </cell>
          <cell r="P1073" t="str">
            <v/>
          </cell>
          <cell r="Q1073" t="str">
            <v/>
          </cell>
          <cell r="R1073" t="e">
            <v>#N/A</v>
          </cell>
        </row>
        <row r="1074">
          <cell r="A1074" t="str">
            <v/>
          </cell>
          <cell r="B1074" t="str">
            <v/>
          </cell>
          <cell r="C1074" t="str">
            <v>Future</v>
          </cell>
          <cell r="D1074" t="e">
            <v>#N/A</v>
          </cell>
          <cell r="E1074">
            <v>-57.807817460318105</v>
          </cell>
          <cell r="F1074">
            <v>75.029484126982297</v>
          </cell>
          <cell r="G1074">
            <v>23.938214285713567</v>
          </cell>
          <cell r="H1074">
            <v>23.938214285713567</v>
          </cell>
          <cell r="I1074" t="e">
            <v>#N/A</v>
          </cell>
          <cell r="J1074" t="e">
            <v>#N/A</v>
          </cell>
          <cell r="K1074">
            <v>65</v>
          </cell>
          <cell r="L1074">
            <v>40</v>
          </cell>
          <cell r="M1074" t="e">
            <v>#N/A</v>
          </cell>
          <cell r="N1074">
            <v>52</v>
          </cell>
          <cell r="O1074" t="e">
            <v>#N/A</v>
          </cell>
          <cell r="P1074" t="str">
            <v/>
          </cell>
          <cell r="Q1074" t="str">
            <v/>
          </cell>
          <cell r="R1074" t="e">
            <v>#N/A</v>
          </cell>
        </row>
        <row r="1075">
          <cell r="A1075" t="str">
            <v/>
          </cell>
          <cell r="B1075" t="str">
            <v/>
          </cell>
          <cell r="C1075" t="str">
            <v>Future</v>
          </cell>
          <cell r="D1075" t="e">
            <v>#N/A</v>
          </cell>
          <cell r="E1075">
            <v>-58.027619047619694</v>
          </cell>
          <cell r="F1075">
            <v>75.067619047617214</v>
          </cell>
          <cell r="G1075">
            <v>23.87714285714214</v>
          </cell>
          <cell r="H1075">
            <v>23.87714285714214</v>
          </cell>
          <cell r="I1075" t="e">
            <v>#N/A</v>
          </cell>
          <cell r="J1075" t="e">
            <v>#N/A</v>
          </cell>
          <cell r="K1075">
            <v>65</v>
          </cell>
          <cell r="L1075">
            <v>40</v>
          </cell>
          <cell r="M1075" t="e">
            <v>#N/A</v>
          </cell>
          <cell r="N1075">
            <v>52</v>
          </cell>
          <cell r="O1075" t="e">
            <v>#N/A</v>
          </cell>
          <cell r="P1075" t="str">
            <v/>
          </cell>
          <cell r="Q1075" t="str">
            <v/>
          </cell>
          <cell r="R1075" t="e">
            <v>#N/A</v>
          </cell>
        </row>
        <row r="1076">
          <cell r="A1076" t="str">
            <v/>
          </cell>
          <cell r="B1076" t="str">
            <v/>
          </cell>
          <cell r="C1076" t="str">
            <v>Future</v>
          </cell>
          <cell r="D1076" t="e">
            <v>#N/A</v>
          </cell>
          <cell r="E1076">
            <v>-58.247420634921284</v>
          </cell>
          <cell r="F1076">
            <v>75.105753968252131</v>
          </cell>
          <cell r="G1076">
            <v>23.816071428570712</v>
          </cell>
          <cell r="H1076">
            <v>23.816071428570712</v>
          </cell>
          <cell r="I1076" t="e">
            <v>#N/A</v>
          </cell>
          <cell r="J1076" t="e">
            <v>#N/A</v>
          </cell>
          <cell r="K1076">
            <v>65</v>
          </cell>
          <cell r="L1076">
            <v>40</v>
          </cell>
          <cell r="M1076" t="e">
            <v>#N/A</v>
          </cell>
          <cell r="N1076">
            <v>52</v>
          </cell>
          <cell r="O1076" t="e">
            <v>#N/A</v>
          </cell>
          <cell r="P1076" t="str">
            <v/>
          </cell>
          <cell r="Q1076" t="str">
            <v/>
          </cell>
          <cell r="R1076" t="e">
            <v>#N/A</v>
          </cell>
        </row>
        <row r="1077">
          <cell r="A1077" t="str">
            <v/>
          </cell>
          <cell r="B1077" t="str">
            <v/>
          </cell>
          <cell r="C1077" t="str">
            <v>Future</v>
          </cell>
          <cell r="D1077" t="e">
            <v>#N/A</v>
          </cell>
          <cell r="E1077">
            <v>-58.467222222222873</v>
          </cell>
          <cell r="F1077">
            <v>75.143888888887048</v>
          </cell>
          <cell r="G1077">
            <v>23.754999999999285</v>
          </cell>
          <cell r="H1077">
            <v>23.754999999999285</v>
          </cell>
          <cell r="I1077" t="e">
            <v>#N/A</v>
          </cell>
          <cell r="J1077" t="e">
            <v>#N/A</v>
          </cell>
          <cell r="K1077">
            <v>65</v>
          </cell>
          <cell r="L1077">
            <v>40</v>
          </cell>
          <cell r="M1077" t="e">
            <v>#N/A</v>
          </cell>
          <cell r="N1077">
            <v>52</v>
          </cell>
          <cell r="O1077" t="e">
            <v>#N/A</v>
          </cell>
          <cell r="P1077" t="str">
            <v/>
          </cell>
          <cell r="Q1077" t="str">
            <v/>
          </cell>
          <cell r="R1077" t="e">
            <v>#N/A</v>
          </cell>
        </row>
        <row r="1078">
          <cell r="A1078" t="str">
            <v/>
          </cell>
          <cell r="B1078" t="str">
            <v/>
          </cell>
          <cell r="C1078" t="str">
            <v>Future</v>
          </cell>
          <cell r="D1078" t="e">
            <v>#N/A</v>
          </cell>
          <cell r="E1078">
            <v>-58.687023809524462</v>
          </cell>
          <cell r="F1078">
            <v>75.182023809521965</v>
          </cell>
          <cell r="G1078">
            <v>23.693928571427858</v>
          </cell>
          <cell r="H1078">
            <v>23.693928571427858</v>
          </cell>
          <cell r="I1078" t="e">
            <v>#N/A</v>
          </cell>
          <cell r="J1078" t="e">
            <v>#N/A</v>
          </cell>
          <cell r="K1078">
            <v>65</v>
          </cell>
          <cell r="L1078">
            <v>40</v>
          </cell>
          <cell r="M1078" t="e">
            <v>#N/A</v>
          </cell>
          <cell r="N1078">
            <v>52</v>
          </cell>
          <cell r="O1078" t="e">
            <v>#N/A</v>
          </cell>
          <cell r="P1078" t="str">
            <v/>
          </cell>
          <cell r="Q1078" t="str">
            <v/>
          </cell>
          <cell r="R1078" t="e">
            <v>#N/A</v>
          </cell>
        </row>
        <row r="1079">
          <cell r="A1079" t="str">
            <v/>
          </cell>
          <cell r="B1079" t="str">
            <v/>
          </cell>
          <cell r="C1079" t="str">
            <v>Future</v>
          </cell>
          <cell r="D1079" t="e">
            <v>#N/A</v>
          </cell>
          <cell r="E1079">
            <v>-58.906825396826051</v>
          </cell>
          <cell r="F1079">
            <v>75.220158730156882</v>
          </cell>
          <cell r="G1079">
            <v>23.63285714285643</v>
          </cell>
          <cell r="H1079">
            <v>23.63285714285643</v>
          </cell>
          <cell r="I1079" t="e">
            <v>#N/A</v>
          </cell>
          <cell r="J1079" t="e">
            <v>#N/A</v>
          </cell>
          <cell r="K1079">
            <v>65</v>
          </cell>
          <cell r="L1079">
            <v>40</v>
          </cell>
          <cell r="M1079" t="e">
            <v>#N/A</v>
          </cell>
          <cell r="N1079">
            <v>52</v>
          </cell>
          <cell r="O1079" t="e">
            <v>#N/A</v>
          </cell>
          <cell r="P1079" t="str">
            <v/>
          </cell>
          <cell r="Q1079" t="str">
            <v/>
          </cell>
          <cell r="R1079" t="e">
            <v>#N/A</v>
          </cell>
        </row>
        <row r="1080">
          <cell r="A1080" t="str">
            <v/>
          </cell>
          <cell r="B1080" t="str">
            <v/>
          </cell>
          <cell r="C1080" t="str">
            <v>Future</v>
          </cell>
          <cell r="D1080" t="e">
            <v>#N/A</v>
          </cell>
          <cell r="E1080">
            <v>-59.12662698412764</v>
          </cell>
          <cell r="F1080">
            <v>75.258293650791799</v>
          </cell>
          <cell r="G1080">
            <v>23.571785714285003</v>
          </cell>
          <cell r="H1080">
            <v>23.571785714285003</v>
          </cell>
          <cell r="I1080" t="e">
            <v>#N/A</v>
          </cell>
          <cell r="J1080" t="e">
            <v>#N/A</v>
          </cell>
          <cell r="K1080">
            <v>65</v>
          </cell>
          <cell r="L1080">
            <v>40</v>
          </cell>
          <cell r="M1080" t="e">
            <v>#N/A</v>
          </cell>
          <cell r="N1080">
            <v>52</v>
          </cell>
          <cell r="O1080" t="e">
            <v>#N/A</v>
          </cell>
          <cell r="P1080" t="str">
            <v/>
          </cell>
          <cell r="Q1080" t="str">
            <v/>
          </cell>
          <cell r="R1080" t="e">
            <v>#N/A</v>
          </cell>
        </row>
        <row r="1081">
          <cell r="A1081" t="str">
            <v/>
          </cell>
          <cell r="B1081" t="str">
            <v/>
          </cell>
          <cell r="C1081" t="str">
            <v>Future</v>
          </cell>
          <cell r="D1081" t="e">
            <v>#N/A</v>
          </cell>
          <cell r="E1081">
            <v>-59.346428571429229</v>
          </cell>
          <cell r="F1081">
            <v>75.296428571426716</v>
          </cell>
          <cell r="G1081">
            <v>23.510714285713576</v>
          </cell>
          <cell r="H1081">
            <v>23.510714285713576</v>
          </cell>
          <cell r="I1081" t="e">
            <v>#N/A</v>
          </cell>
          <cell r="J1081" t="e">
            <v>#N/A</v>
          </cell>
          <cell r="K1081">
            <v>65</v>
          </cell>
          <cell r="L1081">
            <v>40</v>
          </cell>
          <cell r="M1081" t="e">
            <v>#N/A</v>
          </cell>
          <cell r="N1081">
            <v>52</v>
          </cell>
          <cell r="O1081" t="e">
            <v>#N/A</v>
          </cell>
          <cell r="P1081" t="str">
            <v/>
          </cell>
          <cell r="Q1081" t="str">
            <v/>
          </cell>
          <cell r="R1081" t="e">
            <v>#N/A</v>
          </cell>
        </row>
        <row r="1082">
          <cell r="A1082" t="str">
            <v/>
          </cell>
          <cell r="B1082" t="str">
            <v/>
          </cell>
          <cell r="C1082" t="str">
            <v>Future</v>
          </cell>
          <cell r="D1082" t="e">
            <v>#N/A</v>
          </cell>
          <cell r="E1082">
            <v>-59.566230158730818</v>
          </cell>
          <cell r="F1082">
            <v>75.334563492061633</v>
          </cell>
          <cell r="G1082">
            <v>23.449642857142148</v>
          </cell>
          <cell r="H1082">
            <v>23.449642857142148</v>
          </cell>
          <cell r="I1082" t="e">
            <v>#N/A</v>
          </cell>
          <cell r="J1082" t="e">
            <v>#N/A</v>
          </cell>
          <cell r="K1082">
            <v>65</v>
          </cell>
          <cell r="L1082">
            <v>40</v>
          </cell>
          <cell r="M1082" t="e">
            <v>#N/A</v>
          </cell>
          <cell r="N1082">
            <v>52</v>
          </cell>
          <cell r="O1082" t="e">
            <v>#N/A</v>
          </cell>
          <cell r="P1082" t="str">
            <v/>
          </cell>
          <cell r="Q1082" t="str">
            <v/>
          </cell>
          <cell r="R1082" t="e">
            <v>#N/A</v>
          </cell>
        </row>
        <row r="1083">
          <cell r="A1083" t="str">
            <v/>
          </cell>
          <cell r="B1083" t="str">
            <v/>
          </cell>
          <cell r="C1083" t="str">
            <v>Future</v>
          </cell>
          <cell r="D1083" t="e">
            <v>#N/A</v>
          </cell>
          <cell r="E1083">
            <v>-59.786031746032407</v>
          </cell>
          <cell r="F1083">
            <v>75.37269841269655</v>
          </cell>
          <cell r="G1083">
            <v>23.388571428570721</v>
          </cell>
          <cell r="H1083">
            <v>23.388571428570721</v>
          </cell>
          <cell r="I1083" t="e">
            <v>#N/A</v>
          </cell>
          <cell r="J1083" t="e">
            <v>#N/A</v>
          </cell>
          <cell r="K1083">
            <v>65</v>
          </cell>
          <cell r="L1083">
            <v>40</v>
          </cell>
          <cell r="M1083" t="e">
            <v>#N/A</v>
          </cell>
          <cell r="N1083">
            <v>52</v>
          </cell>
          <cell r="O1083" t="e">
            <v>#N/A</v>
          </cell>
          <cell r="P1083" t="str">
            <v/>
          </cell>
          <cell r="Q1083" t="str">
            <v/>
          </cell>
          <cell r="R1083" t="e">
            <v>#N/A</v>
          </cell>
        </row>
        <row r="1084">
          <cell r="A1084" t="str">
            <v/>
          </cell>
          <cell r="B1084" t="str">
            <v/>
          </cell>
          <cell r="C1084" t="str">
            <v>Future</v>
          </cell>
          <cell r="D1084" t="e">
            <v>#N/A</v>
          </cell>
          <cell r="E1084">
            <v>-60.005833333333996</v>
          </cell>
          <cell r="F1084">
            <v>75.410833333331468</v>
          </cell>
          <cell r="G1084">
            <v>23.327499999999294</v>
          </cell>
          <cell r="H1084">
            <v>23.327499999999294</v>
          </cell>
          <cell r="I1084" t="e">
            <v>#N/A</v>
          </cell>
          <cell r="J1084" t="e">
            <v>#N/A</v>
          </cell>
          <cell r="K1084">
            <v>65</v>
          </cell>
          <cell r="L1084">
            <v>40</v>
          </cell>
          <cell r="M1084" t="e">
            <v>#N/A</v>
          </cell>
          <cell r="N1084">
            <v>52</v>
          </cell>
          <cell r="O1084" t="e">
            <v>#N/A</v>
          </cell>
          <cell r="P1084" t="str">
            <v/>
          </cell>
          <cell r="Q1084" t="str">
            <v/>
          </cell>
          <cell r="R1084" t="e">
            <v>#N/A</v>
          </cell>
        </row>
        <row r="1085">
          <cell r="A1085" t="str">
            <v/>
          </cell>
          <cell r="B1085" t="str">
            <v/>
          </cell>
          <cell r="C1085" t="str">
            <v>Future</v>
          </cell>
          <cell r="D1085" t="e">
            <v>#N/A</v>
          </cell>
          <cell r="E1085">
            <v>-60.225634920635585</v>
          </cell>
          <cell r="F1085">
            <v>75.448968253966385</v>
          </cell>
          <cell r="G1085">
            <v>23.266428571427866</v>
          </cell>
          <cell r="H1085">
            <v>23.266428571427866</v>
          </cell>
          <cell r="I1085" t="e">
            <v>#N/A</v>
          </cell>
          <cell r="J1085" t="e">
            <v>#N/A</v>
          </cell>
          <cell r="K1085">
            <v>65</v>
          </cell>
          <cell r="L1085">
            <v>40</v>
          </cell>
          <cell r="M1085" t="e">
            <v>#N/A</v>
          </cell>
          <cell r="N1085">
            <v>52</v>
          </cell>
          <cell r="O1085" t="e">
            <v>#N/A</v>
          </cell>
          <cell r="P1085" t="str">
            <v/>
          </cell>
          <cell r="Q1085" t="str">
            <v/>
          </cell>
          <cell r="R1085" t="e">
            <v>#N/A</v>
          </cell>
        </row>
        <row r="1086">
          <cell r="A1086" t="str">
            <v/>
          </cell>
          <cell r="B1086" t="str">
            <v/>
          </cell>
          <cell r="C1086" t="str">
            <v>Future</v>
          </cell>
          <cell r="D1086" t="e">
            <v>#N/A</v>
          </cell>
          <cell r="E1086">
            <v>-60.445436507937174</v>
          </cell>
          <cell r="F1086">
            <v>75.487103174601302</v>
          </cell>
          <cell r="G1086">
            <v>23.205357142856439</v>
          </cell>
          <cell r="H1086">
            <v>23.205357142856439</v>
          </cell>
          <cell r="I1086" t="e">
            <v>#N/A</v>
          </cell>
          <cell r="J1086" t="e">
            <v>#N/A</v>
          </cell>
          <cell r="K1086">
            <v>65</v>
          </cell>
          <cell r="L1086">
            <v>40</v>
          </cell>
          <cell r="M1086" t="e">
            <v>#N/A</v>
          </cell>
          <cell r="N1086">
            <v>52</v>
          </cell>
          <cell r="O1086" t="e">
            <v>#N/A</v>
          </cell>
          <cell r="P1086" t="str">
            <v/>
          </cell>
          <cell r="Q1086" t="str">
            <v/>
          </cell>
          <cell r="R1086" t="e">
            <v>#N/A</v>
          </cell>
        </row>
        <row r="1087">
          <cell r="A1087" t="str">
            <v/>
          </cell>
          <cell r="B1087" t="str">
            <v/>
          </cell>
          <cell r="C1087" t="str">
            <v>Future</v>
          </cell>
          <cell r="D1087" t="e">
            <v>#N/A</v>
          </cell>
          <cell r="E1087">
            <v>-60.665238095238763</v>
          </cell>
          <cell r="F1087">
            <v>75.525238095236219</v>
          </cell>
          <cell r="G1087">
            <v>23.144285714285012</v>
          </cell>
          <cell r="H1087">
            <v>23.144285714285012</v>
          </cell>
          <cell r="I1087" t="e">
            <v>#N/A</v>
          </cell>
          <cell r="J1087" t="e">
            <v>#N/A</v>
          </cell>
          <cell r="K1087">
            <v>65</v>
          </cell>
          <cell r="L1087">
            <v>40</v>
          </cell>
          <cell r="M1087" t="e">
            <v>#N/A</v>
          </cell>
          <cell r="N1087">
            <v>52</v>
          </cell>
          <cell r="O1087" t="e">
            <v>#N/A</v>
          </cell>
          <cell r="P1087" t="str">
            <v/>
          </cell>
          <cell r="Q1087" t="str">
            <v/>
          </cell>
          <cell r="R1087" t="e">
            <v>#N/A</v>
          </cell>
        </row>
        <row r="1088">
          <cell r="A1088" t="str">
            <v/>
          </cell>
          <cell r="B1088" t="str">
            <v/>
          </cell>
          <cell r="C1088" t="str">
            <v>Future</v>
          </cell>
          <cell r="D1088" t="e">
            <v>#N/A</v>
          </cell>
          <cell r="E1088">
            <v>-60.885039682540352</v>
          </cell>
          <cell r="F1088">
            <v>75.563373015871136</v>
          </cell>
          <cell r="G1088">
            <v>23.083214285713584</v>
          </cell>
          <cell r="H1088">
            <v>23.083214285713584</v>
          </cell>
          <cell r="I1088" t="e">
            <v>#N/A</v>
          </cell>
          <cell r="J1088" t="e">
            <v>#N/A</v>
          </cell>
          <cell r="K1088">
            <v>65</v>
          </cell>
          <cell r="L1088">
            <v>40</v>
          </cell>
          <cell r="M1088" t="e">
            <v>#N/A</v>
          </cell>
          <cell r="N1088">
            <v>52</v>
          </cell>
          <cell r="O1088" t="e">
            <v>#N/A</v>
          </cell>
          <cell r="P1088" t="str">
            <v/>
          </cell>
          <cell r="Q1088" t="str">
            <v/>
          </cell>
          <cell r="R1088" t="e">
            <v>#N/A</v>
          </cell>
        </row>
        <row r="1089">
          <cell r="A1089" t="str">
            <v/>
          </cell>
          <cell r="B1089" t="str">
            <v/>
          </cell>
          <cell r="C1089" t="str">
            <v>Future</v>
          </cell>
          <cell r="D1089" t="e">
            <v>#N/A</v>
          </cell>
          <cell r="E1089">
            <v>-61.104841269841941</v>
          </cell>
          <cell r="F1089">
            <v>75.601507936506053</v>
          </cell>
          <cell r="G1089">
            <v>23.022142857142157</v>
          </cell>
          <cell r="H1089">
            <v>23.022142857142157</v>
          </cell>
          <cell r="I1089" t="e">
            <v>#N/A</v>
          </cell>
          <cell r="J1089" t="e">
            <v>#N/A</v>
          </cell>
          <cell r="K1089">
            <v>65</v>
          </cell>
          <cell r="L1089">
            <v>40</v>
          </cell>
          <cell r="M1089" t="e">
            <v>#N/A</v>
          </cell>
          <cell r="N1089">
            <v>52</v>
          </cell>
          <cell r="O1089" t="e">
            <v>#N/A</v>
          </cell>
          <cell r="P1089" t="str">
            <v/>
          </cell>
          <cell r="Q1089" t="str">
            <v/>
          </cell>
          <cell r="R1089" t="e">
            <v>#N/A</v>
          </cell>
        </row>
        <row r="1090">
          <cell r="A1090" t="str">
            <v/>
          </cell>
          <cell r="B1090" t="str">
            <v/>
          </cell>
          <cell r="C1090" t="str">
            <v>Future</v>
          </cell>
          <cell r="D1090" t="e">
            <v>#N/A</v>
          </cell>
          <cell r="E1090">
            <v>-61.32464285714353</v>
          </cell>
          <cell r="F1090">
            <v>75.63964285714097</v>
          </cell>
          <cell r="G1090">
            <v>22.96107142857073</v>
          </cell>
          <cell r="H1090">
            <v>22.96107142857073</v>
          </cell>
          <cell r="I1090" t="e">
            <v>#N/A</v>
          </cell>
          <cell r="J1090" t="e">
            <v>#N/A</v>
          </cell>
          <cell r="K1090">
            <v>65</v>
          </cell>
          <cell r="L1090">
            <v>40</v>
          </cell>
          <cell r="M1090" t="e">
            <v>#N/A</v>
          </cell>
          <cell r="N1090">
            <v>52</v>
          </cell>
          <cell r="O1090" t="e">
            <v>#N/A</v>
          </cell>
          <cell r="P1090" t="str">
            <v/>
          </cell>
          <cell r="Q1090" t="str">
            <v/>
          </cell>
          <cell r="R1090" t="e">
            <v>#N/A</v>
          </cell>
        </row>
        <row r="1091">
          <cell r="A1091" t="str">
            <v/>
          </cell>
          <cell r="B1091" t="str">
            <v/>
          </cell>
          <cell r="C1091" t="str">
            <v>Future</v>
          </cell>
          <cell r="D1091" t="e">
            <v>#N/A</v>
          </cell>
          <cell r="E1091">
            <v>-61.544444444445119</v>
          </cell>
          <cell r="F1091">
            <v>75.677777777775887</v>
          </cell>
          <cell r="G1091">
            <v>22.899999999999302</v>
          </cell>
          <cell r="H1091">
            <v>22.899999999999302</v>
          </cell>
          <cell r="I1091" t="e">
            <v>#N/A</v>
          </cell>
          <cell r="J1091" t="e">
            <v>#N/A</v>
          </cell>
          <cell r="K1091">
            <v>65</v>
          </cell>
          <cell r="L1091">
            <v>40</v>
          </cell>
          <cell r="M1091" t="e">
            <v>#N/A</v>
          </cell>
          <cell r="N1091">
            <v>52</v>
          </cell>
          <cell r="O1091" t="e">
            <v>#N/A</v>
          </cell>
          <cell r="P1091" t="str">
            <v/>
          </cell>
          <cell r="Q1091" t="str">
            <v/>
          </cell>
          <cell r="R1091" t="e">
            <v>#N/A</v>
          </cell>
        </row>
        <row r="1092">
          <cell r="A1092" t="str">
            <v/>
          </cell>
          <cell r="B1092" t="str">
            <v/>
          </cell>
          <cell r="C1092" t="str">
            <v>Future</v>
          </cell>
          <cell r="D1092" t="e">
            <v>#N/A</v>
          </cell>
          <cell r="E1092">
            <v>-61.764246031746708</v>
          </cell>
          <cell r="F1092">
            <v>75.715912698410804</v>
          </cell>
          <cell r="G1092">
            <v>22.838928571427875</v>
          </cell>
          <cell r="H1092">
            <v>22.838928571427875</v>
          </cell>
          <cell r="I1092" t="e">
            <v>#N/A</v>
          </cell>
          <cell r="J1092" t="e">
            <v>#N/A</v>
          </cell>
          <cell r="K1092">
            <v>65</v>
          </cell>
          <cell r="L1092">
            <v>40</v>
          </cell>
          <cell r="M1092" t="e">
            <v>#N/A</v>
          </cell>
          <cell r="N1092">
            <v>52</v>
          </cell>
          <cell r="O1092" t="e">
            <v>#N/A</v>
          </cell>
          <cell r="P1092" t="str">
            <v/>
          </cell>
          <cell r="Q1092" t="str">
            <v/>
          </cell>
          <cell r="R1092" t="e">
            <v>#N/A</v>
          </cell>
        </row>
        <row r="1093">
          <cell r="A1093" t="str">
            <v/>
          </cell>
          <cell r="B1093" t="str">
            <v/>
          </cell>
          <cell r="C1093" t="str">
            <v>Future</v>
          </cell>
          <cell r="D1093" t="e">
            <v>#N/A</v>
          </cell>
          <cell r="E1093">
            <v>-61.984047619048297</v>
          </cell>
          <cell r="F1093">
            <v>75.754047619045721</v>
          </cell>
          <cell r="G1093">
            <v>22.777857142856448</v>
          </cell>
          <cell r="H1093">
            <v>22.777857142856448</v>
          </cell>
          <cell r="I1093" t="e">
            <v>#N/A</v>
          </cell>
          <cell r="J1093" t="e">
            <v>#N/A</v>
          </cell>
          <cell r="K1093">
            <v>65</v>
          </cell>
          <cell r="L1093">
            <v>40</v>
          </cell>
          <cell r="M1093" t="e">
            <v>#N/A</v>
          </cell>
          <cell r="N1093">
            <v>52</v>
          </cell>
          <cell r="O1093" t="e">
            <v>#N/A</v>
          </cell>
          <cell r="P1093" t="str">
            <v/>
          </cell>
          <cell r="Q1093" t="str">
            <v/>
          </cell>
          <cell r="R1093" t="e">
            <v>#N/A</v>
          </cell>
        </row>
        <row r="1094">
          <cell r="A1094" t="str">
            <v/>
          </cell>
          <cell r="B1094" t="str">
            <v/>
          </cell>
          <cell r="C1094" t="str">
            <v>Future</v>
          </cell>
          <cell r="D1094" t="e">
            <v>#N/A</v>
          </cell>
          <cell r="E1094">
            <v>-62.203849206349886</v>
          </cell>
          <cell r="F1094">
            <v>75.792182539680638</v>
          </cell>
          <cell r="G1094">
            <v>22.71678571428502</v>
          </cell>
          <cell r="H1094">
            <v>22.71678571428502</v>
          </cell>
          <cell r="I1094" t="e">
            <v>#N/A</v>
          </cell>
          <cell r="J1094" t="e">
            <v>#N/A</v>
          </cell>
          <cell r="K1094">
            <v>65</v>
          </cell>
          <cell r="L1094">
            <v>40</v>
          </cell>
          <cell r="M1094" t="e">
            <v>#N/A</v>
          </cell>
          <cell r="N1094">
            <v>52</v>
          </cell>
          <cell r="O1094" t="e">
            <v>#N/A</v>
          </cell>
          <cell r="P1094" t="str">
            <v/>
          </cell>
          <cell r="Q1094" t="str">
            <v/>
          </cell>
          <cell r="R1094" t="e">
            <v>#N/A</v>
          </cell>
        </row>
        <row r="1095">
          <cell r="A1095" t="str">
            <v/>
          </cell>
          <cell r="B1095" t="str">
            <v/>
          </cell>
          <cell r="C1095" t="str">
            <v>Future</v>
          </cell>
          <cell r="D1095" t="e">
            <v>#N/A</v>
          </cell>
          <cell r="E1095">
            <v>-62.423650793651476</v>
          </cell>
          <cell r="F1095">
            <v>75.830317460315555</v>
          </cell>
          <cell r="G1095">
            <v>22.655714285713593</v>
          </cell>
          <cell r="H1095">
            <v>22.655714285713593</v>
          </cell>
          <cell r="I1095" t="e">
            <v>#N/A</v>
          </cell>
          <cell r="J1095" t="e">
            <v>#N/A</v>
          </cell>
          <cell r="K1095">
            <v>65</v>
          </cell>
          <cell r="L1095">
            <v>40</v>
          </cell>
          <cell r="M1095" t="e">
            <v>#N/A</v>
          </cell>
          <cell r="N1095">
            <v>52</v>
          </cell>
          <cell r="O1095" t="e">
            <v>#N/A</v>
          </cell>
          <cell r="P1095" t="str">
            <v/>
          </cell>
          <cell r="Q1095" t="str">
            <v/>
          </cell>
          <cell r="R1095" t="e">
            <v>#N/A</v>
          </cell>
        </row>
        <row r="1096">
          <cell r="A1096" t="str">
            <v/>
          </cell>
          <cell r="B1096" t="str">
            <v/>
          </cell>
          <cell r="C1096" t="str">
            <v>Future</v>
          </cell>
          <cell r="D1096" t="e">
            <v>#N/A</v>
          </cell>
          <cell r="E1096">
            <v>-62.643452380953065</v>
          </cell>
          <cell r="F1096">
            <v>75.868452380950473</v>
          </cell>
          <cell r="G1096">
            <v>22.594642857142166</v>
          </cell>
          <cell r="H1096">
            <v>22.594642857142166</v>
          </cell>
          <cell r="I1096" t="e">
            <v>#N/A</v>
          </cell>
          <cell r="J1096" t="e">
            <v>#N/A</v>
          </cell>
          <cell r="K1096">
            <v>65</v>
          </cell>
          <cell r="L1096">
            <v>40</v>
          </cell>
          <cell r="M1096" t="e">
            <v>#N/A</v>
          </cell>
          <cell r="N1096">
            <v>52</v>
          </cell>
          <cell r="O1096" t="e">
            <v>#N/A</v>
          </cell>
          <cell r="P1096" t="str">
            <v/>
          </cell>
          <cell r="Q1096" t="str">
            <v/>
          </cell>
          <cell r="R1096" t="e">
            <v>#N/A</v>
          </cell>
        </row>
        <row r="1097">
          <cell r="A1097" t="str">
            <v/>
          </cell>
          <cell r="B1097" t="str">
            <v/>
          </cell>
          <cell r="C1097" t="str">
            <v>Future</v>
          </cell>
          <cell r="D1097" t="e">
            <v>#N/A</v>
          </cell>
          <cell r="E1097">
            <v>-62.863253968254654</v>
          </cell>
          <cell r="F1097">
            <v>75.90658730158539</v>
          </cell>
          <cell r="G1097">
            <v>22.533571428570738</v>
          </cell>
          <cell r="H1097">
            <v>22.533571428570738</v>
          </cell>
          <cell r="I1097" t="e">
            <v>#N/A</v>
          </cell>
          <cell r="J1097" t="e">
            <v>#N/A</v>
          </cell>
          <cell r="K1097">
            <v>65</v>
          </cell>
          <cell r="L1097">
            <v>40</v>
          </cell>
          <cell r="M1097" t="e">
            <v>#N/A</v>
          </cell>
          <cell r="N1097">
            <v>52</v>
          </cell>
          <cell r="O1097" t="e">
            <v>#N/A</v>
          </cell>
          <cell r="P1097" t="str">
            <v/>
          </cell>
          <cell r="Q1097" t="str">
            <v/>
          </cell>
          <cell r="R1097" t="e">
            <v>#N/A</v>
          </cell>
        </row>
        <row r="1098">
          <cell r="A1098" t="str">
            <v/>
          </cell>
          <cell r="B1098" t="str">
            <v/>
          </cell>
          <cell r="C1098" t="str">
            <v>Future</v>
          </cell>
          <cell r="D1098" t="e">
            <v>#N/A</v>
          </cell>
          <cell r="E1098">
            <v>-63.083055555556243</v>
          </cell>
          <cell r="F1098">
            <v>75.944722222220307</v>
          </cell>
          <cell r="G1098">
            <v>22.472499999999311</v>
          </cell>
          <cell r="H1098">
            <v>22.472499999999311</v>
          </cell>
          <cell r="I1098" t="e">
            <v>#N/A</v>
          </cell>
          <cell r="J1098" t="e">
            <v>#N/A</v>
          </cell>
          <cell r="K1098">
            <v>65</v>
          </cell>
          <cell r="L1098">
            <v>40</v>
          </cell>
          <cell r="M1098" t="e">
            <v>#N/A</v>
          </cell>
          <cell r="N1098">
            <v>52</v>
          </cell>
          <cell r="O1098" t="e">
            <v>#N/A</v>
          </cell>
          <cell r="P1098" t="str">
            <v/>
          </cell>
          <cell r="Q1098" t="str">
            <v/>
          </cell>
          <cell r="R1098" t="e">
            <v>#N/A</v>
          </cell>
        </row>
        <row r="1099">
          <cell r="A1099" t="str">
            <v/>
          </cell>
          <cell r="B1099" t="str">
            <v/>
          </cell>
          <cell r="C1099" t="str">
            <v>Future</v>
          </cell>
          <cell r="D1099" t="e">
            <v>#N/A</v>
          </cell>
          <cell r="E1099">
            <v>-63.302857142857832</v>
          </cell>
          <cell r="F1099">
            <v>75.982857142855224</v>
          </cell>
          <cell r="G1099">
            <v>22.411428571427884</v>
          </cell>
          <cell r="H1099">
            <v>22.411428571427884</v>
          </cell>
          <cell r="I1099" t="e">
            <v>#N/A</v>
          </cell>
          <cell r="J1099" t="e">
            <v>#N/A</v>
          </cell>
          <cell r="K1099">
            <v>65</v>
          </cell>
          <cell r="L1099">
            <v>40</v>
          </cell>
          <cell r="M1099" t="e">
            <v>#N/A</v>
          </cell>
          <cell r="N1099">
            <v>52</v>
          </cell>
          <cell r="O1099" t="e">
            <v>#N/A</v>
          </cell>
          <cell r="P1099" t="str">
            <v/>
          </cell>
          <cell r="Q1099" t="str">
            <v/>
          </cell>
          <cell r="R1099" t="e">
            <v>#N/A</v>
          </cell>
        </row>
        <row r="1100">
          <cell r="A1100" t="str">
            <v/>
          </cell>
          <cell r="B1100" t="str">
            <v/>
          </cell>
          <cell r="C1100" t="str">
            <v>Future</v>
          </cell>
          <cell r="D1100" t="e">
            <v>#N/A</v>
          </cell>
          <cell r="E1100">
            <v>-63.522658730159421</v>
          </cell>
          <cell r="F1100">
            <v>76.020992063490141</v>
          </cell>
          <cell r="G1100">
            <v>22.350357142856456</v>
          </cell>
          <cell r="H1100">
            <v>22.350357142856456</v>
          </cell>
          <cell r="I1100" t="e">
            <v>#N/A</v>
          </cell>
          <cell r="J1100" t="e">
            <v>#N/A</v>
          </cell>
          <cell r="K1100">
            <v>65</v>
          </cell>
          <cell r="L1100">
            <v>40</v>
          </cell>
          <cell r="M1100" t="e">
            <v>#N/A</v>
          </cell>
          <cell r="N1100">
            <v>52</v>
          </cell>
          <cell r="O1100" t="e">
            <v>#N/A</v>
          </cell>
          <cell r="P1100" t="str">
            <v/>
          </cell>
          <cell r="Q1100" t="str">
            <v/>
          </cell>
          <cell r="R1100" t="e">
            <v>#N/A</v>
          </cell>
        </row>
        <row r="1101">
          <cell r="A1101" t="str">
            <v/>
          </cell>
          <cell r="B1101" t="str">
            <v/>
          </cell>
          <cell r="C1101" t="str">
            <v>Future</v>
          </cell>
          <cell r="D1101" t="e">
            <v>#N/A</v>
          </cell>
          <cell r="E1101">
            <v>-63.74246031746101</v>
          </cell>
          <cell r="F1101">
            <v>76.059126984125058</v>
          </cell>
          <cell r="G1101">
            <v>22.289285714285029</v>
          </cell>
          <cell r="H1101">
            <v>22.289285714285029</v>
          </cell>
          <cell r="I1101" t="e">
            <v>#N/A</v>
          </cell>
          <cell r="J1101" t="e">
            <v>#N/A</v>
          </cell>
          <cell r="K1101">
            <v>65</v>
          </cell>
          <cell r="L1101">
            <v>40</v>
          </cell>
          <cell r="M1101" t="e">
            <v>#N/A</v>
          </cell>
          <cell r="N1101">
            <v>52</v>
          </cell>
          <cell r="O1101" t="e">
            <v>#N/A</v>
          </cell>
          <cell r="P1101" t="str">
            <v/>
          </cell>
          <cell r="Q1101" t="str">
            <v/>
          </cell>
          <cell r="R1101" t="e">
            <v>#N/A</v>
          </cell>
        </row>
        <row r="1102">
          <cell r="A1102" t="str">
            <v/>
          </cell>
          <cell r="B1102" t="str">
            <v/>
          </cell>
          <cell r="C1102" t="str">
            <v>Future</v>
          </cell>
          <cell r="D1102" t="e">
            <v>#N/A</v>
          </cell>
          <cell r="E1102">
            <v>-63.962261904762599</v>
          </cell>
          <cell r="F1102">
            <v>76.097261904759975</v>
          </cell>
          <cell r="G1102">
            <v>22.228214285713602</v>
          </cell>
          <cell r="H1102">
            <v>22.228214285713602</v>
          </cell>
          <cell r="I1102" t="e">
            <v>#N/A</v>
          </cell>
          <cell r="J1102" t="e">
            <v>#N/A</v>
          </cell>
          <cell r="K1102">
            <v>65</v>
          </cell>
          <cell r="L1102">
            <v>40</v>
          </cell>
          <cell r="M1102" t="e">
            <v>#N/A</v>
          </cell>
          <cell r="N1102">
            <v>52</v>
          </cell>
          <cell r="O1102" t="e">
            <v>#N/A</v>
          </cell>
          <cell r="P1102" t="str">
            <v/>
          </cell>
          <cell r="Q1102" t="str">
            <v/>
          </cell>
          <cell r="R1102" t="e">
            <v>#N/A</v>
          </cell>
        </row>
        <row r="1103">
          <cell r="A1103" t="str">
            <v/>
          </cell>
          <cell r="B1103" t="str">
            <v/>
          </cell>
          <cell r="C1103" t="str">
            <v>Future</v>
          </cell>
          <cell r="D1103" t="e">
            <v>#N/A</v>
          </cell>
          <cell r="E1103">
            <v>-64.182063492064188</v>
          </cell>
          <cell r="F1103">
            <v>76.135396825394892</v>
          </cell>
          <cell r="G1103">
            <v>22.167142857142174</v>
          </cell>
          <cell r="H1103">
            <v>22.167142857142174</v>
          </cell>
          <cell r="I1103" t="e">
            <v>#N/A</v>
          </cell>
          <cell r="J1103" t="e">
            <v>#N/A</v>
          </cell>
          <cell r="K1103">
            <v>65</v>
          </cell>
          <cell r="L1103">
            <v>40</v>
          </cell>
          <cell r="M1103" t="e">
            <v>#N/A</v>
          </cell>
          <cell r="N1103">
            <v>52</v>
          </cell>
          <cell r="O1103" t="e">
            <v>#N/A</v>
          </cell>
          <cell r="P1103" t="str">
            <v/>
          </cell>
          <cell r="Q1103" t="str">
            <v/>
          </cell>
          <cell r="R1103" t="e">
            <v>#N/A</v>
          </cell>
        </row>
        <row r="1104">
          <cell r="A1104" t="str">
            <v/>
          </cell>
          <cell r="B1104" t="str">
            <v/>
          </cell>
          <cell r="C1104" t="str">
            <v>Future</v>
          </cell>
          <cell r="D1104" t="e">
            <v>#N/A</v>
          </cell>
          <cell r="E1104">
            <v>-64.401865079365777</v>
          </cell>
          <cell r="F1104">
            <v>76.173531746029809</v>
          </cell>
          <cell r="G1104">
            <v>22.106071428570747</v>
          </cell>
          <cell r="H1104">
            <v>22.106071428570747</v>
          </cell>
          <cell r="I1104" t="e">
            <v>#N/A</v>
          </cell>
          <cell r="J1104" t="e">
            <v>#N/A</v>
          </cell>
          <cell r="K1104">
            <v>65</v>
          </cell>
          <cell r="L1104">
            <v>40</v>
          </cell>
          <cell r="M1104" t="e">
            <v>#N/A</v>
          </cell>
          <cell r="N1104">
            <v>52</v>
          </cell>
          <cell r="O1104" t="e">
            <v>#N/A</v>
          </cell>
          <cell r="P1104" t="str">
            <v/>
          </cell>
          <cell r="Q1104" t="str">
            <v/>
          </cell>
          <cell r="R1104" t="e">
            <v>#N/A</v>
          </cell>
        </row>
        <row r="1105">
          <cell r="A1105" t="str">
            <v/>
          </cell>
          <cell r="B1105" t="str">
            <v/>
          </cell>
          <cell r="C1105" t="str">
            <v>Future</v>
          </cell>
          <cell r="D1105" t="e">
            <v>#N/A</v>
          </cell>
          <cell r="E1105">
            <v>-64.621666666667366</v>
          </cell>
          <cell r="F1105">
            <v>76.211666666664726</v>
          </cell>
          <cell r="G1105">
            <v>22.04499999999932</v>
          </cell>
          <cell r="H1105">
            <v>22.04499999999932</v>
          </cell>
          <cell r="I1105" t="e">
            <v>#N/A</v>
          </cell>
          <cell r="J1105" t="e">
            <v>#N/A</v>
          </cell>
          <cell r="K1105">
            <v>65</v>
          </cell>
          <cell r="L1105">
            <v>40</v>
          </cell>
          <cell r="M1105" t="e">
            <v>#N/A</v>
          </cell>
          <cell r="N1105">
            <v>52</v>
          </cell>
          <cell r="O1105" t="e">
            <v>#N/A</v>
          </cell>
          <cell r="P1105" t="str">
            <v/>
          </cell>
          <cell r="Q1105" t="str">
            <v/>
          </cell>
          <cell r="R1105" t="e">
            <v>#N/A</v>
          </cell>
        </row>
        <row r="1106">
          <cell r="A1106" t="str">
            <v/>
          </cell>
          <cell r="B1106" t="str">
            <v/>
          </cell>
          <cell r="C1106" t="str">
            <v>Future</v>
          </cell>
          <cell r="D1106" t="e">
            <v>#N/A</v>
          </cell>
          <cell r="E1106">
            <v>-64.841468253968955</v>
          </cell>
          <cell r="F1106">
            <v>76.249801587299643</v>
          </cell>
          <cell r="G1106">
            <v>21.983928571427892</v>
          </cell>
          <cell r="H1106">
            <v>21.983928571427892</v>
          </cell>
          <cell r="I1106" t="e">
            <v>#N/A</v>
          </cell>
          <cell r="J1106" t="e">
            <v>#N/A</v>
          </cell>
          <cell r="K1106">
            <v>65</v>
          </cell>
          <cell r="L1106">
            <v>40</v>
          </cell>
          <cell r="M1106" t="e">
            <v>#N/A</v>
          </cell>
          <cell r="N1106">
            <v>52</v>
          </cell>
          <cell r="O1106" t="e">
            <v>#N/A</v>
          </cell>
          <cell r="P1106" t="str">
            <v/>
          </cell>
          <cell r="Q1106" t="str">
            <v/>
          </cell>
          <cell r="R1106" t="e">
            <v>#N/A</v>
          </cell>
        </row>
        <row r="1107">
          <cell r="A1107" t="str">
            <v/>
          </cell>
          <cell r="B1107" t="str">
            <v/>
          </cell>
          <cell r="C1107" t="str">
            <v>Future</v>
          </cell>
          <cell r="D1107" t="e">
            <v>#N/A</v>
          </cell>
          <cell r="E1107">
            <v>-65.061269841270544</v>
          </cell>
          <cell r="F1107">
            <v>76.28793650793456</v>
          </cell>
          <cell r="G1107">
            <v>21.922857142856465</v>
          </cell>
          <cell r="H1107">
            <v>21.922857142856465</v>
          </cell>
          <cell r="I1107" t="e">
            <v>#N/A</v>
          </cell>
          <cell r="J1107" t="e">
            <v>#N/A</v>
          </cell>
          <cell r="K1107">
            <v>65</v>
          </cell>
          <cell r="L1107">
            <v>40</v>
          </cell>
          <cell r="M1107" t="e">
            <v>#N/A</v>
          </cell>
          <cell r="N1107">
            <v>52</v>
          </cell>
          <cell r="O1107" t="e">
            <v>#N/A</v>
          </cell>
          <cell r="P1107" t="str">
            <v/>
          </cell>
          <cell r="Q1107" t="str">
            <v/>
          </cell>
          <cell r="R1107" t="e">
            <v>#N/A</v>
          </cell>
        </row>
        <row r="1108">
          <cell r="A1108" t="str">
            <v/>
          </cell>
          <cell r="B1108" t="str">
            <v/>
          </cell>
          <cell r="C1108" t="str">
            <v>Future</v>
          </cell>
          <cell r="D1108" t="e">
            <v>#N/A</v>
          </cell>
          <cell r="E1108">
            <v>-65.281071428572133</v>
          </cell>
          <cell r="F1108">
            <v>76.326071428569477</v>
          </cell>
          <cell r="G1108">
            <v>21.861785714285038</v>
          </cell>
          <cell r="H1108">
            <v>21.861785714285038</v>
          </cell>
          <cell r="I1108" t="e">
            <v>#N/A</v>
          </cell>
          <cell r="J1108" t="e">
            <v>#N/A</v>
          </cell>
          <cell r="K1108">
            <v>65</v>
          </cell>
          <cell r="L1108">
            <v>40</v>
          </cell>
          <cell r="M1108" t="e">
            <v>#N/A</v>
          </cell>
          <cell r="N1108">
            <v>52</v>
          </cell>
          <cell r="O1108" t="e">
            <v>#N/A</v>
          </cell>
          <cell r="P1108" t="str">
            <v/>
          </cell>
          <cell r="Q1108" t="str">
            <v/>
          </cell>
          <cell r="R1108" t="e">
            <v>#N/A</v>
          </cell>
        </row>
        <row r="1109">
          <cell r="A1109" t="str">
            <v/>
          </cell>
          <cell r="B1109" t="str">
            <v/>
          </cell>
          <cell r="C1109" t="str">
            <v>Future</v>
          </cell>
          <cell r="D1109" t="e">
            <v>#N/A</v>
          </cell>
          <cell r="E1109">
            <v>-65.500873015873722</v>
          </cell>
          <cell r="F1109">
            <v>76.364206349204395</v>
          </cell>
          <cell r="G1109">
            <v>21.80071428571361</v>
          </cell>
          <cell r="H1109">
            <v>21.80071428571361</v>
          </cell>
          <cell r="I1109" t="e">
            <v>#N/A</v>
          </cell>
          <cell r="J1109" t="e">
            <v>#N/A</v>
          </cell>
          <cell r="K1109">
            <v>65</v>
          </cell>
          <cell r="L1109">
            <v>40</v>
          </cell>
          <cell r="M1109" t="e">
            <v>#N/A</v>
          </cell>
          <cell r="N1109">
            <v>52</v>
          </cell>
          <cell r="O1109" t="e">
            <v>#N/A</v>
          </cell>
          <cell r="P1109" t="str">
            <v/>
          </cell>
          <cell r="Q1109" t="str">
            <v/>
          </cell>
          <cell r="R1109" t="e">
            <v>#N/A</v>
          </cell>
        </row>
        <row r="1110">
          <cell r="A1110" t="str">
            <v/>
          </cell>
          <cell r="B1110" t="str">
            <v/>
          </cell>
          <cell r="C1110" t="str">
            <v>Future</v>
          </cell>
          <cell r="D1110" t="e">
            <v>#N/A</v>
          </cell>
          <cell r="E1110">
            <v>-65.720674603175311</v>
          </cell>
          <cell r="F1110">
            <v>76.402341269839312</v>
          </cell>
          <cell r="G1110">
            <v>21.739642857142183</v>
          </cell>
          <cell r="H1110">
            <v>21.739642857142183</v>
          </cell>
          <cell r="I1110" t="e">
            <v>#N/A</v>
          </cell>
          <cell r="J1110" t="e">
            <v>#N/A</v>
          </cell>
          <cell r="K1110">
            <v>65</v>
          </cell>
          <cell r="L1110">
            <v>40</v>
          </cell>
          <cell r="M1110" t="e">
            <v>#N/A</v>
          </cell>
          <cell r="N1110">
            <v>52</v>
          </cell>
          <cell r="O1110" t="e">
            <v>#N/A</v>
          </cell>
          <cell r="P1110" t="str">
            <v/>
          </cell>
          <cell r="Q1110" t="str">
            <v/>
          </cell>
          <cell r="R1110" t="e">
            <v>#N/A</v>
          </cell>
        </row>
        <row r="1111">
          <cell r="A1111" t="str">
            <v/>
          </cell>
          <cell r="B1111" t="str">
            <v/>
          </cell>
          <cell r="C1111" t="str">
            <v>Future</v>
          </cell>
          <cell r="D1111" t="e">
            <v>#N/A</v>
          </cell>
          <cell r="E1111">
            <v>-65.9404761904769</v>
          </cell>
          <cell r="F1111">
            <v>76.440476190474229</v>
          </cell>
          <cell r="G1111">
            <v>21.678571428570756</v>
          </cell>
          <cell r="H1111">
            <v>21.678571428570756</v>
          </cell>
          <cell r="I1111" t="e">
            <v>#N/A</v>
          </cell>
          <cell r="J1111" t="e">
            <v>#N/A</v>
          </cell>
          <cell r="K1111">
            <v>65</v>
          </cell>
          <cell r="L1111">
            <v>40</v>
          </cell>
          <cell r="M1111" t="e">
            <v>#N/A</v>
          </cell>
          <cell r="N1111">
            <v>52</v>
          </cell>
          <cell r="O1111" t="e">
            <v>#N/A</v>
          </cell>
          <cell r="P1111" t="str">
            <v/>
          </cell>
          <cell r="Q1111" t="str">
            <v/>
          </cell>
          <cell r="R1111" t="e">
            <v>#N/A</v>
          </cell>
        </row>
        <row r="1112">
          <cell r="A1112" t="str">
            <v/>
          </cell>
          <cell r="B1112" t="str">
            <v/>
          </cell>
          <cell r="C1112" t="str">
            <v>Future</v>
          </cell>
          <cell r="D1112" t="e">
            <v>#N/A</v>
          </cell>
          <cell r="E1112">
            <v>-66.160277777778489</v>
          </cell>
          <cell r="F1112">
            <v>76.478611111109146</v>
          </cell>
          <cell r="G1112">
            <v>21.617499999999328</v>
          </cell>
          <cell r="H1112">
            <v>21.617499999999328</v>
          </cell>
          <cell r="I1112" t="e">
            <v>#N/A</v>
          </cell>
          <cell r="J1112" t="e">
            <v>#N/A</v>
          </cell>
          <cell r="K1112">
            <v>65</v>
          </cell>
          <cell r="L1112">
            <v>40</v>
          </cell>
          <cell r="M1112" t="e">
            <v>#N/A</v>
          </cell>
          <cell r="N1112">
            <v>52</v>
          </cell>
          <cell r="O1112" t="e">
            <v>#N/A</v>
          </cell>
          <cell r="P1112" t="str">
            <v/>
          </cell>
          <cell r="Q1112" t="str">
            <v/>
          </cell>
          <cell r="R1112" t="e">
            <v>#N/A</v>
          </cell>
        </row>
        <row r="1113">
          <cell r="A1113" t="str">
            <v/>
          </cell>
          <cell r="B1113" t="str">
            <v/>
          </cell>
          <cell r="C1113" t="str">
            <v>Future</v>
          </cell>
          <cell r="D1113" t="e">
            <v>#N/A</v>
          </cell>
          <cell r="E1113">
            <v>-66.380079365080078</v>
          </cell>
          <cell r="F1113">
            <v>76.516746031744063</v>
          </cell>
          <cell r="G1113">
            <v>21.556428571427901</v>
          </cell>
          <cell r="H1113">
            <v>21.556428571427901</v>
          </cell>
          <cell r="I1113" t="e">
            <v>#N/A</v>
          </cell>
          <cell r="J1113" t="e">
            <v>#N/A</v>
          </cell>
          <cell r="K1113">
            <v>65</v>
          </cell>
          <cell r="L1113">
            <v>40</v>
          </cell>
          <cell r="M1113" t="e">
            <v>#N/A</v>
          </cell>
          <cell r="N1113">
            <v>52</v>
          </cell>
          <cell r="O1113" t="e">
            <v>#N/A</v>
          </cell>
          <cell r="P1113" t="str">
            <v/>
          </cell>
          <cell r="Q1113" t="str">
            <v/>
          </cell>
          <cell r="R1113" t="e">
            <v>#N/A</v>
          </cell>
        </row>
        <row r="1114">
          <cell r="A1114" t="str">
            <v/>
          </cell>
          <cell r="B1114" t="str">
            <v/>
          </cell>
          <cell r="C1114" t="str">
            <v>Future</v>
          </cell>
          <cell r="D1114" t="e">
            <v>#N/A</v>
          </cell>
          <cell r="E1114">
            <v>-66.599880952381667</v>
          </cell>
          <cell r="F1114">
            <v>76.55488095237898</v>
          </cell>
          <cell r="G1114">
            <v>21.495357142856474</v>
          </cell>
          <cell r="H1114">
            <v>21.495357142856474</v>
          </cell>
          <cell r="I1114" t="e">
            <v>#N/A</v>
          </cell>
          <cell r="J1114" t="e">
            <v>#N/A</v>
          </cell>
          <cell r="K1114">
            <v>65</v>
          </cell>
          <cell r="L1114">
            <v>40</v>
          </cell>
          <cell r="M1114" t="e">
            <v>#N/A</v>
          </cell>
          <cell r="N1114">
            <v>52</v>
          </cell>
          <cell r="O1114" t="e">
            <v>#N/A</v>
          </cell>
          <cell r="P1114" t="str">
            <v/>
          </cell>
          <cell r="Q1114" t="str">
            <v/>
          </cell>
          <cell r="R1114" t="e">
            <v>#N/A</v>
          </cell>
        </row>
        <row r="1115">
          <cell r="A1115" t="str">
            <v/>
          </cell>
          <cell r="B1115" t="str">
            <v/>
          </cell>
          <cell r="C1115" t="str">
            <v>Future</v>
          </cell>
          <cell r="D1115" t="e">
            <v>#N/A</v>
          </cell>
          <cell r="E1115">
            <v>-66.819682539683257</v>
          </cell>
          <cell r="F1115">
            <v>76.593015873013897</v>
          </cell>
          <cell r="G1115">
            <v>21.434285714285046</v>
          </cell>
          <cell r="H1115">
            <v>21.434285714285046</v>
          </cell>
          <cell r="I1115" t="e">
            <v>#N/A</v>
          </cell>
          <cell r="J1115" t="e">
            <v>#N/A</v>
          </cell>
          <cell r="K1115">
            <v>65</v>
          </cell>
          <cell r="L1115">
            <v>40</v>
          </cell>
          <cell r="M1115" t="e">
            <v>#N/A</v>
          </cell>
          <cell r="N1115">
            <v>52</v>
          </cell>
          <cell r="O1115" t="e">
            <v>#N/A</v>
          </cell>
          <cell r="P1115" t="str">
            <v/>
          </cell>
          <cell r="Q1115" t="str">
            <v/>
          </cell>
          <cell r="R1115" t="e">
            <v>#N/A</v>
          </cell>
        </row>
        <row r="1116">
          <cell r="A1116" t="str">
            <v/>
          </cell>
          <cell r="B1116" t="str">
            <v/>
          </cell>
          <cell r="C1116" t="str">
            <v>Future</v>
          </cell>
          <cell r="D1116" t="e">
            <v>#N/A</v>
          </cell>
          <cell r="E1116">
            <v>-67.039484126984846</v>
          </cell>
          <cell r="F1116">
            <v>76.631150793648814</v>
          </cell>
          <cell r="G1116">
            <v>21.373214285713619</v>
          </cell>
          <cell r="H1116">
            <v>21.373214285713619</v>
          </cell>
          <cell r="I1116" t="e">
            <v>#N/A</v>
          </cell>
          <cell r="J1116" t="e">
            <v>#N/A</v>
          </cell>
          <cell r="K1116">
            <v>65</v>
          </cell>
          <cell r="L1116">
            <v>40</v>
          </cell>
          <cell r="M1116" t="e">
            <v>#N/A</v>
          </cell>
          <cell r="N1116">
            <v>52</v>
          </cell>
          <cell r="O1116" t="e">
            <v>#N/A</v>
          </cell>
          <cell r="P1116" t="str">
            <v/>
          </cell>
          <cell r="Q1116" t="str">
            <v/>
          </cell>
          <cell r="R1116" t="e">
            <v>#N/A</v>
          </cell>
        </row>
        <row r="1117">
          <cell r="A1117" t="str">
            <v/>
          </cell>
          <cell r="B1117" t="str">
            <v/>
          </cell>
          <cell r="C1117" t="str">
            <v>Future</v>
          </cell>
          <cell r="D1117" t="e">
            <v>#N/A</v>
          </cell>
          <cell r="E1117">
            <v>-67.259285714286435</v>
          </cell>
          <cell r="F1117">
            <v>76.669285714283731</v>
          </cell>
          <cell r="G1117">
            <v>21.312142857142192</v>
          </cell>
          <cell r="H1117">
            <v>21.312142857142192</v>
          </cell>
          <cell r="I1117" t="e">
            <v>#N/A</v>
          </cell>
          <cell r="J1117" t="e">
            <v>#N/A</v>
          </cell>
          <cell r="K1117">
            <v>65</v>
          </cell>
          <cell r="L1117">
            <v>40</v>
          </cell>
          <cell r="M1117" t="e">
            <v>#N/A</v>
          </cell>
          <cell r="N1117">
            <v>52</v>
          </cell>
          <cell r="O1117" t="e">
            <v>#N/A</v>
          </cell>
          <cell r="P1117" t="str">
            <v/>
          </cell>
          <cell r="Q1117" t="str">
            <v/>
          </cell>
          <cell r="R1117" t="e">
            <v>#N/A</v>
          </cell>
        </row>
        <row r="1118">
          <cell r="A1118" t="str">
            <v/>
          </cell>
          <cell r="B1118" t="str">
            <v/>
          </cell>
          <cell r="C1118" t="str">
            <v>Future</v>
          </cell>
          <cell r="D1118" t="e">
            <v>#N/A</v>
          </cell>
          <cell r="E1118">
            <v>-67.479087301588024</v>
          </cell>
          <cell r="F1118">
            <v>76.707420634918648</v>
          </cell>
          <cell r="G1118">
            <v>21.251071428570764</v>
          </cell>
          <cell r="H1118">
            <v>21.251071428570764</v>
          </cell>
          <cell r="I1118" t="e">
            <v>#N/A</v>
          </cell>
          <cell r="J1118" t="e">
            <v>#N/A</v>
          </cell>
          <cell r="K1118">
            <v>65</v>
          </cell>
          <cell r="L1118">
            <v>40</v>
          </cell>
          <cell r="M1118" t="e">
            <v>#N/A</v>
          </cell>
          <cell r="N1118">
            <v>52</v>
          </cell>
          <cell r="O1118" t="e">
            <v>#N/A</v>
          </cell>
          <cell r="P1118" t="str">
            <v/>
          </cell>
          <cell r="Q1118" t="str">
            <v/>
          </cell>
          <cell r="R1118" t="e">
            <v>#N/A</v>
          </cell>
        </row>
        <row r="1119">
          <cell r="A1119" t="str">
            <v/>
          </cell>
          <cell r="B1119" t="str">
            <v/>
          </cell>
          <cell r="C1119" t="str">
            <v>Future</v>
          </cell>
          <cell r="D1119" t="e">
            <v>#N/A</v>
          </cell>
          <cell r="E1119">
            <v>-67.698888888889613</v>
          </cell>
          <cell r="F1119">
            <v>76.745555555553565</v>
          </cell>
          <cell r="G1119">
            <v>21.189999999999337</v>
          </cell>
          <cell r="H1119">
            <v>21.189999999999337</v>
          </cell>
          <cell r="I1119" t="e">
            <v>#N/A</v>
          </cell>
          <cell r="J1119" t="e">
            <v>#N/A</v>
          </cell>
          <cell r="K1119">
            <v>65</v>
          </cell>
          <cell r="L1119">
            <v>40</v>
          </cell>
          <cell r="M1119" t="e">
            <v>#N/A</v>
          </cell>
          <cell r="N1119">
            <v>52</v>
          </cell>
          <cell r="O1119" t="e">
            <v>#N/A</v>
          </cell>
          <cell r="P1119" t="str">
            <v/>
          </cell>
          <cell r="Q1119" t="str">
            <v/>
          </cell>
          <cell r="R1119" t="e">
            <v>#N/A</v>
          </cell>
        </row>
        <row r="1120">
          <cell r="A1120" t="str">
            <v/>
          </cell>
          <cell r="B1120" t="str">
            <v/>
          </cell>
          <cell r="C1120" t="str">
            <v>Future</v>
          </cell>
          <cell r="D1120" t="e">
            <v>#N/A</v>
          </cell>
          <cell r="E1120">
            <v>-67.918690476191202</v>
          </cell>
          <cell r="F1120">
            <v>76.783690476188482</v>
          </cell>
          <cell r="G1120">
            <v>21.12892857142791</v>
          </cell>
          <cell r="H1120">
            <v>21.12892857142791</v>
          </cell>
          <cell r="I1120" t="e">
            <v>#N/A</v>
          </cell>
          <cell r="J1120" t="e">
            <v>#N/A</v>
          </cell>
          <cell r="K1120">
            <v>65</v>
          </cell>
          <cell r="L1120">
            <v>40</v>
          </cell>
          <cell r="M1120" t="e">
            <v>#N/A</v>
          </cell>
          <cell r="N1120">
            <v>52</v>
          </cell>
          <cell r="O1120" t="e">
            <v>#N/A</v>
          </cell>
          <cell r="P1120" t="str">
            <v/>
          </cell>
          <cell r="Q1120" t="str">
            <v/>
          </cell>
          <cell r="R1120" t="e">
            <v>#N/A</v>
          </cell>
        </row>
        <row r="1121">
          <cell r="A1121" t="str">
            <v/>
          </cell>
          <cell r="B1121" t="str">
            <v/>
          </cell>
          <cell r="C1121" t="str">
            <v>Future</v>
          </cell>
          <cell r="D1121" t="e">
            <v>#N/A</v>
          </cell>
          <cell r="E1121">
            <v>-68.138492063492791</v>
          </cell>
          <cell r="F1121">
            <v>76.8218253968234</v>
          </cell>
          <cell r="G1121">
            <v>21.067857142856482</v>
          </cell>
          <cell r="H1121">
            <v>21.067857142856482</v>
          </cell>
          <cell r="I1121" t="e">
            <v>#N/A</v>
          </cell>
          <cell r="J1121" t="e">
            <v>#N/A</v>
          </cell>
          <cell r="K1121">
            <v>65</v>
          </cell>
          <cell r="L1121">
            <v>40</v>
          </cell>
          <cell r="M1121" t="e">
            <v>#N/A</v>
          </cell>
          <cell r="N1121">
            <v>52</v>
          </cell>
          <cell r="O1121" t="e">
            <v>#N/A</v>
          </cell>
          <cell r="P1121" t="str">
            <v/>
          </cell>
          <cell r="Q1121" t="str">
            <v/>
          </cell>
          <cell r="R1121" t="e">
            <v>#N/A</v>
          </cell>
        </row>
        <row r="1122">
          <cell r="A1122" t="str">
            <v/>
          </cell>
          <cell r="B1122" t="str">
            <v/>
          </cell>
          <cell r="C1122" t="str">
            <v>Future</v>
          </cell>
          <cell r="D1122" t="e">
            <v>#N/A</v>
          </cell>
          <cell r="E1122">
            <v>-68.35829365079438</v>
          </cell>
          <cell r="F1122">
            <v>76.859960317458317</v>
          </cell>
          <cell r="G1122">
            <v>21.006785714285055</v>
          </cell>
          <cell r="H1122">
            <v>21.006785714285055</v>
          </cell>
          <cell r="I1122" t="e">
            <v>#N/A</v>
          </cell>
          <cell r="J1122" t="e">
            <v>#N/A</v>
          </cell>
          <cell r="K1122">
            <v>65</v>
          </cell>
          <cell r="L1122">
            <v>40</v>
          </cell>
          <cell r="M1122" t="e">
            <v>#N/A</v>
          </cell>
          <cell r="N1122">
            <v>52</v>
          </cell>
          <cell r="O1122" t="e">
            <v>#N/A</v>
          </cell>
          <cell r="P1122" t="str">
            <v/>
          </cell>
          <cell r="Q1122" t="str">
            <v/>
          </cell>
          <cell r="R1122" t="e">
            <v>#N/A</v>
          </cell>
        </row>
        <row r="1123">
          <cell r="A1123" t="str">
            <v/>
          </cell>
          <cell r="B1123" t="str">
            <v/>
          </cell>
          <cell r="C1123" t="str">
            <v>Future</v>
          </cell>
          <cell r="D1123" t="e">
            <v>#N/A</v>
          </cell>
          <cell r="E1123">
            <v>-68.578095238095969</v>
          </cell>
          <cell r="F1123">
            <v>76.898095238093234</v>
          </cell>
          <cell r="G1123">
            <v>20.945714285713628</v>
          </cell>
          <cell r="H1123">
            <v>20.945714285713628</v>
          </cell>
          <cell r="I1123" t="e">
            <v>#N/A</v>
          </cell>
          <cell r="J1123" t="e">
            <v>#N/A</v>
          </cell>
          <cell r="K1123">
            <v>65</v>
          </cell>
          <cell r="L1123">
            <v>40</v>
          </cell>
          <cell r="M1123" t="e">
            <v>#N/A</v>
          </cell>
          <cell r="N1123">
            <v>52</v>
          </cell>
          <cell r="O1123" t="e">
            <v>#N/A</v>
          </cell>
          <cell r="P1123" t="str">
            <v/>
          </cell>
          <cell r="Q1123" t="str">
            <v/>
          </cell>
          <cell r="R1123" t="e">
            <v>#N/A</v>
          </cell>
        </row>
        <row r="1124">
          <cell r="A1124" t="str">
            <v/>
          </cell>
          <cell r="B1124" t="str">
            <v/>
          </cell>
          <cell r="C1124" t="str">
            <v>Future</v>
          </cell>
          <cell r="D1124" t="e">
            <v>#N/A</v>
          </cell>
          <cell r="E1124">
            <v>-68.797896825397558</v>
          </cell>
          <cell r="F1124">
            <v>76.936230158728151</v>
          </cell>
          <cell r="G1124">
            <v>20.8846428571422</v>
          </cell>
          <cell r="H1124">
            <v>20.8846428571422</v>
          </cell>
          <cell r="I1124" t="e">
            <v>#N/A</v>
          </cell>
          <cell r="J1124" t="e">
            <v>#N/A</v>
          </cell>
          <cell r="K1124">
            <v>65</v>
          </cell>
          <cell r="L1124">
            <v>40</v>
          </cell>
          <cell r="M1124" t="e">
            <v>#N/A</v>
          </cell>
          <cell r="N1124">
            <v>52</v>
          </cell>
          <cell r="O1124" t="e">
            <v>#N/A</v>
          </cell>
          <cell r="P1124" t="str">
            <v/>
          </cell>
          <cell r="Q1124" t="str">
            <v/>
          </cell>
          <cell r="R1124" t="e">
            <v>#N/A</v>
          </cell>
        </row>
        <row r="1125">
          <cell r="A1125" t="str">
            <v/>
          </cell>
          <cell r="B1125" t="str">
            <v/>
          </cell>
          <cell r="C1125" t="str">
            <v>Future</v>
          </cell>
          <cell r="D1125" t="e">
            <v>#N/A</v>
          </cell>
          <cell r="E1125">
            <v>-69.017698412699147</v>
          </cell>
          <cell r="F1125">
            <v>76.974365079363068</v>
          </cell>
          <cell r="G1125">
            <v>20.823571428570773</v>
          </cell>
          <cell r="H1125">
            <v>20.823571428570773</v>
          </cell>
          <cell r="I1125" t="e">
            <v>#N/A</v>
          </cell>
          <cell r="J1125" t="e">
            <v>#N/A</v>
          </cell>
          <cell r="K1125">
            <v>65</v>
          </cell>
          <cell r="L1125">
            <v>40</v>
          </cell>
          <cell r="M1125" t="e">
            <v>#N/A</v>
          </cell>
          <cell r="N1125">
            <v>52</v>
          </cell>
          <cell r="O1125" t="e">
            <v>#N/A</v>
          </cell>
          <cell r="P1125" t="str">
            <v/>
          </cell>
          <cell r="Q1125" t="str">
            <v/>
          </cell>
          <cell r="R1125" t="e">
            <v>#N/A</v>
          </cell>
        </row>
        <row r="1126">
          <cell r="A1126" t="str">
            <v/>
          </cell>
          <cell r="B1126" t="str">
            <v/>
          </cell>
          <cell r="C1126" t="str">
            <v>Future</v>
          </cell>
          <cell r="D1126" t="e">
            <v>#N/A</v>
          </cell>
          <cell r="E1126">
            <v>-69.237500000000736</v>
          </cell>
          <cell r="F1126">
            <v>77.012499999997985</v>
          </cell>
          <cell r="G1126">
            <v>20.762499999999346</v>
          </cell>
          <cell r="H1126">
            <v>20.762499999999346</v>
          </cell>
          <cell r="I1126" t="e">
            <v>#N/A</v>
          </cell>
          <cell r="J1126" t="e">
            <v>#N/A</v>
          </cell>
          <cell r="K1126">
            <v>65</v>
          </cell>
          <cell r="L1126">
            <v>40</v>
          </cell>
          <cell r="M1126" t="e">
            <v>#N/A</v>
          </cell>
          <cell r="N1126">
            <v>52</v>
          </cell>
          <cell r="O1126" t="e">
            <v>#N/A</v>
          </cell>
          <cell r="P1126" t="str">
            <v/>
          </cell>
          <cell r="Q1126" t="str">
            <v/>
          </cell>
          <cell r="R1126" t="e">
            <v>#N/A</v>
          </cell>
        </row>
        <row r="1127">
          <cell r="A1127" t="str">
            <v/>
          </cell>
          <cell r="B1127" t="str">
            <v/>
          </cell>
          <cell r="C1127" t="str">
            <v>Future</v>
          </cell>
          <cell r="D1127" t="e">
            <v>#N/A</v>
          </cell>
          <cell r="E1127">
            <v>-69.457301587302325</v>
          </cell>
          <cell r="F1127">
            <v>77.050634920632902</v>
          </cell>
          <cell r="G1127">
            <v>20.701428571427918</v>
          </cell>
          <cell r="H1127">
            <v>20.701428571427918</v>
          </cell>
          <cell r="I1127" t="e">
            <v>#N/A</v>
          </cell>
          <cell r="J1127" t="e">
            <v>#N/A</v>
          </cell>
          <cell r="K1127">
            <v>65</v>
          </cell>
          <cell r="L1127">
            <v>40</v>
          </cell>
          <cell r="M1127" t="e">
            <v>#N/A</v>
          </cell>
          <cell r="N1127">
            <v>52</v>
          </cell>
          <cell r="O1127" t="e">
            <v>#N/A</v>
          </cell>
          <cell r="P1127" t="str">
            <v/>
          </cell>
          <cell r="Q1127" t="str">
            <v/>
          </cell>
          <cell r="R1127" t="e">
            <v>#N/A</v>
          </cell>
        </row>
        <row r="1128">
          <cell r="A1128" t="str">
            <v/>
          </cell>
          <cell r="B1128" t="str">
            <v/>
          </cell>
          <cell r="C1128" t="str">
            <v>Future</v>
          </cell>
          <cell r="D1128" t="e">
            <v>#N/A</v>
          </cell>
          <cell r="E1128">
            <v>-69.677103174603914</v>
          </cell>
          <cell r="F1128">
            <v>77.088769841267819</v>
          </cell>
          <cell r="G1128">
            <v>20.640357142856491</v>
          </cell>
          <cell r="H1128">
            <v>20.640357142856491</v>
          </cell>
          <cell r="I1128" t="e">
            <v>#N/A</v>
          </cell>
          <cell r="J1128" t="e">
            <v>#N/A</v>
          </cell>
          <cell r="K1128">
            <v>65</v>
          </cell>
          <cell r="L1128">
            <v>40</v>
          </cell>
          <cell r="M1128" t="e">
            <v>#N/A</v>
          </cell>
          <cell r="N1128">
            <v>52</v>
          </cell>
          <cell r="O1128" t="e">
            <v>#N/A</v>
          </cell>
          <cell r="P1128" t="str">
            <v/>
          </cell>
          <cell r="Q1128" t="str">
            <v/>
          </cell>
          <cell r="R1128" t="e">
            <v>#N/A</v>
          </cell>
        </row>
        <row r="1129">
          <cell r="A1129" t="str">
            <v/>
          </cell>
          <cell r="B1129" t="str">
            <v/>
          </cell>
          <cell r="C1129" t="str">
            <v>Future</v>
          </cell>
          <cell r="D1129" t="e">
            <v>#N/A</v>
          </cell>
          <cell r="E1129">
            <v>-69.896904761905503</v>
          </cell>
          <cell r="F1129">
            <v>77.126904761902736</v>
          </cell>
          <cell r="G1129">
            <v>20.579285714285064</v>
          </cell>
          <cell r="H1129">
            <v>20.579285714285064</v>
          </cell>
          <cell r="I1129" t="e">
            <v>#N/A</v>
          </cell>
          <cell r="J1129" t="e">
            <v>#N/A</v>
          </cell>
          <cell r="K1129">
            <v>65</v>
          </cell>
          <cell r="L1129">
            <v>40</v>
          </cell>
          <cell r="M1129" t="e">
            <v>#N/A</v>
          </cell>
          <cell r="N1129">
            <v>52</v>
          </cell>
          <cell r="O1129" t="e">
            <v>#N/A</v>
          </cell>
          <cell r="P1129" t="str">
            <v/>
          </cell>
          <cell r="Q1129" t="str">
            <v/>
          </cell>
          <cell r="R1129" t="e">
            <v>#N/A</v>
          </cell>
        </row>
        <row r="1130">
          <cell r="A1130" t="str">
            <v/>
          </cell>
          <cell r="B1130" t="str">
            <v/>
          </cell>
          <cell r="C1130" t="str">
            <v>Future</v>
          </cell>
          <cell r="D1130" t="e">
            <v>#N/A</v>
          </cell>
          <cell r="E1130">
            <v>-70.116706349207092</v>
          </cell>
          <cell r="F1130">
            <v>77.165039682537653</v>
          </cell>
          <cell r="G1130">
            <v>20.518214285713636</v>
          </cell>
          <cell r="H1130">
            <v>20.518214285713636</v>
          </cell>
          <cell r="I1130" t="e">
            <v>#N/A</v>
          </cell>
          <cell r="J1130" t="e">
            <v>#N/A</v>
          </cell>
          <cell r="K1130">
            <v>65</v>
          </cell>
          <cell r="L1130">
            <v>40</v>
          </cell>
          <cell r="M1130" t="e">
            <v>#N/A</v>
          </cell>
          <cell r="N1130">
            <v>52</v>
          </cell>
          <cell r="O1130" t="e">
            <v>#N/A</v>
          </cell>
          <cell r="P1130" t="str">
            <v/>
          </cell>
          <cell r="Q1130" t="str">
            <v/>
          </cell>
          <cell r="R1130" t="e">
            <v>#N/A</v>
          </cell>
        </row>
        <row r="1131">
          <cell r="A1131" t="str">
            <v/>
          </cell>
          <cell r="B1131" t="str">
            <v/>
          </cell>
          <cell r="C1131" t="str">
            <v>Future</v>
          </cell>
          <cell r="D1131" t="e">
            <v>#N/A</v>
          </cell>
          <cell r="E1131">
            <v>-70.336507936508681</v>
          </cell>
          <cell r="F1131">
            <v>77.20317460317257</v>
          </cell>
          <cell r="G1131">
            <v>20.457142857142209</v>
          </cell>
          <cell r="H1131">
            <v>20.457142857142209</v>
          </cell>
          <cell r="I1131" t="e">
            <v>#N/A</v>
          </cell>
          <cell r="J1131" t="e">
            <v>#N/A</v>
          </cell>
          <cell r="K1131">
            <v>65</v>
          </cell>
          <cell r="L1131">
            <v>40</v>
          </cell>
          <cell r="M1131" t="e">
            <v>#N/A</v>
          </cell>
          <cell r="N1131">
            <v>52</v>
          </cell>
          <cell r="O1131" t="e">
            <v>#N/A</v>
          </cell>
          <cell r="P1131" t="str">
            <v/>
          </cell>
          <cell r="Q1131" t="str">
            <v/>
          </cell>
          <cell r="R1131" t="e">
            <v>#N/A</v>
          </cell>
        </row>
        <row r="1132">
          <cell r="A1132" t="str">
            <v/>
          </cell>
          <cell r="B1132" t="str">
            <v/>
          </cell>
          <cell r="C1132" t="str">
            <v>Future</v>
          </cell>
          <cell r="D1132" t="e">
            <v>#N/A</v>
          </cell>
          <cell r="E1132">
            <v>-70.55630952381027</v>
          </cell>
          <cell r="F1132">
            <v>77.241309523807487</v>
          </cell>
          <cell r="G1132">
            <v>20.396071428570782</v>
          </cell>
          <cell r="H1132">
            <v>20.396071428570782</v>
          </cell>
          <cell r="I1132" t="e">
            <v>#N/A</v>
          </cell>
          <cell r="J1132" t="e">
            <v>#N/A</v>
          </cell>
          <cell r="K1132">
            <v>65</v>
          </cell>
          <cell r="L1132">
            <v>40</v>
          </cell>
          <cell r="M1132" t="e">
            <v>#N/A</v>
          </cell>
          <cell r="N1132">
            <v>52</v>
          </cell>
          <cell r="O1132" t="e">
            <v>#N/A</v>
          </cell>
          <cell r="P1132" t="str">
            <v/>
          </cell>
          <cell r="Q1132" t="str">
            <v/>
          </cell>
          <cell r="R1132" t="e">
            <v>#N/A</v>
          </cell>
        </row>
        <row r="1133">
          <cell r="A1133" t="str">
            <v/>
          </cell>
          <cell r="B1133" t="str">
            <v/>
          </cell>
          <cell r="C1133" t="str">
            <v>Future</v>
          </cell>
          <cell r="D1133" t="e">
            <v>#N/A</v>
          </cell>
          <cell r="E1133">
            <v>-70.776111111111859</v>
          </cell>
          <cell r="F1133">
            <v>77.279444444442404</v>
          </cell>
          <cell r="G1133">
            <v>20.334999999999354</v>
          </cell>
          <cell r="H1133">
            <v>20.334999999999354</v>
          </cell>
          <cell r="I1133" t="e">
            <v>#N/A</v>
          </cell>
          <cell r="J1133" t="e">
            <v>#N/A</v>
          </cell>
          <cell r="K1133">
            <v>65</v>
          </cell>
          <cell r="L1133">
            <v>40</v>
          </cell>
          <cell r="M1133" t="e">
            <v>#N/A</v>
          </cell>
          <cell r="N1133">
            <v>52</v>
          </cell>
          <cell r="O1133" t="e">
            <v>#N/A</v>
          </cell>
          <cell r="P1133" t="str">
            <v/>
          </cell>
          <cell r="Q1133" t="str">
            <v/>
          </cell>
          <cell r="R1133" t="e">
            <v>#N/A</v>
          </cell>
        </row>
        <row r="1134">
          <cell r="A1134" t="str">
            <v/>
          </cell>
          <cell r="B1134" t="str">
            <v/>
          </cell>
          <cell r="C1134" t="str">
            <v>Future</v>
          </cell>
          <cell r="D1134" t="e">
            <v>#N/A</v>
          </cell>
          <cell r="E1134">
            <v>-70.995912698413449</v>
          </cell>
          <cell r="F1134">
            <v>77.317579365077322</v>
          </cell>
          <cell r="G1134">
            <v>20.273928571427927</v>
          </cell>
          <cell r="H1134">
            <v>20.273928571427927</v>
          </cell>
          <cell r="I1134" t="e">
            <v>#N/A</v>
          </cell>
          <cell r="J1134" t="e">
            <v>#N/A</v>
          </cell>
          <cell r="K1134">
            <v>65</v>
          </cell>
          <cell r="L1134">
            <v>40</v>
          </cell>
          <cell r="M1134" t="e">
            <v>#N/A</v>
          </cell>
          <cell r="N1134">
            <v>52</v>
          </cell>
          <cell r="O1134" t="e">
            <v>#N/A</v>
          </cell>
          <cell r="P1134" t="str">
            <v/>
          </cell>
          <cell r="Q1134" t="str">
            <v/>
          </cell>
          <cell r="R1134" t="e">
            <v>#N/A</v>
          </cell>
        </row>
        <row r="1135">
          <cell r="A1135" t="str">
            <v/>
          </cell>
          <cell r="B1135" t="str">
            <v/>
          </cell>
          <cell r="C1135" t="str">
            <v>Future</v>
          </cell>
          <cell r="D1135" t="e">
            <v>#N/A</v>
          </cell>
          <cell r="E1135">
            <v>-71.215714285715038</v>
          </cell>
          <cell r="F1135">
            <v>77.355714285712239</v>
          </cell>
          <cell r="G1135">
            <v>20.2128571428565</v>
          </cell>
          <cell r="H1135">
            <v>20.2128571428565</v>
          </cell>
          <cell r="I1135" t="e">
            <v>#N/A</v>
          </cell>
          <cell r="J1135" t="e">
            <v>#N/A</v>
          </cell>
          <cell r="K1135">
            <v>65</v>
          </cell>
          <cell r="L1135">
            <v>40</v>
          </cell>
          <cell r="M1135" t="e">
            <v>#N/A</v>
          </cell>
          <cell r="N1135">
            <v>52</v>
          </cell>
          <cell r="O1135" t="e">
            <v>#N/A</v>
          </cell>
          <cell r="P1135" t="str">
            <v/>
          </cell>
          <cell r="Q1135" t="str">
            <v/>
          </cell>
          <cell r="R1135" t="e">
            <v>#N/A</v>
          </cell>
        </row>
        <row r="1136">
          <cell r="A1136" t="str">
            <v/>
          </cell>
          <cell r="B1136" t="str">
            <v/>
          </cell>
          <cell r="C1136" t="str">
            <v>Future</v>
          </cell>
          <cell r="D1136" t="e">
            <v>#N/A</v>
          </cell>
          <cell r="E1136">
            <v>-71.435515873016627</v>
          </cell>
          <cell r="F1136">
            <v>77.393849206347156</v>
          </cell>
          <cell r="G1136">
            <v>20.151785714285072</v>
          </cell>
          <cell r="H1136">
            <v>20.151785714285072</v>
          </cell>
          <cell r="I1136" t="e">
            <v>#N/A</v>
          </cell>
          <cell r="J1136" t="e">
            <v>#N/A</v>
          </cell>
          <cell r="K1136">
            <v>65</v>
          </cell>
          <cell r="L1136">
            <v>40</v>
          </cell>
          <cell r="M1136" t="e">
            <v>#N/A</v>
          </cell>
          <cell r="N1136">
            <v>52</v>
          </cell>
          <cell r="O1136" t="e">
            <v>#N/A</v>
          </cell>
          <cell r="P1136" t="str">
            <v/>
          </cell>
          <cell r="Q1136" t="str">
            <v/>
          </cell>
          <cell r="R1136" t="e">
            <v>#N/A</v>
          </cell>
        </row>
        <row r="1137">
          <cell r="A1137" t="str">
            <v/>
          </cell>
          <cell r="B1137" t="str">
            <v/>
          </cell>
          <cell r="C1137" t="str">
            <v>Future</v>
          </cell>
          <cell r="D1137" t="e">
            <v>#N/A</v>
          </cell>
          <cell r="E1137">
            <v>-71.655317460318216</v>
          </cell>
          <cell r="F1137">
            <v>77.431984126982073</v>
          </cell>
          <cell r="G1137">
            <v>20.090714285713645</v>
          </cell>
          <cell r="H1137">
            <v>20.090714285713645</v>
          </cell>
          <cell r="I1137" t="e">
            <v>#N/A</v>
          </cell>
          <cell r="J1137" t="e">
            <v>#N/A</v>
          </cell>
          <cell r="K1137">
            <v>65</v>
          </cell>
          <cell r="L1137">
            <v>40</v>
          </cell>
          <cell r="M1137" t="e">
            <v>#N/A</v>
          </cell>
          <cell r="N1137">
            <v>52</v>
          </cell>
          <cell r="O1137" t="e">
            <v>#N/A</v>
          </cell>
          <cell r="P1137" t="str">
            <v/>
          </cell>
          <cell r="Q1137" t="str">
            <v/>
          </cell>
          <cell r="R1137" t="e">
            <v>#N/A</v>
          </cell>
        </row>
        <row r="1138">
          <cell r="A1138" t="str">
            <v/>
          </cell>
          <cell r="B1138" t="str">
            <v/>
          </cell>
          <cell r="C1138" t="str">
            <v>Future</v>
          </cell>
          <cell r="D1138" t="e">
            <v>#N/A</v>
          </cell>
          <cell r="E1138">
            <v>-71.875119047619805</v>
          </cell>
          <cell r="F1138">
            <v>77.47011904761699</v>
          </cell>
          <cell r="G1138">
            <v>20.029642857142218</v>
          </cell>
          <cell r="H1138">
            <v>20.029642857142218</v>
          </cell>
          <cell r="I1138" t="e">
            <v>#N/A</v>
          </cell>
          <cell r="J1138" t="e">
            <v>#N/A</v>
          </cell>
          <cell r="K1138">
            <v>65</v>
          </cell>
          <cell r="L1138">
            <v>40</v>
          </cell>
          <cell r="M1138" t="e">
            <v>#N/A</v>
          </cell>
          <cell r="N1138">
            <v>52</v>
          </cell>
          <cell r="O1138" t="e">
            <v>#N/A</v>
          </cell>
          <cell r="P1138" t="str">
            <v/>
          </cell>
          <cell r="Q1138" t="str">
            <v/>
          </cell>
          <cell r="R1138" t="e">
            <v>#N/A</v>
          </cell>
        </row>
        <row r="1139">
          <cell r="A1139" t="str">
            <v/>
          </cell>
          <cell r="B1139" t="str">
            <v/>
          </cell>
          <cell r="C1139" t="str">
            <v>Future</v>
          </cell>
          <cell r="D1139" t="e">
            <v>#N/A</v>
          </cell>
          <cell r="E1139">
            <v>-72.094920634921394</v>
          </cell>
          <cell r="F1139">
            <v>77.508253968251907</v>
          </cell>
          <cell r="G1139">
            <v>19.96857142857079</v>
          </cell>
          <cell r="H1139">
            <v>19.96857142857079</v>
          </cell>
          <cell r="I1139" t="e">
            <v>#N/A</v>
          </cell>
          <cell r="J1139" t="e">
            <v>#N/A</v>
          </cell>
          <cell r="K1139">
            <v>65</v>
          </cell>
          <cell r="L1139">
            <v>40</v>
          </cell>
          <cell r="M1139" t="e">
            <v>#N/A</v>
          </cell>
          <cell r="N1139">
            <v>52</v>
          </cell>
          <cell r="O1139" t="e">
            <v>#N/A</v>
          </cell>
          <cell r="P1139" t="str">
            <v/>
          </cell>
          <cell r="Q1139" t="str">
            <v/>
          </cell>
          <cell r="R1139" t="e">
            <v>#N/A</v>
          </cell>
        </row>
        <row r="1140">
          <cell r="A1140" t="str">
            <v/>
          </cell>
          <cell r="B1140" t="str">
            <v/>
          </cell>
          <cell r="C1140" t="str">
            <v>Future</v>
          </cell>
          <cell r="D1140" t="e">
            <v>#N/A</v>
          </cell>
          <cell r="E1140">
            <v>-72.314722222222983</v>
          </cell>
          <cell r="F1140">
            <v>77.546388888886824</v>
          </cell>
          <cell r="G1140">
            <v>19.907499999999363</v>
          </cell>
          <cell r="H1140">
            <v>19.907499999999363</v>
          </cell>
          <cell r="I1140" t="e">
            <v>#N/A</v>
          </cell>
          <cell r="J1140" t="e">
            <v>#N/A</v>
          </cell>
          <cell r="K1140">
            <v>65</v>
          </cell>
          <cell r="L1140">
            <v>40</v>
          </cell>
          <cell r="M1140" t="e">
            <v>#N/A</v>
          </cell>
          <cell r="N1140">
            <v>52</v>
          </cell>
          <cell r="O1140" t="e">
            <v>#N/A</v>
          </cell>
          <cell r="P1140" t="str">
            <v/>
          </cell>
          <cell r="Q1140" t="str">
            <v/>
          </cell>
          <cell r="R1140" t="e">
            <v>#N/A</v>
          </cell>
        </row>
        <row r="1141">
          <cell r="A1141" t="str">
            <v/>
          </cell>
          <cell r="B1141" t="str">
            <v/>
          </cell>
          <cell r="C1141" t="str">
            <v>Future</v>
          </cell>
          <cell r="D1141" t="e">
            <v>#N/A</v>
          </cell>
          <cell r="E1141">
            <v>-72.534523809524572</v>
          </cell>
          <cell r="F1141">
            <v>77.584523809521741</v>
          </cell>
          <cell r="G1141">
            <v>19.846428571427936</v>
          </cell>
          <cell r="H1141">
            <v>19.846428571427936</v>
          </cell>
          <cell r="I1141" t="e">
            <v>#N/A</v>
          </cell>
          <cell r="J1141" t="e">
            <v>#N/A</v>
          </cell>
          <cell r="K1141">
            <v>65</v>
          </cell>
          <cell r="L1141">
            <v>40</v>
          </cell>
          <cell r="M1141" t="e">
            <v>#N/A</v>
          </cell>
          <cell r="N1141">
            <v>52</v>
          </cell>
          <cell r="O1141" t="e">
            <v>#N/A</v>
          </cell>
          <cell r="P1141" t="str">
            <v/>
          </cell>
          <cell r="Q1141" t="str">
            <v/>
          </cell>
          <cell r="R1141" t="e">
            <v>#N/A</v>
          </cell>
        </row>
        <row r="1142">
          <cell r="A1142" t="str">
            <v/>
          </cell>
          <cell r="B1142" t="str">
            <v/>
          </cell>
          <cell r="C1142" t="str">
            <v>Future</v>
          </cell>
          <cell r="D1142" t="e">
            <v>#N/A</v>
          </cell>
          <cell r="E1142">
            <v>-72.754325396826161</v>
          </cell>
          <cell r="F1142">
            <v>77.622658730156658</v>
          </cell>
          <cell r="G1142">
            <v>19.785357142856508</v>
          </cell>
          <cell r="H1142">
            <v>19.785357142856508</v>
          </cell>
          <cell r="I1142" t="e">
            <v>#N/A</v>
          </cell>
          <cell r="J1142" t="e">
            <v>#N/A</v>
          </cell>
          <cell r="K1142">
            <v>65</v>
          </cell>
          <cell r="L1142">
            <v>40</v>
          </cell>
          <cell r="M1142" t="e">
            <v>#N/A</v>
          </cell>
          <cell r="N1142">
            <v>52</v>
          </cell>
          <cell r="O1142" t="e">
            <v>#N/A</v>
          </cell>
          <cell r="P1142" t="str">
            <v/>
          </cell>
          <cell r="Q1142" t="str">
            <v/>
          </cell>
          <cell r="R1142" t="e">
            <v>#N/A</v>
          </cell>
        </row>
        <row r="1143">
          <cell r="A1143" t="str">
            <v/>
          </cell>
          <cell r="B1143" t="str">
            <v/>
          </cell>
          <cell r="C1143" t="str">
            <v>Future</v>
          </cell>
          <cell r="D1143" t="e">
            <v>#N/A</v>
          </cell>
          <cell r="E1143">
            <v>-72.97412698412775</v>
          </cell>
          <cell r="F1143">
            <v>77.660793650791575</v>
          </cell>
          <cell r="G1143">
            <v>19.724285714285081</v>
          </cell>
          <cell r="H1143">
            <v>19.724285714285081</v>
          </cell>
          <cell r="I1143" t="e">
            <v>#N/A</v>
          </cell>
          <cell r="J1143" t="e">
            <v>#N/A</v>
          </cell>
          <cell r="K1143">
            <v>65</v>
          </cell>
          <cell r="L1143">
            <v>40</v>
          </cell>
          <cell r="M1143" t="e">
            <v>#N/A</v>
          </cell>
          <cell r="N1143">
            <v>52</v>
          </cell>
          <cell r="O1143" t="e">
            <v>#N/A</v>
          </cell>
          <cell r="P1143" t="str">
            <v/>
          </cell>
          <cell r="Q1143" t="str">
            <v/>
          </cell>
          <cell r="R1143" t="e">
            <v>#N/A</v>
          </cell>
        </row>
        <row r="1144">
          <cell r="A1144" t="str">
            <v/>
          </cell>
          <cell r="B1144" t="str">
            <v/>
          </cell>
          <cell r="C1144" t="str">
            <v>Future</v>
          </cell>
          <cell r="D1144" t="e">
            <v>#N/A</v>
          </cell>
          <cell r="E1144">
            <v>-73.193928571429339</v>
          </cell>
          <cell r="F1144">
            <v>77.698928571426492</v>
          </cell>
          <cell r="G1144">
            <v>19.663214285713654</v>
          </cell>
          <cell r="H1144">
            <v>19.663214285713654</v>
          </cell>
          <cell r="I1144" t="e">
            <v>#N/A</v>
          </cell>
          <cell r="J1144" t="e">
            <v>#N/A</v>
          </cell>
          <cell r="K1144">
            <v>65</v>
          </cell>
          <cell r="L1144">
            <v>40</v>
          </cell>
          <cell r="M1144" t="e">
            <v>#N/A</v>
          </cell>
          <cell r="N1144">
            <v>52</v>
          </cell>
          <cell r="O1144" t="e">
            <v>#N/A</v>
          </cell>
          <cell r="P1144" t="str">
            <v/>
          </cell>
          <cell r="Q1144" t="str">
            <v/>
          </cell>
          <cell r="R1144" t="e">
            <v>#N/A</v>
          </cell>
        </row>
        <row r="1145">
          <cell r="A1145" t="str">
            <v/>
          </cell>
          <cell r="B1145" t="str">
            <v/>
          </cell>
          <cell r="C1145" t="str">
            <v>Future</v>
          </cell>
          <cell r="D1145" t="e">
            <v>#N/A</v>
          </cell>
          <cell r="E1145">
            <v>-73.413730158730928</v>
          </cell>
          <cell r="F1145">
            <v>77.737063492061409</v>
          </cell>
          <cell r="G1145">
            <v>19.602142857142226</v>
          </cell>
          <cell r="H1145">
            <v>19.602142857142226</v>
          </cell>
          <cell r="I1145" t="e">
            <v>#N/A</v>
          </cell>
          <cell r="J1145" t="e">
            <v>#N/A</v>
          </cell>
          <cell r="K1145">
            <v>65</v>
          </cell>
          <cell r="L1145">
            <v>40</v>
          </cell>
          <cell r="M1145" t="e">
            <v>#N/A</v>
          </cell>
          <cell r="N1145">
            <v>52</v>
          </cell>
          <cell r="O1145" t="e">
            <v>#N/A</v>
          </cell>
          <cell r="P1145" t="str">
            <v/>
          </cell>
          <cell r="Q1145" t="str">
            <v/>
          </cell>
          <cell r="R1145" t="e">
            <v>#N/A</v>
          </cell>
        </row>
        <row r="1146">
          <cell r="A1146" t="str">
            <v/>
          </cell>
          <cell r="B1146" t="str">
            <v/>
          </cell>
          <cell r="C1146" t="str">
            <v>Future</v>
          </cell>
          <cell r="D1146" t="e">
            <v>#N/A</v>
          </cell>
          <cell r="E1146">
            <v>-73.633531746032517</v>
          </cell>
          <cell r="F1146">
            <v>77.775198412696326</v>
          </cell>
          <cell r="G1146">
            <v>19.541071428570799</v>
          </cell>
          <cell r="H1146">
            <v>19.541071428570799</v>
          </cell>
          <cell r="I1146" t="e">
            <v>#N/A</v>
          </cell>
          <cell r="J1146" t="e">
            <v>#N/A</v>
          </cell>
          <cell r="K1146">
            <v>65</v>
          </cell>
          <cell r="L1146">
            <v>40</v>
          </cell>
          <cell r="M1146" t="e">
            <v>#N/A</v>
          </cell>
          <cell r="N1146">
            <v>52</v>
          </cell>
          <cell r="O1146" t="e">
            <v>#N/A</v>
          </cell>
          <cell r="P1146" t="str">
            <v/>
          </cell>
          <cell r="Q1146" t="str">
            <v/>
          </cell>
          <cell r="R1146" t="e">
            <v>#N/A</v>
          </cell>
        </row>
        <row r="1147">
          <cell r="A1147" t="str">
            <v/>
          </cell>
          <cell r="B1147" t="str">
            <v/>
          </cell>
          <cell r="C1147" t="str">
            <v>Future</v>
          </cell>
          <cell r="D1147" t="e">
            <v>#N/A</v>
          </cell>
          <cell r="E1147">
            <v>-73.853333333334106</v>
          </cell>
          <cell r="F1147">
            <v>77.813333333331244</v>
          </cell>
          <cell r="G1147">
            <v>19.479999999999372</v>
          </cell>
          <cell r="H1147">
            <v>19.479999999999372</v>
          </cell>
          <cell r="I1147" t="e">
            <v>#N/A</v>
          </cell>
          <cell r="J1147" t="e">
            <v>#N/A</v>
          </cell>
          <cell r="K1147">
            <v>65</v>
          </cell>
          <cell r="L1147">
            <v>40</v>
          </cell>
          <cell r="M1147" t="e">
            <v>#N/A</v>
          </cell>
          <cell r="N1147">
            <v>52</v>
          </cell>
          <cell r="O1147" t="e">
            <v>#N/A</v>
          </cell>
          <cell r="P1147" t="str">
            <v/>
          </cell>
          <cell r="Q1147" t="str">
            <v/>
          </cell>
          <cell r="R1147" t="e">
            <v>#N/A</v>
          </cell>
        </row>
        <row r="1148">
          <cell r="A1148" t="str">
            <v/>
          </cell>
          <cell r="B1148" t="str">
            <v/>
          </cell>
          <cell r="C1148" t="str">
            <v>Future</v>
          </cell>
          <cell r="D1148" t="e">
            <v>#N/A</v>
          </cell>
          <cell r="E1148">
            <v>-74.073134920635695</v>
          </cell>
          <cell r="F1148">
            <v>77.851468253966161</v>
          </cell>
          <cell r="G1148">
            <v>19.418928571427944</v>
          </cell>
          <cell r="H1148">
            <v>19.418928571427944</v>
          </cell>
          <cell r="I1148" t="e">
            <v>#N/A</v>
          </cell>
          <cell r="J1148" t="e">
            <v>#N/A</v>
          </cell>
          <cell r="K1148">
            <v>65</v>
          </cell>
          <cell r="L1148">
            <v>40</v>
          </cell>
          <cell r="M1148" t="e">
            <v>#N/A</v>
          </cell>
          <cell r="N1148">
            <v>52</v>
          </cell>
          <cell r="O1148" t="e">
            <v>#N/A</v>
          </cell>
          <cell r="P1148" t="str">
            <v/>
          </cell>
          <cell r="Q1148" t="str">
            <v/>
          </cell>
          <cell r="R1148" t="e">
            <v>#N/A</v>
          </cell>
        </row>
        <row r="1149">
          <cell r="A1149" t="str">
            <v/>
          </cell>
          <cell r="B1149" t="str">
            <v/>
          </cell>
          <cell r="C1149" t="str">
            <v>Future</v>
          </cell>
          <cell r="D1149" t="e">
            <v>#N/A</v>
          </cell>
          <cell r="E1149">
            <v>-74.292936507937284</v>
          </cell>
          <cell r="F1149">
            <v>77.889603174601078</v>
          </cell>
          <cell r="G1149">
            <v>19.357857142856517</v>
          </cell>
          <cell r="H1149">
            <v>19.357857142856517</v>
          </cell>
          <cell r="I1149" t="e">
            <v>#N/A</v>
          </cell>
          <cell r="J1149" t="e">
            <v>#N/A</v>
          </cell>
          <cell r="K1149">
            <v>65</v>
          </cell>
          <cell r="L1149">
            <v>40</v>
          </cell>
          <cell r="M1149" t="e">
            <v>#N/A</v>
          </cell>
          <cell r="N1149">
            <v>52</v>
          </cell>
          <cell r="O1149" t="e">
            <v>#N/A</v>
          </cell>
          <cell r="P1149" t="str">
            <v/>
          </cell>
          <cell r="Q1149" t="str">
            <v/>
          </cell>
          <cell r="R1149" t="e">
            <v>#N/A</v>
          </cell>
        </row>
        <row r="1150">
          <cell r="A1150" t="str">
            <v/>
          </cell>
          <cell r="B1150" t="str">
            <v/>
          </cell>
          <cell r="C1150" t="str">
            <v>Future</v>
          </cell>
          <cell r="D1150" t="e">
            <v>#N/A</v>
          </cell>
          <cell r="E1150">
            <v>-74.512738095238873</v>
          </cell>
          <cell r="F1150">
            <v>77.927738095235995</v>
          </cell>
          <cell r="G1150">
            <v>19.29678571428509</v>
          </cell>
          <cell r="H1150">
            <v>19.29678571428509</v>
          </cell>
          <cell r="I1150" t="e">
            <v>#N/A</v>
          </cell>
          <cell r="J1150" t="e">
            <v>#N/A</v>
          </cell>
          <cell r="K1150">
            <v>65</v>
          </cell>
          <cell r="L1150">
            <v>40</v>
          </cell>
          <cell r="M1150" t="e">
            <v>#N/A</v>
          </cell>
          <cell r="N1150">
            <v>52</v>
          </cell>
          <cell r="O1150" t="e">
            <v>#N/A</v>
          </cell>
          <cell r="P1150" t="str">
            <v/>
          </cell>
          <cell r="Q1150" t="str">
            <v/>
          </cell>
          <cell r="R1150" t="e">
            <v>#N/A</v>
          </cell>
        </row>
        <row r="1151">
          <cell r="A1151" t="str">
            <v/>
          </cell>
          <cell r="B1151" t="str">
            <v/>
          </cell>
          <cell r="C1151" t="str">
            <v>Future</v>
          </cell>
          <cell r="D1151" t="e">
            <v>#N/A</v>
          </cell>
          <cell r="E1151">
            <v>-74.732539682540462</v>
          </cell>
          <cell r="F1151">
            <v>77.965873015870912</v>
          </cell>
          <cell r="G1151">
            <v>19.235714285713662</v>
          </cell>
          <cell r="H1151">
            <v>19.235714285713662</v>
          </cell>
          <cell r="I1151" t="e">
            <v>#N/A</v>
          </cell>
          <cell r="J1151" t="e">
            <v>#N/A</v>
          </cell>
          <cell r="K1151">
            <v>65</v>
          </cell>
          <cell r="L1151">
            <v>40</v>
          </cell>
          <cell r="M1151" t="e">
            <v>#N/A</v>
          </cell>
          <cell r="N1151">
            <v>52</v>
          </cell>
          <cell r="O1151" t="e">
            <v>#N/A</v>
          </cell>
          <cell r="P1151" t="str">
            <v/>
          </cell>
          <cell r="Q1151" t="str">
            <v/>
          </cell>
          <cell r="R1151" t="e">
            <v>#N/A</v>
          </cell>
        </row>
        <row r="1152">
          <cell r="A1152" t="str">
            <v/>
          </cell>
          <cell r="B1152" t="str">
            <v/>
          </cell>
          <cell r="C1152" t="str">
            <v>Future</v>
          </cell>
          <cell r="D1152" t="e">
            <v>#N/A</v>
          </cell>
          <cell r="E1152">
            <v>-74.952341269842051</v>
          </cell>
          <cell r="F1152">
            <v>78.004007936505829</v>
          </cell>
          <cell r="G1152">
            <v>19.174642857142235</v>
          </cell>
          <cell r="H1152">
            <v>19.174642857142235</v>
          </cell>
          <cell r="I1152" t="e">
            <v>#N/A</v>
          </cell>
          <cell r="J1152" t="e">
            <v>#N/A</v>
          </cell>
          <cell r="K1152">
            <v>65</v>
          </cell>
          <cell r="L1152">
            <v>40</v>
          </cell>
          <cell r="M1152" t="e">
            <v>#N/A</v>
          </cell>
          <cell r="N1152">
            <v>52</v>
          </cell>
          <cell r="O1152" t="e">
            <v>#N/A</v>
          </cell>
          <cell r="P1152" t="str">
            <v/>
          </cell>
          <cell r="Q1152" t="str">
            <v/>
          </cell>
          <cell r="R1152" t="e">
            <v>#N/A</v>
          </cell>
        </row>
        <row r="1153">
          <cell r="A1153" t="str">
            <v/>
          </cell>
          <cell r="B1153" t="str">
            <v/>
          </cell>
          <cell r="C1153" t="str">
            <v>Future</v>
          </cell>
          <cell r="D1153" t="e">
            <v>#N/A</v>
          </cell>
          <cell r="E1153">
            <v>-75.172142857143641</v>
          </cell>
          <cell r="F1153">
            <v>78.042142857140746</v>
          </cell>
          <cell r="G1153">
            <v>19.113571428570808</v>
          </cell>
          <cell r="H1153">
            <v>19.113571428570808</v>
          </cell>
          <cell r="I1153" t="e">
            <v>#N/A</v>
          </cell>
          <cell r="J1153" t="e">
            <v>#N/A</v>
          </cell>
          <cell r="K1153">
            <v>65</v>
          </cell>
          <cell r="L1153">
            <v>40</v>
          </cell>
          <cell r="M1153" t="e">
            <v>#N/A</v>
          </cell>
          <cell r="N1153">
            <v>52</v>
          </cell>
          <cell r="O1153" t="e">
            <v>#N/A</v>
          </cell>
          <cell r="P1153" t="str">
            <v/>
          </cell>
          <cell r="Q1153" t="str">
            <v/>
          </cell>
          <cell r="R1153" t="e">
            <v>#N/A</v>
          </cell>
        </row>
        <row r="1154">
          <cell r="A1154" t="str">
            <v/>
          </cell>
          <cell r="B1154" t="str">
            <v/>
          </cell>
          <cell r="C1154" t="str">
            <v>Future</v>
          </cell>
          <cell r="D1154" t="e">
            <v>#N/A</v>
          </cell>
          <cell r="E1154">
            <v>-75.39194444444523</v>
          </cell>
          <cell r="F1154">
            <v>78.080277777775663</v>
          </cell>
          <cell r="G1154">
            <v>19.05249999999938</v>
          </cell>
          <cell r="H1154">
            <v>19.05249999999938</v>
          </cell>
          <cell r="I1154" t="e">
            <v>#N/A</v>
          </cell>
          <cell r="J1154" t="e">
            <v>#N/A</v>
          </cell>
          <cell r="K1154">
            <v>65</v>
          </cell>
          <cell r="L1154">
            <v>40</v>
          </cell>
          <cell r="M1154" t="e">
            <v>#N/A</v>
          </cell>
          <cell r="N1154">
            <v>52</v>
          </cell>
          <cell r="O1154" t="e">
            <v>#N/A</v>
          </cell>
          <cell r="P1154" t="str">
            <v/>
          </cell>
          <cell r="Q1154" t="str">
            <v/>
          </cell>
          <cell r="R1154" t="e">
            <v>#N/A</v>
          </cell>
        </row>
        <row r="1155">
          <cell r="A1155" t="str">
            <v/>
          </cell>
          <cell r="B1155" t="str">
            <v/>
          </cell>
          <cell r="C1155" t="str">
            <v>Future</v>
          </cell>
          <cell r="D1155" t="e">
            <v>#N/A</v>
          </cell>
          <cell r="E1155">
            <v>-75.611746031746819</v>
          </cell>
          <cell r="F1155">
            <v>78.11841269841058</v>
          </cell>
          <cell r="G1155">
            <v>18.991428571427953</v>
          </cell>
          <cell r="H1155">
            <v>18.991428571427953</v>
          </cell>
          <cell r="I1155" t="e">
            <v>#N/A</v>
          </cell>
          <cell r="J1155" t="e">
            <v>#N/A</v>
          </cell>
          <cell r="K1155">
            <v>65</v>
          </cell>
          <cell r="L1155">
            <v>40</v>
          </cell>
          <cell r="M1155" t="e">
            <v>#N/A</v>
          </cell>
          <cell r="N1155">
            <v>52</v>
          </cell>
          <cell r="O1155" t="e">
            <v>#N/A</v>
          </cell>
          <cell r="P1155" t="str">
            <v/>
          </cell>
          <cell r="Q1155" t="str">
            <v/>
          </cell>
          <cell r="R1155" t="e">
            <v>#N/A</v>
          </cell>
        </row>
        <row r="1156">
          <cell r="A1156" t="str">
            <v/>
          </cell>
          <cell r="B1156" t="str">
            <v/>
          </cell>
          <cell r="C1156" t="str">
            <v>Future</v>
          </cell>
          <cell r="D1156" t="e">
            <v>#N/A</v>
          </cell>
          <cell r="E1156">
            <v>-75.831547619048408</v>
          </cell>
          <cell r="F1156">
            <v>78.156547619045497</v>
          </cell>
          <cell r="G1156">
            <v>18.930357142856526</v>
          </cell>
          <cell r="H1156">
            <v>18.930357142856526</v>
          </cell>
          <cell r="I1156" t="e">
            <v>#N/A</v>
          </cell>
          <cell r="J1156" t="e">
            <v>#N/A</v>
          </cell>
          <cell r="K1156">
            <v>65</v>
          </cell>
          <cell r="L1156">
            <v>40</v>
          </cell>
          <cell r="M1156" t="e">
            <v>#N/A</v>
          </cell>
          <cell r="N1156">
            <v>52</v>
          </cell>
          <cell r="O1156" t="e">
            <v>#N/A</v>
          </cell>
          <cell r="P1156" t="str">
            <v/>
          </cell>
          <cell r="Q1156" t="str">
            <v/>
          </cell>
          <cell r="R1156" t="e">
            <v>#N/A</v>
          </cell>
        </row>
        <row r="1157">
          <cell r="A1157" t="str">
            <v/>
          </cell>
          <cell r="B1157" t="str">
            <v/>
          </cell>
          <cell r="C1157" t="str">
            <v>Future</v>
          </cell>
          <cell r="D1157" t="e">
            <v>#N/A</v>
          </cell>
          <cell r="E1157">
            <v>-76.051349206349997</v>
          </cell>
          <cell r="F1157">
            <v>78.194682539680414</v>
          </cell>
          <cell r="G1157">
            <v>18.869285714285098</v>
          </cell>
          <cell r="H1157">
            <v>18.869285714285098</v>
          </cell>
          <cell r="I1157" t="e">
            <v>#N/A</v>
          </cell>
          <cell r="J1157" t="e">
            <v>#N/A</v>
          </cell>
          <cell r="K1157">
            <v>65</v>
          </cell>
          <cell r="L1157">
            <v>40</v>
          </cell>
          <cell r="M1157" t="e">
            <v>#N/A</v>
          </cell>
          <cell r="N1157">
            <v>52</v>
          </cell>
          <cell r="O1157" t="e">
            <v>#N/A</v>
          </cell>
          <cell r="P1157" t="str">
            <v/>
          </cell>
          <cell r="Q1157" t="str">
            <v/>
          </cell>
          <cell r="R1157" t="e">
            <v>#N/A</v>
          </cell>
        </row>
        <row r="1158">
          <cell r="A1158" t="str">
            <v/>
          </cell>
          <cell r="B1158" t="str">
            <v/>
          </cell>
          <cell r="C1158" t="str">
            <v>Future</v>
          </cell>
          <cell r="D1158" t="e">
            <v>#N/A</v>
          </cell>
          <cell r="E1158">
            <v>-76.271150793651586</v>
          </cell>
          <cell r="F1158">
            <v>78.232817460315331</v>
          </cell>
          <cell r="G1158">
            <v>18.808214285713671</v>
          </cell>
          <cell r="H1158">
            <v>18.808214285713671</v>
          </cell>
          <cell r="I1158" t="e">
            <v>#N/A</v>
          </cell>
          <cell r="J1158" t="e">
            <v>#N/A</v>
          </cell>
          <cell r="K1158">
            <v>65</v>
          </cell>
          <cell r="L1158">
            <v>40</v>
          </cell>
          <cell r="M1158" t="e">
            <v>#N/A</v>
          </cell>
          <cell r="N1158">
            <v>52</v>
          </cell>
          <cell r="O1158" t="e">
            <v>#N/A</v>
          </cell>
          <cell r="P1158" t="str">
            <v/>
          </cell>
          <cell r="Q1158" t="str">
            <v/>
          </cell>
          <cell r="R1158" t="e">
            <v>#N/A</v>
          </cell>
        </row>
        <row r="1159">
          <cell r="A1159" t="str">
            <v/>
          </cell>
          <cell r="B1159" t="str">
            <v/>
          </cell>
          <cell r="C1159" t="str">
            <v>Future</v>
          </cell>
          <cell r="D1159" t="e">
            <v>#N/A</v>
          </cell>
          <cell r="E1159">
            <v>-76.490952380953175</v>
          </cell>
          <cell r="F1159">
            <v>78.270952380950249</v>
          </cell>
          <cell r="G1159">
            <v>18.747142857142244</v>
          </cell>
          <cell r="H1159">
            <v>18.747142857142244</v>
          </cell>
          <cell r="I1159" t="e">
            <v>#N/A</v>
          </cell>
          <cell r="J1159" t="e">
            <v>#N/A</v>
          </cell>
          <cell r="K1159">
            <v>65</v>
          </cell>
          <cell r="L1159">
            <v>40</v>
          </cell>
          <cell r="M1159" t="e">
            <v>#N/A</v>
          </cell>
          <cell r="N1159">
            <v>52</v>
          </cell>
          <cell r="O1159" t="e">
            <v>#N/A</v>
          </cell>
          <cell r="P1159" t="str">
            <v/>
          </cell>
          <cell r="Q1159" t="str">
            <v/>
          </cell>
          <cell r="R1159" t="e">
            <v>#N/A</v>
          </cell>
        </row>
        <row r="1160">
          <cell r="A1160" t="str">
            <v/>
          </cell>
          <cell r="B1160" t="str">
            <v/>
          </cell>
          <cell r="C1160" t="str">
            <v>Future</v>
          </cell>
          <cell r="D1160" t="e">
            <v>#N/A</v>
          </cell>
          <cell r="E1160">
            <v>-76.710753968254764</v>
          </cell>
          <cell r="F1160">
            <v>78.309087301585166</v>
          </cell>
          <cell r="G1160">
            <v>18.686071428570816</v>
          </cell>
          <cell r="H1160">
            <v>18.686071428570816</v>
          </cell>
          <cell r="I1160" t="e">
            <v>#N/A</v>
          </cell>
          <cell r="J1160" t="e">
            <v>#N/A</v>
          </cell>
          <cell r="K1160">
            <v>65</v>
          </cell>
          <cell r="L1160">
            <v>40</v>
          </cell>
          <cell r="M1160" t="e">
            <v>#N/A</v>
          </cell>
          <cell r="N1160">
            <v>52</v>
          </cell>
          <cell r="O1160" t="e">
            <v>#N/A</v>
          </cell>
          <cell r="P1160" t="str">
            <v/>
          </cell>
          <cell r="Q1160" t="str">
            <v/>
          </cell>
          <cell r="R1160" t="e">
            <v>#N/A</v>
          </cell>
        </row>
        <row r="1161">
          <cell r="A1161" t="str">
            <v/>
          </cell>
          <cell r="B1161" t="str">
            <v/>
          </cell>
          <cell r="C1161" t="str">
            <v>Future</v>
          </cell>
          <cell r="D1161" t="e">
            <v>#N/A</v>
          </cell>
          <cell r="E1161">
            <v>-76.930555555556353</v>
          </cell>
          <cell r="F1161">
            <v>78.347222222220083</v>
          </cell>
          <cell r="G1161">
            <v>18.624999999999389</v>
          </cell>
          <cell r="H1161">
            <v>18.624999999999389</v>
          </cell>
          <cell r="I1161" t="e">
            <v>#N/A</v>
          </cell>
          <cell r="J1161" t="e">
            <v>#N/A</v>
          </cell>
          <cell r="K1161">
            <v>65</v>
          </cell>
          <cell r="L1161">
            <v>40</v>
          </cell>
          <cell r="M1161" t="e">
            <v>#N/A</v>
          </cell>
          <cell r="N1161">
            <v>52</v>
          </cell>
          <cell r="O1161" t="e">
            <v>#N/A</v>
          </cell>
          <cell r="P1161" t="str">
            <v/>
          </cell>
          <cell r="Q1161" t="str">
            <v/>
          </cell>
          <cell r="R1161" t="e">
            <v>#N/A</v>
          </cell>
        </row>
        <row r="1162">
          <cell r="A1162" t="str">
            <v/>
          </cell>
          <cell r="B1162" t="str">
            <v/>
          </cell>
          <cell r="C1162" t="str">
            <v>Future</v>
          </cell>
          <cell r="D1162" t="e">
            <v>#N/A</v>
          </cell>
          <cell r="E1162">
            <v>-77.150357142857942</v>
          </cell>
          <cell r="F1162">
            <v>78.385357142855</v>
          </cell>
          <cell r="G1162">
            <v>18.563928571427962</v>
          </cell>
          <cell r="H1162">
            <v>18.563928571427962</v>
          </cell>
          <cell r="I1162" t="e">
            <v>#N/A</v>
          </cell>
          <cell r="J1162" t="e">
            <v>#N/A</v>
          </cell>
          <cell r="K1162">
            <v>65</v>
          </cell>
          <cell r="L1162">
            <v>40</v>
          </cell>
          <cell r="M1162" t="e">
            <v>#N/A</v>
          </cell>
          <cell r="N1162">
            <v>52</v>
          </cell>
          <cell r="O1162" t="e">
            <v>#N/A</v>
          </cell>
          <cell r="P1162" t="str">
            <v/>
          </cell>
          <cell r="Q1162" t="str">
            <v/>
          </cell>
          <cell r="R1162" t="e">
            <v>#N/A</v>
          </cell>
        </row>
        <row r="1163">
          <cell r="A1163" t="str">
            <v/>
          </cell>
          <cell r="B1163" t="str">
            <v/>
          </cell>
          <cell r="C1163" t="str">
            <v>Future</v>
          </cell>
          <cell r="D1163" t="e">
            <v>#N/A</v>
          </cell>
          <cell r="E1163">
            <v>-77.370158730159531</v>
          </cell>
          <cell r="F1163">
            <v>78.423492063489917</v>
          </cell>
          <cell r="G1163">
            <v>18.502857142856534</v>
          </cell>
          <cell r="H1163">
            <v>18.502857142856534</v>
          </cell>
          <cell r="I1163" t="e">
            <v>#N/A</v>
          </cell>
          <cell r="J1163" t="e">
            <v>#N/A</v>
          </cell>
          <cell r="K1163">
            <v>65</v>
          </cell>
          <cell r="L1163">
            <v>40</v>
          </cell>
          <cell r="M1163" t="e">
            <v>#N/A</v>
          </cell>
          <cell r="N1163">
            <v>52</v>
          </cell>
          <cell r="O1163" t="e">
            <v>#N/A</v>
          </cell>
          <cell r="P1163" t="str">
            <v/>
          </cell>
          <cell r="Q1163" t="str">
            <v/>
          </cell>
          <cell r="R1163" t="e">
            <v>#N/A</v>
          </cell>
        </row>
        <row r="1164">
          <cell r="A1164" t="str">
            <v/>
          </cell>
          <cell r="B1164" t="str">
            <v/>
          </cell>
          <cell r="C1164" t="str">
            <v>Future</v>
          </cell>
          <cell r="D1164" t="e">
            <v>#N/A</v>
          </cell>
          <cell r="E1164">
            <v>-77.58996031746112</v>
          </cell>
          <cell r="F1164">
            <v>78.461626984124834</v>
          </cell>
          <cell r="G1164">
            <v>18.441785714285107</v>
          </cell>
          <cell r="H1164">
            <v>18.441785714285107</v>
          </cell>
          <cell r="I1164" t="e">
            <v>#N/A</v>
          </cell>
          <cell r="J1164" t="e">
            <v>#N/A</v>
          </cell>
          <cell r="K1164">
            <v>65</v>
          </cell>
          <cell r="L1164">
            <v>40</v>
          </cell>
          <cell r="M1164" t="e">
            <v>#N/A</v>
          </cell>
          <cell r="N1164">
            <v>52</v>
          </cell>
          <cell r="O1164" t="e">
            <v>#N/A</v>
          </cell>
          <cell r="P1164" t="str">
            <v/>
          </cell>
          <cell r="Q1164" t="str">
            <v/>
          </cell>
          <cell r="R1164" t="e">
            <v>#N/A</v>
          </cell>
        </row>
        <row r="1165">
          <cell r="A1165" t="str">
            <v/>
          </cell>
          <cell r="B1165" t="str">
            <v/>
          </cell>
          <cell r="C1165" t="str">
            <v>Future</v>
          </cell>
          <cell r="D1165" t="e">
            <v>#N/A</v>
          </cell>
          <cell r="E1165">
            <v>-77.809761904762709</v>
          </cell>
          <cell r="F1165">
            <v>78.499761904759751</v>
          </cell>
          <cell r="G1165">
            <v>18.38071428571368</v>
          </cell>
          <cell r="H1165">
            <v>18.38071428571368</v>
          </cell>
          <cell r="I1165" t="e">
            <v>#N/A</v>
          </cell>
          <cell r="J1165" t="e">
            <v>#N/A</v>
          </cell>
          <cell r="K1165">
            <v>65</v>
          </cell>
          <cell r="L1165">
            <v>40</v>
          </cell>
          <cell r="M1165" t="e">
            <v>#N/A</v>
          </cell>
          <cell r="N1165">
            <v>52</v>
          </cell>
          <cell r="O1165" t="e">
            <v>#N/A</v>
          </cell>
          <cell r="P1165" t="str">
            <v/>
          </cell>
          <cell r="Q1165" t="str">
            <v/>
          </cell>
          <cell r="R1165" t="e">
            <v>#N/A</v>
          </cell>
        </row>
        <row r="1166">
          <cell r="A1166" t="str">
            <v/>
          </cell>
          <cell r="B1166" t="str">
            <v/>
          </cell>
          <cell r="C1166" t="str">
            <v>Future</v>
          </cell>
          <cell r="D1166" t="e">
            <v>#N/A</v>
          </cell>
          <cell r="E1166">
            <v>-78.029563492064298</v>
          </cell>
          <cell r="F1166">
            <v>78.537896825394668</v>
          </cell>
          <cell r="G1166">
            <v>18.319642857142252</v>
          </cell>
          <cell r="H1166">
            <v>18.319642857142252</v>
          </cell>
          <cell r="I1166" t="e">
            <v>#N/A</v>
          </cell>
          <cell r="J1166" t="e">
            <v>#N/A</v>
          </cell>
          <cell r="K1166">
            <v>65</v>
          </cell>
          <cell r="L1166">
            <v>40</v>
          </cell>
          <cell r="M1166" t="e">
            <v>#N/A</v>
          </cell>
          <cell r="N1166">
            <v>52</v>
          </cell>
          <cell r="O1166" t="e">
            <v>#N/A</v>
          </cell>
          <cell r="P1166" t="str">
            <v/>
          </cell>
          <cell r="Q1166" t="str">
            <v/>
          </cell>
          <cell r="R1166" t="e">
            <v>#N/A</v>
          </cell>
        </row>
        <row r="1167">
          <cell r="A1167" t="str">
            <v/>
          </cell>
          <cell r="B1167" t="str">
            <v/>
          </cell>
          <cell r="C1167" t="str">
            <v>Future</v>
          </cell>
          <cell r="D1167" t="e">
            <v>#N/A</v>
          </cell>
          <cell r="E1167">
            <v>-78.249365079365887</v>
          </cell>
          <cell r="F1167">
            <v>78.576031746029585</v>
          </cell>
          <cell r="G1167">
            <v>18.258571428570825</v>
          </cell>
          <cell r="H1167">
            <v>18.258571428570825</v>
          </cell>
          <cell r="I1167" t="e">
            <v>#N/A</v>
          </cell>
          <cell r="J1167" t="e">
            <v>#N/A</v>
          </cell>
          <cell r="K1167">
            <v>65</v>
          </cell>
          <cell r="L1167">
            <v>40</v>
          </cell>
          <cell r="M1167" t="e">
            <v>#N/A</v>
          </cell>
          <cell r="N1167">
            <v>52</v>
          </cell>
          <cell r="O1167" t="e">
            <v>#N/A</v>
          </cell>
          <cell r="P1167" t="str">
            <v/>
          </cell>
          <cell r="Q1167" t="str">
            <v/>
          </cell>
          <cell r="R1167" t="e">
            <v>#N/A</v>
          </cell>
        </row>
        <row r="1168">
          <cell r="A1168" t="str">
            <v/>
          </cell>
          <cell r="B1168" t="str">
            <v/>
          </cell>
          <cell r="C1168" t="str">
            <v>Future</v>
          </cell>
          <cell r="D1168" t="e">
            <v>#N/A</v>
          </cell>
          <cell r="E1168">
            <v>-78.469166666667476</v>
          </cell>
          <cell r="F1168">
            <v>78.614166666664502</v>
          </cell>
          <cell r="G1168">
            <v>18.197499999999398</v>
          </cell>
          <cell r="H1168">
            <v>18.197499999999398</v>
          </cell>
          <cell r="I1168" t="e">
            <v>#N/A</v>
          </cell>
          <cell r="J1168" t="e">
            <v>#N/A</v>
          </cell>
          <cell r="K1168">
            <v>65</v>
          </cell>
          <cell r="L1168">
            <v>40</v>
          </cell>
          <cell r="M1168" t="e">
            <v>#N/A</v>
          </cell>
          <cell r="N1168">
            <v>52</v>
          </cell>
          <cell r="O1168" t="e">
            <v>#N/A</v>
          </cell>
          <cell r="P1168" t="str">
            <v/>
          </cell>
          <cell r="Q1168" t="str">
            <v/>
          </cell>
          <cell r="R1168" t="e">
            <v>#N/A</v>
          </cell>
        </row>
        <row r="1169">
          <cell r="A1169" t="str">
            <v/>
          </cell>
          <cell r="B1169" t="str">
            <v/>
          </cell>
          <cell r="C1169" t="str">
            <v>Future</v>
          </cell>
          <cell r="D1169" t="e">
            <v>#N/A</v>
          </cell>
          <cell r="E1169">
            <v>-78.688968253969065</v>
          </cell>
          <cell r="F1169">
            <v>78.652301587299419</v>
          </cell>
          <cell r="G1169">
            <v>18.13642857142797</v>
          </cell>
          <cell r="H1169">
            <v>18.13642857142797</v>
          </cell>
          <cell r="I1169" t="e">
            <v>#N/A</v>
          </cell>
          <cell r="J1169" t="e">
            <v>#N/A</v>
          </cell>
          <cell r="K1169">
            <v>65</v>
          </cell>
          <cell r="L1169">
            <v>40</v>
          </cell>
          <cell r="M1169" t="e">
            <v>#N/A</v>
          </cell>
          <cell r="N1169">
            <v>52</v>
          </cell>
          <cell r="O1169" t="e">
            <v>#N/A</v>
          </cell>
          <cell r="P1169" t="str">
            <v/>
          </cell>
          <cell r="Q1169" t="str">
            <v/>
          </cell>
          <cell r="R1169" t="e">
            <v>#N/A</v>
          </cell>
        </row>
        <row r="1170">
          <cell r="A1170" t="str">
            <v/>
          </cell>
          <cell r="B1170" t="str">
            <v/>
          </cell>
          <cell r="C1170" t="str">
            <v>Future</v>
          </cell>
          <cell r="D1170" t="e">
            <v>#N/A</v>
          </cell>
          <cell r="E1170">
            <v>-78.908769841270654</v>
          </cell>
          <cell r="F1170">
            <v>78.690436507934336</v>
          </cell>
          <cell r="G1170">
            <v>18.075357142856543</v>
          </cell>
          <cell r="H1170">
            <v>18.075357142856543</v>
          </cell>
          <cell r="I1170" t="e">
            <v>#N/A</v>
          </cell>
          <cell r="J1170" t="e">
            <v>#N/A</v>
          </cell>
          <cell r="K1170">
            <v>65</v>
          </cell>
          <cell r="L1170">
            <v>40</v>
          </cell>
          <cell r="M1170" t="e">
            <v>#N/A</v>
          </cell>
          <cell r="N1170">
            <v>52</v>
          </cell>
          <cell r="O1170" t="e">
            <v>#N/A</v>
          </cell>
          <cell r="P1170" t="str">
            <v/>
          </cell>
          <cell r="Q1170" t="str">
            <v/>
          </cell>
          <cell r="R1170" t="e">
            <v>#N/A</v>
          </cell>
        </row>
        <row r="1171">
          <cell r="A1171" t="str">
            <v/>
          </cell>
          <cell r="B1171" t="str">
            <v/>
          </cell>
          <cell r="C1171" t="str">
            <v>Future</v>
          </cell>
          <cell r="D1171" t="e">
            <v>#N/A</v>
          </cell>
          <cell r="E1171">
            <v>-79.128571428572243</v>
          </cell>
          <cell r="F1171">
            <v>78.728571428569253</v>
          </cell>
          <cell r="G1171">
            <v>18.014285714285116</v>
          </cell>
          <cell r="H1171">
            <v>18.014285714285116</v>
          </cell>
          <cell r="I1171" t="e">
            <v>#N/A</v>
          </cell>
          <cell r="J1171" t="e">
            <v>#N/A</v>
          </cell>
          <cell r="K1171">
            <v>65</v>
          </cell>
          <cell r="L1171">
            <v>40</v>
          </cell>
          <cell r="M1171" t="e">
            <v>#N/A</v>
          </cell>
          <cell r="N1171">
            <v>52</v>
          </cell>
          <cell r="O1171" t="e">
            <v>#N/A</v>
          </cell>
          <cell r="P1171" t="str">
            <v/>
          </cell>
          <cell r="Q1171" t="str">
            <v/>
          </cell>
          <cell r="R1171" t="e">
            <v>#N/A</v>
          </cell>
        </row>
        <row r="1172">
          <cell r="A1172" t="str">
            <v/>
          </cell>
          <cell r="B1172" t="str">
            <v/>
          </cell>
          <cell r="C1172" t="str">
            <v>Future</v>
          </cell>
          <cell r="D1172" t="e">
            <v>#N/A</v>
          </cell>
          <cell r="E1172">
            <v>-79.348373015873833</v>
          </cell>
          <cell r="F1172">
            <v>78.766706349204171</v>
          </cell>
          <cell r="G1172">
            <v>17.953214285713688</v>
          </cell>
          <cell r="H1172">
            <v>17.953214285713688</v>
          </cell>
          <cell r="I1172" t="e">
            <v>#N/A</v>
          </cell>
          <cell r="J1172" t="e">
            <v>#N/A</v>
          </cell>
          <cell r="K1172">
            <v>65</v>
          </cell>
          <cell r="L1172">
            <v>40</v>
          </cell>
          <cell r="M1172" t="e">
            <v>#N/A</v>
          </cell>
          <cell r="N1172">
            <v>52</v>
          </cell>
          <cell r="O1172" t="e">
            <v>#N/A</v>
          </cell>
          <cell r="P1172" t="str">
            <v/>
          </cell>
          <cell r="Q1172" t="str">
            <v/>
          </cell>
          <cell r="R1172" t="e">
            <v>#N/A</v>
          </cell>
        </row>
        <row r="1173">
          <cell r="A1173" t="str">
            <v/>
          </cell>
          <cell r="B1173" t="str">
            <v/>
          </cell>
          <cell r="C1173" t="str">
            <v>Future</v>
          </cell>
          <cell r="D1173" t="e">
            <v>#N/A</v>
          </cell>
          <cell r="E1173">
            <v>-79.568174603175422</v>
          </cell>
          <cell r="F1173">
            <v>78.804841269839088</v>
          </cell>
          <cell r="G1173">
            <v>17.892142857142261</v>
          </cell>
          <cell r="H1173">
            <v>17.892142857142261</v>
          </cell>
          <cell r="I1173" t="e">
            <v>#N/A</v>
          </cell>
          <cell r="J1173" t="e">
            <v>#N/A</v>
          </cell>
          <cell r="K1173">
            <v>65</v>
          </cell>
          <cell r="L1173">
            <v>40</v>
          </cell>
          <cell r="M1173" t="e">
            <v>#N/A</v>
          </cell>
          <cell r="N1173">
            <v>52</v>
          </cell>
          <cell r="O1173" t="e">
            <v>#N/A</v>
          </cell>
          <cell r="P1173" t="str">
            <v/>
          </cell>
          <cell r="Q1173" t="str">
            <v/>
          </cell>
          <cell r="R1173" t="e">
            <v>#N/A</v>
          </cell>
        </row>
        <row r="1174">
          <cell r="A1174" t="str">
            <v/>
          </cell>
          <cell r="B1174" t="str">
            <v/>
          </cell>
          <cell r="C1174" t="str">
            <v>Future</v>
          </cell>
          <cell r="D1174" t="e">
            <v>#N/A</v>
          </cell>
          <cell r="E1174">
            <v>-79.787976190477011</v>
          </cell>
          <cell r="F1174">
            <v>78.842976190474005</v>
          </cell>
          <cell r="G1174">
            <v>17.831071428570834</v>
          </cell>
          <cell r="H1174">
            <v>17.831071428570834</v>
          </cell>
          <cell r="I1174" t="e">
            <v>#N/A</v>
          </cell>
          <cell r="J1174" t="e">
            <v>#N/A</v>
          </cell>
          <cell r="K1174">
            <v>65</v>
          </cell>
          <cell r="L1174">
            <v>40</v>
          </cell>
          <cell r="M1174" t="e">
            <v>#N/A</v>
          </cell>
          <cell r="N1174">
            <v>52</v>
          </cell>
          <cell r="O1174" t="e">
            <v>#N/A</v>
          </cell>
          <cell r="P1174" t="str">
            <v/>
          </cell>
          <cell r="Q1174" t="str">
            <v/>
          </cell>
          <cell r="R1174" t="e">
            <v>#N/A</v>
          </cell>
        </row>
        <row r="1175">
          <cell r="A1175" t="str">
            <v/>
          </cell>
          <cell r="B1175" t="str">
            <v/>
          </cell>
          <cell r="C1175" t="str">
            <v>Future</v>
          </cell>
          <cell r="D1175" t="e">
            <v>#N/A</v>
          </cell>
          <cell r="E1175">
            <v>-80.0077777777786</v>
          </cell>
          <cell r="F1175">
            <v>78.881111111108922</v>
          </cell>
          <cell r="G1175">
            <v>17.769999999999406</v>
          </cell>
          <cell r="H1175">
            <v>17.769999999999406</v>
          </cell>
          <cell r="I1175" t="e">
            <v>#N/A</v>
          </cell>
          <cell r="J1175" t="e">
            <v>#N/A</v>
          </cell>
          <cell r="K1175">
            <v>65</v>
          </cell>
          <cell r="L1175">
            <v>40</v>
          </cell>
          <cell r="M1175" t="e">
            <v>#N/A</v>
          </cell>
          <cell r="N1175">
            <v>52</v>
          </cell>
          <cell r="O1175" t="e">
            <v>#N/A</v>
          </cell>
          <cell r="P1175" t="str">
            <v/>
          </cell>
          <cell r="Q1175" t="str">
            <v/>
          </cell>
          <cell r="R1175" t="e">
            <v>#N/A</v>
          </cell>
        </row>
        <row r="1176">
          <cell r="A1176" t="str">
            <v/>
          </cell>
          <cell r="B1176" t="str">
            <v/>
          </cell>
          <cell r="C1176" t="str">
            <v>Future</v>
          </cell>
          <cell r="D1176" t="e">
            <v>#N/A</v>
          </cell>
          <cell r="E1176">
            <v>-80.227579365080189</v>
          </cell>
          <cell r="F1176">
            <v>78.919246031743839</v>
          </cell>
          <cell r="G1176">
            <v>17.708928571427979</v>
          </cell>
          <cell r="H1176">
            <v>17.708928571427979</v>
          </cell>
          <cell r="I1176" t="e">
            <v>#N/A</v>
          </cell>
          <cell r="J1176" t="e">
            <v>#N/A</v>
          </cell>
          <cell r="K1176">
            <v>65</v>
          </cell>
          <cell r="L1176">
            <v>40</v>
          </cell>
          <cell r="M1176" t="e">
            <v>#N/A</v>
          </cell>
          <cell r="N1176">
            <v>52</v>
          </cell>
          <cell r="O1176" t="e">
            <v>#N/A</v>
          </cell>
          <cell r="P1176" t="str">
            <v/>
          </cell>
          <cell r="Q1176" t="str">
            <v/>
          </cell>
          <cell r="R1176" t="e">
            <v>#N/A</v>
          </cell>
        </row>
        <row r="1177">
          <cell r="A1177" t="str">
            <v/>
          </cell>
          <cell r="B1177" t="str">
            <v/>
          </cell>
          <cell r="C1177" t="str">
            <v>Future</v>
          </cell>
          <cell r="D1177" t="e">
            <v>#N/A</v>
          </cell>
          <cell r="E1177">
            <v>-80.447380952381778</v>
          </cell>
          <cell r="F1177">
            <v>78.957380952378756</v>
          </cell>
          <cell r="G1177">
            <v>17.647857142856552</v>
          </cell>
          <cell r="H1177">
            <v>17.647857142856552</v>
          </cell>
          <cell r="I1177" t="e">
            <v>#N/A</v>
          </cell>
          <cell r="J1177" t="e">
            <v>#N/A</v>
          </cell>
          <cell r="K1177">
            <v>65</v>
          </cell>
          <cell r="L1177">
            <v>40</v>
          </cell>
          <cell r="M1177" t="e">
            <v>#N/A</v>
          </cell>
          <cell r="N1177">
            <v>52</v>
          </cell>
          <cell r="O1177" t="e">
            <v>#N/A</v>
          </cell>
          <cell r="P1177" t="str">
            <v/>
          </cell>
          <cell r="Q1177" t="str">
            <v/>
          </cell>
          <cell r="R1177" t="e">
            <v>#N/A</v>
          </cell>
        </row>
        <row r="1178">
          <cell r="A1178" t="str">
            <v/>
          </cell>
          <cell r="B1178" t="str">
            <v/>
          </cell>
          <cell r="C1178" t="str">
            <v>Future</v>
          </cell>
          <cell r="D1178" t="e">
            <v>#N/A</v>
          </cell>
          <cell r="E1178">
            <v>-80.667182539683367</v>
          </cell>
          <cell r="F1178">
            <v>78.995515873013673</v>
          </cell>
          <cell r="G1178">
            <v>17.586785714285124</v>
          </cell>
          <cell r="H1178">
            <v>17.586785714285124</v>
          </cell>
          <cell r="I1178" t="e">
            <v>#N/A</v>
          </cell>
          <cell r="J1178" t="e">
            <v>#N/A</v>
          </cell>
          <cell r="K1178">
            <v>65</v>
          </cell>
          <cell r="L1178">
            <v>40</v>
          </cell>
          <cell r="M1178" t="e">
            <v>#N/A</v>
          </cell>
          <cell r="N1178">
            <v>52</v>
          </cell>
          <cell r="O1178" t="e">
            <v>#N/A</v>
          </cell>
          <cell r="P1178" t="str">
            <v/>
          </cell>
          <cell r="Q1178" t="str">
            <v/>
          </cell>
          <cell r="R1178" t="e">
            <v>#N/A</v>
          </cell>
        </row>
        <row r="1179">
          <cell r="A1179" t="str">
            <v/>
          </cell>
          <cell r="B1179" t="str">
            <v/>
          </cell>
          <cell r="C1179" t="str">
            <v>Future</v>
          </cell>
          <cell r="D1179" t="e">
            <v>#N/A</v>
          </cell>
          <cell r="E1179">
            <v>-80.886984126984956</v>
          </cell>
          <cell r="F1179">
            <v>79.03365079364859</v>
          </cell>
          <cell r="G1179">
            <v>17.525714285713697</v>
          </cell>
          <cell r="H1179">
            <v>17.525714285713697</v>
          </cell>
          <cell r="I1179" t="e">
            <v>#N/A</v>
          </cell>
          <cell r="J1179" t="e">
            <v>#N/A</v>
          </cell>
          <cell r="K1179">
            <v>65</v>
          </cell>
          <cell r="L1179">
            <v>40</v>
          </cell>
          <cell r="M1179" t="e">
            <v>#N/A</v>
          </cell>
          <cell r="N1179">
            <v>52</v>
          </cell>
          <cell r="O1179" t="e">
            <v>#N/A</v>
          </cell>
          <cell r="P1179" t="str">
            <v/>
          </cell>
          <cell r="Q1179" t="str">
            <v/>
          </cell>
          <cell r="R1179" t="e">
            <v>#N/A</v>
          </cell>
        </row>
        <row r="1180">
          <cell r="A1180" t="str">
            <v/>
          </cell>
          <cell r="B1180" t="str">
            <v/>
          </cell>
          <cell r="C1180" t="str">
            <v>Future</v>
          </cell>
          <cell r="D1180" t="e">
            <v>#N/A</v>
          </cell>
          <cell r="E1180">
            <v>-81.106785714286545</v>
          </cell>
          <cell r="F1180">
            <v>79.071785714283507</v>
          </cell>
          <cell r="G1180">
            <v>17.46464285714227</v>
          </cell>
          <cell r="H1180">
            <v>17.46464285714227</v>
          </cell>
          <cell r="I1180" t="e">
            <v>#N/A</v>
          </cell>
          <cell r="J1180" t="e">
            <v>#N/A</v>
          </cell>
          <cell r="K1180">
            <v>65</v>
          </cell>
          <cell r="L1180">
            <v>40</v>
          </cell>
          <cell r="M1180" t="e">
            <v>#N/A</v>
          </cell>
          <cell r="N1180">
            <v>52</v>
          </cell>
          <cell r="O1180" t="e">
            <v>#N/A</v>
          </cell>
          <cell r="P1180" t="str">
            <v/>
          </cell>
          <cell r="Q1180" t="str">
            <v/>
          </cell>
          <cell r="R1180" t="e">
            <v>#N/A</v>
          </cell>
        </row>
        <row r="1181">
          <cell r="A1181" t="str">
            <v/>
          </cell>
          <cell r="B1181" t="str">
            <v/>
          </cell>
          <cell r="C1181" t="str">
            <v>Future</v>
          </cell>
          <cell r="D1181" t="e">
            <v>#N/A</v>
          </cell>
          <cell r="E1181">
            <v>-81.326587301588134</v>
          </cell>
          <cell r="F1181">
            <v>79.109920634918424</v>
          </cell>
          <cell r="G1181">
            <v>17.403571428570842</v>
          </cell>
          <cell r="H1181">
            <v>17.403571428570842</v>
          </cell>
          <cell r="I1181" t="e">
            <v>#N/A</v>
          </cell>
          <cell r="J1181" t="e">
            <v>#N/A</v>
          </cell>
          <cell r="K1181">
            <v>65</v>
          </cell>
          <cell r="L1181">
            <v>40</v>
          </cell>
          <cell r="M1181" t="e">
            <v>#N/A</v>
          </cell>
          <cell r="N1181">
            <v>52</v>
          </cell>
          <cell r="O1181" t="e">
            <v>#N/A</v>
          </cell>
          <cell r="P1181" t="str">
            <v/>
          </cell>
          <cell r="Q1181" t="str">
            <v/>
          </cell>
          <cell r="R1181" t="e">
            <v>#N/A</v>
          </cell>
        </row>
        <row r="1182">
          <cell r="A1182" t="str">
            <v/>
          </cell>
          <cell r="B1182" t="str">
            <v/>
          </cell>
          <cell r="C1182" t="str">
            <v>Future</v>
          </cell>
          <cell r="D1182" t="e">
            <v>#N/A</v>
          </cell>
          <cell r="E1182">
            <v>-81.546388888889723</v>
          </cell>
          <cell r="F1182">
            <v>79.148055555553341</v>
          </cell>
          <cell r="G1182">
            <v>17.342499999999415</v>
          </cell>
          <cell r="H1182">
            <v>17.342499999999415</v>
          </cell>
          <cell r="I1182" t="e">
            <v>#N/A</v>
          </cell>
          <cell r="J1182" t="e">
            <v>#N/A</v>
          </cell>
          <cell r="K1182">
            <v>65</v>
          </cell>
          <cell r="L1182">
            <v>40</v>
          </cell>
          <cell r="M1182" t="e">
            <v>#N/A</v>
          </cell>
          <cell r="N1182">
            <v>52</v>
          </cell>
          <cell r="O1182" t="e">
            <v>#N/A</v>
          </cell>
          <cell r="P1182" t="str">
            <v/>
          </cell>
          <cell r="Q1182" t="str">
            <v/>
          </cell>
          <cell r="R1182" t="e">
            <v>#N/A</v>
          </cell>
        </row>
        <row r="1183">
          <cell r="A1183" t="str">
            <v/>
          </cell>
          <cell r="B1183" t="str">
            <v/>
          </cell>
          <cell r="C1183" t="str">
            <v>Future</v>
          </cell>
          <cell r="D1183" t="e">
            <v>#N/A</v>
          </cell>
          <cell r="E1183">
            <v>-81.766190476191312</v>
          </cell>
          <cell r="F1183">
            <v>79.186190476188258</v>
          </cell>
          <cell r="G1183">
            <v>17.281428571427988</v>
          </cell>
          <cell r="H1183">
            <v>17.281428571427988</v>
          </cell>
          <cell r="I1183" t="e">
            <v>#N/A</v>
          </cell>
          <cell r="J1183" t="e">
            <v>#N/A</v>
          </cell>
          <cell r="K1183">
            <v>65</v>
          </cell>
          <cell r="L1183">
            <v>40</v>
          </cell>
          <cell r="M1183" t="e">
            <v>#N/A</v>
          </cell>
          <cell r="N1183">
            <v>52</v>
          </cell>
          <cell r="O1183" t="e">
            <v>#N/A</v>
          </cell>
          <cell r="P1183" t="str">
            <v/>
          </cell>
          <cell r="Q1183" t="str">
            <v/>
          </cell>
          <cell r="R1183" t="e">
            <v>#N/A</v>
          </cell>
        </row>
        <row r="1184">
          <cell r="A1184" t="str">
            <v/>
          </cell>
          <cell r="B1184" t="str">
            <v/>
          </cell>
          <cell r="C1184" t="str">
            <v>Future</v>
          </cell>
          <cell r="D1184" t="e">
            <v>#N/A</v>
          </cell>
          <cell r="E1184">
            <v>-81.985992063492901</v>
          </cell>
          <cell r="F1184">
            <v>79.224325396823176</v>
          </cell>
          <cell r="G1184">
            <v>17.22035714285656</v>
          </cell>
          <cell r="H1184">
            <v>17.22035714285656</v>
          </cell>
          <cell r="I1184" t="e">
            <v>#N/A</v>
          </cell>
          <cell r="J1184" t="e">
            <v>#N/A</v>
          </cell>
          <cell r="K1184">
            <v>65</v>
          </cell>
          <cell r="L1184">
            <v>40</v>
          </cell>
          <cell r="M1184" t="e">
            <v>#N/A</v>
          </cell>
          <cell r="N1184">
            <v>52</v>
          </cell>
          <cell r="O1184" t="e">
            <v>#N/A</v>
          </cell>
          <cell r="P1184" t="str">
            <v/>
          </cell>
          <cell r="Q1184" t="str">
            <v/>
          </cell>
          <cell r="R1184" t="e">
            <v>#N/A</v>
          </cell>
        </row>
        <row r="1185">
          <cell r="A1185" t="str">
            <v/>
          </cell>
          <cell r="B1185" t="str">
            <v/>
          </cell>
          <cell r="C1185" t="str">
            <v>Future</v>
          </cell>
          <cell r="D1185" t="e">
            <v>#N/A</v>
          </cell>
          <cell r="E1185">
            <v>-82.20579365079449</v>
          </cell>
          <cell r="F1185">
            <v>79.262460317458093</v>
          </cell>
          <cell r="G1185">
            <v>17.159285714285133</v>
          </cell>
          <cell r="H1185">
            <v>17.159285714285133</v>
          </cell>
          <cell r="I1185" t="e">
            <v>#N/A</v>
          </cell>
          <cell r="J1185" t="e">
            <v>#N/A</v>
          </cell>
          <cell r="K1185">
            <v>65</v>
          </cell>
          <cell r="L1185">
            <v>40</v>
          </cell>
          <cell r="M1185" t="e">
            <v>#N/A</v>
          </cell>
          <cell r="N1185">
            <v>52</v>
          </cell>
          <cell r="O1185" t="e">
            <v>#N/A</v>
          </cell>
          <cell r="P1185" t="str">
            <v/>
          </cell>
          <cell r="Q1185" t="str">
            <v/>
          </cell>
          <cell r="R1185" t="e">
            <v>#N/A</v>
          </cell>
        </row>
        <row r="1186">
          <cell r="A1186" t="str">
            <v/>
          </cell>
          <cell r="B1186" t="str">
            <v/>
          </cell>
          <cell r="C1186" t="str">
            <v>Future</v>
          </cell>
          <cell r="D1186" t="e">
            <v>#N/A</v>
          </cell>
          <cell r="E1186">
            <v>-82.425595238096079</v>
          </cell>
          <cell r="F1186">
            <v>79.30059523809301</v>
          </cell>
          <cell r="G1186">
            <v>17.098214285713706</v>
          </cell>
          <cell r="H1186">
            <v>17.098214285713706</v>
          </cell>
          <cell r="I1186" t="e">
            <v>#N/A</v>
          </cell>
          <cell r="J1186" t="e">
            <v>#N/A</v>
          </cell>
          <cell r="K1186">
            <v>65</v>
          </cell>
          <cell r="L1186">
            <v>40</v>
          </cell>
          <cell r="M1186" t="e">
            <v>#N/A</v>
          </cell>
          <cell r="N1186">
            <v>52</v>
          </cell>
          <cell r="O1186" t="e">
            <v>#N/A</v>
          </cell>
          <cell r="P1186" t="str">
            <v/>
          </cell>
          <cell r="Q1186" t="str">
            <v/>
          </cell>
          <cell r="R1186" t="e">
            <v>#N/A</v>
          </cell>
        </row>
        <row r="1187">
          <cell r="A1187" t="str">
            <v/>
          </cell>
          <cell r="B1187" t="str">
            <v/>
          </cell>
          <cell r="C1187" t="str">
            <v>Future</v>
          </cell>
          <cell r="D1187" t="e">
            <v>#N/A</v>
          </cell>
          <cell r="E1187">
            <v>-82.645396825397668</v>
          </cell>
          <cell r="F1187">
            <v>79.338730158727927</v>
          </cell>
          <cell r="G1187">
            <v>17.037142857142278</v>
          </cell>
          <cell r="H1187">
            <v>17.037142857142278</v>
          </cell>
          <cell r="I1187" t="e">
            <v>#N/A</v>
          </cell>
          <cell r="J1187" t="e">
            <v>#N/A</v>
          </cell>
          <cell r="K1187">
            <v>65</v>
          </cell>
          <cell r="L1187">
            <v>40</v>
          </cell>
          <cell r="M1187" t="e">
            <v>#N/A</v>
          </cell>
          <cell r="N1187">
            <v>52</v>
          </cell>
          <cell r="O1187" t="e">
            <v>#N/A</v>
          </cell>
          <cell r="P1187" t="str">
            <v/>
          </cell>
          <cell r="Q1187" t="str">
            <v/>
          </cell>
          <cell r="R1187" t="e">
            <v>#N/A</v>
          </cell>
        </row>
        <row r="1188">
          <cell r="A1188" t="str">
            <v/>
          </cell>
          <cell r="B1188" t="str">
            <v/>
          </cell>
          <cell r="C1188" t="str">
            <v>Future</v>
          </cell>
          <cell r="D1188" t="e">
            <v>#N/A</v>
          </cell>
          <cell r="E1188">
            <v>-82.865198412699257</v>
          </cell>
          <cell r="F1188">
            <v>79.376865079362844</v>
          </cell>
          <cell r="G1188">
            <v>16.976071428570851</v>
          </cell>
          <cell r="H1188">
            <v>16.976071428570851</v>
          </cell>
          <cell r="I1188" t="e">
            <v>#N/A</v>
          </cell>
          <cell r="J1188" t="e">
            <v>#N/A</v>
          </cell>
          <cell r="K1188">
            <v>65</v>
          </cell>
          <cell r="L1188">
            <v>40</v>
          </cell>
          <cell r="M1188" t="e">
            <v>#N/A</v>
          </cell>
          <cell r="N1188">
            <v>52</v>
          </cell>
          <cell r="O1188" t="e">
            <v>#N/A</v>
          </cell>
          <cell r="P1188" t="str">
            <v/>
          </cell>
          <cell r="Q1188" t="str">
            <v/>
          </cell>
          <cell r="R1188" t="e">
            <v>#N/A</v>
          </cell>
        </row>
        <row r="1189">
          <cell r="A1189" t="str">
            <v/>
          </cell>
          <cell r="B1189" t="str">
            <v/>
          </cell>
          <cell r="C1189" t="str">
            <v>Future</v>
          </cell>
          <cell r="D1189" t="e">
            <v>#N/A</v>
          </cell>
          <cell r="E1189">
            <v>-83.085000000000846</v>
          </cell>
          <cell r="F1189">
            <v>79.414999999997761</v>
          </cell>
          <cell r="G1189">
            <v>16.914999999999424</v>
          </cell>
          <cell r="H1189">
            <v>16.914999999999424</v>
          </cell>
          <cell r="I1189" t="e">
            <v>#N/A</v>
          </cell>
          <cell r="J1189" t="e">
            <v>#N/A</v>
          </cell>
          <cell r="K1189">
            <v>65</v>
          </cell>
          <cell r="L1189">
            <v>40</v>
          </cell>
          <cell r="M1189" t="e">
            <v>#N/A</v>
          </cell>
          <cell r="N1189">
            <v>52</v>
          </cell>
          <cell r="O1189" t="e">
            <v>#N/A</v>
          </cell>
          <cell r="P1189" t="str">
            <v/>
          </cell>
          <cell r="Q1189" t="str">
            <v/>
          </cell>
          <cell r="R1189" t="e">
            <v>#N/A</v>
          </cell>
        </row>
        <row r="1190">
          <cell r="A1190" t="str">
            <v/>
          </cell>
          <cell r="B1190" t="str">
            <v/>
          </cell>
          <cell r="C1190" t="str">
            <v>Future</v>
          </cell>
          <cell r="D1190" t="e">
            <v>#N/A</v>
          </cell>
          <cell r="E1190">
            <v>-83.304801587302435</v>
          </cell>
          <cell r="F1190">
            <v>79.453134920632678</v>
          </cell>
          <cell r="G1190">
            <v>16.853928571427996</v>
          </cell>
          <cell r="H1190">
            <v>16.853928571427996</v>
          </cell>
          <cell r="I1190" t="e">
            <v>#N/A</v>
          </cell>
          <cell r="J1190" t="e">
            <v>#N/A</v>
          </cell>
          <cell r="K1190">
            <v>65</v>
          </cell>
          <cell r="L1190">
            <v>40</v>
          </cell>
          <cell r="M1190" t="e">
            <v>#N/A</v>
          </cell>
          <cell r="N1190">
            <v>52</v>
          </cell>
          <cell r="O1190" t="e">
            <v>#N/A</v>
          </cell>
          <cell r="P1190" t="str">
            <v/>
          </cell>
          <cell r="Q1190" t="str">
            <v/>
          </cell>
          <cell r="R1190" t="e">
            <v>#N/A</v>
          </cell>
        </row>
        <row r="1191">
          <cell r="A1191" t="str">
            <v/>
          </cell>
          <cell r="B1191" t="str">
            <v/>
          </cell>
          <cell r="C1191" t="str">
            <v>Future</v>
          </cell>
          <cell r="D1191" t="e">
            <v>#N/A</v>
          </cell>
          <cell r="E1191">
            <v>-83.524603174604025</v>
          </cell>
          <cell r="F1191">
            <v>79.491269841267595</v>
          </cell>
          <cell r="G1191">
            <v>16.792857142856569</v>
          </cell>
          <cell r="H1191">
            <v>16.792857142856569</v>
          </cell>
          <cell r="I1191" t="e">
            <v>#N/A</v>
          </cell>
          <cell r="J1191" t="e">
            <v>#N/A</v>
          </cell>
          <cell r="K1191">
            <v>65</v>
          </cell>
          <cell r="L1191">
            <v>40</v>
          </cell>
          <cell r="M1191" t="e">
            <v>#N/A</v>
          </cell>
          <cell r="N1191">
            <v>52</v>
          </cell>
          <cell r="O1191" t="e">
            <v>#N/A</v>
          </cell>
          <cell r="P1191" t="str">
            <v/>
          </cell>
          <cell r="Q1191" t="str">
            <v/>
          </cell>
          <cell r="R1191" t="e">
            <v>#N/A</v>
          </cell>
        </row>
        <row r="1192">
          <cell r="A1192" t="str">
            <v/>
          </cell>
          <cell r="B1192" t="str">
            <v/>
          </cell>
          <cell r="C1192" t="str">
            <v>Future</v>
          </cell>
          <cell r="D1192" t="e">
            <v>#N/A</v>
          </cell>
          <cell r="E1192">
            <v>-83.744404761905614</v>
          </cell>
          <cell r="F1192">
            <v>79.529404761902512</v>
          </cell>
          <cell r="G1192">
            <v>16.731785714285142</v>
          </cell>
          <cell r="H1192">
            <v>16.731785714285142</v>
          </cell>
          <cell r="I1192" t="e">
            <v>#N/A</v>
          </cell>
          <cell r="J1192" t="e">
            <v>#N/A</v>
          </cell>
          <cell r="K1192">
            <v>65</v>
          </cell>
          <cell r="L1192">
            <v>40</v>
          </cell>
          <cell r="M1192" t="e">
            <v>#N/A</v>
          </cell>
          <cell r="N1192">
            <v>52</v>
          </cell>
          <cell r="O1192" t="e">
            <v>#N/A</v>
          </cell>
          <cell r="P1192" t="str">
            <v/>
          </cell>
          <cell r="Q1192" t="str">
            <v/>
          </cell>
          <cell r="R1192" t="e">
            <v>#N/A</v>
          </cell>
        </row>
        <row r="1193">
          <cell r="A1193" t="str">
            <v/>
          </cell>
          <cell r="B1193" t="str">
            <v/>
          </cell>
          <cell r="C1193" t="str">
            <v>Future</v>
          </cell>
          <cell r="D1193" t="e">
            <v>#N/A</v>
          </cell>
          <cell r="E1193">
            <v>-83.964206349207203</v>
          </cell>
          <cell r="F1193">
            <v>79.567539682537429</v>
          </cell>
          <cell r="G1193">
            <v>16.670714285713714</v>
          </cell>
          <cell r="H1193">
            <v>16.670714285713714</v>
          </cell>
          <cell r="I1193" t="e">
            <v>#N/A</v>
          </cell>
          <cell r="J1193" t="e">
            <v>#N/A</v>
          </cell>
          <cell r="K1193">
            <v>65</v>
          </cell>
          <cell r="L1193">
            <v>40</v>
          </cell>
          <cell r="M1193" t="e">
            <v>#N/A</v>
          </cell>
          <cell r="N1193">
            <v>52</v>
          </cell>
          <cell r="O1193" t="e">
            <v>#N/A</v>
          </cell>
          <cell r="P1193" t="str">
            <v/>
          </cell>
          <cell r="Q1193" t="str">
            <v/>
          </cell>
          <cell r="R1193" t="e">
            <v>#N/A</v>
          </cell>
        </row>
        <row r="1194">
          <cell r="A1194" t="str">
            <v/>
          </cell>
          <cell r="B1194" t="str">
            <v/>
          </cell>
          <cell r="C1194" t="str">
            <v>Future</v>
          </cell>
          <cell r="D1194" t="e">
            <v>#N/A</v>
          </cell>
          <cell r="E1194">
            <v>-84.184007936508792</v>
          </cell>
          <cell r="F1194">
            <v>79.605674603172346</v>
          </cell>
          <cell r="G1194">
            <v>16.609642857142287</v>
          </cell>
          <cell r="H1194">
            <v>16.609642857142287</v>
          </cell>
          <cell r="I1194" t="e">
            <v>#N/A</v>
          </cell>
          <cell r="J1194" t="e">
            <v>#N/A</v>
          </cell>
          <cell r="K1194">
            <v>65</v>
          </cell>
          <cell r="L1194">
            <v>40</v>
          </cell>
          <cell r="M1194" t="e">
            <v>#N/A</v>
          </cell>
          <cell r="N1194">
            <v>52</v>
          </cell>
          <cell r="O1194" t="e">
            <v>#N/A</v>
          </cell>
          <cell r="P1194" t="str">
            <v/>
          </cell>
          <cell r="Q1194" t="str">
            <v/>
          </cell>
          <cell r="R1194" t="e">
            <v>#N/A</v>
          </cell>
        </row>
        <row r="1195">
          <cell r="A1195" t="str">
            <v/>
          </cell>
          <cell r="B1195" t="str">
            <v/>
          </cell>
          <cell r="C1195" t="str">
            <v>Future</v>
          </cell>
          <cell r="D1195" t="e">
            <v>#N/A</v>
          </cell>
          <cell r="E1195">
            <v>-84.403809523810381</v>
          </cell>
          <cell r="F1195">
            <v>79.643809523807263</v>
          </cell>
          <cell r="G1195">
            <v>16.54857142857086</v>
          </cell>
          <cell r="H1195">
            <v>16.54857142857086</v>
          </cell>
          <cell r="I1195" t="e">
            <v>#N/A</v>
          </cell>
          <cell r="J1195" t="e">
            <v>#N/A</v>
          </cell>
          <cell r="K1195">
            <v>65</v>
          </cell>
          <cell r="L1195">
            <v>40</v>
          </cell>
          <cell r="M1195" t="e">
            <v>#N/A</v>
          </cell>
          <cell r="N1195">
            <v>52</v>
          </cell>
          <cell r="O1195" t="e">
            <v>#N/A</v>
          </cell>
          <cell r="P1195" t="str">
            <v/>
          </cell>
          <cell r="Q1195" t="str">
            <v/>
          </cell>
          <cell r="R1195" t="e">
            <v>#N/A</v>
          </cell>
        </row>
        <row r="1196">
          <cell r="A1196" t="str">
            <v/>
          </cell>
          <cell r="B1196" t="str">
            <v/>
          </cell>
          <cell r="C1196" t="str">
            <v>Future</v>
          </cell>
          <cell r="D1196" t="e">
            <v>#N/A</v>
          </cell>
          <cell r="E1196">
            <v>-84.62361111111197</v>
          </cell>
          <cell r="F1196">
            <v>79.68194444444218</v>
          </cell>
          <cell r="G1196">
            <v>16.487499999999432</v>
          </cell>
          <cell r="H1196">
            <v>16.487499999999432</v>
          </cell>
          <cell r="I1196" t="e">
            <v>#N/A</v>
          </cell>
          <cell r="J1196" t="e">
            <v>#N/A</v>
          </cell>
          <cell r="K1196">
            <v>65</v>
          </cell>
          <cell r="L1196">
            <v>40</v>
          </cell>
          <cell r="M1196" t="e">
            <v>#N/A</v>
          </cell>
          <cell r="N1196">
            <v>52</v>
          </cell>
          <cell r="O1196" t="e">
            <v>#N/A</v>
          </cell>
          <cell r="P1196" t="str">
            <v/>
          </cell>
          <cell r="Q1196" t="str">
            <v/>
          </cell>
          <cell r="R1196" t="e">
            <v>#N/A</v>
          </cell>
        </row>
        <row r="1197">
          <cell r="A1197" t="str">
            <v/>
          </cell>
          <cell r="B1197" t="str">
            <v/>
          </cell>
          <cell r="C1197" t="str">
            <v>Future</v>
          </cell>
          <cell r="D1197" t="e">
            <v>#N/A</v>
          </cell>
          <cell r="E1197">
            <v>-84.843412698413559</v>
          </cell>
          <cell r="F1197">
            <v>79.720079365077098</v>
          </cell>
          <cell r="G1197">
            <v>16.426428571428005</v>
          </cell>
          <cell r="H1197">
            <v>16.426428571428005</v>
          </cell>
          <cell r="I1197" t="e">
            <v>#N/A</v>
          </cell>
          <cell r="J1197" t="e">
            <v>#N/A</v>
          </cell>
          <cell r="K1197">
            <v>65</v>
          </cell>
          <cell r="L1197">
            <v>40</v>
          </cell>
          <cell r="M1197" t="e">
            <v>#N/A</v>
          </cell>
          <cell r="N1197">
            <v>52</v>
          </cell>
          <cell r="O1197" t="e">
            <v>#N/A</v>
          </cell>
          <cell r="P1197" t="str">
            <v/>
          </cell>
          <cell r="Q1197" t="str">
            <v/>
          </cell>
          <cell r="R1197" t="e">
            <v>#N/A</v>
          </cell>
        </row>
        <row r="1198">
          <cell r="A1198" t="str">
            <v/>
          </cell>
          <cell r="B1198" t="str">
            <v/>
          </cell>
          <cell r="C1198" t="str">
            <v>Future</v>
          </cell>
          <cell r="D1198" t="e">
            <v>#N/A</v>
          </cell>
          <cell r="E1198">
            <v>-85.063214285715148</v>
          </cell>
          <cell r="F1198">
            <v>79.758214285712015</v>
          </cell>
          <cell r="G1198">
            <v>16.365357142856578</v>
          </cell>
          <cell r="H1198">
            <v>16.365357142856578</v>
          </cell>
          <cell r="I1198" t="e">
            <v>#N/A</v>
          </cell>
          <cell r="J1198" t="e">
            <v>#N/A</v>
          </cell>
          <cell r="K1198">
            <v>65</v>
          </cell>
          <cell r="L1198">
            <v>40</v>
          </cell>
          <cell r="M1198" t="e">
            <v>#N/A</v>
          </cell>
          <cell r="N1198">
            <v>52</v>
          </cell>
          <cell r="O1198" t="e">
            <v>#N/A</v>
          </cell>
          <cell r="P1198" t="str">
            <v/>
          </cell>
          <cell r="Q1198" t="str">
            <v/>
          </cell>
          <cell r="R1198" t="e">
            <v>#N/A</v>
          </cell>
        </row>
        <row r="1199">
          <cell r="A1199" t="str">
            <v/>
          </cell>
          <cell r="B1199" t="str">
            <v/>
          </cell>
          <cell r="C1199" t="str">
            <v>Future</v>
          </cell>
          <cell r="D1199" t="e">
            <v>#N/A</v>
          </cell>
          <cell r="E1199">
            <v>-85.283015873016737</v>
          </cell>
          <cell r="F1199">
            <v>79.796349206346932</v>
          </cell>
          <cell r="G1199">
            <v>16.30428571428515</v>
          </cell>
          <cell r="H1199">
            <v>16.30428571428515</v>
          </cell>
          <cell r="I1199" t="e">
            <v>#N/A</v>
          </cell>
          <cell r="J1199" t="e">
            <v>#N/A</v>
          </cell>
          <cell r="K1199">
            <v>65</v>
          </cell>
          <cell r="L1199">
            <v>40</v>
          </cell>
          <cell r="M1199" t="e">
            <v>#N/A</v>
          </cell>
          <cell r="N1199">
            <v>52</v>
          </cell>
          <cell r="O1199" t="e">
            <v>#N/A</v>
          </cell>
          <cell r="P1199" t="str">
            <v/>
          </cell>
          <cell r="Q1199" t="str">
            <v/>
          </cell>
          <cell r="R1199" t="e">
            <v>#N/A</v>
          </cell>
        </row>
        <row r="1200">
          <cell r="A1200" t="str">
            <v/>
          </cell>
          <cell r="B1200" t="str">
            <v/>
          </cell>
          <cell r="C1200" t="str">
            <v>Future</v>
          </cell>
          <cell r="D1200" t="e">
            <v>#N/A</v>
          </cell>
          <cell r="E1200">
            <v>-85.502817460318326</v>
          </cell>
          <cell r="F1200">
            <v>79.834484126981849</v>
          </cell>
          <cell r="G1200">
            <v>16.243214285713723</v>
          </cell>
          <cell r="H1200">
            <v>16.243214285713723</v>
          </cell>
          <cell r="I1200" t="e">
            <v>#N/A</v>
          </cell>
          <cell r="J1200" t="e">
            <v>#N/A</v>
          </cell>
          <cell r="K1200">
            <v>65</v>
          </cell>
          <cell r="L1200">
            <v>40</v>
          </cell>
          <cell r="M1200" t="e">
            <v>#N/A</v>
          </cell>
          <cell r="N1200">
            <v>52</v>
          </cell>
          <cell r="O1200" t="e">
            <v>#N/A</v>
          </cell>
          <cell r="P1200" t="str">
            <v/>
          </cell>
          <cell r="Q1200" t="str">
            <v/>
          </cell>
          <cell r="R1200" t="e">
            <v>#N/A</v>
          </cell>
        </row>
        <row r="1201">
          <cell r="A1201" t="str">
            <v/>
          </cell>
          <cell r="B1201" t="str">
            <v/>
          </cell>
          <cell r="C1201" t="str">
            <v>Future</v>
          </cell>
          <cell r="D1201" t="e">
            <v>#N/A</v>
          </cell>
          <cell r="E1201">
            <v>-85.722619047619915</v>
          </cell>
          <cell r="F1201">
            <v>79.872619047616766</v>
          </cell>
          <cell r="G1201">
            <v>16.182142857142296</v>
          </cell>
          <cell r="H1201">
            <v>16.182142857142296</v>
          </cell>
          <cell r="I1201" t="e">
            <v>#N/A</v>
          </cell>
          <cell r="J1201" t="e">
            <v>#N/A</v>
          </cell>
          <cell r="K1201">
            <v>65</v>
          </cell>
          <cell r="L1201">
            <v>40</v>
          </cell>
          <cell r="M1201" t="e">
            <v>#N/A</v>
          </cell>
          <cell r="N1201">
            <v>52</v>
          </cell>
          <cell r="O1201" t="e">
            <v>#N/A</v>
          </cell>
          <cell r="P1201" t="str">
            <v/>
          </cell>
          <cell r="Q1201" t="str">
            <v/>
          </cell>
          <cell r="R1201" t="e">
            <v>#N/A</v>
          </cell>
        </row>
        <row r="1202">
          <cell r="A1202" t="str">
            <v/>
          </cell>
          <cell r="B1202" t="str">
            <v/>
          </cell>
          <cell r="C1202" t="str">
            <v>Future</v>
          </cell>
          <cell r="D1202" t="e">
            <v>#N/A</v>
          </cell>
          <cell r="E1202">
            <v>-85.942420634921504</v>
          </cell>
          <cell r="F1202">
            <v>79.910753968251683</v>
          </cell>
          <cell r="G1202">
            <v>16.121071428570868</v>
          </cell>
          <cell r="H1202">
            <v>16.121071428570868</v>
          </cell>
          <cell r="I1202" t="e">
            <v>#N/A</v>
          </cell>
          <cell r="J1202" t="e">
            <v>#N/A</v>
          </cell>
          <cell r="K1202">
            <v>65</v>
          </cell>
          <cell r="L1202">
            <v>40</v>
          </cell>
          <cell r="M1202" t="e">
            <v>#N/A</v>
          </cell>
          <cell r="N1202">
            <v>52</v>
          </cell>
          <cell r="O1202" t="e">
            <v>#N/A</v>
          </cell>
          <cell r="P1202" t="str">
            <v/>
          </cell>
          <cell r="Q1202" t="str">
            <v/>
          </cell>
          <cell r="R1202" t="e">
            <v>#N/A</v>
          </cell>
        </row>
        <row r="1203">
          <cell r="A1203" t="str">
            <v/>
          </cell>
          <cell r="B1203" t="str">
            <v/>
          </cell>
          <cell r="C1203" t="str">
            <v>Future</v>
          </cell>
          <cell r="D1203" t="e">
            <v>#N/A</v>
          </cell>
          <cell r="E1203">
            <v>-86.162222222223093</v>
          </cell>
          <cell r="F1203">
            <v>79.9488888888866</v>
          </cell>
          <cell r="G1203">
            <v>16.059999999999441</v>
          </cell>
          <cell r="H1203">
            <v>16.059999999999441</v>
          </cell>
          <cell r="I1203" t="e">
            <v>#N/A</v>
          </cell>
          <cell r="J1203" t="e">
            <v>#N/A</v>
          </cell>
          <cell r="K1203">
            <v>65</v>
          </cell>
          <cell r="L1203">
            <v>40</v>
          </cell>
          <cell r="M1203" t="e">
            <v>#N/A</v>
          </cell>
          <cell r="N1203">
            <v>52</v>
          </cell>
          <cell r="O1203" t="e">
            <v>#N/A</v>
          </cell>
          <cell r="P1203" t="str">
            <v/>
          </cell>
          <cell r="Q1203" t="str">
            <v/>
          </cell>
          <cell r="R1203" t="e">
            <v>#N/A</v>
          </cell>
        </row>
        <row r="1204">
          <cell r="A1204" t="str">
            <v/>
          </cell>
          <cell r="B1204" t="str">
            <v/>
          </cell>
          <cell r="C1204" t="str">
            <v>Future</v>
          </cell>
          <cell r="D1204" t="e">
            <v>#N/A</v>
          </cell>
          <cell r="E1204">
            <v>-86.382023809524682</v>
          </cell>
          <cell r="F1204">
            <v>79.987023809521517</v>
          </cell>
          <cell r="G1204">
            <v>15.998928571428012</v>
          </cell>
          <cell r="H1204">
            <v>15.998928571428012</v>
          </cell>
          <cell r="I1204" t="e">
            <v>#N/A</v>
          </cell>
          <cell r="J1204" t="e">
            <v>#N/A</v>
          </cell>
          <cell r="K1204">
            <v>65</v>
          </cell>
          <cell r="L1204">
            <v>40</v>
          </cell>
          <cell r="M1204" t="e">
            <v>#N/A</v>
          </cell>
          <cell r="N1204">
            <v>52</v>
          </cell>
          <cell r="O1204" t="e">
            <v>#N/A</v>
          </cell>
          <cell r="P1204" t="str">
            <v/>
          </cell>
          <cell r="Q1204" t="str">
            <v/>
          </cell>
          <cell r="R1204" t="e">
            <v>#N/A</v>
          </cell>
        </row>
        <row r="1205">
          <cell r="A1205" t="str">
            <v/>
          </cell>
          <cell r="B1205" t="str">
            <v/>
          </cell>
          <cell r="C1205" t="str">
            <v>Future</v>
          </cell>
          <cell r="D1205" t="e">
            <v>#N/A</v>
          </cell>
          <cell r="E1205">
            <v>-86.601825396826271</v>
          </cell>
          <cell r="F1205">
            <v>80.025158730156434</v>
          </cell>
          <cell r="G1205">
            <v>15.937857142856583</v>
          </cell>
          <cell r="H1205">
            <v>15.937857142856583</v>
          </cell>
          <cell r="I1205" t="e">
            <v>#N/A</v>
          </cell>
          <cell r="J1205" t="e">
            <v>#N/A</v>
          </cell>
          <cell r="K1205">
            <v>65</v>
          </cell>
          <cell r="L1205">
            <v>40</v>
          </cell>
          <cell r="M1205" t="e">
            <v>#N/A</v>
          </cell>
          <cell r="N1205">
            <v>52</v>
          </cell>
          <cell r="O1205" t="e">
            <v>#N/A</v>
          </cell>
          <cell r="P1205" t="str">
            <v/>
          </cell>
          <cell r="Q1205" t="str">
            <v/>
          </cell>
          <cell r="R1205" t="e">
            <v>#N/A</v>
          </cell>
        </row>
        <row r="1206">
          <cell r="A1206" t="str">
            <v/>
          </cell>
          <cell r="B1206" t="str">
            <v/>
          </cell>
          <cell r="C1206" t="str">
            <v>Future</v>
          </cell>
          <cell r="D1206" t="e">
            <v>#N/A</v>
          </cell>
          <cell r="E1206">
            <v>-86.82162698412786</v>
          </cell>
          <cell r="F1206">
            <v>80.063293650791351</v>
          </cell>
          <cell r="G1206">
            <v>15.876785714285154</v>
          </cell>
          <cell r="H1206">
            <v>15.876785714285154</v>
          </cell>
          <cell r="I1206" t="e">
            <v>#N/A</v>
          </cell>
          <cell r="J1206" t="e">
            <v>#N/A</v>
          </cell>
          <cell r="K1206">
            <v>65</v>
          </cell>
          <cell r="L1206">
            <v>40</v>
          </cell>
          <cell r="M1206" t="e">
            <v>#N/A</v>
          </cell>
          <cell r="N1206">
            <v>52</v>
          </cell>
          <cell r="O1206" t="e">
            <v>#N/A</v>
          </cell>
          <cell r="P1206" t="str">
            <v/>
          </cell>
          <cell r="Q1206" t="str">
            <v/>
          </cell>
          <cell r="R1206" t="e">
            <v>#N/A</v>
          </cell>
        </row>
        <row r="1207">
          <cell r="A1207" t="str">
            <v/>
          </cell>
          <cell r="B1207" t="str">
            <v/>
          </cell>
          <cell r="C1207" t="str">
            <v>Future</v>
          </cell>
          <cell r="D1207" t="e">
            <v>#N/A</v>
          </cell>
          <cell r="E1207">
            <v>-87.041428571429449</v>
          </cell>
          <cell r="F1207">
            <v>80.101428571426268</v>
          </cell>
          <cell r="G1207">
            <v>15.815714285713725</v>
          </cell>
          <cell r="H1207">
            <v>15.815714285713725</v>
          </cell>
          <cell r="I1207" t="e">
            <v>#N/A</v>
          </cell>
          <cell r="J1207" t="e">
            <v>#N/A</v>
          </cell>
          <cell r="K1207">
            <v>65</v>
          </cell>
          <cell r="L1207">
            <v>40</v>
          </cell>
          <cell r="M1207" t="e">
            <v>#N/A</v>
          </cell>
          <cell r="N1207">
            <v>52</v>
          </cell>
          <cell r="O1207" t="e">
            <v>#N/A</v>
          </cell>
          <cell r="P1207" t="str">
            <v/>
          </cell>
          <cell r="Q1207" t="str">
            <v/>
          </cell>
          <cell r="R1207" t="e">
            <v>#N/A</v>
          </cell>
        </row>
        <row r="1208">
          <cell r="A1208" t="str">
            <v/>
          </cell>
          <cell r="B1208" t="str">
            <v/>
          </cell>
          <cell r="C1208" t="str">
            <v>Future</v>
          </cell>
          <cell r="D1208" t="e">
            <v>#N/A</v>
          </cell>
          <cell r="E1208">
            <v>-87.261230158731038</v>
          </cell>
          <cell r="F1208">
            <v>80.139563492061185</v>
          </cell>
          <cell r="G1208">
            <v>15.754642857142295</v>
          </cell>
          <cell r="H1208">
            <v>15.754642857142295</v>
          </cell>
          <cell r="I1208" t="e">
            <v>#N/A</v>
          </cell>
          <cell r="J1208" t="e">
            <v>#N/A</v>
          </cell>
          <cell r="K1208">
            <v>65</v>
          </cell>
          <cell r="L1208">
            <v>40</v>
          </cell>
          <cell r="M1208" t="e">
            <v>#N/A</v>
          </cell>
          <cell r="N1208">
            <v>52</v>
          </cell>
          <cell r="O1208" t="e">
            <v>#N/A</v>
          </cell>
          <cell r="P1208" t="str">
            <v/>
          </cell>
          <cell r="Q1208" t="str">
            <v/>
          </cell>
          <cell r="R1208" t="e">
            <v>#N/A</v>
          </cell>
        </row>
        <row r="1209">
          <cell r="A1209" t="str">
            <v/>
          </cell>
          <cell r="B1209" t="str">
            <v/>
          </cell>
          <cell r="C1209" t="str">
            <v>Future</v>
          </cell>
          <cell r="D1209" t="e">
            <v>#N/A</v>
          </cell>
          <cell r="E1209">
            <v>-87.481031746032627</v>
          </cell>
          <cell r="F1209">
            <v>80.177698412696103</v>
          </cell>
          <cell r="G1209">
            <v>15.693571428570866</v>
          </cell>
          <cell r="H1209">
            <v>15.693571428570866</v>
          </cell>
          <cell r="I1209" t="e">
            <v>#N/A</v>
          </cell>
          <cell r="J1209" t="e">
            <v>#N/A</v>
          </cell>
          <cell r="K1209">
            <v>65</v>
          </cell>
          <cell r="L1209">
            <v>40</v>
          </cell>
          <cell r="M1209" t="e">
            <v>#N/A</v>
          </cell>
          <cell r="N1209">
            <v>52</v>
          </cell>
          <cell r="O1209" t="e">
            <v>#N/A</v>
          </cell>
          <cell r="P1209" t="str">
            <v/>
          </cell>
          <cell r="Q1209" t="str">
            <v/>
          </cell>
          <cell r="R1209" t="e">
            <v>#N/A</v>
          </cell>
        </row>
        <row r="1210">
          <cell r="A1210" t="str">
            <v/>
          </cell>
          <cell r="B1210" t="str">
            <v/>
          </cell>
          <cell r="C1210" t="str">
            <v>Future</v>
          </cell>
          <cell r="D1210" t="e">
            <v>#N/A</v>
          </cell>
          <cell r="E1210">
            <v>-87.700833333334216</v>
          </cell>
          <cell r="F1210">
            <v>80.21583333333102</v>
          </cell>
          <cell r="G1210">
            <v>15.632499999999437</v>
          </cell>
          <cell r="H1210">
            <v>15.632499999999437</v>
          </cell>
          <cell r="I1210" t="e">
            <v>#N/A</v>
          </cell>
          <cell r="J1210" t="e">
            <v>#N/A</v>
          </cell>
          <cell r="K1210">
            <v>65</v>
          </cell>
          <cell r="L1210">
            <v>40</v>
          </cell>
          <cell r="M1210" t="e">
            <v>#N/A</v>
          </cell>
          <cell r="N1210">
            <v>52</v>
          </cell>
          <cell r="O1210" t="e">
            <v>#N/A</v>
          </cell>
          <cell r="P1210" t="str">
            <v/>
          </cell>
          <cell r="Q1210" t="str">
            <v/>
          </cell>
          <cell r="R1210" t="e">
            <v>#N/A</v>
          </cell>
        </row>
        <row r="1211">
          <cell r="A1211" t="str">
            <v/>
          </cell>
          <cell r="B1211" t="str">
            <v/>
          </cell>
          <cell r="C1211" t="str">
            <v>Future</v>
          </cell>
          <cell r="D1211" t="e">
            <v>#N/A</v>
          </cell>
          <cell r="E1211">
            <v>-87.920634920635806</v>
          </cell>
          <cell r="F1211">
            <v>80.253968253965937</v>
          </cell>
          <cell r="G1211">
            <v>15.571428571428008</v>
          </cell>
          <cell r="H1211">
            <v>15.571428571428008</v>
          </cell>
          <cell r="I1211" t="e">
            <v>#N/A</v>
          </cell>
          <cell r="J1211" t="e">
            <v>#N/A</v>
          </cell>
          <cell r="K1211">
            <v>65</v>
          </cell>
          <cell r="L1211">
            <v>40</v>
          </cell>
          <cell r="M1211" t="e">
            <v>#N/A</v>
          </cell>
          <cell r="N1211">
            <v>52</v>
          </cell>
          <cell r="O1211" t="e">
            <v>#N/A</v>
          </cell>
          <cell r="P1211" t="str">
            <v/>
          </cell>
          <cell r="Q1211" t="str">
            <v/>
          </cell>
          <cell r="R1211" t="e">
            <v>#N/A</v>
          </cell>
        </row>
        <row r="1212">
          <cell r="A1212" t="str">
            <v/>
          </cell>
          <cell r="B1212" t="str">
            <v/>
          </cell>
          <cell r="C1212" t="str">
            <v>Future</v>
          </cell>
          <cell r="D1212" t="e">
            <v>#N/A</v>
          </cell>
          <cell r="E1212">
            <v>-88.140436507937395</v>
          </cell>
          <cell r="F1212">
            <v>80.292103174600854</v>
          </cell>
          <cell r="G1212">
            <v>15.510357142856579</v>
          </cell>
          <cell r="H1212">
            <v>15.510357142856579</v>
          </cell>
          <cell r="I1212" t="e">
            <v>#N/A</v>
          </cell>
          <cell r="J1212" t="e">
            <v>#N/A</v>
          </cell>
          <cell r="K1212">
            <v>65</v>
          </cell>
          <cell r="L1212">
            <v>40</v>
          </cell>
          <cell r="M1212" t="e">
            <v>#N/A</v>
          </cell>
          <cell r="N1212">
            <v>52</v>
          </cell>
          <cell r="O1212" t="e">
            <v>#N/A</v>
          </cell>
          <cell r="P1212" t="str">
            <v/>
          </cell>
          <cell r="Q1212" t="str">
            <v/>
          </cell>
          <cell r="R1212" t="e">
            <v>#N/A</v>
          </cell>
        </row>
        <row r="1213">
          <cell r="A1213" t="str">
            <v/>
          </cell>
          <cell r="B1213" t="str">
            <v/>
          </cell>
          <cell r="C1213" t="str">
            <v>Future</v>
          </cell>
          <cell r="D1213" t="e">
            <v>#N/A</v>
          </cell>
          <cell r="E1213">
            <v>-88.360238095238984</v>
          </cell>
          <cell r="F1213">
            <v>80.330238095235771</v>
          </cell>
          <cell r="G1213">
            <v>15.44928571428515</v>
          </cell>
          <cell r="H1213">
            <v>15.44928571428515</v>
          </cell>
          <cell r="I1213" t="e">
            <v>#N/A</v>
          </cell>
          <cell r="J1213" t="e">
            <v>#N/A</v>
          </cell>
          <cell r="K1213">
            <v>65</v>
          </cell>
          <cell r="L1213">
            <v>40</v>
          </cell>
          <cell r="M1213" t="e">
            <v>#N/A</v>
          </cell>
          <cell r="N1213">
            <v>52</v>
          </cell>
          <cell r="O1213" t="e">
            <v>#N/A</v>
          </cell>
          <cell r="P1213" t="str">
            <v/>
          </cell>
          <cell r="Q1213" t="str">
            <v/>
          </cell>
          <cell r="R1213" t="e">
            <v>#N/A</v>
          </cell>
        </row>
        <row r="1214">
          <cell r="A1214" t="str">
            <v/>
          </cell>
          <cell r="B1214" t="str">
            <v/>
          </cell>
          <cell r="C1214" t="str">
            <v>Future</v>
          </cell>
          <cell r="D1214" t="e">
            <v>#N/A</v>
          </cell>
          <cell r="E1214">
            <v>-88.580039682540573</v>
          </cell>
          <cell r="F1214">
            <v>80.368373015870688</v>
          </cell>
          <cell r="G1214">
            <v>15.388214285713721</v>
          </cell>
          <cell r="H1214">
            <v>15.388214285713721</v>
          </cell>
          <cell r="I1214" t="e">
            <v>#N/A</v>
          </cell>
          <cell r="J1214" t="e">
            <v>#N/A</v>
          </cell>
          <cell r="K1214">
            <v>65</v>
          </cell>
          <cell r="L1214">
            <v>40</v>
          </cell>
          <cell r="M1214" t="e">
            <v>#N/A</v>
          </cell>
          <cell r="N1214">
            <v>52</v>
          </cell>
          <cell r="O1214" t="e">
            <v>#N/A</v>
          </cell>
          <cell r="P1214" t="str">
            <v/>
          </cell>
          <cell r="Q1214" t="str">
            <v/>
          </cell>
          <cell r="R1214" t="e">
            <v>#N/A</v>
          </cell>
        </row>
        <row r="1215">
          <cell r="A1215" t="str">
            <v/>
          </cell>
          <cell r="B1215" t="str">
            <v/>
          </cell>
          <cell r="C1215" t="str">
            <v>Future</v>
          </cell>
          <cell r="D1215" t="e">
            <v>#N/A</v>
          </cell>
          <cell r="E1215">
            <v>-88.799841269842162</v>
          </cell>
          <cell r="F1215">
            <v>80.406507936505605</v>
          </cell>
          <cell r="G1215">
            <v>15.327142857142292</v>
          </cell>
          <cell r="H1215">
            <v>15.327142857142292</v>
          </cell>
          <cell r="I1215" t="e">
            <v>#N/A</v>
          </cell>
          <cell r="J1215" t="e">
            <v>#N/A</v>
          </cell>
          <cell r="K1215">
            <v>65</v>
          </cell>
          <cell r="L1215">
            <v>40</v>
          </cell>
          <cell r="M1215" t="e">
            <v>#N/A</v>
          </cell>
          <cell r="N1215">
            <v>52</v>
          </cell>
          <cell r="O1215" t="e">
            <v>#N/A</v>
          </cell>
          <cell r="P1215" t="str">
            <v/>
          </cell>
          <cell r="Q1215" t="str">
            <v/>
          </cell>
          <cell r="R1215" t="e">
            <v>#N/A</v>
          </cell>
        </row>
        <row r="1216">
          <cell r="A1216" t="str">
            <v/>
          </cell>
          <cell r="B1216" t="str">
            <v/>
          </cell>
          <cell r="C1216" t="str">
            <v>Future</v>
          </cell>
          <cell r="D1216" t="e">
            <v>#N/A</v>
          </cell>
          <cell r="E1216">
            <v>-89.019642857143751</v>
          </cell>
          <cell r="F1216">
            <v>80.444642857140522</v>
          </cell>
          <cell r="G1216">
            <v>15.266071428570863</v>
          </cell>
          <cell r="H1216">
            <v>15.266071428570863</v>
          </cell>
          <cell r="I1216" t="e">
            <v>#N/A</v>
          </cell>
          <cell r="J1216" t="e">
            <v>#N/A</v>
          </cell>
          <cell r="K1216">
            <v>65</v>
          </cell>
          <cell r="L1216">
            <v>40</v>
          </cell>
          <cell r="M1216" t="e">
            <v>#N/A</v>
          </cell>
          <cell r="N1216">
            <v>52</v>
          </cell>
          <cell r="O1216" t="e">
            <v>#N/A</v>
          </cell>
          <cell r="P1216" t="str">
            <v/>
          </cell>
          <cell r="Q1216" t="str">
            <v/>
          </cell>
          <cell r="R1216" t="e">
            <v>#N/A</v>
          </cell>
        </row>
        <row r="1217">
          <cell r="A1217" t="str">
            <v/>
          </cell>
          <cell r="B1217" t="str">
            <v/>
          </cell>
          <cell r="C1217" t="str">
            <v>Future</v>
          </cell>
          <cell r="D1217" t="e">
            <v>#N/A</v>
          </cell>
          <cell r="E1217">
            <v>-89.23944444444534</v>
          </cell>
          <cell r="F1217">
            <v>80.482777777775439</v>
          </cell>
          <cell r="G1217">
            <v>15.204999999999433</v>
          </cell>
          <cell r="H1217">
            <v>15.204999999999433</v>
          </cell>
          <cell r="I1217" t="e">
            <v>#N/A</v>
          </cell>
          <cell r="J1217" t="e">
            <v>#N/A</v>
          </cell>
          <cell r="K1217">
            <v>65</v>
          </cell>
          <cell r="L1217">
            <v>40</v>
          </cell>
          <cell r="M1217" t="e">
            <v>#N/A</v>
          </cell>
          <cell r="N1217">
            <v>52</v>
          </cell>
          <cell r="O1217" t="e">
            <v>#N/A</v>
          </cell>
          <cell r="P1217" t="str">
            <v/>
          </cell>
          <cell r="Q1217" t="str">
            <v/>
          </cell>
          <cell r="R1217" t="e">
            <v>#N/A</v>
          </cell>
        </row>
        <row r="1218">
          <cell r="A1218" t="str">
            <v/>
          </cell>
          <cell r="B1218" t="str">
            <v/>
          </cell>
          <cell r="C1218" t="str">
            <v>Future</v>
          </cell>
          <cell r="D1218" t="e">
            <v>#N/A</v>
          </cell>
          <cell r="E1218">
            <v>-89.459246031746929</v>
          </cell>
          <cell r="F1218">
            <v>80.520912698410356</v>
          </cell>
          <cell r="G1218">
            <v>15.143928571428004</v>
          </cell>
          <cell r="H1218">
            <v>15.143928571428004</v>
          </cell>
          <cell r="I1218" t="e">
            <v>#N/A</v>
          </cell>
          <cell r="J1218" t="e">
            <v>#N/A</v>
          </cell>
          <cell r="K1218">
            <v>65</v>
          </cell>
          <cell r="L1218">
            <v>40</v>
          </cell>
          <cell r="M1218" t="e">
            <v>#N/A</v>
          </cell>
          <cell r="N1218">
            <v>52</v>
          </cell>
          <cell r="O1218" t="e">
            <v>#N/A</v>
          </cell>
          <cell r="P1218" t="str">
            <v/>
          </cell>
          <cell r="Q1218" t="str">
            <v/>
          </cell>
          <cell r="R1218" t="e">
            <v>#N/A</v>
          </cell>
        </row>
        <row r="1219">
          <cell r="A1219" t="str">
            <v/>
          </cell>
          <cell r="B1219" t="str">
            <v/>
          </cell>
          <cell r="C1219" t="str">
            <v>Future</v>
          </cell>
          <cell r="D1219" t="e">
            <v>#N/A</v>
          </cell>
          <cell r="E1219">
            <v>-89.679047619048518</v>
          </cell>
          <cell r="F1219">
            <v>80.559047619045273</v>
          </cell>
          <cell r="G1219">
            <v>15.082857142856575</v>
          </cell>
          <cell r="H1219">
            <v>15.082857142856575</v>
          </cell>
          <cell r="I1219" t="e">
            <v>#N/A</v>
          </cell>
          <cell r="J1219" t="e">
            <v>#N/A</v>
          </cell>
          <cell r="K1219">
            <v>65</v>
          </cell>
          <cell r="L1219">
            <v>40</v>
          </cell>
          <cell r="M1219" t="e">
            <v>#N/A</v>
          </cell>
          <cell r="N1219">
            <v>52</v>
          </cell>
          <cell r="O1219" t="e">
            <v>#N/A</v>
          </cell>
          <cell r="P1219" t="str">
            <v/>
          </cell>
          <cell r="Q1219" t="str">
            <v/>
          </cell>
          <cell r="R1219" t="e">
            <v>#N/A</v>
          </cell>
        </row>
        <row r="1220">
          <cell r="A1220" t="str">
            <v/>
          </cell>
          <cell r="B1220" t="str">
            <v/>
          </cell>
          <cell r="C1220" t="str">
            <v>Future</v>
          </cell>
          <cell r="D1220" t="e">
            <v>#N/A</v>
          </cell>
          <cell r="E1220">
            <v>-89.898849206350107</v>
          </cell>
          <cell r="F1220">
            <v>80.59718253968019</v>
          </cell>
          <cell r="G1220">
            <v>15.021785714285146</v>
          </cell>
          <cell r="H1220">
            <v>15.021785714285146</v>
          </cell>
          <cell r="I1220" t="e">
            <v>#N/A</v>
          </cell>
          <cell r="J1220" t="e">
            <v>#N/A</v>
          </cell>
          <cell r="K1220">
            <v>65</v>
          </cell>
          <cell r="L1220">
            <v>40</v>
          </cell>
          <cell r="M1220" t="e">
            <v>#N/A</v>
          </cell>
          <cell r="N1220">
            <v>52</v>
          </cell>
          <cell r="O1220" t="e">
            <v>#N/A</v>
          </cell>
          <cell r="P1220" t="str">
            <v/>
          </cell>
          <cell r="Q1220" t="str">
            <v/>
          </cell>
          <cell r="R1220" t="e">
            <v>#N/A</v>
          </cell>
        </row>
        <row r="1221">
          <cell r="A1221" t="str">
            <v/>
          </cell>
          <cell r="B1221" t="str">
            <v/>
          </cell>
          <cell r="C1221" t="str">
            <v>Future</v>
          </cell>
          <cell r="D1221" t="e">
            <v>#N/A</v>
          </cell>
          <cell r="E1221">
            <v>-90.118650793651696</v>
          </cell>
          <cell r="F1221">
            <v>80.635317460315107</v>
          </cell>
          <cell r="G1221">
            <v>14.960714285713717</v>
          </cell>
          <cell r="H1221">
            <v>14.960714285713717</v>
          </cell>
          <cell r="I1221" t="e">
            <v>#N/A</v>
          </cell>
          <cell r="J1221" t="e">
            <v>#N/A</v>
          </cell>
          <cell r="K1221">
            <v>65</v>
          </cell>
          <cell r="L1221">
            <v>40</v>
          </cell>
          <cell r="M1221" t="e">
            <v>#N/A</v>
          </cell>
          <cell r="N1221">
            <v>52</v>
          </cell>
          <cell r="O1221" t="e">
            <v>#N/A</v>
          </cell>
          <cell r="P1221" t="str">
            <v/>
          </cell>
          <cell r="Q1221" t="str">
            <v/>
          </cell>
          <cell r="R1221" t="e">
            <v>#N/A</v>
          </cell>
        </row>
        <row r="1222">
          <cell r="A1222" t="str">
            <v/>
          </cell>
          <cell r="B1222" t="str">
            <v/>
          </cell>
          <cell r="C1222" t="str">
            <v>Future</v>
          </cell>
          <cell r="D1222" t="e">
            <v>#N/A</v>
          </cell>
          <cell r="E1222">
            <v>-90.338452380953285</v>
          </cell>
          <cell r="F1222">
            <v>80.673452380950025</v>
          </cell>
          <cell r="G1222">
            <v>14.899642857142288</v>
          </cell>
          <cell r="H1222">
            <v>14.899642857142288</v>
          </cell>
          <cell r="I1222" t="e">
            <v>#N/A</v>
          </cell>
          <cell r="J1222" t="e">
            <v>#N/A</v>
          </cell>
          <cell r="K1222">
            <v>65</v>
          </cell>
          <cell r="L1222">
            <v>40</v>
          </cell>
          <cell r="M1222" t="e">
            <v>#N/A</v>
          </cell>
          <cell r="N1222">
            <v>52</v>
          </cell>
          <cell r="O1222" t="e">
            <v>#N/A</v>
          </cell>
          <cell r="P1222" t="str">
            <v/>
          </cell>
          <cell r="Q1222" t="str">
            <v/>
          </cell>
          <cell r="R1222" t="e">
            <v>#N/A</v>
          </cell>
        </row>
        <row r="1223">
          <cell r="A1223" t="str">
            <v/>
          </cell>
          <cell r="B1223" t="str">
            <v/>
          </cell>
          <cell r="C1223" t="str">
            <v>Future</v>
          </cell>
          <cell r="D1223" t="e">
            <v>#N/A</v>
          </cell>
          <cell r="E1223">
            <v>-90.558253968254874</v>
          </cell>
          <cell r="F1223">
            <v>80.711587301584942</v>
          </cell>
          <cell r="G1223">
            <v>14.838571428570859</v>
          </cell>
          <cell r="H1223">
            <v>14.838571428570859</v>
          </cell>
          <cell r="I1223" t="e">
            <v>#N/A</v>
          </cell>
          <cell r="J1223" t="e">
            <v>#N/A</v>
          </cell>
          <cell r="K1223">
            <v>65</v>
          </cell>
          <cell r="L1223">
            <v>40</v>
          </cell>
          <cell r="M1223" t="e">
            <v>#N/A</v>
          </cell>
          <cell r="N1223">
            <v>52</v>
          </cell>
          <cell r="O1223" t="e">
            <v>#N/A</v>
          </cell>
          <cell r="P1223" t="str">
            <v/>
          </cell>
          <cell r="Q1223" t="str">
            <v/>
          </cell>
          <cell r="R1223" t="e">
            <v>#N/A</v>
          </cell>
        </row>
        <row r="1224">
          <cell r="A1224" t="str">
            <v/>
          </cell>
          <cell r="B1224" t="str">
            <v/>
          </cell>
          <cell r="C1224" t="str">
            <v>Future</v>
          </cell>
          <cell r="D1224" t="e">
            <v>#N/A</v>
          </cell>
          <cell r="E1224">
            <v>-90.778055555556463</v>
          </cell>
          <cell r="F1224">
            <v>80.749722222219859</v>
          </cell>
          <cell r="G1224">
            <v>14.77749999999943</v>
          </cell>
          <cell r="H1224">
            <v>14.77749999999943</v>
          </cell>
          <cell r="I1224" t="e">
            <v>#N/A</v>
          </cell>
          <cell r="J1224" t="e">
            <v>#N/A</v>
          </cell>
          <cell r="K1224">
            <v>65</v>
          </cell>
          <cell r="L1224">
            <v>40</v>
          </cell>
          <cell r="M1224" t="e">
            <v>#N/A</v>
          </cell>
          <cell r="N1224">
            <v>52</v>
          </cell>
          <cell r="O1224" t="e">
            <v>#N/A</v>
          </cell>
          <cell r="P1224" t="str">
            <v/>
          </cell>
          <cell r="Q1224" t="str">
            <v/>
          </cell>
          <cell r="R1224" t="e">
            <v>#N/A</v>
          </cell>
        </row>
        <row r="1225">
          <cell r="A1225" t="str">
            <v/>
          </cell>
          <cell r="B1225" t="str">
            <v/>
          </cell>
          <cell r="C1225" t="str">
            <v>Future</v>
          </cell>
          <cell r="D1225" t="e">
            <v>#N/A</v>
          </cell>
          <cell r="E1225">
            <v>-90.997857142858052</v>
          </cell>
          <cell r="F1225">
            <v>80.787857142854776</v>
          </cell>
          <cell r="G1225">
            <v>14.716428571428001</v>
          </cell>
          <cell r="H1225">
            <v>14.716428571428001</v>
          </cell>
          <cell r="I1225" t="e">
            <v>#N/A</v>
          </cell>
          <cell r="J1225" t="e">
            <v>#N/A</v>
          </cell>
          <cell r="K1225">
            <v>65</v>
          </cell>
          <cell r="L1225">
            <v>40</v>
          </cell>
          <cell r="M1225" t="e">
            <v>#N/A</v>
          </cell>
          <cell r="N1225">
            <v>52</v>
          </cell>
          <cell r="O1225" t="e">
            <v>#N/A</v>
          </cell>
          <cell r="P1225" t="str">
            <v/>
          </cell>
          <cell r="Q1225" t="str">
            <v/>
          </cell>
          <cell r="R1225" t="e">
            <v>#N/A</v>
          </cell>
        </row>
        <row r="1226">
          <cell r="A1226" t="str">
            <v/>
          </cell>
          <cell r="B1226" t="str">
            <v/>
          </cell>
          <cell r="C1226" t="str">
            <v>Future</v>
          </cell>
          <cell r="D1226" t="e">
            <v>#N/A</v>
          </cell>
          <cell r="E1226">
            <v>-91.217658730159641</v>
          </cell>
          <cell r="F1226">
            <v>80.825992063489693</v>
          </cell>
          <cell r="G1226">
            <v>14.655357142856571</v>
          </cell>
          <cell r="H1226">
            <v>14.655357142856571</v>
          </cell>
          <cell r="I1226" t="e">
            <v>#N/A</v>
          </cell>
          <cell r="J1226" t="e">
            <v>#N/A</v>
          </cell>
          <cell r="K1226">
            <v>65</v>
          </cell>
          <cell r="L1226">
            <v>40</v>
          </cell>
          <cell r="M1226" t="e">
            <v>#N/A</v>
          </cell>
          <cell r="N1226">
            <v>52</v>
          </cell>
          <cell r="O1226" t="e">
            <v>#N/A</v>
          </cell>
          <cell r="P1226" t="str">
            <v/>
          </cell>
          <cell r="Q1226" t="str">
            <v/>
          </cell>
          <cell r="R1226" t="e">
            <v>#N/A</v>
          </cell>
        </row>
        <row r="1227">
          <cell r="A1227" t="str">
            <v/>
          </cell>
          <cell r="B1227" t="str">
            <v/>
          </cell>
          <cell r="C1227" t="str">
            <v>Future</v>
          </cell>
          <cell r="D1227" t="e">
            <v>#N/A</v>
          </cell>
          <cell r="E1227">
            <v>-91.43746031746123</v>
          </cell>
          <cell r="F1227">
            <v>80.86412698412461</v>
          </cell>
          <cell r="G1227">
            <v>14.594285714285142</v>
          </cell>
          <cell r="H1227">
            <v>14.594285714285142</v>
          </cell>
          <cell r="I1227" t="e">
            <v>#N/A</v>
          </cell>
          <cell r="J1227" t="e">
            <v>#N/A</v>
          </cell>
          <cell r="K1227">
            <v>65</v>
          </cell>
          <cell r="L1227">
            <v>40</v>
          </cell>
          <cell r="M1227" t="e">
            <v>#N/A</v>
          </cell>
          <cell r="N1227">
            <v>52</v>
          </cell>
          <cell r="O1227" t="e">
            <v>#N/A</v>
          </cell>
          <cell r="P1227" t="str">
            <v/>
          </cell>
          <cell r="Q1227" t="str">
            <v/>
          </cell>
          <cell r="R1227" t="e">
            <v>#N/A</v>
          </cell>
        </row>
        <row r="1228">
          <cell r="A1228" t="str">
            <v/>
          </cell>
          <cell r="B1228" t="str">
            <v/>
          </cell>
          <cell r="C1228" t="str">
            <v>Future</v>
          </cell>
          <cell r="D1228" t="e">
            <v>#N/A</v>
          </cell>
          <cell r="E1228">
            <v>-91.657261904762819</v>
          </cell>
          <cell r="F1228">
            <v>80.902261904759527</v>
          </cell>
          <cell r="G1228">
            <v>14.533214285713713</v>
          </cell>
          <cell r="H1228">
            <v>14.533214285713713</v>
          </cell>
          <cell r="I1228" t="e">
            <v>#N/A</v>
          </cell>
          <cell r="J1228" t="e">
            <v>#N/A</v>
          </cell>
          <cell r="K1228">
            <v>65</v>
          </cell>
          <cell r="L1228">
            <v>40</v>
          </cell>
          <cell r="M1228" t="e">
            <v>#N/A</v>
          </cell>
          <cell r="N1228">
            <v>52</v>
          </cell>
          <cell r="O1228" t="e">
            <v>#N/A</v>
          </cell>
          <cell r="P1228" t="str">
            <v/>
          </cell>
          <cell r="Q1228" t="str">
            <v/>
          </cell>
          <cell r="R1228" t="e">
            <v>#N/A</v>
          </cell>
        </row>
        <row r="1229">
          <cell r="A1229" t="str">
            <v/>
          </cell>
          <cell r="B1229" t="str">
            <v/>
          </cell>
          <cell r="C1229" t="str">
            <v>Future</v>
          </cell>
          <cell r="D1229" t="e">
            <v>#N/A</v>
          </cell>
          <cell r="E1229">
            <v>-91.877063492064408</v>
          </cell>
          <cell r="F1229">
            <v>80.940396825394444</v>
          </cell>
          <cell r="G1229">
            <v>14.472142857142284</v>
          </cell>
          <cell r="H1229">
            <v>14.472142857142284</v>
          </cell>
          <cell r="I1229" t="e">
            <v>#N/A</v>
          </cell>
          <cell r="J1229" t="e">
            <v>#N/A</v>
          </cell>
          <cell r="K1229">
            <v>65</v>
          </cell>
          <cell r="L1229">
            <v>40</v>
          </cell>
          <cell r="M1229" t="e">
            <v>#N/A</v>
          </cell>
          <cell r="N1229">
            <v>52</v>
          </cell>
          <cell r="O1229" t="e">
            <v>#N/A</v>
          </cell>
          <cell r="P1229" t="str">
            <v/>
          </cell>
          <cell r="Q1229" t="str">
            <v/>
          </cell>
          <cell r="R1229" t="e">
            <v>#N/A</v>
          </cell>
        </row>
        <row r="1230">
          <cell r="A1230" t="str">
            <v/>
          </cell>
          <cell r="B1230" t="str">
            <v/>
          </cell>
          <cell r="C1230" t="str">
            <v>Future</v>
          </cell>
          <cell r="D1230" t="e">
            <v>#N/A</v>
          </cell>
          <cell r="E1230">
            <v>-92.096865079365998</v>
          </cell>
          <cell r="F1230">
            <v>80.978531746029361</v>
          </cell>
          <cell r="G1230">
            <v>14.411071428570855</v>
          </cell>
          <cell r="H1230">
            <v>14.411071428570855</v>
          </cell>
          <cell r="I1230" t="e">
            <v>#N/A</v>
          </cell>
          <cell r="J1230" t="e">
            <v>#N/A</v>
          </cell>
          <cell r="K1230">
            <v>65</v>
          </cell>
          <cell r="L1230">
            <v>40</v>
          </cell>
          <cell r="M1230" t="e">
            <v>#N/A</v>
          </cell>
          <cell r="N1230">
            <v>52</v>
          </cell>
          <cell r="O1230" t="e">
            <v>#N/A</v>
          </cell>
          <cell r="P1230" t="str">
            <v/>
          </cell>
          <cell r="Q1230" t="str">
            <v/>
          </cell>
          <cell r="R1230" t="e">
            <v>#N/A</v>
          </cell>
        </row>
        <row r="1231">
          <cell r="A1231" t="str">
            <v/>
          </cell>
          <cell r="B1231" t="str">
            <v/>
          </cell>
          <cell r="C1231" t="str">
            <v>Future</v>
          </cell>
          <cell r="D1231" t="e">
            <v>#N/A</v>
          </cell>
          <cell r="E1231">
            <v>-92.316666666667587</v>
          </cell>
          <cell r="F1231">
            <v>81.016666666664278</v>
          </cell>
          <cell r="G1231">
            <v>14.349999999999426</v>
          </cell>
          <cell r="H1231">
            <v>14.349999999999426</v>
          </cell>
          <cell r="I1231" t="e">
            <v>#N/A</v>
          </cell>
          <cell r="J1231" t="e">
            <v>#N/A</v>
          </cell>
          <cell r="K1231">
            <v>65</v>
          </cell>
          <cell r="L1231">
            <v>40</v>
          </cell>
          <cell r="M1231" t="e">
            <v>#N/A</v>
          </cell>
          <cell r="N1231">
            <v>52</v>
          </cell>
          <cell r="O1231" t="e">
            <v>#N/A</v>
          </cell>
          <cell r="P1231" t="str">
            <v/>
          </cell>
          <cell r="Q1231" t="str">
            <v/>
          </cell>
          <cell r="R1231" t="e">
            <v>#N/A</v>
          </cell>
        </row>
        <row r="1232">
          <cell r="A1232" t="str">
            <v/>
          </cell>
          <cell r="B1232" t="str">
            <v/>
          </cell>
          <cell r="C1232" t="str">
            <v>Future</v>
          </cell>
          <cell r="D1232" t="e">
            <v>#N/A</v>
          </cell>
          <cell r="E1232">
            <v>-92.536468253969176</v>
          </cell>
          <cell r="F1232">
            <v>81.054801587299195</v>
          </cell>
          <cell r="G1232">
            <v>14.288928571427997</v>
          </cell>
          <cell r="H1232">
            <v>14.288928571427997</v>
          </cell>
          <cell r="I1232" t="e">
            <v>#N/A</v>
          </cell>
          <cell r="J1232" t="e">
            <v>#N/A</v>
          </cell>
          <cell r="K1232">
            <v>65</v>
          </cell>
          <cell r="L1232">
            <v>40</v>
          </cell>
          <cell r="M1232" t="e">
            <v>#N/A</v>
          </cell>
          <cell r="N1232">
            <v>52</v>
          </cell>
          <cell r="O1232" t="e">
            <v>#N/A</v>
          </cell>
          <cell r="P1232" t="str">
            <v/>
          </cell>
          <cell r="Q1232" t="str">
            <v/>
          </cell>
          <cell r="R1232" t="e">
            <v>#N/A</v>
          </cell>
        </row>
        <row r="1233">
          <cell r="A1233" t="str">
            <v/>
          </cell>
          <cell r="B1233" t="str">
            <v/>
          </cell>
          <cell r="C1233" t="str">
            <v>Future</v>
          </cell>
          <cell r="D1233" t="e">
            <v>#N/A</v>
          </cell>
          <cell r="E1233">
            <v>-92.756269841270765</v>
          </cell>
          <cell r="F1233">
            <v>81.092936507934112</v>
          </cell>
          <cell r="G1233">
            <v>14.227857142856568</v>
          </cell>
          <cell r="H1233">
            <v>14.227857142856568</v>
          </cell>
          <cell r="I1233" t="e">
            <v>#N/A</v>
          </cell>
          <cell r="J1233" t="e">
            <v>#N/A</v>
          </cell>
          <cell r="K1233">
            <v>65</v>
          </cell>
          <cell r="L1233">
            <v>40</v>
          </cell>
          <cell r="M1233" t="e">
            <v>#N/A</v>
          </cell>
          <cell r="N1233">
            <v>52</v>
          </cell>
          <cell r="O1233" t="e">
            <v>#N/A</v>
          </cell>
          <cell r="P1233" t="str">
            <v/>
          </cell>
          <cell r="Q1233" t="str">
            <v/>
          </cell>
          <cell r="R1233" t="e">
            <v>#N/A</v>
          </cell>
        </row>
        <row r="1234">
          <cell r="A1234" t="str">
            <v/>
          </cell>
          <cell r="B1234" t="str">
            <v/>
          </cell>
          <cell r="C1234" t="str">
            <v>Future</v>
          </cell>
          <cell r="D1234" t="e">
            <v>#N/A</v>
          </cell>
          <cell r="E1234">
            <v>-92.976071428572354</v>
          </cell>
          <cell r="F1234">
            <v>81.13107142856903</v>
          </cell>
          <cell r="G1234">
            <v>14.166785714285139</v>
          </cell>
          <cell r="H1234">
            <v>14.166785714285139</v>
          </cell>
          <cell r="I1234" t="e">
            <v>#N/A</v>
          </cell>
          <cell r="J1234" t="e">
            <v>#N/A</v>
          </cell>
          <cell r="K1234">
            <v>65</v>
          </cell>
          <cell r="L1234">
            <v>40</v>
          </cell>
          <cell r="M1234" t="e">
            <v>#N/A</v>
          </cell>
          <cell r="N1234">
            <v>52</v>
          </cell>
          <cell r="O1234" t="e">
            <v>#N/A</v>
          </cell>
          <cell r="P1234" t="str">
            <v/>
          </cell>
          <cell r="Q1234" t="str">
            <v/>
          </cell>
          <cell r="R1234" t="e">
            <v>#N/A</v>
          </cell>
        </row>
        <row r="1235">
          <cell r="A1235" t="str">
            <v/>
          </cell>
          <cell r="B1235" t="str">
            <v/>
          </cell>
          <cell r="C1235" t="str">
            <v>Future</v>
          </cell>
          <cell r="D1235" t="e">
            <v>#N/A</v>
          </cell>
          <cell r="E1235">
            <v>-93.195873015873943</v>
          </cell>
          <cell r="F1235">
            <v>81.169206349203947</v>
          </cell>
          <cell r="G1235">
            <v>14.105714285713709</v>
          </cell>
          <cell r="H1235">
            <v>14.105714285713709</v>
          </cell>
          <cell r="I1235" t="e">
            <v>#N/A</v>
          </cell>
          <cell r="J1235" t="e">
            <v>#N/A</v>
          </cell>
          <cell r="K1235">
            <v>65</v>
          </cell>
          <cell r="L1235">
            <v>40</v>
          </cell>
          <cell r="M1235" t="e">
            <v>#N/A</v>
          </cell>
          <cell r="N1235">
            <v>52</v>
          </cell>
          <cell r="O1235" t="e">
            <v>#N/A</v>
          </cell>
          <cell r="P1235" t="str">
            <v/>
          </cell>
          <cell r="Q1235" t="str">
            <v/>
          </cell>
          <cell r="R1235" t="e">
            <v>#N/A</v>
          </cell>
        </row>
        <row r="1236">
          <cell r="A1236" t="str">
            <v/>
          </cell>
          <cell r="B1236" t="str">
            <v/>
          </cell>
          <cell r="C1236" t="str">
            <v>Future</v>
          </cell>
          <cell r="D1236" t="e">
            <v>#N/A</v>
          </cell>
          <cell r="E1236">
            <v>-93.415674603175532</v>
          </cell>
          <cell r="F1236">
            <v>81.207341269838864</v>
          </cell>
          <cell r="G1236">
            <v>14.04464285714228</v>
          </cell>
          <cell r="H1236">
            <v>14.04464285714228</v>
          </cell>
          <cell r="I1236" t="e">
            <v>#N/A</v>
          </cell>
          <cell r="J1236" t="e">
            <v>#N/A</v>
          </cell>
          <cell r="K1236">
            <v>65</v>
          </cell>
          <cell r="L1236">
            <v>40</v>
          </cell>
          <cell r="M1236" t="e">
            <v>#N/A</v>
          </cell>
          <cell r="N1236">
            <v>52</v>
          </cell>
          <cell r="O1236" t="e">
            <v>#N/A</v>
          </cell>
          <cell r="P1236" t="str">
            <v/>
          </cell>
          <cell r="Q1236" t="str">
            <v/>
          </cell>
          <cell r="R1236" t="e">
            <v>#N/A</v>
          </cell>
        </row>
        <row r="1237">
          <cell r="A1237" t="str">
            <v/>
          </cell>
          <cell r="B1237" t="str">
            <v/>
          </cell>
          <cell r="C1237" t="str">
            <v>Future</v>
          </cell>
          <cell r="D1237" t="e">
            <v>#N/A</v>
          </cell>
          <cell r="E1237">
            <v>-93.635476190477121</v>
          </cell>
          <cell r="F1237">
            <v>81.245476190473781</v>
          </cell>
          <cell r="G1237">
            <v>13.983571428570851</v>
          </cell>
          <cell r="H1237">
            <v>13.983571428570851</v>
          </cell>
          <cell r="I1237" t="e">
            <v>#N/A</v>
          </cell>
          <cell r="J1237" t="e">
            <v>#N/A</v>
          </cell>
          <cell r="K1237">
            <v>65</v>
          </cell>
          <cell r="L1237">
            <v>40</v>
          </cell>
          <cell r="M1237" t="e">
            <v>#N/A</v>
          </cell>
          <cell r="N1237">
            <v>52</v>
          </cell>
          <cell r="O1237" t="e">
            <v>#N/A</v>
          </cell>
          <cell r="P1237" t="str">
            <v/>
          </cell>
          <cell r="Q1237" t="str">
            <v/>
          </cell>
          <cell r="R1237" t="e">
            <v>#N/A</v>
          </cell>
        </row>
        <row r="1238">
          <cell r="A1238" t="str">
            <v/>
          </cell>
          <cell r="B1238" t="str">
            <v/>
          </cell>
          <cell r="C1238" t="str">
            <v>Future</v>
          </cell>
          <cell r="D1238" t="e">
            <v>#N/A</v>
          </cell>
          <cell r="E1238">
            <v>-93.85527777777871</v>
          </cell>
          <cell r="F1238">
            <v>81.283611111108698</v>
          </cell>
          <cell r="G1238">
            <v>13.922499999999422</v>
          </cell>
          <cell r="H1238">
            <v>13.922499999999422</v>
          </cell>
          <cell r="I1238" t="e">
            <v>#N/A</v>
          </cell>
          <cell r="J1238" t="e">
            <v>#N/A</v>
          </cell>
          <cell r="K1238">
            <v>65</v>
          </cell>
          <cell r="L1238">
            <v>40</v>
          </cell>
          <cell r="M1238" t="e">
            <v>#N/A</v>
          </cell>
          <cell r="N1238">
            <v>52</v>
          </cell>
          <cell r="O1238" t="e">
            <v>#N/A</v>
          </cell>
          <cell r="P1238" t="str">
            <v/>
          </cell>
          <cell r="Q1238" t="str">
            <v/>
          </cell>
          <cell r="R1238" t="e">
            <v>#N/A</v>
          </cell>
        </row>
        <row r="1239">
          <cell r="A1239" t="str">
            <v/>
          </cell>
          <cell r="B1239" t="str">
            <v/>
          </cell>
          <cell r="C1239" t="str">
            <v>Future</v>
          </cell>
          <cell r="D1239" t="e">
            <v>#N/A</v>
          </cell>
          <cell r="E1239">
            <v>-94.075079365080299</v>
          </cell>
          <cell r="F1239">
            <v>81.321746031743615</v>
          </cell>
          <cell r="G1239">
            <v>13.861428571427993</v>
          </cell>
          <cell r="H1239">
            <v>13.861428571427993</v>
          </cell>
          <cell r="I1239" t="e">
            <v>#N/A</v>
          </cell>
          <cell r="J1239" t="e">
            <v>#N/A</v>
          </cell>
          <cell r="K1239">
            <v>65</v>
          </cell>
          <cell r="L1239">
            <v>40</v>
          </cell>
          <cell r="M1239" t="e">
            <v>#N/A</v>
          </cell>
          <cell r="N1239">
            <v>52</v>
          </cell>
          <cell r="O1239" t="e">
            <v>#N/A</v>
          </cell>
          <cell r="P1239" t="str">
            <v/>
          </cell>
          <cell r="Q1239" t="str">
            <v/>
          </cell>
          <cell r="R1239" t="e">
            <v>#N/A</v>
          </cell>
        </row>
        <row r="1240">
          <cell r="A1240" t="str">
            <v/>
          </cell>
          <cell r="B1240" t="str">
            <v/>
          </cell>
          <cell r="C1240" t="str">
            <v>Future</v>
          </cell>
          <cell r="D1240" t="e">
            <v>#N/A</v>
          </cell>
          <cell r="E1240">
            <v>-94.294880952381888</v>
          </cell>
          <cell r="F1240">
            <v>81.359880952378532</v>
          </cell>
          <cell r="G1240">
            <v>13.800357142856564</v>
          </cell>
          <cell r="H1240">
            <v>13.800357142856564</v>
          </cell>
          <cell r="I1240" t="e">
            <v>#N/A</v>
          </cell>
          <cell r="J1240" t="e">
            <v>#N/A</v>
          </cell>
          <cell r="K1240">
            <v>65</v>
          </cell>
          <cell r="L1240">
            <v>40</v>
          </cell>
          <cell r="M1240" t="e">
            <v>#N/A</v>
          </cell>
          <cell r="N1240">
            <v>52</v>
          </cell>
          <cell r="O1240" t="e">
            <v>#N/A</v>
          </cell>
          <cell r="P1240" t="str">
            <v/>
          </cell>
          <cell r="Q1240" t="str">
            <v/>
          </cell>
          <cell r="R1240" t="e">
            <v>#N/A</v>
          </cell>
        </row>
        <row r="1241">
          <cell r="A1241" t="str">
            <v/>
          </cell>
          <cell r="B1241" t="str">
            <v/>
          </cell>
          <cell r="C1241" t="str">
            <v>Future</v>
          </cell>
          <cell r="D1241" t="e">
            <v>#N/A</v>
          </cell>
          <cell r="E1241">
            <v>-94.514682539683477</v>
          </cell>
          <cell r="F1241">
            <v>81.398015873013449</v>
          </cell>
          <cell r="G1241">
            <v>13.739285714285135</v>
          </cell>
          <cell r="H1241">
            <v>13.739285714285135</v>
          </cell>
          <cell r="I1241" t="e">
            <v>#N/A</v>
          </cell>
          <cell r="J1241" t="e">
            <v>#N/A</v>
          </cell>
          <cell r="K1241">
            <v>65</v>
          </cell>
          <cell r="L1241">
            <v>40</v>
          </cell>
          <cell r="M1241" t="e">
            <v>#N/A</v>
          </cell>
          <cell r="N1241">
            <v>52</v>
          </cell>
          <cell r="O1241" t="e">
            <v>#N/A</v>
          </cell>
          <cell r="P1241" t="str">
            <v/>
          </cell>
          <cell r="Q1241" t="str">
            <v/>
          </cell>
          <cell r="R1241" t="e">
            <v>#N/A</v>
          </cell>
        </row>
        <row r="1242">
          <cell r="A1242" t="str">
            <v/>
          </cell>
          <cell r="B1242" t="str">
            <v/>
          </cell>
          <cell r="C1242" t="str">
            <v>Future</v>
          </cell>
          <cell r="D1242" t="e">
            <v>#N/A</v>
          </cell>
          <cell r="E1242">
            <v>-94.734484126985066</v>
          </cell>
          <cell r="F1242">
            <v>81.436150793648366</v>
          </cell>
          <cell r="G1242">
            <v>13.678214285713706</v>
          </cell>
          <cell r="H1242">
            <v>13.678214285713706</v>
          </cell>
          <cell r="I1242" t="e">
            <v>#N/A</v>
          </cell>
          <cell r="J1242" t="e">
            <v>#N/A</v>
          </cell>
          <cell r="K1242">
            <v>65</v>
          </cell>
          <cell r="L1242">
            <v>40</v>
          </cell>
          <cell r="M1242" t="e">
            <v>#N/A</v>
          </cell>
          <cell r="N1242">
            <v>52</v>
          </cell>
          <cell r="O1242" t="e">
            <v>#N/A</v>
          </cell>
          <cell r="P1242" t="str">
            <v/>
          </cell>
          <cell r="Q1242" t="str">
            <v/>
          </cell>
          <cell r="R1242" t="e">
            <v>#N/A</v>
          </cell>
        </row>
        <row r="1243">
          <cell r="A1243" t="str">
            <v/>
          </cell>
          <cell r="B1243" t="str">
            <v/>
          </cell>
          <cell r="C1243" t="str">
            <v>Future</v>
          </cell>
          <cell r="D1243" t="e">
            <v>#N/A</v>
          </cell>
          <cell r="E1243">
            <v>-94.954285714286655</v>
          </cell>
          <cell r="F1243">
            <v>81.474285714283283</v>
          </cell>
          <cell r="G1243">
            <v>13.617142857142277</v>
          </cell>
          <cell r="H1243">
            <v>13.617142857142277</v>
          </cell>
          <cell r="I1243" t="e">
            <v>#N/A</v>
          </cell>
          <cell r="J1243" t="e">
            <v>#N/A</v>
          </cell>
          <cell r="K1243">
            <v>65</v>
          </cell>
          <cell r="L1243">
            <v>40</v>
          </cell>
          <cell r="M1243" t="e">
            <v>#N/A</v>
          </cell>
          <cell r="N1243">
            <v>52</v>
          </cell>
          <cell r="O1243" t="e">
            <v>#N/A</v>
          </cell>
          <cell r="P1243" t="str">
            <v/>
          </cell>
          <cell r="Q1243" t="str">
            <v/>
          </cell>
          <cell r="R1243" t="e">
            <v>#N/A</v>
          </cell>
        </row>
        <row r="1244">
          <cell r="A1244" t="str">
            <v/>
          </cell>
          <cell r="B1244" t="str">
            <v/>
          </cell>
          <cell r="C1244" t="str">
            <v>Future</v>
          </cell>
          <cell r="D1244" t="e">
            <v>#N/A</v>
          </cell>
          <cell r="E1244">
            <v>-95.174087301588244</v>
          </cell>
          <cell r="F1244">
            <v>81.5124206349182</v>
          </cell>
          <cell r="G1244">
            <v>13.556071428570847</v>
          </cell>
          <cell r="H1244">
            <v>13.556071428570847</v>
          </cell>
          <cell r="I1244" t="e">
            <v>#N/A</v>
          </cell>
          <cell r="J1244" t="e">
            <v>#N/A</v>
          </cell>
          <cell r="K1244">
            <v>65</v>
          </cell>
          <cell r="L1244">
            <v>40</v>
          </cell>
          <cell r="M1244" t="e">
            <v>#N/A</v>
          </cell>
          <cell r="N1244">
            <v>52</v>
          </cell>
          <cell r="O1244" t="e">
            <v>#N/A</v>
          </cell>
          <cell r="P1244" t="str">
            <v/>
          </cell>
          <cell r="Q1244" t="str">
            <v/>
          </cell>
          <cell r="R1244" t="e">
            <v>#N/A</v>
          </cell>
        </row>
        <row r="1245">
          <cell r="A1245" t="str">
            <v/>
          </cell>
          <cell r="B1245" t="str">
            <v/>
          </cell>
          <cell r="C1245" t="str">
            <v>Future</v>
          </cell>
          <cell r="D1245" t="e">
            <v>#N/A</v>
          </cell>
          <cell r="E1245">
            <v>-95.393888888889833</v>
          </cell>
          <cell r="F1245">
            <v>81.550555555553117</v>
          </cell>
          <cell r="G1245">
            <v>13.494999999999418</v>
          </cell>
          <cell r="H1245">
            <v>13.494999999999418</v>
          </cell>
          <cell r="I1245" t="e">
            <v>#N/A</v>
          </cell>
          <cell r="J1245" t="e">
            <v>#N/A</v>
          </cell>
          <cell r="K1245">
            <v>65</v>
          </cell>
          <cell r="L1245">
            <v>40</v>
          </cell>
          <cell r="M1245" t="e">
            <v>#N/A</v>
          </cell>
          <cell r="N1245">
            <v>52</v>
          </cell>
          <cell r="O1245" t="e">
            <v>#N/A</v>
          </cell>
          <cell r="P1245" t="str">
            <v/>
          </cell>
          <cell r="Q1245" t="str">
            <v/>
          </cell>
          <cell r="R1245" t="e">
            <v>#N/A</v>
          </cell>
        </row>
        <row r="1246">
          <cell r="A1246" t="str">
            <v/>
          </cell>
          <cell r="B1246" t="str">
            <v/>
          </cell>
          <cell r="C1246" t="str">
            <v>Future</v>
          </cell>
          <cell r="D1246" t="e">
            <v>#N/A</v>
          </cell>
          <cell r="E1246">
            <v>-95.613690476191422</v>
          </cell>
          <cell r="F1246">
            <v>81.588690476188034</v>
          </cell>
          <cell r="G1246">
            <v>13.433928571427989</v>
          </cell>
          <cell r="H1246">
            <v>13.433928571427989</v>
          </cell>
          <cell r="I1246" t="e">
            <v>#N/A</v>
          </cell>
          <cell r="J1246" t="e">
            <v>#N/A</v>
          </cell>
          <cell r="K1246">
            <v>65</v>
          </cell>
          <cell r="L1246">
            <v>40</v>
          </cell>
          <cell r="M1246" t="e">
            <v>#N/A</v>
          </cell>
          <cell r="N1246">
            <v>52</v>
          </cell>
          <cell r="O1246" t="e">
            <v>#N/A</v>
          </cell>
          <cell r="P1246" t="str">
            <v/>
          </cell>
          <cell r="Q1246" t="str">
            <v/>
          </cell>
          <cell r="R1246" t="e">
            <v>#N/A</v>
          </cell>
        </row>
        <row r="1247">
          <cell r="A1247" t="str">
            <v/>
          </cell>
          <cell r="B1247" t="str">
            <v/>
          </cell>
          <cell r="C1247" t="str">
            <v>Future</v>
          </cell>
          <cell r="D1247" t="e">
            <v>#N/A</v>
          </cell>
          <cell r="E1247">
            <v>-95.833492063493011</v>
          </cell>
          <cell r="F1247">
            <v>81.626825396822952</v>
          </cell>
          <cell r="G1247">
            <v>13.37285714285656</v>
          </cell>
          <cell r="H1247">
            <v>13.37285714285656</v>
          </cell>
          <cell r="I1247" t="e">
            <v>#N/A</v>
          </cell>
          <cell r="J1247" t="e">
            <v>#N/A</v>
          </cell>
          <cell r="K1247">
            <v>65</v>
          </cell>
          <cell r="L1247">
            <v>40</v>
          </cell>
          <cell r="M1247" t="e">
            <v>#N/A</v>
          </cell>
          <cell r="N1247">
            <v>52</v>
          </cell>
          <cell r="O1247" t="e">
            <v>#N/A</v>
          </cell>
          <cell r="P1247" t="str">
            <v/>
          </cell>
          <cell r="Q1247" t="str">
            <v/>
          </cell>
          <cell r="R1247" t="e">
            <v>#N/A</v>
          </cell>
        </row>
        <row r="1248">
          <cell r="A1248" t="str">
            <v/>
          </cell>
          <cell r="B1248" t="str">
            <v/>
          </cell>
          <cell r="C1248" t="str">
            <v>Future</v>
          </cell>
          <cell r="D1248" t="e">
            <v>#N/A</v>
          </cell>
          <cell r="E1248">
            <v>-96.0532936507946</v>
          </cell>
          <cell r="F1248">
            <v>81.664960317457869</v>
          </cell>
          <cell r="G1248">
            <v>13.311785714285131</v>
          </cell>
          <cell r="H1248">
            <v>13.311785714285131</v>
          </cell>
          <cell r="I1248" t="e">
            <v>#N/A</v>
          </cell>
          <cell r="J1248" t="e">
            <v>#N/A</v>
          </cell>
          <cell r="K1248">
            <v>65</v>
          </cell>
          <cell r="L1248">
            <v>40</v>
          </cell>
          <cell r="M1248" t="e">
            <v>#N/A</v>
          </cell>
          <cell r="N1248">
            <v>52</v>
          </cell>
          <cell r="O1248" t="e">
            <v>#N/A</v>
          </cell>
          <cell r="P1248" t="str">
            <v/>
          </cell>
          <cell r="Q1248" t="str">
            <v/>
          </cell>
          <cell r="R1248" t="e">
            <v>#N/A</v>
          </cell>
        </row>
        <row r="1249">
          <cell r="A1249" t="str">
            <v/>
          </cell>
          <cell r="B1249" t="str">
            <v/>
          </cell>
          <cell r="C1249" t="str">
            <v>Future</v>
          </cell>
          <cell r="D1249" t="e">
            <v>#N/A</v>
          </cell>
          <cell r="E1249">
            <v>-96.27309523809619</v>
          </cell>
          <cell r="F1249">
            <v>81.703095238092786</v>
          </cell>
          <cell r="G1249">
            <v>13.250714285713702</v>
          </cell>
          <cell r="H1249">
            <v>13.250714285713702</v>
          </cell>
          <cell r="I1249" t="e">
            <v>#N/A</v>
          </cell>
          <cell r="J1249" t="e">
            <v>#N/A</v>
          </cell>
          <cell r="K1249">
            <v>65</v>
          </cell>
          <cell r="L1249">
            <v>40</v>
          </cell>
          <cell r="M1249" t="e">
            <v>#N/A</v>
          </cell>
          <cell r="N1249">
            <v>52</v>
          </cell>
          <cell r="O1249" t="e">
            <v>#N/A</v>
          </cell>
          <cell r="P1249" t="str">
            <v/>
          </cell>
          <cell r="Q1249" t="str">
            <v/>
          </cell>
          <cell r="R1249" t="e">
            <v>#N/A</v>
          </cell>
        </row>
        <row r="1250">
          <cell r="A1250" t="str">
            <v/>
          </cell>
          <cell r="B1250" t="str">
            <v/>
          </cell>
          <cell r="C1250" t="str">
            <v>Future</v>
          </cell>
          <cell r="D1250" t="e">
            <v>#N/A</v>
          </cell>
          <cell r="E1250">
            <v>-96.492896825397779</v>
          </cell>
          <cell r="F1250">
            <v>81.741230158727703</v>
          </cell>
          <cell r="G1250">
            <v>13.189642857142273</v>
          </cell>
          <cell r="H1250">
            <v>13.189642857142273</v>
          </cell>
          <cell r="I1250" t="e">
            <v>#N/A</v>
          </cell>
          <cell r="J1250" t="e">
            <v>#N/A</v>
          </cell>
          <cell r="K1250">
            <v>65</v>
          </cell>
          <cell r="L1250">
            <v>40</v>
          </cell>
          <cell r="M1250" t="e">
            <v>#N/A</v>
          </cell>
          <cell r="N1250">
            <v>52</v>
          </cell>
          <cell r="O1250" t="e">
            <v>#N/A</v>
          </cell>
          <cell r="P1250" t="str">
            <v/>
          </cell>
          <cell r="Q1250" t="str">
            <v/>
          </cell>
          <cell r="R1250" t="e">
            <v>#N/A</v>
          </cell>
        </row>
        <row r="1251">
          <cell r="A1251" t="str">
            <v/>
          </cell>
          <cell r="B1251" t="str">
            <v/>
          </cell>
          <cell r="C1251" t="str">
            <v>Future</v>
          </cell>
          <cell r="D1251" t="e">
            <v>#N/A</v>
          </cell>
          <cell r="E1251">
            <v>-96.712698412699368</v>
          </cell>
          <cell r="F1251">
            <v>81.77936507936262</v>
          </cell>
          <cell r="G1251">
            <v>13.128571428570844</v>
          </cell>
          <cell r="H1251">
            <v>13.128571428570844</v>
          </cell>
          <cell r="I1251" t="e">
            <v>#N/A</v>
          </cell>
          <cell r="J1251" t="e">
            <v>#N/A</v>
          </cell>
          <cell r="K1251">
            <v>65</v>
          </cell>
          <cell r="L1251">
            <v>40</v>
          </cell>
          <cell r="M1251" t="e">
            <v>#N/A</v>
          </cell>
          <cell r="N1251">
            <v>52</v>
          </cell>
          <cell r="O1251" t="e">
            <v>#N/A</v>
          </cell>
          <cell r="P1251" t="str">
            <v/>
          </cell>
          <cell r="Q1251" t="str">
            <v/>
          </cell>
          <cell r="R1251" t="e">
            <v>#N/A</v>
          </cell>
        </row>
        <row r="1252">
          <cell r="A1252" t="str">
            <v/>
          </cell>
          <cell r="B1252" t="str">
            <v/>
          </cell>
          <cell r="C1252" t="str">
            <v>Future</v>
          </cell>
          <cell r="D1252" t="e">
            <v>#N/A</v>
          </cell>
          <cell r="E1252">
            <v>-96.932500000000957</v>
          </cell>
          <cell r="F1252">
            <v>81.817499999997537</v>
          </cell>
          <cell r="G1252">
            <v>13.067499999999415</v>
          </cell>
          <cell r="H1252">
            <v>13.067499999999415</v>
          </cell>
          <cell r="I1252" t="e">
            <v>#N/A</v>
          </cell>
          <cell r="J1252" t="e">
            <v>#N/A</v>
          </cell>
          <cell r="K1252">
            <v>65</v>
          </cell>
          <cell r="L1252">
            <v>40</v>
          </cell>
          <cell r="M1252" t="e">
            <v>#N/A</v>
          </cell>
          <cell r="N1252">
            <v>52</v>
          </cell>
          <cell r="O1252" t="e">
            <v>#N/A</v>
          </cell>
          <cell r="P1252" t="str">
            <v/>
          </cell>
          <cell r="Q1252" t="str">
            <v/>
          </cell>
          <cell r="R1252" t="e">
            <v>#N/A</v>
          </cell>
        </row>
        <row r="1253">
          <cell r="A1253" t="str">
            <v/>
          </cell>
          <cell r="P1253" t="str">
            <v/>
          </cell>
          <cell r="Q1253" t="str">
            <v/>
          </cell>
        </row>
      </sheetData>
      <sheetData sheetId="14"/>
      <sheetData sheetId="15">
        <row r="1">
          <cell r="B1" t="str">
            <v>GD Historical P&amp;L ($MM)</v>
          </cell>
          <cell r="Q1" t="str">
            <v>Quarterly Data</v>
          </cell>
        </row>
        <row r="2">
          <cell r="AN2" t="str">
            <v xml:space="preserve"> 1991</v>
          </cell>
          <cell r="DA2" t="str">
            <v>General Dynamics</v>
          </cell>
          <cell r="DG2" t="str">
            <v>General Dynamics</v>
          </cell>
          <cell r="EB2" t="str">
            <v>General Dynamics</v>
          </cell>
        </row>
        <row r="3">
          <cell r="S3">
            <v>1986</v>
          </cell>
          <cell r="W3" t="str">
            <v>1987</v>
          </cell>
          <cell r="Z3" t="str">
            <v xml:space="preserve">      1988</v>
          </cell>
          <cell r="AD3" t="str">
            <v xml:space="preserve">      1989</v>
          </cell>
          <cell r="AI3" t="str">
            <v>1990</v>
          </cell>
          <cell r="AL3" t="str">
            <v>Adjusted</v>
          </cell>
          <cell r="AS3" t="str">
            <v xml:space="preserve"> 1992</v>
          </cell>
          <cell r="AX3" t="str">
            <v xml:space="preserve"> 1993</v>
          </cell>
          <cell r="BC3" t="str">
            <v>1994A</v>
          </cell>
          <cell r="BH3" t="str">
            <v>1995A</v>
          </cell>
          <cell r="BM3" t="str">
            <v>1996A</v>
          </cell>
          <cell r="BR3" t="str">
            <v>1997A</v>
          </cell>
          <cell r="BW3" t="str">
            <v>($USD in Millions Except EPS)</v>
          </cell>
          <cell r="BX3" t="str">
            <v>1998</v>
          </cell>
          <cell r="CB3">
            <v>1999</v>
          </cell>
          <cell r="CG3" t="str">
            <v>($USD in Millions Except EPS)</v>
          </cell>
          <cell r="CH3" t="str">
            <v>2000A</v>
          </cell>
          <cell r="CL3" t="str">
            <v>2001A</v>
          </cell>
          <cell r="CQ3" t="str">
            <v>Earnings Model</v>
          </cell>
          <cell r="CR3">
            <v>2002</v>
          </cell>
          <cell r="CV3" t="str">
            <v>2003A</v>
          </cell>
          <cell r="DA3" t="str">
            <v>P&amp;L Model</v>
          </cell>
          <cell r="DB3">
            <v>2004</v>
          </cell>
          <cell r="DG3" t="str">
            <v>P&amp;L Model</v>
          </cell>
          <cell r="DH3">
            <v>2005</v>
          </cell>
          <cell r="DL3">
            <v>2006</v>
          </cell>
          <cell r="EB3" t="str">
            <v>P&amp;L Model</v>
          </cell>
        </row>
        <row r="4">
          <cell r="B4" t="str">
            <v>1986</v>
          </cell>
          <cell r="C4" t="str">
            <v>1987</v>
          </cell>
          <cell r="D4" t="str">
            <v>1988</v>
          </cell>
          <cell r="E4" t="str">
            <v>1989</v>
          </cell>
          <cell r="F4" t="str">
            <v>1990</v>
          </cell>
          <cell r="I4" t="str">
            <v>1991</v>
          </cell>
          <cell r="L4" t="str">
            <v>1992</v>
          </cell>
          <cell r="M4" t="str">
            <v>1993</v>
          </cell>
          <cell r="N4" t="str">
            <v>1994</v>
          </cell>
          <cell r="Q4" t="str">
            <v>Q1</v>
          </cell>
          <cell r="R4" t="str">
            <v>Q2</v>
          </cell>
          <cell r="S4" t="str">
            <v>Q3</v>
          </cell>
          <cell r="T4" t="str">
            <v>Q4</v>
          </cell>
          <cell r="U4" t="str">
            <v>Q1</v>
          </cell>
          <cell r="V4" t="str">
            <v>Q2</v>
          </cell>
          <cell r="W4" t="str">
            <v>Q3</v>
          </cell>
          <cell r="X4" t="str">
            <v>Q4</v>
          </cell>
          <cell r="Y4" t="str">
            <v>Q1</v>
          </cell>
          <cell r="Z4" t="str">
            <v>Q2</v>
          </cell>
          <cell r="AA4" t="str">
            <v>Q3</v>
          </cell>
          <cell r="AB4" t="str">
            <v>Q4</v>
          </cell>
          <cell r="AC4" t="str">
            <v>Q1</v>
          </cell>
          <cell r="AD4" t="str">
            <v>Q2</v>
          </cell>
          <cell r="AE4" t="str">
            <v>Q3</v>
          </cell>
          <cell r="AF4" t="str">
            <v>Q4</v>
          </cell>
          <cell r="AG4" t="str">
            <v>Q1</v>
          </cell>
          <cell r="AH4" t="str">
            <v>Q2</v>
          </cell>
          <cell r="AI4" t="str">
            <v>Q3</v>
          </cell>
          <cell r="AJ4" t="str">
            <v>Q4</v>
          </cell>
          <cell r="AK4" t="str">
            <v>W/O's</v>
          </cell>
          <cell r="AL4" t="str">
            <v>Q4</v>
          </cell>
          <cell r="AM4" t="str">
            <v>Q1</v>
          </cell>
          <cell r="AN4" t="str">
            <v>Q2</v>
          </cell>
          <cell r="AO4" t="str">
            <v>Q3</v>
          </cell>
          <cell r="AP4" t="str">
            <v>Q4</v>
          </cell>
          <cell r="AS4" t="str">
            <v>Q1</v>
          </cell>
          <cell r="AT4" t="str">
            <v>Q2</v>
          </cell>
          <cell r="AU4" t="str">
            <v>Q3</v>
          </cell>
          <cell r="AV4" t="str">
            <v>Q4</v>
          </cell>
          <cell r="AX4" t="str">
            <v>Q1</v>
          </cell>
          <cell r="AY4" t="str">
            <v>Q2</v>
          </cell>
          <cell r="AZ4" t="str">
            <v>Q3</v>
          </cell>
          <cell r="BA4" t="str">
            <v>Q4</v>
          </cell>
          <cell r="BB4" t="str">
            <v>Revenues</v>
          </cell>
          <cell r="BC4" t="str">
            <v>Q1</v>
          </cell>
          <cell r="BD4" t="str">
            <v>Q2</v>
          </cell>
          <cell r="BE4" t="str">
            <v>Q3</v>
          </cell>
          <cell r="BF4" t="str">
            <v>Q4</v>
          </cell>
          <cell r="BG4" t="str">
            <v>Revenues</v>
          </cell>
          <cell r="BH4" t="str">
            <v>Q1</v>
          </cell>
          <cell r="BI4" t="str">
            <v>Q2</v>
          </cell>
          <cell r="BJ4" t="str">
            <v>Q3</v>
          </cell>
          <cell r="BK4" t="str">
            <v>Q4</v>
          </cell>
          <cell r="BL4" t="str">
            <v>Revenues</v>
          </cell>
          <cell r="BM4" t="str">
            <v>Q1</v>
          </cell>
          <cell r="BN4" t="str">
            <v>Q2</v>
          </cell>
          <cell r="BO4" t="str">
            <v>Q3</v>
          </cell>
          <cell r="BP4" t="str">
            <v>Q4</v>
          </cell>
          <cell r="BQ4" t="str">
            <v>Revenues</v>
          </cell>
          <cell r="BR4" t="str">
            <v>Q1</v>
          </cell>
          <cell r="BS4" t="str">
            <v>Q2</v>
          </cell>
          <cell r="BT4" t="str">
            <v>Q3</v>
          </cell>
          <cell r="BU4" t="str">
            <v>Q4</v>
          </cell>
          <cell r="BW4" t="str">
            <v>Revenues</v>
          </cell>
          <cell r="BX4" t="str">
            <v>Q1</v>
          </cell>
          <cell r="BY4" t="str">
            <v>Q2</v>
          </cell>
          <cell r="BZ4" t="str">
            <v>Q3</v>
          </cell>
          <cell r="CA4" t="str">
            <v>Q4</v>
          </cell>
          <cell r="CB4" t="str">
            <v>Q1</v>
          </cell>
          <cell r="CC4" t="str">
            <v>Q2</v>
          </cell>
          <cell r="CD4" t="str">
            <v>Q3</v>
          </cell>
          <cell r="CE4" t="str">
            <v>Q4</v>
          </cell>
          <cell r="CG4" t="str">
            <v>Revenues</v>
          </cell>
          <cell r="CH4" t="str">
            <v>Q1</v>
          </cell>
          <cell r="CI4" t="str">
            <v>Q2</v>
          </cell>
          <cell r="CJ4" t="str">
            <v>Q3</v>
          </cell>
          <cell r="CK4" t="str">
            <v>Q4</v>
          </cell>
          <cell r="CL4" t="str">
            <v>Q1</v>
          </cell>
          <cell r="CM4" t="str">
            <v>Q2</v>
          </cell>
          <cell r="CN4" t="str">
            <v>Q3</v>
          </cell>
          <cell r="CO4" t="str">
            <v>Q4</v>
          </cell>
          <cell r="CQ4" t="str">
            <v>($USD in Millions, Except EPS)</v>
          </cell>
          <cell r="CR4" t="str">
            <v>Q1</v>
          </cell>
          <cell r="CS4" t="str">
            <v>Q2</v>
          </cell>
          <cell r="CT4" t="str">
            <v>Q3</v>
          </cell>
          <cell r="CU4" t="str">
            <v>Q4</v>
          </cell>
          <cell r="CV4" t="str">
            <v xml:space="preserve">Q1 </v>
          </cell>
          <cell r="CW4" t="str">
            <v xml:space="preserve">Q2 </v>
          </cell>
          <cell r="CX4" t="str">
            <v xml:space="preserve">Q3 </v>
          </cell>
          <cell r="CY4" t="str">
            <v xml:space="preserve">Q4 </v>
          </cell>
          <cell r="DA4" t="str">
            <v>($USD in Millions, Except EPS)</v>
          </cell>
          <cell r="DB4" t="str">
            <v xml:space="preserve">Q1 </v>
          </cell>
          <cell r="DC4" t="str">
            <v xml:space="preserve">Q2 </v>
          </cell>
          <cell r="DD4" t="str">
            <v xml:space="preserve">Q3 </v>
          </cell>
          <cell r="DE4" t="str">
            <v xml:space="preserve">Q4 </v>
          </cell>
          <cell r="DG4" t="str">
            <v>($USD in Millions, Except EPS)</v>
          </cell>
          <cell r="DH4" t="str">
            <v xml:space="preserve">Q1 </v>
          </cell>
          <cell r="DI4" t="str">
            <v xml:space="preserve">Q2 </v>
          </cell>
          <cell r="DJ4" t="str">
            <v xml:space="preserve">Q3 </v>
          </cell>
          <cell r="DK4" t="str">
            <v xml:space="preserve">Q4 </v>
          </cell>
          <cell r="DL4" t="str">
            <v xml:space="preserve">Q1 </v>
          </cell>
          <cell r="DM4" t="str">
            <v>Q2</v>
          </cell>
          <cell r="DN4" t="str">
            <v xml:space="preserve">Q3 </v>
          </cell>
          <cell r="DO4" t="str">
            <v xml:space="preserve">Q4 </v>
          </cell>
          <cell r="EB4" t="str">
            <v>($USD in Millions, Except EPS)</v>
          </cell>
          <cell r="EC4">
            <v>1994</v>
          </cell>
          <cell r="ED4">
            <v>1995</v>
          </cell>
          <cell r="EE4">
            <v>1996</v>
          </cell>
          <cell r="EF4">
            <v>1997</v>
          </cell>
          <cell r="EG4" t="str">
            <v>1998</v>
          </cell>
          <cell r="EH4">
            <v>1999</v>
          </cell>
        </row>
        <row r="5">
          <cell r="A5" t="str">
            <v>REVENUES</v>
          </cell>
          <cell r="G5" t="str">
            <v>REVENUES</v>
          </cell>
          <cell r="I5" t="str">
            <v xml:space="preserve"> </v>
          </cell>
          <cell r="K5" t="str">
            <v>Revenues</v>
          </cell>
          <cell r="P5" t="str">
            <v>REVENUES</v>
          </cell>
          <cell r="AQ5" t="str">
            <v>REVENUES</v>
          </cell>
          <cell r="AT5" t="str">
            <v xml:space="preserve"> </v>
          </cell>
          <cell r="AU5" t="str">
            <v xml:space="preserve"> </v>
          </cell>
          <cell r="AV5" t="str">
            <v xml:space="preserve"> </v>
          </cell>
          <cell r="AY5" t="str">
            <v xml:space="preserve"> </v>
          </cell>
          <cell r="AZ5" t="str">
            <v xml:space="preserve"> </v>
          </cell>
          <cell r="BA5" t="str">
            <v xml:space="preserve"> </v>
          </cell>
          <cell r="CQ5" t="str">
            <v>Revenues</v>
          </cell>
          <cell r="DA5" t="str">
            <v>Revenues</v>
          </cell>
          <cell r="DG5" t="str">
            <v>Revenues</v>
          </cell>
          <cell r="EB5" t="str">
            <v>Revenues</v>
          </cell>
        </row>
        <row r="6">
          <cell r="A6" t="str">
            <v>Tactical A/C</v>
          </cell>
          <cell r="P6" t="str">
            <v>Tactical A/C</v>
          </cell>
          <cell r="AM6">
            <v>418</v>
          </cell>
          <cell r="AN6">
            <v>459</v>
          </cell>
          <cell r="AO6">
            <v>453</v>
          </cell>
          <cell r="AP6">
            <v>494</v>
          </cell>
          <cell r="AR6" t="str">
            <v>Nuc. Subs</v>
          </cell>
          <cell r="AS6">
            <v>428</v>
          </cell>
          <cell r="AT6">
            <v>436</v>
          </cell>
          <cell r="AU6">
            <v>419</v>
          </cell>
          <cell r="AV6">
            <v>447</v>
          </cell>
          <cell r="AW6" t="str">
            <v>Nuc. Subs</v>
          </cell>
          <cell r="AX6">
            <v>450</v>
          </cell>
          <cell r="AY6">
            <v>431</v>
          </cell>
          <cell r="AZ6">
            <v>425</v>
          </cell>
          <cell r="BA6">
            <v>405</v>
          </cell>
          <cell r="BB6" t="str">
            <v>Marine Group</v>
          </cell>
          <cell r="BC6">
            <v>456</v>
          </cell>
          <cell r="BD6">
            <v>455</v>
          </cell>
          <cell r="BE6">
            <v>403</v>
          </cell>
          <cell r="BF6">
            <v>419</v>
          </cell>
          <cell r="BG6" t="str">
            <v>Marine Group</v>
          </cell>
          <cell r="BH6">
            <v>439</v>
          </cell>
          <cell r="BI6">
            <v>410</v>
          </cell>
          <cell r="BJ6">
            <v>430</v>
          </cell>
          <cell r="BK6">
            <v>605</v>
          </cell>
          <cell r="BL6" t="str">
            <v>Marine Group</v>
          </cell>
          <cell r="BM6">
            <v>614</v>
          </cell>
          <cell r="BN6">
            <v>612</v>
          </cell>
          <cell r="BO6">
            <v>537</v>
          </cell>
          <cell r="BP6">
            <v>569</v>
          </cell>
          <cell r="BQ6" t="str">
            <v>Marine Group</v>
          </cell>
          <cell r="BR6">
            <v>559</v>
          </cell>
          <cell r="BS6">
            <v>587</v>
          </cell>
          <cell r="BT6">
            <v>547</v>
          </cell>
          <cell r="BU6">
            <v>618</v>
          </cell>
          <cell r="BW6" t="str">
            <v>Marine Group</v>
          </cell>
          <cell r="BX6">
            <v>555</v>
          </cell>
          <cell r="BY6">
            <v>618</v>
          </cell>
          <cell r="BZ6">
            <v>594</v>
          </cell>
          <cell r="CA6">
            <v>899</v>
          </cell>
          <cell r="CB6">
            <v>808</v>
          </cell>
          <cell r="CC6">
            <v>764</v>
          </cell>
          <cell r="CD6">
            <v>788</v>
          </cell>
          <cell r="CE6">
            <v>728</v>
          </cell>
          <cell r="CG6" t="str">
            <v>Marine Group</v>
          </cell>
          <cell r="CH6">
            <v>846</v>
          </cell>
          <cell r="CI6">
            <v>855</v>
          </cell>
          <cell r="CJ6">
            <v>798</v>
          </cell>
          <cell r="CK6">
            <v>914</v>
          </cell>
          <cell r="CL6">
            <v>862</v>
          </cell>
          <cell r="CM6">
            <v>947</v>
          </cell>
          <cell r="CN6">
            <v>912</v>
          </cell>
          <cell r="CO6">
            <v>891</v>
          </cell>
          <cell r="CQ6" t="str">
            <v>Marine Group</v>
          </cell>
          <cell r="CR6">
            <v>864</v>
          </cell>
          <cell r="CS6">
            <v>916</v>
          </cell>
          <cell r="CT6">
            <v>863</v>
          </cell>
          <cell r="CU6">
            <v>1007</v>
          </cell>
          <cell r="CV6">
            <v>976</v>
          </cell>
          <cell r="CW6">
            <v>983</v>
          </cell>
          <cell r="CX6">
            <v>1190</v>
          </cell>
          <cell r="CY6">
            <v>1122</v>
          </cell>
          <cell r="DA6" t="str">
            <v>Marine Systems</v>
          </cell>
          <cell r="DB6">
            <v>1280</v>
          </cell>
          <cell r="DC6">
            <v>1177</v>
          </cell>
          <cell r="DD6">
            <v>1154</v>
          </cell>
          <cell r="DE6">
            <v>1115</v>
          </cell>
          <cell r="DG6" t="str">
            <v>Marine Systems</v>
          </cell>
          <cell r="DH6">
            <v>1210</v>
          </cell>
          <cell r="DI6">
            <v>1178</v>
          </cell>
          <cell r="DJ6">
            <v>1171</v>
          </cell>
          <cell r="DK6">
            <v>1136</v>
          </cell>
          <cell r="DL6">
            <v>1275</v>
          </cell>
          <cell r="DM6">
            <v>1266</v>
          </cell>
          <cell r="DN6">
            <v>1221</v>
          </cell>
          <cell r="DO6">
            <v>1178</v>
          </cell>
          <cell r="EB6" t="str">
            <v>Marine Systems</v>
          </cell>
          <cell r="EC6">
            <v>1733</v>
          </cell>
          <cell r="ED6">
            <v>1884</v>
          </cell>
          <cell r="EE6">
            <v>2332</v>
          </cell>
          <cell r="EF6">
            <v>2311</v>
          </cell>
          <cell r="EG6">
            <v>2666</v>
          </cell>
          <cell r="EH6">
            <v>3088</v>
          </cell>
        </row>
        <row r="7">
          <cell r="A7" t="str">
            <v>Nuc. Subs</v>
          </cell>
          <cell r="B7">
            <v>1660</v>
          </cell>
          <cell r="C7">
            <v>1603</v>
          </cell>
          <cell r="D7">
            <v>1548</v>
          </cell>
          <cell r="E7">
            <v>1678.7</v>
          </cell>
          <cell r="F7">
            <v>1747</v>
          </cell>
          <cell r="H7" t="str">
            <v>Nuc. Subs</v>
          </cell>
          <cell r="I7">
            <v>1824</v>
          </cell>
          <cell r="K7" t="str">
            <v>Marine Group</v>
          </cell>
          <cell r="L7">
            <v>1730</v>
          </cell>
          <cell r="M7">
            <v>1711</v>
          </cell>
          <cell r="N7">
            <v>1733</v>
          </cell>
          <cell r="P7" t="str">
            <v>Nuc. Subs</v>
          </cell>
          <cell r="Q7">
            <v>540</v>
          </cell>
          <cell r="R7">
            <v>625</v>
          </cell>
          <cell r="S7">
            <v>570</v>
          </cell>
          <cell r="T7">
            <v>593</v>
          </cell>
          <cell r="U7">
            <v>589</v>
          </cell>
          <cell r="V7">
            <v>588</v>
          </cell>
          <cell r="W7">
            <v>620</v>
          </cell>
          <cell r="X7">
            <v>679</v>
          </cell>
          <cell r="Y7">
            <v>579</v>
          </cell>
          <cell r="Z7">
            <v>638.29999999999995</v>
          </cell>
          <cell r="AA7">
            <v>591.5</v>
          </cell>
          <cell r="AB7">
            <v>675.6</v>
          </cell>
          <cell r="AC7">
            <v>595</v>
          </cell>
          <cell r="AD7">
            <v>627</v>
          </cell>
          <cell r="AE7">
            <v>613.6</v>
          </cell>
          <cell r="AF7">
            <v>578.9</v>
          </cell>
          <cell r="AG7">
            <v>905.3</v>
          </cell>
          <cell r="AH7">
            <v>1017.9</v>
          </cell>
          <cell r="AI7">
            <v>874.4</v>
          </cell>
          <cell r="AJ7">
            <v>863.6</v>
          </cell>
          <cell r="AL7">
            <v>863.6</v>
          </cell>
          <cell r="AM7">
            <v>284</v>
          </cell>
          <cell r="AN7">
            <v>303</v>
          </cell>
          <cell r="AO7">
            <v>263</v>
          </cell>
          <cell r="AP7">
            <v>279</v>
          </cell>
          <cell r="AR7" t="str">
            <v>Armored Veh</v>
          </cell>
          <cell r="AS7">
            <v>286</v>
          </cell>
          <cell r="AT7">
            <v>294</v>
          </cell>
          <cell r="AU7">
            <v>275</v>
          </cell>
          <cell r="AV7">
            <v>406</v>
          </cell>
          <cell r="AW7" t="str">
            <v>Armored Veh</v>
          </cell>
          <cell r="AX7">
            <v>356</v>
          </cell>
          <cell r="AY7">
            <v>290</v>
          </cell>
          <cell r="AZ7">
            <v>296</v>
          </cell>
          <cell r="BA7">
            <v>344</v>
          </cell>
          <cell r="BB7" t="str">
            <v>Armored Veh</v>
          </cell>
          <cell r="BC7">
            <v>307</v>
          </cell>
          <cell r="BD7">
            <v>328</v>
          </cell>
          <cell r="BE7">
            <v>277</v>
          </cell>
          <cell r="BF7">
            <v>272</v>
          </cell>
          <cell r="BG7" t="str">
            <v>Armored Veh</v>
          </cell>
          <cell r="BH7">
            <v>278</v>
          </cell>
          <cell r="BI7">
            <v>261</v>
          </cell>
          <cell r="BJ7">
            <v>255</v>
          </cell>
          <cell r="BK7">
            <v>256</v>
          </cell>
          <cell r="BL7" t="str">
            <v>Combat Sys</v>
          </cell>
          <cell r="BM7">
            <v>246</v>
          </cell>
          <cell r="BN7">
            <v>261</v>
          </cell>
          <cell r="BO7">
            <v>256</v>
          </cell>
          <cell r="BP7">
            <v>263</v>
          </cell>
          <cell r="BQ7" t="str">
            <v>Combat Sys</v>
          </cell>
          <cell r="BR7">
            <v>337</v>
          </cell>
          <cell r="BS7">
            <v>378</v>
          </cell>
          <cell r="BT7">
            <v>372</v>
          </cell>
          <cell r="BU7">
            <v>422</v>
          </cell>
          <cell r="BW7" t="str">
            <v>Combat Sys</v>
          </cell>
          <cell r="BX7">
            <v>335</v>
          </cell>
          <cell r="BY7">
            <v>298</v>
          </cell>
          <cell r="BZ7">
            <v>284</v>
          </cell>
          <cell r="CA7">
            <v>355</v>
          </cell>
          <cell r="CB7">
            <v>290</v>
          </cell>
          <cell r="CC7">
            <v>306</v>
          </cell>
          <cell r="CD7">
            <v>296</v>
          </cell>
          <cell r="CE7">
            <v>398</v>
          </cell>
          <cell r="CG7" t="str">
            <v>Combat Sys</v>
          </cell>
          <cell r="CH7">
            <v>315</v>
          </cell>
          <cell r="CI7">
            <v>288</v>
          </cell>
          <cell r="CJ7">
            <v>298</v>
          </cell>
          <cell r="CK7">
            <v>372</v>
          </cell>
          <cell r="CL7">
            <v>438</v>
          </cell>
          <cell r="CM7">
            <v>510</v>
          </cell>
          <cell r="CN7">
            <v>545</v>
          </cell>
          <cell r="CO7">
            <v>717</v>
          </cell>
          <cell r="CQ7" t="str">
            <v>Combat Systems</v>
          </cell>
          <cell r="CR7">
            <v>573</v>
          </cell>
          <cell r="CS7">
            <v>687</v>
          </cell>
          <cell r="CT7">
            <v>707</v>
          </cell>
          <cell r="CU7">
            <v>819</v>
          </cell>
          <cell r="CV7">
            <v>783</v>
          </cell>
          <cell r="CW7">
            <v>979</v>
          </cell>
          <cell r="CX7">
            <v>1005</v>
          </cell>
          <cell r="CY7">
            <v>1240</v>
          </cell>
          <cell r="DA7" t="str">
            <v>Combat Systems</v>
          </cell>
          <cell r="DB7">
            <v>1070</v>
          </cell>
          <cell r="DC7">
            <v>998</v>
          </cell>
          <cell r="DD7">
            <v>1031</v>
          </cell>
          <cell r="DE7">
            <v>1308</v>
          </cell>
          <cell r="DG7" t="str">
            <v>Combat Systems</v>
          </cell>
          <cell r="DH7">
            <v>1057</v>
          </cell>
          <cell r="DI7">
            <v>1118</v>
          </cell>
          <cell r="DJ7">
            <v>1240</v>
          </cell>
          <cell r="DK7">
            <v>1606</v>
          </cell>
          <cell r="DL7">
            <v>1369</v>
          </cell>
          <cell r="DM7">
            <v>1444</v>
          </cell>
          <cell r="DN7">
            <v>1365</v>
          </cell>
          <cell r="DO7">
            <v>1805</v>
          </cell>
          <cell r="EB7" t="str">
            <v>Combat Systems</v>
          </cell>
          <cell r="EC7">
            <v>1184</v>
          </cell>
          <cell r="ED7">
            <v>1050</v>
          </cell>
          <cell r="EE7">
            <v>1026</v>
          </cell>
          <cell r="EF7">
            <v>1387</v>
          </cell>
          <cell r="EG7">
            <v>1272</v>
          </cell>
          <cell r="EH7">
            <v>1290</v>
          </cell>
        </row>
        <row r="8">
          <cell r="A8" t="str">
            <v>Armored Veh</v>
          </cell>
          <cell r="B8">
            <v>1128</v>
          </cell>
          <cell r="C8">
            <v>1043</v>
          </cell>
          <cell r="D8">
            <v>1001.6000000000001</v>
          </cell>
          <cell r="E8">
            <v>997.3</v>
          </cell>
          <cell r="F8">
            <v>1088</v>
          </cell>
          <cell r="H8" t="str">
            <v>Armored Veh</v>
          </cell>
          <cell r="I8">
            <v>1129</v>
          </cell>
          <cell r="K8" t="str">
            <v>Combat Sys</v>
          </cell>
          <cell r="L8">
            <v>1261</v>
          </cell>
          <cell r="M8">
            <v>1286</v>
          </cell>
          <cell r="N8">
            <v>1184</v>
          </cell>
          <cell r="P8" t="str">
            <v>Armored Veh</v>
          </cell>
          <cell r="Q8">
            <v>279</v>
          </cell>
          <cell r="R8">
            <v>281</v>
          </cell>
          <cell r="S8">
            <v>291</v>
          </cell>
          <cell r="T8">
            <v>277</v>
          </cell>
          <cell r="U8">
            <v>255</v>
          </cell>
          <cell r="V8">
            <v>280</v>
          </cell>
          <cell r="W8">
            <v>239</v>
          </cell>
          <cell r="X8">
            <v>269</v>
          </cell>
          <cell r="Y8">
            <v>260</v>
          </cell>
          <cell r="Z8">
            <v>227.1</v>
          </cell>
          <cell r="AA8">
            <v>267.3</v>
          </cell>
          <cell r="AB8">
            <v>247.2</v>
          </cell>
          <cell r="AC8">
            <v>244</v>
          </cell>
          <cell r="AD8">
            <v>255</v>
          </cell>
          <cell r="AE8">
            <v>232.8</v>
          </cell>
          <cell r="AF8">
            <v>265.5</v>
          </cell>
          <cell r="AG8">
            <v>429.9</v>
          </cell>
          <cell r="AH8">
            <v>446.1</v>
          </cell>
          <cell r="AI8">
            <v>403.4</v>
          </cell>
          <cell r="AJ8">
            <v>451.3</v>
          </cell>
          <cell r="AL8">
            <v>451.3</v>
          </cell>
          <cell r="AM8">
            <v>64</v>
          </cell>
          <cell r="AN8">
            <v>94</v>
          </cell>
          <cell r="AO8">
            <v>63</v>
          </cell>
          <cell r="AP8">
            <v>-13</v>
          </cell>
          <cell r="AR8" t="str">
            <v>Other</v>
          </cell>
          <cell r="AS8">
            <v>47</v>
          </cell>
          <cell r="AT8">
            <v>65</v>
          </cell>
          <cell r="AU8">
            <v>56</v>
          </cell>
          <cell r="AV8">
            <v>66</v>
          </cell>
          <cell r="AW8" t="str">
            <v>Other</v>
          </cell>
          <cell r="AX8">
            <v>47</v>
          </cell>
          <cell r="AY8">
            <v>47</v>
          </cell>
          <cell r="AZ8">
            <v>47</v>
          </cell>
          <cell r="BA8">
            <v>49</v>
          </cell>
          <cell r="BG8" t="str">
            <v>Def/Arm Sys</v>
          </cell>
          <cell r="BL8" t="str">
            <v>CDI</v>
          </cell>
          <cell r="BQ8" t="str">
            <v>Info Sys &amp; Tech</v>
          </cell>
          <cell r="BW8" t="str">
            <v>Info Sys &amp; Tech</v>
          </cell>
          <cell r="BX8">
            <v>218</v>
          </cell>
          <cell r="BY8">
            <v>196</v>
          </cell>
          <cell r="BZ8">
            <v>226</v>
          </cell>
          <cell r="CA8">
            <v>293</v>
          </cell>
          <cell r="CB8">
            <v>233</v>
          </cell>
          <cell r="CC8">
            <v>243</v>
          </cell>
          <cell r="CD8">
            <v>354</v>
          </cell>
          <cell r="CE8">
            <v>592</v>
          </cell>
          <cell r="CG8" t="str">
            <v>Info Sys &amp; Tech</v>
          </cell>
          <cell r="CH8">
            <v>606</v>
          </cell>
          <cell r="CI8">
            <v>590</v>
          </cell>
          <cell r="CJ8">
            <v>596</v>
          </cell>
          <cell r="CK8">
            <v>545</v>
          </cell>
          <cell r="CL8">
            <v>612</v>
          </cell>
          <cell r="CM8">
            <v>670</v>
          </cell>
          <cell r="CN8">
            <v>647</v>
          </cell>
          <cell r="CO8">
            <v>762</v>
          </cell>
          <cell r="CQ8" t="str">
            <v>Info. Systems &amp; Tech.</v>
          </cell>
          <cell r="CR8">
            <v>852</v>
          </cell>
          <cell r="CS8">
            <v>946</v>
          </cell>
          <cell r="CT8">
            <v>890</v>
          </cell>
          <cell r="CU8">
            <v>981</v>
          </cell>
          <cell r="CV8">
            <v>993</v>
          </cell>
          <cell r="CW8">
            <v>1150</v>
          </cell>
          <cell r="CX8">
            <v>1274</v>
          </cell>
          <cell r="CY8">
            <v>1472</v>
          </cell>
          <cell r="DA8" t="str">
            <v>Info. Systems &amp; Tech.</v>
          </cell>
          <cell r="DB8">
            <v>1643</v>
          </cell>
          <cell r="DC8">
            <v>1641</v>
          </cell>
          <cell r="DD8">
            <v>1590</v>
          </cell>
          <cell r="DE8">
            <v>1848</v>
          </cell>
          <cell r="DG8" t="str">
            <v>Info. Systems &amp; Tech.</v>
          </cell>
          <cell r="DH8">
            <v>1752</v>
          </cell>
          <cell r="DI8">
            <v>2013</v>
          </cell>
          <cell r="DJ8">
            <v>1985</v>
          </cell>
          <cell r="DK8">
            <v>2076</v>
          </cell>
          <cell r="DL8">
            <v>1973</v>
          </cell>
          <cell r="DM8">
            <v>2157</v>
          </cell>
          <cell r="DN8">
            <v>2396</v>
          </cell>
          <cell r="DO8">
            <v>2498</v>
          </cell>
          <cell r="EB8" t="str">
            <v>Info. Systems &amp; Tech.</v>
          </cell>
          <cell r="EF8">
            <v>185</v>
          </cell>
          <cell r="EG8">
            <v>933</v>
          </cell>
          <cell r="EH8">
            <v>1422</v>
          </cell>
        </row>
        <row r="9">
          <cell r="B9">
            <v>514</v>
          </cell>
          <cell r="C9">
            <v>457</v>
          </cell>
          <cell r="D9">
            <v>453.7</v>
          </cell>
          <cell r="E9">
            <v>288</v>
          </cell>
          <cell r="F9">
            <v>300</v>
          </cell>
          <cell r="K9" t="str">
            <v>Info Sys &amp; Tech</v>
          </cell>
          <cell r="P9" t="str">
            <v>Space Launch</v>
          </cell>
          <cell r="Q9">
            <v>79</v>
          </cell>
          <cell r="R9">
            <v>87</v>
          </cell>
          <cell r="S9">
            <v>122</v>
          </cell>
          <cell r="T9">
            <v>226</v>
          </cell>
          <cell r="U9">
            <v>121</v>
          </cell>
          <cell r="V9">
            <v>127</v>
          </cell>
          <cell r="W9">
            <v>95</v>
          </cell>
          <cell r="X9">
            <v>116.5</v>
          </cell>
          <cell r="Y9">
            <v>107.7</v>
          </cell>
          <cell r="Z9">
            <v>88.1</v>
          </cell>
          <cell r="AA9">
            <v>125.6</v>
          </cell>
          <cell r="AB9">
            <v>132.30000000000001</v>
          </cell>
          <cell r="AC9">
            <v>116</v>
          </cell>
          <cell r="AD9">
            <v>134</v>
          </cell>
          <cell r="AE9">
            <v>165.1</v>
          </cell>
          <cell r="AF9">
            <v>186.3</v>
          </cell>
          <cell r="AG9">
            <v>274</v>
          </cell>
          <cell r="AH9">
            <v>265</v>
          </cell>
          <cell r="AI9">
            <v>260</v>
          </cell>
          <cell r="AJ9">
            <v>273</v>
          </cell>
          <cell r="AK9" t="str">
            <v xml:space="preserve"> </v>
          </cell>
          <cell r="AL9">
            <v>273</v>
          </cell>
          <cell r="BW9" t="str">
            <v>Gulfstream</v>
          </cell>
          <cell r="BX9">
            <v>503.4</v>
          </cell>
          <cell r="BY9">
            <v>557</v>
          </cell>
          <cell r="BZ9">
            <v>626.20000000000005</v>
          </cell>
          <cell r="CA9">
            <v>741.39999999999986</v>
          </cell>
          <cell r="CB9">
            <v>625.1</v>
          </cell>
          <cell r="CC9">
            <v>707.8</v>
          </cell>
          <cell r="CD9">
            <v>704</v>
          </cell>
          <cell r="CE9">
            <v>872.1</v>
          </cell>
          <cell r="CG9" t="str">
            <v>Aerospace (GAC+Galaxy)</v>
          </cell>
          <cell r="CH9">
            <v>730</v>
          </cell>
          <cell r="CI9">
            <v>821</v>
          </cell>
          <cell r="CJ9">
            <v>733</v>
          </cell>
          <cell r="CK9">
            <v>745</v>
          </cell>
          <cell r="CL9">
            <v>712</v>
          </cell>
          <cell r="CM9">
            <v>765</v>
          </cell>
          <cell r="CN9">
            <v>838</v>
          </cell>
          <cell r="CO9">
            <v>950</v>
          </cell>
          <cell r="CQ9" t="str">
            <v>Aerospace</v>
          </cell>
          <cell r="CR9">
            <v>763</v>
          </cell>
          <cell r="CS9">
            <v>880</v>
          </cell>
          <cell r="CT9">
            <v>739</v>
          </cell>
          <cell r="CU9">
            <v>907</v>
          </cell>
          <cell r="CV9">
            <v>594</v>
          </cell>
          <cell r="CW9">
            <v>715</v>
          </cell>
          <cell r="CX9">
            <v>808</v>
          </cell>
          <cell r="CY9">
            <v>829</v>
          </cell>
          <cell r="DA9" t="str">
            <v>Aerospace</v>
          </cell>
          <cell r="DB9">
            <v>606</v>
          </cell>
          <cell r="DC9">
            <v>771</v>
          </cell>
          <cell r="DD9">
            <v>798</v>
          </cell>
          <cell r="DE9">
            <v>837</v>
          </cell>
          <cell r="DG9" t="str">
            <v>Aerospace</v>
          </cell>
          <cell r="DH9">
            <v>753</v>
          </cell>
          <cell r="DI9">
            <v>828</v>
          </cell>
          <cell r="DJ9">
            <v>906</v>
          </cell>
          <cell r="DK9">
            <v>946</v>
          </cell>
          <cell r="DL9">
            <v>929</v>
          </cell>
          <cell r="DM9">
            <v>1067</v>
          </cell>
          <cell r="DN9">
            <v>1087</v>
          </cell>
          <cell r="DO9">
            <v>1033</v>
          </cell>
          <cell r="EB9" t="str">
            <v>Aerospace</v>
          </cell>
          <cell r="EF9">
            <v>1904</v>
          </cell>
          <cell r="EG9">
            <v>2428</v>
          </cell>
          <cell r="EH9">
            <v>2909</v>
          </cell>
        </row>
        <row r="10">
          <cell r="A10" t="str">
            <v>Space Launch</v>
          </cell>
          <cell r="B10">
            <v>476</v>
          </cell>
          <cell r="C10">
            <v>462</v>
          </cell>
          <cell r="D10">
            <v>413</v>
          </cell>
          <cell r="H10" t="str">
            <v>Other</v>
          </cell>
          <cell r="I10">
            <v>208</v>
          </cell>
          <cell r="K10" t="str">
            <v>Other</v>
          </cell>
          <cell r="L10">
            <v>234</v>
          </cell>
          <cell r="M10">
            <v>190</v>
          </cell>
          <cell r="N10">
            <v>141</v>
          </cell>
          <cell r="Q10">
            <v>97</v>
          </cell>
          <cell r="R10">
            <v>132</v>
          </cell>
          <cell r="S10">
            <v>131</v>
          </cell>
          <cell r="T10">
            <v>116</v>
          </cell>
          <cell r="U10">
            <v>98</v>
          </cell>
          <cell r="V10">
            <v>131</v>
          </cell>
          <cell r="W10">
            <v>121</v>
          </cell>
          <cell r="X10">
            <v>112</v>
          </cell>
          <cell r="Y10">
            <v>86</v>
          </cell>
          <cell r="Z10">
            <v>117.1</v>
          </cell>
          <cell r="AA10">
            <v>115</v>
          </cell>
          <cell r="AB10">
            <v>94.9</v>
          </cell>
          <cell r="AC10">
            <v>78</v>
          </cell>
          <cell r="AD10">
            <v>117</v>
          </cell>
          <cell r="AE10">
            <v>119.3</v>
          </cell>
          <cell r="AF10">
            <v>100.2</v>
          </cell>
          <cell r="AG10">
            <v>60</v>
          </cell>
          <cell r="AH10">
            <v>66</v>
          </cell>
          <cell r="AI10">
            <v>117</v>
          </cell>
          <cell r="AJ10">
            <v>54</v>
          </cell>
          <cell r="AL10">
            <v>54</v>
          </cell>
          <cell r="AM10" t="str">
            <v>----</v>
          </cell>
          <cell r="AN10" t="str">
            <v>----</v>
          </cell>
          <cell r="AO10" t="str">
            <v>----</v>
          </cell>
          <cell r="AP10" t="str">
            <v>----</v>
          </cell>
          <cell r="AS10" t="str">
            <v>----</v>
          </cell>
          <cell r="AT10" t="str">
            <v>----</v>
          </cell>
          <cell r="AU10" t="str">
            <v>----</v>
          </cell>
          <cell r="AV10" t="str">
            <v>----</v>
          </cell>
          <cell r="AX10" t="str">
            <v>----</v>
          </cell>
          <cell r="AY10" t="str">
            <v>----</v>
          </cell>
          <cell r="AZ10" t="str">
            <v>----</v>
          </cell>
          <cell r="BA10" t="str">
            <v>----</v>
          </cell>
          <cell r="BB10" t="str">
            <v>Other</v>
          </cell>
          <cell r="BC10">
            <v>37</v>
          </cell>
          <cell r="BD10">
            <v>37</v>
          </cell>
          <cell r="BE10">
            <v>34</v>
          </cell>
          <cell r="BF10">
            <v>33</v>
          </cell>
          <cell r="BG10" t="str">
            <v>Other</v>
          </cell>
          <cell r="BH10">
            <v>36</v>
          </cell>
          <cell r="BI10">
            <v>32</v>
          </cell>
          <cell r="BJ10">
            <v>33</v>
          </cell>
          <cell r="BK10">
            <v>32</v>
          </cell>
          <cell r="BL10" t="str">
            <v>Other</v>
          </cell>
          <cell r="BM10">
            <v>33</v>
          </cell>
          <cell r="BN10">
            <v>57</v>
          </cell>
          <cell r="BO10">
            <v>69</v>
          </cell>
          <cell r="BP10">
            <v>64</v>
          </cell>
          <cell r="BQ10" t="str">
            <v>Other</v>
          </cell>
          <cell r="BR10">
            <v>45</v>
          </cell>
          <cell r="BS10">
            <v>67</v>
          </cell>
          <cell r="BT10">
            <v>69</v>
          </cell>
          <cell r="BU10">
            <v>61</v>
          </cell>
          <cell r="BW10" t="str">
            <v>Other</v>
          </cell>
          <cell r="BX10">
            <v>46</v>
          </cell>
          <cell r="BY10">
            <v>66</v>
          </cell>
          <cell r="BZ10">
            <v>68</v>
          </cell>
          <cell r="CA10">
            <v>56</v>
          </cell>
          <cell r="CB10">
            <v>46</v>
          </cell>
          <cell r="CC10">
            <v>66</v>
          </cell>
          <cell r="CD10">
            <v>73</v>
          </cell>
          <cell r="CE10">
            <v>65</v>
          </cell>
          <cell r="CG10" t="str">
            <v>Other</v>
          </cell>
          <cell r="CH10">
            <v>49</v>
          </cell>
          <cell r="CI10">
            <v>63</v>
          </cell>
          <cell r="CJ10">
            <v>77</v>
          </cell>
          <cell r="CK10">
            <v>64</v>
          </cell>
          <cell r="CL10">
            <v>49</v>
          </cell>
          <cell r="CM10">
            <v>70</v>
          </cell>
          <cell r="CN10">
            <v>78</v>
          </cell>
          <cell r="CO10">
            <v>79</v>
          </cell>
          <cell r="CQ10" t="str">
            <v>Resources</v>
          </cell>
          <cell r="CR10">
            <v>50</v>
          </cell>
          <cell r="CS10">
            <v>77</v>
          </cell>
          <cell r="CT10">
            <v>85</v>
          </cell>
          <cell r="CU10">
            <v>74</v>
          </cell>
          <cell r="CV10">
            <v>41</v>
          </cell>
          <cell r="CW10">
            <v>69</v>
          </cell>
          <cell r="CX10">
            <v>78</v>
          </cell>
          <cell r="CY10">
            <v>68</v>
          </cell>
          <cell r="DA10" t="str">
            <v>Resources</v>
          </cell>
          <cell r="DB10">
            <v>47</v>
          </cell>
          <cell r="DC10">
            <v>65</v>
          </cell>
          <cell r="DD10">
            <v>74</v>
          </cell>
          <cell r="DE10">
            <v>-185</v>
          </cell>
          <cell r="DG10" t="str">
            <v>Resources/Corporate</v>
          </cell>
          <cell r="DH10">
            <v>0</v>
          </cell>
          <cell r="DI10">
            <v>0</v>
          </cell>
          <cell r="DJ10">
            <v>0</v>
          </cell>
          <cell r="DK10">
            <v>0</v>
          </cell>
          <cell r="DL10">
            <v>0</v>
          </cell>
          <cell r="DM10">
            <v>0</v>
          </cell>
          <cell r="DN10">
            <v>0</v>
          </cell>
          <cell r="DO10">
            <v>0</v>
          </cell>
          <cell r="EB10" t="str">
            <v>Resources/Corporate</v>
          </cell>
          <cell r="EC10">
            <v>141</v>
          </cell>
          <cell r="ED10">
            <v>133</v>
          </cell>
          <cell r="EE10">
            <v>223</v>
          </cell>
          <cell r="EF10">
            <v>242</v>
          </cell>
          <cell r="EG10">
            <v>236</v>
          </cell>
          <cell r="EH10">
            <v>250</v>
          </cell>
        </row>
        <row r="11">
          <cell r="A11" t="str">
            <v xml:space="preserve"> Total Revs.</v>
          </cell>
          <cell r="B11">
            <v>3778</v>
          </cell>
          <cell r="C11">
            <v>3565</v>
          </cell>
          <cell r="D11">
            <v>3416.3</v>
          </cell>
          <cell r="E11">
            <v>2964</v>
          </cell>
          <cell r="F11">
            <v>3135</v>
          </cell>
          <cell r="H11" t="str">
            <v xml:space="preserve"> Total Revs.</v>
          </cell>
          <cell r="I11">
            <v>3161</v>
          </cell>
          <cell r="K11" t="str">
            <v xml:space="preserve"> Total Revs.</v>
          </cell>
          <cell r="L11">
            <v>3225</v>
          </cell>
          <cell r="M11">
            <v>3187</v>
          </cell>
          <cell r="N11">
            <v>3058</v>
          </cell>
          <cell r="P11" t="str">
            <v xml:space="preserve"> Total Revs.</v>
          </cell>
          <cell r="Q11">
            <v>995</v>
          </cell>
          <cell r="R11">
            <v>1125</v>
          </cell>
          <cell r="S11">
            <v>1114</v>
          </cell>
          <cell r="T11">
            <v>1212</v>
          </cell>
          <cell r="U11">
            <v>1063</v>
          </cell>
          <cell r="V11">
            <v>1126</v>
          </cell>
          <cell r="W11">
            <v>1075</v>
          </cell>
          <cell r="X11">
            <v>1176.5</v>
          </cell>
          <cell r="Y11">
            <v>1032.7</v>
          </cell>
          <cell r="Z11">
            <v>1070.5999999999999</v>
          </cell>
          <cell r="AA11">
            <v>1099.4000000000001</v>
          </cell>
          <cell r="AB11">
            <v>1150</v>
          </cell>
          <cell r="AC11">
            <v>1033</v>
          </cell>
          <cell r="AD11">
            <v>1133</v>
          </cell>
          <cell r="AE11">
            <v>1130.8000000000002</v>
          </cell>
          <cell r="AF11">
            <v>1130.9000000000001</v>
          </cell>
          <cell r="AG11">
            <v>1669.1999999999998</v>
          </cell>
          <cell r="AH11">
            <v>1795</v>
          </cell>
          <cell r="AI11">
            <v>1654.8</v>
          </cell>
          <cell r="AJ11">
            <v>1641.9</v>
          </cell>
          <cell r="AK11">
            <v>0</v>
          </cell>
          <cell r="AL11">
            <v>1641.9</v>
          </cell>
          <cell r="AM11">
            <v>766</v>
          </cell>
          <cell r="AN11">
            <v>856</v>
          </cell>
          <cell r="AO11">
            <v>779</v>
          </cell>
          <cell r="AP11">
            <v>760</v>
          </cell>
          <cell r="AR11" t="str">
            <v xml:space="preserve"> Total Revs.</v>
          </cell>
          <cell r="AS11">
            <v>761</v>
          </cell>
          <cell r="AT11">
            <v>795</v>
          </cell>
          <cell r="AU11">
            <v>750</v>
          </cell>
          <cell r="AV11">
            <v>919</v>
          </cell>
          <cell r="AW11" t="str">
            <v xml:space="preserve"> Total Revs.</v>
          </cell>
          <cell r="AX11">
            <v>853</v>
          </cell>
          <cell r="AY11">
            <v>768</v>
          </cell>
          <cell r="AZ11">
            <v>768</v>
          </cell>
          <cell r="BA11">
            <v>798</v>
          </cell>
          <cell r="BB11" t="str">
            <v xml:space="preserve"> Total Revs.</v>
          </cell>
          <cell r="BC11">
            <v>800</v>
          </cell>
          <cell r="BD11">
            <v>820</v>
          </cell>
          <cell r="BE11">
            <v>714</v>
          </cell>
          <cell r="BF11">
            <v>724</v>
          </cell>
          <cell r="BG11" t="str">
            <v xml:space="preserve"> Total Revs.</v>
          </cell>
          <cell r="BH11">
            <v>753</v>
          </cell>
          <cell r="BI11">
            <v>703</v>
          </cell>
          <cell r="BJ11">
            <v>718</v>
          </cell>
          <cell r="BK11">
            <v>893</v>
          </cell>
          <cell r="BL11" t="str">
            <v xml:space="preserve"> Total Revs.</v>
          </cell>
          <cell r="BM11">
            <v>893</v>
          </cell>
          <cell r="BN11">
            <v>930</v>
          </cell>
          <cell r="BO11">
            <v>862</v>
          </cell>
          <cell r="BP11">
            <v>896</v>
          </cell>
          <cell r="BQ11" t="str">
            <v xml:space="preserve"> Total Revs.</v>
          </cell>
          <cell r="BR11">
            <v>941</v>
          </cell>
          <cell r="BS11">
            <v>1032</v>
          </cell>
          <cell r="BT11">
            <v>988</v>
          </cell>
          <cell r="BU11">
            <v>1101</v>
          </cell>
          <cell r="BW11" t="str">
            <v xml:space="preserve"> Total Revs.</v>
          </cell>
          <cell r="BX11">
            <v>1657.4</v>
          </cell>
          <cell r="BY11">
            <v>1735</v>
          </cell>
          <cell r="BZ11">
            <v>1798.2</v>
          </cell>
          <cell r="CA11">
            <v>2344.3999999999996</v>
          </cell>
          <cell r="CB11">
            <v>2002.1</v>
          </cell>
          <cell r="CC11">
            <v>2086.8000000000002</v>
          </cell>
          <cell r="CD11">
            <v>2215</v>
          </cell>
          <cell r="CE11">
            <v>2655.1</v>
          </cell>
          <cell r="CG11" t="str">
            <v xml:space="preserve"> Total Revs.</v>
          </cell>
          <cell r="CH11">
            <v>2546</v>
          </cell>
          <cell r="CI11">
            <v>2617</v>
          </cell>
          <cell r="CJ11">
            <v>2502</v>
          </cell>
          <cell r="CK11">
            <v>2640</v>
          </cell>
          <cell r="CL11">
            <v>2673</v>
          </cell>
          <cell r="CM11">
            <v>2962</v>
          </cell>
          <cell r="CN11">
            <v>3020</v>
          </cell>
          <cell r="CO11">
            <v>3399</v>
          </cell>
          <cell r="CQ11" t="str">
            <v>Total Revenues</v>
          </cell>
          <cell r="CR11">
            <v>3102</v>
          </cell>
          <cell r="CS11">
            <v>3506</v>
          </cell>
          <cell r="CT11">
            <v>3284</v>
          </cell>
          <cell r="CU11">
            <v>3788</v>
          </cell>
          <cell r="CV11">
            <v>3387</v>
          </cell>
          <cell r="CW11">
            <v>3896</v>
          </cell>
          <cell r="CX11">
            <v>4355</v>
          </cell>
          <cell r="CY11">
            <v>4731</v>
          </cell>
          <cell r="DA11" t="str">
            <v>Total Revenues</v>
          </cell>
          <cell r="DB11">
            <v>4646</v>
          </cell>
          <cell r="DC11">
            <v>4652</v>
          </cell>
          <cell r="DD11">
            <v>4647</v>
          </cell>
          <cell r="DE11">
            <v>4923</v>
          </cell>
          <cell r="DG11" t="str">
            <v>Total Revenues</v>
          </cell>
          <cell r="DH11">
            <v>4772</v>
          </cell>
          <cell r="DI11">
            <v>5137</v>
          </cell>
          <cell r="DJ11">
            <v>5302</v>
          </cell>
          <cell r="DK11">
            <v>5764</v>
          </cell>
          <cell r="DL11">
            <v>5546</v>
          </cell>
          <cell r="DM11">
            <v>5934</v>
          </cell>
          <cell r="DN11">
            <v>6069</v>
          </cell>
          <cell r="DO11">
            <v>6514</v>
          </cell>
          <cell r="EB11" t="str">
            <v>Total Revenues</v>
          </cell>
          <cell r="EC11">
            <v>3058</v>
          </cell>
          <cell r="ED11">
            <v>3067</v>
          </cell>
          <cell r="EE11">
            <v>3581</v>
          </cell>
          <cell r="EF11">
            <v>6029</v>
          </cell>
          <cell r="EG11">
            <v>7535</v>
          </cell>
          <cell r="EH11">
            <v>8959</v>
          </cell>
        </row>
        <row r="12">
          <cell r="A12" t="str">
            <v xml:space="preserve"> % CH.</v>
          </cell>
          <cell r="C12">
            <v>-5.637903652726306E-2</v>
          </cell>
          <cell r="D12">
            <v>-4.1711079943898999E-2</v>
          </cell>
          <cell r="E12">
            <v>-0.13239469601615783</v>
          </cell>
          <cell r="F12">
            <v>5.7692307692307709E-2</v>
          </cell>
          <cell r="G12" t="str">
            <v xml:space="preserve"> % CH.</v>
          </cell>
          <cell r="I12">
            <v>8.2934609250397973E-3</v>
          </cell>
          <cell r="K12" t="str">
            <v>% Change</v>
          </cell>
          <cell r="L12">
            <v>2.024675735526732E-2</v>
          </cell>
          <cell r="M12">
            <v>-1.1782945736434109E-2</v>
          </cell>
          <cell r="N12">
            <v>-4.0476937558832762E-2</v>
          </cell>
          <cell r="P12" t="str">
            <v xml:space="preserve"> % CH.</v>
          </cell>
          <cell r="AL12" t="str">
            <v xml:space="preserve"> </v>
          </cell>
          <cell r="AQ12" t="str">
            <v xml:space="preserve"> % CH.</v>
          </cell>
          <cell r="AS12">
            <v>-6.5274151436031302E-3</v>
          </cell>
          <cell r="AT12">
            <v>-7.1261682242990607E-2</v>
          </cell>
          <cell r="AU12">
            <v>-3.7227214377406899E-2</v>
          </cell>
          <cell r="AV12">
            <v>0.20921052631578901</v>
          </cell>
          <cell r="AX12">
            <v>0.120893561103811</v>
          </cell>
          <cell r="AY12">
            <v>-3.3962264150943403E-2</v>
          </cell>
          <cell r="AZ12">
            <v>2.4E-2</v>
          </cell>
          <cell r="BA12">
            <v>-0.13166485310119699</v>
          </cell>
          <cell r="BB12" t="str">
            <v>% Change</v>
          </cell>
          <cell r="BC12">
            <v>4.1666666666666699E-2</v>
          </cell>
          <cell r="BD12">
            <v>6.7708333333333301E-2</v>
          </cell>
          <cell r="BE12">
            <v>-7.03125E-2</v>
          </cell>
          <cell r="BF12">
            <v>-9.2731829573934804E-2</v>
          </cell>
          <cell r="BG12" t="str">
            <v>% Change</v>
          </cell>
          <cell r="BH12">
            <v>-8.1707317073170693E-2</v>
          </cell>
          <cell r="BI12">
            <v>-0.142682926829268</v>
          </cell>
          <cell r="BJ12">
            <v>5.60224089635854E-3</v>
          </cell>
          <cell r="BK12">
            <v>0.23342541436464101</v>
          </cell>
          <cell r="BL12" t="str">
            <v>% Change</v>
          </cell>
          <cell r="BM12">
            <v>0.18592297476759601</v>
          </cell>
          <cell r="BN12">
            <v>0.32290184921763898</v>
          </cell>
          <cell r="BO12">
            <v>0.20055710306406699</v>
          </cell>
          <cell r="BP12">
            <v>3.3594624860022399E-3</v>
          </cell>
          <cell r="BQ12" t="str">
            <v>% Change</v>
          </cell>
          <cell r="BR12">
            <v>5.3751399776035831E-2</v>
          </cell>
          <cell r="BS12">
            <v>0.1096774193548387</v>
          </cell>
          <cell r="BT12">
            <v>0.14617169373549879</v>
          </cell>
          <cell r="BU12">
            <v>0.22879464285714279</v>
          </cell>
          <cell r="BW12" t="str">
            <v>% Change</v>
          </cell>
          <cell r="BX12">
            <v>0.76131774707757716</v>
          </cell>
          <cell r="BY12">
            <v>0.681201550387597</v>
          </cell>
          <cell r="BZ12">
            <v>0.82004048582995948</v>
          </cell>
          <cell r="CA12">
            <v>1.1293369663941868</v>
          </cell>
          <cell r="CB12">
            <v>0.2079763484976469</v>
          </cell>
          <cell r="CC12">
            <v>0.20276657060518732</v>
          </cell>
          <cell r="CD12">
            <v>0.23178734289845404</v>
          </cell>
          <cell r="CE12">
            <v>0.13252857874082946</v>
          </cell>
          <cell r="CG12" t="str">
            <v xml:space="preserve">  % Change</v>
          </cell>
          <cell r="CH12">
            <v>0.2716647520103892</v>
          </cell>
          <cell r="CI12">
            <v>0.25407322215832839</v>
          </cell>
          <cell r="CJ12">
            <v>0.12957110609480815</v>
          </cell>
          <cell r="CK12">
            <v>-5.6871680915974165E-3</v>
          </cell>
          <cell r="CL12">
            <v>4.9882168106834247E-2</v>
          </cell>
          <cell r="CM12">
            <v>0.13183034008406572</v>
          </cell>
          <cell r="CN12">
            <v>0.20703437250199841</v>
          </cell>
          <cell r="CO12">
            <v>0.28749999999999998</v>
          </cell>
          <cell r="CQ12" t="str">
            <v>% Change</v>
          </cell>
          <cell r="CR12">
            <v>0.16049382716049382</v>
          </cell>
          <cell r="CS12">
            <v>0.18365968939905469</v>
          </cell>
          <cell r="CT12">
            <v>8.7417218543046363E-2</v>
          </cell>
          <cell r="CU12">
            <v>0.11444542512503678</v>
          </cell>
          <cell r="CV12">
            <v>9.187620889748549E-2</v>
          </cell>
          <cell r="CW12">
            <v>0.11123787792355962</v>
          </cell>
          <cell r="CX12">
            <v>0.32612667478684532</v>
          </cell>
          <cell r="CY12">
            <v>0.2489440337909187</v>
          </cell>
          <cell r="DA12" t="str">
            <v>% Ch Y/Y</v>
          </cell>
          <cell r="DB12">
            <v>0.37171538234425744</v>
          </cell>
          <cell r="DC12">
            <v>0.19404517453798767</v>
          </cell>
          <cell r="DD12">
            <v>6.7049368541905852E-2</v>
          </cell>
          <cell r="DE12">
            <v>4.0583386176284084E-2</v>
          </cell>
          <cell r="DG12" t="str">
            <v>% Ch Y/Y</v>
          </cell>
          <cell r="DH12">
            <v>2.7120103314679293E-2</v>
          </cell>
          <cell r="DI12">
            <v>0.10425623387790198</v>
          </cell>
          <cell r="DJ12">
            <v>0.14095115128039595</v>
          </cell>
          <cell r="DK12">
            <v>0.17083079423115985</v>
          </cell>
          <cell r="DL12">
            <v>0.16219614417435038</v>
          </cell>
          <cell r="DM12">
            <v>0.15514891960288105</v>
          </cell>
          <cell r="DN12">
            <v>0.14466239155035834</v>
          </cell>
          <cell r="DO12">
            <v>0.13011797362942401</v>
          </cell>
          <cell r="EB12" t="str">
            <v>% Ch Y/Y</v>
          </cell>
          <cell r="ED12">
            <v>2.9431000654023265E-3</v>
          </cell>
          <cell r="EE12">
            <v>0.16759047929572879</v>
          </cell>
          <cell r="EF12">
            <v>0.68360793074560178</v>
          </cell>
          <cell r="EG12">
            <v>0.24979266876762307</v>
          </cell>
          <cell r="EH12">
            <v>0.18898473788984749</v>
          </cell>
        </row>
        <row r="13">
          <cell r="A13" t="str">
            <v>Operating Profit</v>
          </cell>
          <cell r="G13" t="str">
            <v>Op Profit</v>
          </cell>
          <cell r="K13" t="str">
            <v>Op Profit</v>
          </cell>
          <cell r="P13" t="str">
            <v>Operating Profit</v>
          </cell>
          <cell r="AQ13" t="str">
            <v>Op Profit</v>
          </cell>
          <cell r="AU13" t="str">
            <v xml:space="preserve"> </v>
          </cell>
          <cell r="BB13" t="str">
            <v>Op Profit</v>
          </cell>
          <cell r="BG13" t="str">
            <v>Op Profit</v>
          </cell>
          <cell r="BL13" t="str">
            <v>Op Profit</v>
          </cell>
          <cell r="BQ13" t="str">
            <v>Op Profit</v>
          </cell>
          <cell r="BW13" t="str">
            <v>Op Profit</v>
          </cell>
          <cell r="CG13" t="str">
            <v>Operating Profit</v>
          </cell>
          <cell r="CQ13" t="str">
            <v>Operating Profit</v>
          </cell>
          <cell r="DA13" t="str">
            <v>Operating Profit</v>
          </cell>
          <cell r="DG13" t="str">
            <v>Operating Profit</v>
          </cell>
          <cell r="EB13" t="str">
            <v>Operating Profit</v>
          </cell>
        </row>
        <row r="14">
          <cell r="A14" t="str">
            <v>Tactical A/C</v>
          </cell>
          <cell r="P14" t="str">
            <v>Tactical A/C</v>
          </cell>
          <cell r="Q14">
            <v>76.099999999999994</v>
          </cell>
          <cell r="R14">
            <v>86.7</v>
          </cell>
          <cell r="S14">
            <v>86</v>
          </cell>
          <cell r="T14">
            <v>80.3</v>
          </cell>
          <cell r="U14">
            <v>85.2</v>
          </cell>
          <cell r="V14">
            <v>86.5</v>
          </cell>
          <cell r="W14">
            <v>79</v>
          </cell>
          <cell r="X14">
            <v>70.900000000000006</v>
          </cell>
          <cell r="Y14">
            <v>100.9</v>
          </cell>
          <cell r="Z14">
            <v>83</v>
          </cell>
          <cell r="AA14">
            <v>67.7</v>
          </cell>
          <cell r="AB14">
            <v>66.400000000000006</v>
          </cell>
          <cell r="AC14">
            <v>62.5</v>
          </cell>
          <cell r="AD14">
            <v>70.599999999999994</v>
          </cell>
          <cell r="AE14">
            <v>54.5</v>
          </cell>
          <cell r="AF14">
            <v>49.6</v>
          </cell>
          <cell r="AG14">
            <v>53.3</v>
          </cell>
          <cell r="AH14">
            <v>-379.6</v>
          </cell>
          <cell r="AI14">
            <v>41.5</v>
          </cell>
          <cell r="AJ14">
            <v>-354.2</v>
          </cell>
          <cell r="AK14">
            <v>-383.2</v>
          </cell>
          <cell r="AL14">
            <v>29</v>
          </cell>
          <cell r="AM14">
            <v>19</v>
          </cell>
          <cell r="AN14">
            <v>20</v>
          </cell>
          <cell r="AO14">
            <v>24</v>
          </cell>
          <cell r="AP14">
            <v>21</v>
          </cell>
          <cell r="AR14" t="str">
            <v>Nuc. Subs</v>
          </cell>
          <cell r="AS14">
            <v>22</v>
          </cell>
          <cell r="AT14">
            <v>21</v>
          </cell>
          <cell r="AU14">
            <v>26</v>
          </cell>
          <cell r="AV14">
            <v>25</v>
          </cell>
          <cell r="AW14" t="str">
            <v>Nuc. Subs</v>
          </cell>
          <cell r="AX14">
            <v>30</v>
          </cell>
          <cell r="AY14">
            <v>30</v>
          </cell>
          <cell r="AZ14">
            <v>29</v>
          </cell>
          <cell r="BA14">
            <v>35</v>
          </cell>
          <cell r="BB14" t="str">
            <v>Marine Group</v>
          </cell>
          <cell r="BC14">
            <v>51</v>
          </cell>
          <cell r="BD14">
            <v>52</v>
          </cell>
          <cell r="BE14">
            <v>46</v>
          </cell>
          <cell r="BF14">
            <v>47</v>
          </cell>
          <cell r="BG14" t="str">
            <v>Marine Group</v>
          </cell>
          <cell r="BH14">
            <v>49</v>
          </cell>
          <cell r="BI14">
            <v>47</v>
          </cell>
          <cell r="BJ14">
            <v>47</v>
          </cell>
          <cell r="BK14">
            <v>51</v>
          </cell>
          <cell r="BL14" t="str">
            <v>Marine Group</v>
          </cell>
          <cell r="BM14">
            <v>54</v>
          </cell>
          <cell r="BN14">
            <v>55</v>
          </cell>
          <cell r="BO14">
            <v>52</v>
          </cell>
          <cell r="BP14">
            <v>55</v>
          </cell>
          <cell r="BQ14" t="str">
            <v>Marine Group</v>
          </cell>
          <cell r="BR14">
            <v>59</v>
          </cell>
          <cell r="BS14">
            <v>61</v>
          </cell>
          <cell r="BT14">
            <v>55</v>
          </cell>
          <cell r="BU14">
            <v>59</v>
          </cell>
          <cell r="BW14" t="str">
            <v>Marine Group</v>
          </cell>
          <cell r="BX14">
            <v>64</v>
          </cell>
          <cell r="BY14">
            <v>71</v>
          </cell>
          <cell r="BZ14">
            <v>66</v>
          </cell>
          <cell r="CA14">
            <v>84</v>
          </cell>
          <cell r="CB14">
            <v>88</v>
          </cell>
          <cell r="CC14">
            <v>88</v>
          </cell>
          <cell r="CD14">
            <v>80</v>
          </cell>
          <cell r="CE14">
            <v>72</v>
          </cell>
          <cell r="CG14" t="str">
            <v>Marine Group</v>
          </cell>
          <cell r="CH14">
            <v>88</v>
          </cell>
          <cell r="CI14">
            <v>82</v>
          </cell>
          <cell r="CJ14">
            <v>77</v>
          </cell>
          <cell r="CK14">
            <v>77</v>
          </cell>
          <cell r="CL14">
            <v>80</v>
          </cell>
          <cell r="CM14">
            <v>83</v>
          </cell>
          <cell r="CN14">
            <v>82</v>
          </cell>
          <cell r="CO14">
            <v>65</v>
          </cell>
          <cell r="CQ14" t="str">
            <v>Marine Group</v>
          </cell>
          <cell r="CR14">
            <v>73</v>
          </cell>
          <cell r="CS14">
            <v>64</v>
          </cell>
          <cell r="CT14">
            <v>78</v>
          </cell>
          <cell r="CU14">
            <v>72</v>
          </cell>
          <cell r="CV14">
            <v>65</v>
          </cell>
          <cell r="CW14">
            <v>64</v>
          </cell>
          <cell r="CX14">
            <v>36</v>
          </cell>
          <cell r="CY14">
            <v>51</v>
          </cell>
          <cell r="DA14" t="str">
            <v>Marine Systems</v>
          </cell>
          <cell r="DB14">
            <v>98</v>
          </cell>
          <cell r="DC14">
            <v>81</v>
          </cell>
          <cell r="DD14">
            <v>62</v>
          </cell>
          <cell r="DE14">
            <v>51</v>
          </cell>
          <cell r="DG14" t="str">
            <v>Marine Systems</v>
          </cell>
          <cell r="DH14">
            <v>49</v>
          </cell>
          <cell r="DI14">
            <v>65</v>
          </cell>
          <cell r="DJ14">
            <v>52</v>
          </cell>
          <cell r="DK14">
            <v>83</v>
          </cell>
          <cell r="DL14">
            <v>97</v>
          </cell>
          <cell r="DM14">
            <v>92</v>
          </cell>
          <cell r="DN14">
            <v>102</v>
          </cell>
          <cell r="DO14">
            <v>84</v>
          </cell>
          <cell r="EB14" t="str">
            <v>Marine Systems</v>
          </cell>
          <cell r="EC14">
            <v>196</v>
          </cell>
          <cell r="ED14">
            <v>194</v>
          </cell>
          <cell r="EE14">
            <v>216</v>
          </cell>
          <cell r="EF14">
            <v>234</v>
          </cell>
          <cell r="EG14">
            <v>285</v>
          </cell>
          <cell r="EH14">
            <v>328</v>
          </cell>
        </row>
        <row r="15">
          <cell r="A15" t="str">
            <v>Nuc. Subs</v>
          </cell>
          <cell r="B15">
            <v>329.1</v>
          </cell>
          <cell r="C15">
            <v>321.60000000000002</v>
          </cell>
          <cell r="D15">
            <v>318</v>
          </cell>
          <cell r="E15">
            <v>237.2</v>
          </cell>
          <cell r="F15">
            <v>84</v>
          </cell>
          <cell r="H15" t="str">
            <v>Nuc. Subs</v>
          </cell>
          <cell r="I15">
            <v>84</v>
          </cell>
          <cell r="K15" t="str">
            <v>Marine Group</v>
          </cell>
          <cell r="L15">
            <v>94</v>
          </cell>
          <cell r="M15">
            <v>124</v>
          </cell>
          <cell r="N15">
            <v>196</v>
          </cell>
          <cell r="P15" t="str">
            <v>Nuc. Subs</v>
          </cell>
          <cell r="Q15">
            <v>42.9</v>
          </cell>
          <cell r="R15">
            <v>42.5</v>
          </cell>
          <cell r="S15">
            <v>38</v>
          </cell>
          <cell r="T15">
            <v>51.6</v>
          </cell>
          <cell r="U15">
            <v>22.1</v>
          </cell>
          <cell r="V15">
            <v>26.9</v>
          </cell>
          <cell r="W15">
            <v>30.8</v>
          </cell>
          <cell r="X15">
            <v>25.8</v>
          </cell>
          <cell r="Y15">
            <v>27.1</v>
          </cell>
          <cell r="Z15">
            <v>-23.4</v>
          </cell>
          <cell r="AA15">
            <v>9.8000000000000007</v>
          </cell>
          <cell r="AB15">
            <v>22.5</v>
          </cell>
          <cell r="AC15">
            <v>30.9</v>
          </cell>
          <cell r="AD15">
            <v>-38.4</v>
          </cell>
          <cell r="AE15">
            <v>20.5</v>
          </cell>
          <cell r="AF15">
            <v>28.4</v>
          </cell>
          <cell r="AG15">
            <v>26.1</v>
          </cell>
          <cell r="AH15">
            <v>29.7</v>
          </cell>
          <cell r="AI15">
            <v>22.3</v>
          </cell>
          <cell r="AJ15">
            <v>6.9</v>
          </cell>
          <cell r="AL15">
            <v>6.9</v>
          </cell>
          <cell r="AM15">
            <v>24</v>
          </cell>
          <cell r="AN15">
            <v>25</v>
          </cell>
          <cell r="AO15">
            <v>26</v>
          </cell>
          <cell r="AP15">
            <v>21</v>
          </cell>
          <cell r="AR15" t="str">
            <v>Armored Veh</v>
          </cell>
          <cell r="AS15">
            <v>26</v>
          </cell>
          <cell r="AT15">
            <v>28</v>
          </cell>
          <cell r="AU15">
            <v>28</v>
          </cell>
          <cell r="AV15">
            <v>40</v>
          </cell>
          <cell r="AW15" t="str">
            <v>Armored Veh</v>
          </cell>
          <cell r="AX15">
            <v>58</v>
          </cell>
          <cell r="AY15">
            <v>31</v>
          </cell>
          <cell r="AZ15">
            <v>32</v>
          </cell>
          <cell r="BA15">
            <v>53</v>
          </cell>
          <cell r="BB15" t="str">
            <v>Armored Veh</v>
          </cell>
          <cell r="BC15">
            <v>32</v>
          </cell>
          <cell r="BD15">
            <v>34</v>
          </cell>
          <cell r="BE15">
            <v>37</v>
          </cell>
          <cell r="BF15">
            <v>37</v>
          </cell>
          <cell r="BG15" t="str">
            <v>Armored Veh</v>
          </cell>
          <cell r="BH15">
            <v>36</v>
          </cell>
          <cell r="BI15">
            <v>35</v>
          </cell>
          <cell r="BJ15">
            <v>35</v>
          </cell>
          <cell r="BK15">
            <v>34</v>
          </cell>
          <cell r="BL15" t="str">
            <v>Combat Sys</v>
          </cell>
          <cell r="BM15">
            <v>33</v>
          </cell>
          <cell r="BN15">
            <v>35.4</v>
          </cell>
          <cell r="BO15">
            <v>34</v>
          </cell>
          <cell r="BP15">
            <v>37.6</v>
          </cell>
          <cell r="BQ15" t="str">
            <v>Combat Sys</v>
          </cell>
          <cell r="BR15">
            <v>45</v>
          </cell>
          <cell r="BS15">
            <v>41</v>
          </cell>
          <cell r="BT15">
            <v>47</v>
          </cell>
          <cell r="BU15">
            <v>54</v>
          </cell>
          <cell r="BW15" t="str">
            <v>Combat Sys</v>
          </cell>
          <cell r="BX15">
            <v>43</v>
          </cell>
          <cell r="BY15">
            <v>38</v>
          </cell>
          <cell r="BZ15">
            <v>39</v>
          </cell>
          <cell r="CA15">
            <v>46</v>
          </cell>
          <cell r="CB15">
            <v>35</v>
          </cell>
          <cell r="CC15">
            <v>34</v>
          </cell>
          <cell r="CD15">
            <v>37</v>
          </cell>
          <cell r="CE15">
            <v>49</v>
          </cell>
          <cell r="CG15" t="str">
            <v>Combat Sys</v>
          </cell>
          <cell r="CH15">
            <v>37</v>
          </cell>
          <cell r="CI15">
            <v>36</v>
          </cell>
          <cell r="CJ15">
            <v>37</v>
          </cell>
          <cell r="CK15">
            <v>46</v>
          </cell>
          <cell r="CL15">
            <v>48</v>
          </cell>
          <cell r="CM15">
            <v>56</v>
          </cell>
          <cell r="CN15">
            <v>58</v>
          </cell>
          <cell r="CO15">
            <v>76</v>
          </cell>
          <cell r="CQ15" t="str">
            <v>Combat Systems</v>
          </cell>
          <cell r="CR15">
            <v>55</v>
          </cell>
          <cell r="CS15">
            <v>81</v>
          </cell>
          <cell r="CT15">
            <v>80</v>
          </cell>
          <cell r="CU15">
            <v>93</v>
          </cell>
          <cell r="CV15">
            <v>88</v>
          </cell>
          <cell r="CW15">
            <v>115</v>
          </cell>
          <cell r="CX15">
            <v>109</v>
          </cell>
          <cell r="CY15">
            <v>131</v>
          </cell>
          <cell r="DA15" t="str">
            <v>Combat Systems</v>
          </cell>
          <cell r="DB15">
            <v>112</v>
          </cell>
          <cell r="DC15">
            <v>111</v>
          </cell>
          <cell r="DD15">
            <v>128</v>
          </cell>
          <cell r="DE15">
            <v>171</v>
          </cell>
          <cell r="DG15" t="str">
            <v>Combat Systems</v>
          </cell>
          <cell r="DH15">
            <v>104</v>
          </cell>
          <cell r="DI15">
            <v>123</v>
          </cell>
          <cell r="DJ15">
            <v>159</v>
          </cell>
          <cell r="DK15">
            <v>190</v>
          </cell>
          <cell r="DL15">
            <v>147</v>
          </cell>
          <cell r="DM15">
            <v>172</v>
          </cell>
          <cell r="DN15">
            <v>164</v>
          </cell>
          <cell r="DO15">
            <v>194</v>
          </cell>
          <cell r="EB15" t="str">
            <v>Combat Systems</v>
          </cell>
          <cell r="EC15">
            <v>140</v>
          </cell>
          <cell r="ED15">
            <v>140</v>
          </cell>
          <cell r="EE15">
            <v>140</v>
          </cell>
          <cell r="EF15">
            <v>179</v>
          </cell>
          <cell r="EG15">
            <v>166</v>
          </cell>
          <cell r="EH15">
            <v>155</v>
          </cell>
        </row>
        <row r="16">
          <cell r="A16" t="str">
            <v>Armored Veh</v>
          </cell>
          <cell r="B16">
            <v>175</v>
          </cell>
          <cell r="C16">
            <v>105.6</v>
          </cell>
          <cell r="D16">
            <v>36</v>
          </cell>
          <cell r="E16">
            <v>41.4</v>
          </cell>
          <cell r="F16">
            <v>72</v>
          </cell>
          <cell r="H16" t="str">
            <v>Armored Veh</v>
          </cell>
          <cell r="I16">
            <v>96</v>
          </cell>
          <cell r="K16" t="str">
            <v>Combat Sys</v>
          </cell>
          <cell r="L16">
            <v>122</v>
          </cell>
          <cell r="M16">
            <v>174</v>
          </cell>
          <cell r="N16">
            <v>140</v>
          </cell>
          <cell r="P16" t="str">
            <v>Armored Veh</v>
          </cell>
          <cell r="Q16">
            <v>11.4</v>
          </cell>
          <cell r="R16">
            <v>11.2</v>
          </cell>
          <cell r="S16">
            <v>18</v>
          </cell>
          <cell r="T16">
            <v>11.5</v>
          </cell>
          <cell r="U16">
            <v>5.2</v>
          </cell>
          <cell r="V16">
            <v>5.6</v>
          </cell>
          <cell r="W16">
            <v>3</v>
          </cell>
          <cell r="X16">
            <v>14.5</v>
          </cell>
          <cell r="Y16">
            <v>4.5999999999999996</v>
          </cell>
          <cell r="Z16">
            <v>7.4</v>
          </cell>
          <cell r="AA16">
            <v>17</v>
          </cell>
          <cell r="AB16">
            <v>10.4</v>
          </cell>
          <cell r="AC16">
            <v>17.100000000000001</v>
          </cell>
          <cell r="AD16">
            <v>18.5</v>
          </cell>
          <cell r="AE16">
            <v>14</v>
          </cell>
          <cell r="AF16">
            <v>20.9</v>
          </cell>
          <cell r="AG16">
            <v>16</v>
          </cell>
          <cell r="AH16">
            <v>18</v>
          </cell>
          <cell r="AI16">
            <v>16</v>
          </cell>
          <cell r="AJ16">
            <v>20</v>
          </cell>
          <cell r="AK16">
            <v>-15</v>
          </cell>
          <cell r="AL16">
            <v>35</v>
          </cell>
          <cell r="AM16">
            <v>-1</v>
          </cell>
          <cell r="AN16">
            <v>-25</v>
          </cell>
          <cell r="AO16">
            <v>-23</v>
          </cell>
          <cell r="AP16">
            <v>80</v>
          </cell>
          <cell r="AR16" t="str">
            <v>Other</v>
          </cell>
          <cell r="AS16">
            <v>8</v>
          </cell>
          <cell r="AT16">
            <v>10</v>
          </cell>
          <cell r="AU16">
            <v>9</v>
          </cell>
          <cell r="AV16">
            <v>12</v>
          </cell>
          <cell r="AW16" t="str">
            <v>Other</v>
          </cell>
          <cell r="AX16">
            <v>2</v>
          </cell>
          <cell r="AY16">
            <v>4</v>
          </cell>
          <cell r="AZ16">
            <v>3</v>
          </cell>
          <cell r="BA16">
            <v>2</v>
          </cell>
          <cell r="BG16" t="str">
            <v>Def/Arm Sys</v>
          </cell>
          <cell r="BL16" t="str">
            <v>CDI</v>
          </cell>
          <cell r="BQ16" t="str">
            <v>Info Sys &amp; Tech</v>
          </cell>
          <cell r="BW16" t="str">
            <v>Info Sys &amp; Tech</v>
          </cell>
          <cell r="BX16">
            <v>14</v>
          </cell>
          <cell r="BY16">
            <v>13</v>
          </cell>
          <cell r="BZ16">
            <v>18</v>
          </cell>
          <cell r="CA16">
            <v>24</v>
          </cell>
          <cell r="CB16">
            <v>20</v>
          </cell>
          <cell r="CC16">
            <v>24</v>
          </cell>
          <cell r="CD16">
            <v>30</v>
          </cell>
          <cell r="CE16">
            <v>53</v>
          </cell>
          <cell r="CG16" t="str">
            <v>Info Sys &amp; Tech</v>
          </cell>
          <cell r="CH16">
            <v>58</v>
          </cell>
          <cell r="CI16">
            <v>53</v>
          </cell>
          <cell r="CJ16">
            <v>55</v>
          </cell>
          <cell r="CK16">
            <v>51</v>
          </cell>
          <cell r="CL16">
            <v>60</v>
          </cell>
          <cell r="CM16">
            <v>61</v>
          </cell>
          <cell r="CN16">
            <v>59</v>
          </cell>
          <cell r="CO16">
            <v>81</v>
          </cell>
          <cell r="CQ16" t="str">
            <v>Info. Systems &amp; Tech.</v>
          </cell>
          <cell r="CR16">
            <v>91</v>
          </cell>
          <cell r="CS16">
            <v>103</v>
          </cell>
          <cell r="CT16">
            <v>135</v>
          </cell>
          <cell r="CU16">
            <v>106</v>
          </cell>
          <cell r="CV16">
            <v>111</v>
          </cell>
          <cell r="CW16">
            <v>142</v>
          </cell>
          <cell r="CX16">
            <v>146</v>
          </cell>
          <cell r="CY16">
            <v>137</v>
          </cell>
          <cell r="DA16" t="str">
            <v>Info. Systems &amp; Tech.</v>
          </cell>
          <cell r="DB16">
            <v>169</v>
          </cell>
          <cell r="DC16">
            <v>192</v>
          </cell>
          <cell r="DD16">
            <v>176</v>
          </cell>
          <cell r="DE16">
            <v>181</v>
          </cell>
          <cell r="DG16" t="str">
            <v>Info. Systems &amp; Tech.</v>
          </cell>
          <cell r="DH16">
            <v>197</v>
          </cell>
          <cell r="DI16">
            <v>225</v>
          </cell>
          <cell r="DJ16">
            <v>228</v>
          </cell>
          <cell r="DK16">
            <v>215</v>
          </cell>
          <cell r="DL16">
            <v>220</v>
          </cell>
          <cell r="DM16">
            <v>232</v>
          </cell>
          <cell r="DN16">
            <v>258</v>
          </cell>
          <cell r="DO16">
            <v>266</v>
          </cell>
          <cell r="EB16" t="str">
            <v>Info. Systems &amp; Tech.</v>
          </cell>
          <cell r="EF16">
            <v>15</v>
          </cell>
          <cell r="EG16">
            <v>69</v>
          </cell>
          <cell r="EH16">
            <v>127</v>
          </cell>
        </row>
        <row r="17">
          <cell r="A17" t="str">
            <v>Space Launch</v>
          </cell>
          <cell r="B17">
            <v>52.1</v>
          </cell>
          <cell r="C17">
            <v>28.3</v>
          </cell>
          <cell r="D17">
            <v>39.4</v>
          </cell>
          <cell r="E17">
            <v>70.5</v>
          </cell>
          <cell r="F17">
            <v>-395</v>
          </cell>
          <cell r="H17" t="str">
            <v>Other</v>
          </cell>
          <cell r="I17">
            <v>31</v>
          </cell>
          <cell r="K17" t="str">
            <v>Info Sys &amp; Tech</v>
          </cell>
          <cell r="P17" t="str">
            <v>Space Launch</v>
          </cell>
          <cell r="Q17">
            <v>-29.6</v>
          </cell>
          <cell r="R17">
            <v>-18.3</v>
          </cell>
          <cell r="S17">
            <v>-12</v>
          </cell>
          <cell r="T17">
            <v>0.9</v>
          </cell>
          <cell r="U17">
            <v>2.9</v>
          </cell>
          <cell r="V17">
            <v>2.9</v>
          </cell>
          <cell r="W17">
            <v>-1.6</v>
          </cell>
          <cell r="X17">
            <v>2.1</v>
          </cell>
          <cell r="Y17">
            <v>3.3</v>
          </cell>
          <cell r="Z17">
            <v>0.9</v>
          </cell>
          <cell r="AA17">
            <v>9.4</v>
          </cell>
          <cell r="AB17">
            <v>11.3</v>
          </cell>
          <cell r="AC17">
            <v>4.3</v>
          </cell>
          <cell r="AD17">
            <v>9.3000000000000007</v>
          </cell>
          <cell r="AE17">
            <v>19.8</v>
          </cell>
          <cell r="AF17">
            <v>42.6</v>
          </cell>
          <cell r="AG17">
            <v>-23</v>
          </cell>
          <cell r="AH17">
            <v>-20</v>
          </cell>
          <cell r="AI17">
            <v>-24</v>
          </cell>
          <cell r="AJ17">
            <v>-328</v>
          </cell>
          <cell r="AL17">
            <v>-328</v>
          </cell>
          <cell r="AM17" t="str">
            <v>----</v>
          </cell>
          <cell r="AN17" t="str">
            <v>----</v>
          </cell>
          <cell r="AO17" t="str">
            <v>----</v>
          </cell>
          <cell r="AP17" t="str">
            <v>----</v>
          </cell>
          <cell r="AS17" t="str">
            <v>----</v>
          </cell>
          <cell r="AT17" t="str">
            <v>----</v>
          </cell>
          <cell r="AU17" t="str">
            <v>----</v>
          </cell>
          <cell r="AV17" t="str">
            <v>----</v>
          </cell>
          <cell r="AX17" t="str">
            <v>----</v>
          </cell>
          <cell r="AY17" t="str">
            <v>----</v>
          </cell>
          <cell r="AZ17" t="str">
            <v>----</v>
          </cell>
          <cell r="BA17" t="str">
            <v>----</v>
          </cell>
          <cell r="BW17" t="str">
            <v>Gulfstream</v>
          </cell>
          <cell r="BX17">
            <v>69.200000000000017</v>
          </cell>
          <cell r="BY17">
            <v>91.6</v>
          </cell>
          <cell r="BZ17">
            <v>104</v>
          </cell>
          <cell r="CA17">
            <v>-35.5</v>
          </cell>
          <cell r="CB17">
            <v>97.311999999999898</v>
          </cell>
          <cell r="CC17">
            <v>115.6</v>
          </cell>
          <cell r="CD17">
            <v>128</v>
          </cell>
          <cell r="CE17">
            <v>141.08800000000008</v>
          </cell>
          <cell r="CG17" t="str">
            <v>Aerospace (GAC+Galaxy)</v>
          </cell>
          <cell r="CH17">
            <v>131</v>
          </cell>
          <cell r="CI17">
            <v>151</v>
          </cell>
          <cell r="CJ17">
            <v>149</v>
          </cell>
          <cell r="CK17">
            <v>161</v>
          </cell>
          <cell r="CL17">
            <v>144</v>
          </cell>
          <cell r="CM17">
            <v>157</v>
          </cell>
          <cell r="CN17">
            <v>161</v>
          </cell>
          <cell r="CO17">
            <v>163</v>
          </cell>
          <cell r="CQ17" t="str">
            <v>Aerospace</v>
          </cell>
          <cell r="CR17">
            <v>144</v>
          </cell>
          <cell r="CS17">
            <v>150</v>
          </cell>
          <cell r="CT17">
            <v>100</v>
          </cell>
          <cell r="CU17">
            <v>53</v>
          </cell>
          <cell r="CV17">
            <v>40</v>
          </cell>
          <cell r="CW17">
            <v>45</v>
          </cell>
          <cell r="CX17">
            <v>50</v>
          </cell>
          <cell r="CY17">
            <v>83</v>
          </cell>
          <cell r="DA17" t="str">
            <v>Aerospace</v>
          </cell>
          <cell r="DB17">
            <v>66</v>
          </cell>
          <cell r="DC17">
            <v>94</v>
          </cell>
          <cell r="DD17">
            <v>117</v>
          </cell>
          <cell r="DE17">
            <v>116</v>
          </cell>
          <cell r="DG17" t="str">
            <v>Aerospace</v>
          </cell>
          <cell r="DH17">
            <v>101</v>
          </cell>
          <cell r="DI17">
            <v>125</v>
          </cell>
          <cell r="DJ17">
            <v>146</v>
          </cell>
          <cell r="DK17">
            <v>123</v>
          </cell>
          <cell r="DL17">
            <v>145</v>
          </cell>
          <cell r="DM17">
            <v>166</v>
          </cell>
          <cell r="DN17">
            <v>165</v>
          </cell>
          <cell r="DO17">
            <v>168</v>
          </cell>
          <cell r="EB17" t="str">
            <v>Aerospace</v>
          </cell>
          <cell r="EF17">
            <v>229</v>
          </cell>
          <cell r="EG17">
            <v>228.39999999999998</v>
          </cell>
          <cell r="EH17">
            <v>482</v>
          </cell>
        </row>
        <row r="18">
          <cell r="B18">
            <v>-59.000000000000007</v>
          </cell>
          <cell r="C18">
            <v>21</v>
          </cell>
          <cell r="D18">
            <v>24.900000000000002</v>
          </cell>
          <cell r="E18">
            <v>27.200000000000003</v>
          </cell>
          <cell r="K18" t="str">
            <v>Other</v>
          </cell>
          <cell r="L18">
            <v>39</v>
          </cell>
          <cell r="M18">
            <v>11</v>
          </cell>
          <cell r="N18">
            <v>-15</v>
          </cell>
          <cell r="Q18">
            <v>-1.7</v>
          </cell>
          <cell r="R18">
            <v>-3.2</v>
          </cell>
          <cell r="S18">
            <v>7</v>
          </cell>
          <cell r="T18">
            <v>-2.2999999999999998</v>
          </cell>
          <cell r="U18">
            <v>2</v>
          </cell>
          <cell r="V18">
            <v>1.9</v>
          </cell>
          <cell r="W18">
            <v>1.7</v>
          </cell>
          <cell r="X18">
            <v>-14.6</v>
          </cell>
          <cell r="Y18">
            <v>-15.1</v>
          </cell>
          <cell r="Z18">
            <v>-10</v>
          </cell>
          <cell r="AA18">
            <v>-4.0999999999999996</v>
          </cell>
          <cell r="AB18">
            <v>-3.8</v>
          </cell>
          <cell r="AC18">
            <v>-7.4</v>
          </cell>
          <cell r="AD18">
            <v>3.3</v>
          </cell>
          <cell r="AE18">
            <v>-5.2</v>
          </cell>
          <cell r="AF18">
            <v>-8</v>
          </cell>
          <cell r="AG18" t="str">
            <v>----</v>
          </cell>
          <cell r="AH18" t="str">
            <v>----</v>
          </cell>
          <cell r="AI18" t="str">
            <v>----</v>
          </cell>
          <cell r="AJ18" t="str">
            <v>----</v>
          </cell>
          <cell r="AL18" t="str">
            <v xml:space="preserve"> </v>
          </cell>
          <cell r="BB18" t="str">
            <v>Other</v>
          </cell>
          <cell r="BC18">
            <v>-4</v>
          </cell>
          <cell r="BD18">
            <v>-3</v>
          </cell>
          <cell r="BE18">
            <v>-6</v>
          </cell>
          <cell r="BF18">
            <v>-2</v>
          </cell>
          <cell r="BG18" t="str">
            <v>Other</v>
          </cell>
          <cell r="BH18">
            <v>-6</v>
          </cell>
          <cell r="BI18">
            <v>-6</v>
          </cell>
          <cell r="BJ18">
            <v>-5</v>
          </cell>
          <cell r="BK18">
            <v>-2</v>
          </cell>
          <cell r="BL18" t="str">
            <v>Other</v>
          </cell>
          <cell r="BM18">
            <v>-4</v>
          </cell>
          <cell r="BN18">
            <v>-1</v>
          </cell>
          <cell r="BO18">
            <v>3</v>
          </cell>
          <cell r="BP18">
            <v>-1</v>
          </cell>
          <cell r="BQ18" t="str">
            <v>Other</v>
          </cell>
          <cell r="BR18">
            <v>-2</v>
          </cell>
          <cell r="BS18">
            <v>12</v>
          </cell>
          <cell r="BT18">
            <v>11</v>
          </cell>
          <cell r="BU18">
            <v>4</v>
          </cell>
          <cell r="BW18" t="str">
            <v>Other</v>
          </cell>
          <cell r="BX18">
            <v>3</v>
          </cell>
          <cell r="BY18">
            <v>13</v>
          </cell>
          <cell r="BZ18">
            <v>16</v>
          </cell>
          <cell r="CA18">
            <v>0</v>
          </cell>
          <cell r="CB18">
            <v>0</v>
          </cell>
          <cell r="CC18">
            <v>17</v>
          </cell>
          <cell r="CD18">
            <v>15</v>
          </cell>
          <cell r="CE18">
            <v>14</v>
          </cell>
          <cell r="CG18" t="str">
            <v>Other</v>
          </cell>
          <cell r="CH18">
            <v>-8</v>
          </cell>
          <cell r="CI18">
            <v>13</v>
          </cell>
          <cell r="CJ18">
            <v>19</v>
          </cell>
          <cell r="CK18">
            <v>12</v>
          </cell>
          <cell r="CL18">
            <v>2</v>
          </cell>
          <cell r="CM18">
            <v>14</v>
          </cell>
          <cell r="CN18">
            <v>16</v>
          </cell>
          <cell r="CO18">
            <v>20</v>
          </cell>
          <cell r="CQ18" t="str">
            <v>Resources</v>
          </cell>
          <cell r="CR18">
            <v>6</v>
          </cell>
          <cell r="CS18">
            <v>25</v>
          </cell>
          <cell r="CT18">
            <v>31</v>
          </cell>
          <cell r="CU18">
            <v>27</v>
          </cell>
          <cell r="CV18">
            <v>10</v>
          </cell>
          <cell r="CW18">
            <v>9</v>
          </cell>
          <cell r="CX18">
            <v>8</v>
          </cell>
          <cell r="CY18">
            <v>5</v>
          </cell>
          <cell r="DA18" t="str">
            <v>Corporate</v>
          </cell>
          <cell r="DB18">
            <v>-9</v>
          </cell>
          <cell r="DC18">
            <v>7</v>
          </cell>
          <cell r="DD18">
            <v>10</v>
          </cell>
          <cell r="DE18">
            <v>-2</v>
          </cell>
          <cell r="DG18" t="str">
            <v>Corporate</v>
          </cell>
          <cell r="DH18">
            <v>9</v>
          </cell>
          <cell r="DI18">
            <v>1</v>
          </cell>
          <cell r="DJ18">
            <v>-10</v>
          </cell>
          <cell r="DK18">
            <v>1</v>
          </cell>
          <cell r="DL18">
            <v>-13</v>
          </cell>
          <cell r="DM18">
            <v>-13</v>
          </cell>
          <cell r="DN18">
            <v>-12</v>
          </cell>
          <cell r="DO18">
            <v>-9</v>
          </cell>
          <cell r="EB18" t="str">
            <v>Corporate</v>
          </cell>
          <cell r="EC18">
            <v>-15</v>
          </cell>
          <cell r="ED18">
            <v>-19</v>
          </cell>
          <cell r="EE18">
            <v>-3</v>
          </cell>
          <cell r="EF18">
            <v>25</v>
          </cell>
          <cell r="EG18">
            <v>32</v>
          </cell>
          <cell r="EH18">
            <v>46</v>
          </cell>
        </row>
        <row r="19">
          <cell r="B19">
            <v>-0.20000000000000018</v>
          </cell>
          <cell r="C19">
            <v>-9</v>
          </cell>
          <cell r="D19">
            <v>-33</v>
          </cell>
          <cell r="I19" t="str">
            <v>----</v>
          </cell>
          <cell r="Q19" t="str">
            <v>----</v>
          </cell>
          <cell r="R19" t="str">
            <v>----</v>
          </cell>
          <cell r="S19" t="str">
            <v>----</v>
          </cell>
          <cell r="T19" t="str">
            <v>----</v>
          </cell>
          <cell r="U19" t="str">
            <v>----</v>
          </cell>
          <cell r="V19" t="str">
            <v>----</v>
          </cell>
          <cell r="W19" t="str">
            <v>----</v>
          </cell>
          <cell r="X19" t="str">
            <v>----</v>
          </cell>
          <cell r="Y19" t="str">
            <v>----</v>
          </cell>
          <cell r="Z19" t="str">
            <v>----</v>
          </cell>
          <cell r="AA19" t="str">
            <v>----</v>
          </cell>
          <cell r="AB19" t="str">
            <v>----</v>
          </cell>
          <cell r="AC19" t="str">
            <v>----</v>
          </cell>
          <cell r="AD19" t="str">
            <v>----</v>
          </cell>
          <cell r="AE19" t="str">
            <v>----</v>
          </cell>
          <cell r="AF19" t="str">
            <v>----</v>
          </cell>
          <cell r="CQ19" t="str">
            <v>Total Operating Profit</v>
          </cell>
          <cell r="CR19">
            <v>369</v>
          </cell>
          <cell r="CS19">
            <v>423</v>
          </cell>
          <cell r="CT19">
            <v>424</v>
          </cell>
          <cell r="CU19">
            <v>351</v>
          </cell>
          <cell r="CV19">
            <v>314</v>
          </cell>
          <cell r="CW19">
            <v>375</v>
          </cell>
          <cell r="CX19">
            <v>349</v>
          </cell>
          <cell r="CY19">
            <v>407</v>
          </cell>
          <cell r="DA19" t="str">
            <v>Total Operating Profit</v>
          </cell>
          <cell r="DB19">
            <v>436</v>
          </cell>
          <cell r="DC19">
            <v>485</v>
          </cell>
          <cell r="DD19">
            <v>493</v>
          </cell>
          <cell r="DE19">
            <v>517</v>
          </cell>
          <cell r="DG19" t="str">
            <v>Total Operating Profit</v>
          </cell>
          <cell r="DH19">
            <v>460</v>
          </cell>
          <cell r="DI19">
            <v>539</v>
          </cell>
          <cell r="DJ19">
            <v>575</v>
          </cell>
          <cell r="DK19">
            <v>612</v>
          </cell>
          <cell r="DL19">
            <v>596</v>
          </cell>
          <cell r="DM19">
            <v>649</v>
          </cell>
          <cell r="DN19">
            <v>677</v>
          </cell>
          <cell r="DO19">
            <v>703</v>
          </cell>
          <cell r="EB19" t="str">
            <v>Total Operating Profit</v>
          </cell>
          <cell r="EC19">
            <v>321</v>
          </cell>
          <cell r="ED19">
            <v>315</v>
          </cell>
          <cell r="EE19">
            <v>353</v>
          </cell>
          <cell r="EF19">
            <v>682</v>
          </cell>
          <cell r="EG19">
            <v>780.4</v>
          </cell>
          <cell r="EH19">
            <v>1138</v>
          </cell>
        </row>
        <row r="20">
          <cell r="A20" t="str">
            <v xml:space="preserve"> Total</v>
          </cell>
          <cell r="B20">
            <v>497</v>
          </cell>
          <cell r="C20">
            <v>467.50000000000006</v>
          </cell>
          <cell r="D20">
            <v>385.3</v>
          </cell>
          <cell r="E20">
            <v>407.79999999999995</v>
          </cell>
          <cell r="F20">
            <v>-239</v>
          </cell>
          <cell r="H20" t="str">
            <v xml:space="preserve"> Total Op Pr.</v>
          </cell>
          <cell r="I20">
            <v>211</v>
          </cell>
          <cell r="K20" t="str">
            <v xml:space="preserve"> Total Op Pr.</v>
          </cell>
          <cell r="L20">
            <v>255</v>
          </cell>
          <cell r="M20">
            <v>309</v>
          </cell>
          <cell r="N20">
            <v>321</v>
          </cell>
          <cell r="P20" t="str">
            <v xml:space="preserve"> Total</v>
          </cell>
          <cell r="Q20">
            <v>99.1</v>
          </cell>
          <cell r="R20">
            <v>118.9</v>
          </cell>
          <cell r="S20">
            <v>137</v>
          </cell>
          <cell r="T20">
            <v>142</v>
          </cell>
          <cell r="U20">
            <v>117.4</v>
          </cell>
          <cell r="V20">
            <v>123.8</v>
          </cell>
          <cell r="W20">
            <v>112.9</v>
          </cell>
          <cell r="X20">
            <v>98.7</v>
          </cell>
          <cell r="Y20">
            <v>120.8</v>
          </cell>
          <cell r="Z20">
            <v>57.9</v>
          </cell>
          <cell r="AA20">
            <v>99.8</v>
          </cell>
          <cell r="AB20">
            <v>106.8</v>
          </cell>
          <cell r="AC20">
            <v>107.4</v>
          </cell>
          <cell r="AD20">
            <v>63.3</v>
          </cell>
          <cell r="AE20">
            <v>103.6</v>
          </cell>
          <cell r="AF20">
            <v>133.5</v>
          </cell>
          <cell r="AG20">
            <v>72.400000000000006</v>
          </cell>
          <cell r="AH20">
            <v>-351.9</v>
          </cell>
          <cell r="AI20">
            <v>55.8</v>
          </cell>
          <cell r="AJ20">
            <v>-655.29999999999995</v>
          </cell>
          <cell r="AM20">
            <v>42</v>
          </cell>
          <cell r="AN20">
            <v>20</v>
          </cell>
          <cell r="AO20">
            <v>27</v>
          </cell>
          <cell r="AP20">
            <v>122</v>
          </cell>
          <cell r="AR20" t="str">
            <v xml:space="preserve"> Total Op Pr.</v>
          </cell>
          <cell r="AS20">
            <v>56</v>
          </cell>
          <cell r="AT20">
            <v>59</v>
          </cell>
          <cell r="AU20">
            <v>63</v>
          </cell>
          <cell r="AV20">
            <v>77</v>
          </cell>
          <cell r="AW20" t="str">
            <v xml:space="preserve"> Total Op Pr.</v>
          </cell>
          <cell r="AX20">
            <v>90</v>
          </cell>
          <cell r="AY20">
            <v>65</v>
          </cell>
          <cell r="AZ20">
            <v>64</v>
          </cell>
          <cell r="BA20">
            <v>90</v>
          </cell>
          <cell r="BB20" t="str">
            <v xml:space="preserve"> Total Op Pr.</v>
          </cell>
          <cell r="BC20">
            <v>79</v>
          </cell>
          <cell r="BD20">
            <v>83</v>
          </cell>
          <cell r="BE20">
            <v>77</v>
          </cell>
          <cell r="BF20">
            <v>82</v>
          </cell>
          <cell r="BG20" t="str">
            <v xml:space="preserve"> Total Op Pr.</v>
          </cell>
          <cell r="BH20">
            <v>79</v>
          </cell>
          <cell r="BI20">
            <v>76</v>
          </cell>
          <cell r="BJ20">
            <v>77</v>
          </cell>
          <cell r="BK20">
            <v>83</v>
          </cell>
          <cell r="BL20" t="str">
            <v xml:space="preserve"> Total Op Pr.</v>
          </cell>
          <cell r="BM20">
            <v>83</v>
          </cell>
          <cell r="BN20">
            <v>89.4</v>
          </cell>
          <cell r="BO20">
            <v>89</v>
          </cell>
          <cell r="BP20">
            <v>91.6</v>
          </cell>
          <cell r="BQ20" t="str">
            <v xml:space="preserve"> Total Op Pr.</v>
          </cell>
          <cell r="BR20">
            <v>102</v>
          </cell>
          <cell r="BS20">
            <v>114</v>
          </cell>
          <cell r="BT20">
            <v>113</v>
          </cell>
          <cell r="BU20">
            <v>117</v>
          </cell>
          <cell r="BW20" t="str">
            <v xml:space="preserve"> Total Op Pr.</v>
          </cell>
          <cell r="BX20">
            <v>193.20000000000002</v>
          </cell>
          <cell r="BY20">
            <v>226.6</v>
          </cell>
          <cell r="BZ20">
            <v>243</v>
          </cell>
          <cell r="CA20">
            <v>117.60000000000002</v>
          </cell>
          <cell r="CB20">
            <v>240.3119999999999</v>
          </cell>
          <cell r="CC20">
            <v>278.60000000000002</v>
          </cell>
          <cell r="CD20">
            <v>290</v>
          </cell>
          <cell r="CE20">
            <v>329.08800000000008</v>
          </cell>
          <cell r="CG20" t="str">
            <v xml:space="preserve"> Total Operating Profit</v>
          </cell>
          <cell r="CH20">
            <v>306</v>
          </cell>
          <cell r="CI20">
            <v>335</v>
          </cell>
          <cell r="CJ20">
            <v>337</v>
          </cell>
          <cell r="CK20">
            <v>347</v>
          </cell>
          <cell r="CL20">
            <v>334</v>
          </cell>
          <cell r="CM20">
            <v>371</v>
          </cell>
          <cell r="CN20">
            <v>376</v>
          </cell>
          <cell r="CO20">
            <v>405</v>
          </cell>
          <cell r="CQ20" t="str">
            <v>Operating Margins</v>
          </cell>
          <cell r="CR20">
            <v>0.11895551257253385</v>
          </cell>
          <cell r="CS20">
            <v>0.12065031374786081</v>
          </cell>
          <cell r="CT20">
            <v>0.12911084043848964</v>
          </cell>
          <cell r="CU20">
            <v>9.2661034846884899E-2</v>
          </cell>
          <cell r="CV20">
            <v>9.2707410687924416E-2</v>
          </cell>
          <cell r="CW20">
            <v>9.625256673511294E-2</v>
          </cell>
          <cell r="CX20">
            <v>8.0137772675086108E-2</v>
          </cell>
          <cell r="CY20">
            <v>8.6028323821602193E-2</v>
          </cell>
          <cell r="DA20" t="str">
            <v>Operating Margins</v>
          </cell>
          <cell r="DB20">
            <v>9.384416702539819E-2</v>
          </cell>
          <cell r="DC20">
            <v>0.10425623387790198</v>
          </cell>
          <cell r="DD20">
            <v>0.10608995050570261</v>
          </cell>
          <cell r="DE20">
            <v>0.10501726589477961</v>
          </cell>
          <cell r="DG20" t="str">
            <v>Operating Profit Margin</v>
          </cell>
          <cell r="EB20" t="str">
            <v>Operating Profit Margin</v>
          </cell>
        </row>
        <row r="21">
          <cell r="CG21" t="str">
            <v>Operating Margins</v>
          </cell>
          <cell r="CH21">
            <v>0.1201885310290652</v>
          </cell>
          <cell r="CI21">
            <v>0.12800917080626673</v>
          </cell>
          <cell r="CJ21">
            <v>0.13469224620303757</v>
          </cell>
          <cell r="CK21">
            <v>0.13143939393939394</v>
          </cell>
          <cell r="CL21">
            <v>0.12495323606434718</v>
          </cell>
          <cell r="CM21">
            <v>0.12525320729237002</v>
          </cell>
          <cell r="CN21">
            <v>0.12450331125827814</v>
          </cell>
          <cell r="CO21">
            <v>0.11915269196822595</v>
          </cell>
          <cell r="CQ21" t="str">
            <v>Interest, net</v>
          </cell>
          <cell r="CR21">
            <v>-12</v>
          </cell>
          <cell r="CS21">
            <v>-11</v>
          </cell>
          <cell r="CT21">
            <v>-11</v>
          </cell>
          <cell r="CU21">
            <v>-11</v>
          </cell>
          <cell r="CV21">
            <v>-11</v>
          </cell>
          <cell r="CW21">
            <v>-19</v>
          </cell>
          <cell r="CX21">
            <v>-29</v>
          </cell>
          <cell r="CY21">
            <v>-39</v>
          </cell>
          <cell r="DA21" t="str">
            <v>Interest, net</v>
          </cell>
          <cell r="DB21">
            <v>-39</v>
          </cell>
          <cell r="DC21">
            <v>-39</v>
          </cell>
          <cell r="DD21">
            <v>-33</v>
          </cell>
          <cell r="DE21">
            <v>-37</v>
          </cell>
          <cell r="DG21" t="str">
            <v>Marine Systems</v>
          </cell>
          <cell r="DH21">
            <v>4.049586776859504E-2</v>
          </cell>
          <cell r="DI21">
            <v>5.5178268251273345E-2</v>
          </cell>
          <cell r="DJ21">
            <v>4.4406490179333902E-2</v>
          </cell>
          <cell r="DK21">
            <v>7.3063380281690141E-2</v>
          </cell>
          <cell r="DL21">
            <v>7.6078431372549021E-2</v>
          </cell>
          <cell r="DM21">
            <v>7.266982622432859E-2</v>
          </cell>
          <cell r="DN21">
            <v>8.3538083538083535E-2</v>
          </cell>
          <cell r="DO21">
            <v>7.1307300509337868E-2</v>
          </cell>
          <cell r="EB21" t="str">
            <v>Marine Systems</v>
          </cell>
          <cell r="EC21">
            <v>0.11309867282169649</v>
          </cell>
          <cell r="ED21">
            <v>0.1029723991507431</v>
          </cell>
          <cell r="EE21">
            <v>9.2624356775300176E-2</v>
          </cell>
          <cell r="EF21">
            <v>0.10125486802250108</v>
          </cell>
          <cell r="EG21">
            <v>0.10690172543135784</v>
          </cell>
          <cell r="EH21">
            <v>0.10621761658031088</v>
          </cell>
        </row>
        <row r="22">
          <cell r="A22" t="str">
            <v>Interest,net</v>
          </cell>
          <cell r="B22">
            <v>-55</v>
          </cell>
          <cell r="C22">
            <v>-41</v>
          </cell>
          <cell r="D22">
            <v>-48.4</v>
          </cell>
          <cell r="E22">
            <v>-83.7</v>
          </cell>
          <cell r="F22">
            <v>-33</v>
          </cell>
          <cell r="H22" t="str">
            <v>Interest,net</v>
          </cell>
          <cell r="I22">
            <v>10</v>
          </cell>
          <cell r="K22" t="str">
            <v>Interest,net</v>
          </cell>
          <cell r="L22">
            <v>27</v>
          </cell>
          <cell r="M22">
            <v>36</v>
          </cell>
          <cell r="N22">
            <v>22</v>
          </cell>
          <cell r="P22" t="str">
            <v>Interest,net</v>
          </cell>
          <cell r="AC22">
            <v>-14.1</v>
          </cell>
          <cell r="AD22">
            <v>-19</v>
          </cell>
          <cell r="AE22">
            <v>-21.5</v>
          </cell>
          <cell r="AF22">
            <v>-29.1</v>
          </cell>
          <cell r="AG22">
            <v>-19.399999999999999</v>
          </cell>
          <cell r="AH22">
            <v>-14</v>
          </cell>
          <cell r="AI22">
            <v>-13.6</v>
          </cell>
          <cell r="AJ22">
            <v>-15.1</v>
          </cell>
          <cell r="AL22">
            <v>-15.1</v>
          </cell>
          <cell r="AM22">
            <v>-12</v>
          </cell>
          <cell r="AN22">
            <v>-12</v>
          </cell>
          <cell r="AO22">
            <v>-7.8</v>
          </cell>
          <cell r="AP22">
            <v>41.8</v>
          </cell>
          <cell r="AR22" t="str">
            <v>Interest,net</v>
          </cell>
          <cell r="AS22">
            <v>8</v>
          </cell>
          <cell r="AT22">
            <v>12</v>
          </cell>
          <cell r="AU22">
            <v>1</v>
          </cell>
          <cell r="AV22">
            <v>6</v>
          </cell>
          <cell r="AW22" t="str">
            <v>Interest,net</v>
          </cell>
          <cell r="AX22">
            <v>10</v>
          </cell>
          <cell r="AY22">
            <v>12</v>
          </cell>
          <cell r="AZ22">
            <v>8</v>
          </cell>
          <cell r="BA22">
            <v>6</v>
          </cell>
          <cell r="BB22" t="str">
            <v>Interest,net</v>
          </cell>
          <cell r="BC22">
            <v>2.8</v>
          </cell>
          <cell r="BD22">
            <v>3</v>
          </cell>
          <cell r="BE22">
            <v>7</v>
          </cell>
          <cell r="BF22">
            <v>9.1999999999999993</v>
          </cell>
          <cell r="BG22" t="str">
            <v>Interest,net</v>
          </cell>
          <cell r="BH22">
            <v>13</v>
          </cell>
          <cell r="BI22">
            <v>15</v>
          </cell>
          <cell r="BJ22">
            <v>14</v>
          </cell>
          <cell r="BK22">
            <v>12.5</v>
          </cell>
          <cell r="BL22" t="str">
            <v>Interest,net</v>
          </cell>
          <cell r="BM22">
            <v>13</v>
          </cell>
          <cell r="BN22">
            <v>13</v>
          </cell>
          <cell r="BO22">
            <v>14</v>
          </cell>
          <cell r="BP22">
            <v>15</v>
          </cell>
          <cell r="BQ22" t="str">
            <v>Interest,net</v>
          </cell>
          <cell r="BR22">
            <v>9</v>
          </cell>
          <cell r="BS22">
            <v>8</v>
          </cell>
          <cell r="BT22">
            <v>10</v>
          </cell>
          <cell r="BU22">
            <v>9</v>
          </cell>
          <cell r="BW22" t="str">
            <v>Interest,net</v>
          </cell>
          <cell r="BX22">
            <v>-3.9770000000000003</v>
          </cell>
          <cell r="BY22">
            <v>-3.9</v>
          </cell>
          <cell r="BZ22">
            <v>-2.9000000000000004</v>
          </cell>
          <cell r="CA22">
            <v>-6.222999999999999</v>
          </cell>
          <cell r="CB22">
            <v>-5.5</v>
          </cell>
          <cell r="CC22">
            <v>-5</v>
          </cell>
          <cell r="CD22">
            <v>-6</v>
          </cell>
          <cell r="CE22">
            <v>-17.5</v>
          </cell>
          <cell r="CG22" t="str">
            <v>Interest, net</v>
          </cell>
          <cell r="CH22">
            <v>-19</v>
          </cell>
          <cell r="CI22">
            <v>-16</v>
          </cell>
          <cell r="CJ22">
            <v>-17</v>
          </cell>
          <cell r="CK22">
            <v>-8</v>
          </cell>
          <cell r="CL22">
            <v>-12</v>
          </cell>
          <cell r="CM22">
            <v>-15</v>
          </cell>
          <cell r="CN22">
            <v>-13</v>
          </cell>
          <cell r="CO22">
            <v>-16</v>
          </cell>
          <cell r="CQ22" t="str">
            <v>Other</v>
          </cell>
          <cell r="CR22">
            <v>-3</v>
          </cell>
          <cell r="CS22">
            <v>3</v>
          </cell>
          <cell r="CT22">
            <v>8</v>
          </cell>
          <cell r="CU22">
            <v>39</v>
          </cell>
          <cell r="CV22">
            <v>4</v>
          </cell>
          <cell r="CW22">
            <v>2</v>
          </cell>
          <cell r="CX22">
            <v>-3</v>
          </cell>
          <cell r="CY22">
            <v>0</v>
          </cell>
          <cell r="DA22" t="str">
            <v>Other</v>
          </cell>
          <cell r="DB22">
            <v>0</v>
          </cell>
          <cell r="DC22">
            <v>-12</v>
          </cell>
          <cell r="DD22">
            <v>3</v>
          </cell>
          <cell r="DE22">
            <v>0</v>
          </cell>
          <cell r="DG22" t="str">
            <v>Combat Systems</v>
          </cell>
          <cell r="DH22">
            <v>9.8391674550614955E-2</v>
          </cell>
          <cell r="DI22">
            <v>0.11001788908765653</v>
          </cell>
          <cell r="DJ22">
            <v>0.12822580645161291</v>
          </cell>
          <cell r="DK22">
            <v>0.11830635118306351</v>
          </cell>
          <cell r="DL22">
            <v>0.10737764791818846</v>
          </cell>
          <cell r="DM22">
            <v>0.11911357340720222</v>
          </cell>
          <cell r="DN22">
            <v>0.12014652014652015</v>
          </cell>
          <cell r="DO22">
            <v>0.1074792243767313</v>
          </cell>
          <cell r="EB22" t="str">
            <v>Combat Systems</v>
          </cell>
          <cell r="EC22">
            <v>0.11824324324324324</v>
          </cell>
          <cell r="ED22">
            <v>0.13333333333333333</v>
          </cell>
          <cell r="EE22">
            <v>0.1364522417153996</v>
          </cell>
          <cell r="EF22">
            <v>0.12905551550108146</v>
          </cell>
          <cell r="EG22">
            <v>0.13050314465408805</v>
          </cell>
          <cell r="EH22">
            <v>0.12015503875968993</v>
          </cell>
        </row>
        <row r="23">
          <cell r="A23" t="str">
            <v>Other</v>
          </cell>
          <cell r="B23">
            <v>-31.7</v>
          </cell>
          <cell r="C23">
            <v>-70.900000000000006</v>
          </cell>
          <cell r="D23">
            <v>-32</v>
          </cell>
          <cell r="E23">
            <v>-52</v>
          </cell>
          <cell r="F23">
            <v>-41</v>
          </cell>
          <cell r="H23" t="str">
            <v>Other</v>
          </cell>
          <cell r="I23">
            <v>-29</v>
          </cell>
          <cell r="K23" t="str">
            <v>Other</v>
          </cell>
          <cell r="L23">
            <v>28</v>
          </cell>
          <cell r="M23">
            <v>68</v>
          </cell>
          <cell r="N23">
            <v>0</v>
          </cell>
          <cell r="P23" t="str">
            <v>Other</v>
          </cell>
          <cell r="Q23">
            <v>-10.3</v>
          </cell>
          <cell r="R23">
            <v>-4.7</v>
          </cell>
          <cell r="S23">
            <v>-4</v>
          </cell>
          <cell r="T23">
            <v>-12.7</v>
          </cell>
          <cell r="U23">
            <v>-12</v>
          </cell>
          <cell r="V23">
            <v>-1.8</v>
          </cell>
          <cell r="W23">
            <v>-15.5</v>
          </cell>
          <cell r="X23">
            <v>-12.8</v>
          </cell>
          <cell r="Y23">
            <v>-19.8</v>
          </cell>
          <cell r="Z23">
            <v>-16.600000000000001</v>
          </cell>
          <cell r="AA23">
            <v>-17.8</v>
          </cell>
          <cell r="AB23">
            <v>-18.2</v>
          </cell>
          <cell r="AC23">
            <v>-15.4</v>
          </cell>
          <cell r="AD23">
            <v>-13.1</v>
          </cell>
          <cell r="AE23">
            <v>-10.5</v>
          </cell>
          <cell r="AF23">
            <v>-13</v>
          </cell>
          <cell r="AG23">
            <v>-12</v>
          </cell>
          <cell r="AH23">
            <v>-10.3</v>
          </cell>
          <cell r="AI23">
            <v>-9</v>
          </cell>
          <cell r="AJ23">
            <v>-29.8</v>
          </cell>
          <cell r="AK23" t="str">
            <v xml:space="preserve"> </v>
          </cell>
          <cell r="AL23">
            <v>-29.8</v>
          </cell>
          <cell r="AM23">
            <v>-5</v>
          </cell>
          <cell r="AN23">
            <v>-6</v>
          </cell>
          <cell r="AO23">
            <v>-5</v>
          </cell>
          <cell r="AP23">
            <v>-13</v>
          </cell>
          <cell r="AR23" t="str">
            <v>Other</v>
          </cell>
          <cell r="AS23">
            <v>1</v>
          </cell>
          <cell r="AT23">
            <v>-1</v>
          </cell>
          <cell r="AU23" t="str">
            <v xml:space="preserve"> </v>
          </cell>
          <cell r="AV23">
            <v>28</v>
          </cell>
          <cell r="AW23" t="str">
            <v>Other</v>
          </cell>
          <cell r="AX23">
            <v>1</v>
          </cell>
          <cell r="AY23">
            <v>19</v>
          </cell>
          <cell r="AZ23">
            <v>45</v>
          </cell>
          <cell r="BA23">
            <v>3</v>
          </cell>
          <cell r="BB23" t="str">
            <v>Other</v>
          </cell>
          <cell r="BC23">
            <v>1.8</v>
          </cell>
          <cell r="BD23">
            <v>-4</v>
          </cell>
          <cell r="BE23">
            <v>-1</v>
          </cell>
          <cell r="BF23">
            <v>3.2</v>
          </cell>
          <cell r="BG23" t="str">
            <v>Other</v>
          </cell>
          <cell r="BH23">
            <v>0</v>
          </cell>
          <cell r="BI23">
            <v>2</v>
          </cell>
          <cell r="BJ23">
            <v>2</v>
          </cell>
          <cell r="BK23">
            <v>1</v>
          </cell>
          <cell r="BL23" t="str">
            <v>Other</v>
          </cell>
          <cell r="BM23">
            <v>2</v>
          </cell>
          <cell r="BN23">
            <v>0</v>
          </cell>
          <cell r="BO23">
            <v>0</v>
          </cell>
          <cell r="BP23">
            <v>-1</v>
          </cell>
          <cell r="BQ23" t="str">
            <v>Other</v>
          </cell>
          <cell r="BR23">
            <v>-3</v>
          </cell>
          <cell r="BS23">
            <v>0</v>
          </cell>
          <cell r="BT23">
            <v>0</v>
          </cell>
          <cell r="BU23">
            <v>0</v>
          </cell>
          <cell r="BW23" t="str">
            <v>Other</v>
          </cell>
          <cell r="BX23">
            <v>-1</v>
          </cell>
          <cell r="BY23">
            <v>4</v>
          </cell>
          <cell r="BZ23">
            <v>3</v>
          </cell>
          <cell r="CA23">
            <v>-3</v>
          </cell>
          <cell r="CB23">
            <v>9</v>
          </cell>
          <cell r="CC23">
            <v>-4</v>
          </cell>
          <cell r="CD23">
            <v>-1</v>
          </cell>
          <cell r="CE23">
            <v>18</v>
          </cell>
          <cell r="CG23" t="str">
            <v>Other</v>
          </cell>
          <cell r="CH23">
            <v>-1</v>
          </cell>
          <cell r="CI23">
            <v>-1</v>
          </cell>
          <cell r="CJ23">
            <v>-3</v>
          </cell>
          <cell r="CK23">
            <v>-2</v>
          </cell>
          <cell r="CL23">
            <v>8</v>
          </cell>
          <cell r="CM23">
            <v>-3</v>
          </cell>
          <cell r="CN23">
            <v>-5</v>
          </cell>
          <cell r="CO23">
            <v>-5</v>
          </cell>
          <cell r="CQ23" t="str">
            <v>Pretax Income</v>
          </cell>
          <cell r="CR23">
            <v>354</v>
          </cell>
          <cell r="CS23">
            <v>415</v>
          </cell>
          <cell r="CT23">
            <v>421</v>
          </cell>
          <cell r="CU23">
            <v>379</v>
          </cell>
          <cell r="CV23">
            <v>307</v>
          </cell>
          <cell r="CW23">
            <v>358</v>
          </cell>
          <cell r="CX23">
            <v>317</v>
          </cell>
          <cell r="CY23">
            <v>368</v>
          </cell>
          <cell r="DA23" t="str">
            <v>Pretax Income</v>
          </cell>
          <cell r="DB23">
            <v>397</v>
          </cell>
          <cell r="DC23">
            <v>434</v>
          </cell>
          <cell r="DD23">
            <v>463</v>
          </cell>
          <cell r="DE23">
            <v>480</v>
          </cell>
          <cell r="DG23" t="str">
            <v>Info. Systems &amp; Tech.</v>
          </cell>
          <cell r="DH23">
            <v>0.11244292237442922</v>
          </cell>
          <cell r="DI23">
            <v>0.11177347242921014</v>
          </cell>
          <cell r="DJ23">
            <v>0.11486146095717883</v>
          </cell>
          <cell r="DK23">
            <v>0.1035645472061657</v>
          </cell>
          <cell r="DL23">
            <v>0.11150532184490623</v>
          </cell>
          <cell r="DM23">
            <v>0.10755679184051924</v>
          </cell>
          <cell r="DN23">
            <v>0.10767946577629382</v>
          </cell>
          <cell r="DO23">
            <v>0.10648518815052041</v>
          </cell>
          <cell r="EB23" t="str">
            <v>Info. Systems &amp; Tech.</v>
          </cell>
          <cell r="EF23">
            <v>8.1081081081081086E-2</v>
          </cell>
          <cell r="EG23">
            <v>7.3954983922829579E-2</v>
          </cell>
          <cell r="EH23">
            <v>8.9310829817158932E-2</v>
          </cell>
        </row>
        <row r="24">
          <cell r="A24" t="str">
            <v>Pretax Inc</v>
          </cell>
          <cell r="B24">
            <v>465.3</v>
          </cell>
          <cell r="C24">
            <v>396.6</v>
          </cell>
          <cell r="D24">
            <v>312.89999999999998</v>
          </cell>
          <cell r="E24">
            <v>272.10000000000002</v>
          </cell>
          <cell r="F24">
            <v>-313</v>
          </cell>
          <cell r="H24" t="str">
            <v>Pretax Inc</v>
          </cell>
          <cell r="I24">
            <v>192</v>
          </cell>
          <cell r="K24" t="str">
            <v>Pretax Inc</v>
          </cell>
          <cell r="L24">
            <v>310</v>
          </cell>
          <cell r="M24">
            <v>413</v>
          </cell>
          <cell r="N24">
            <v>343</v>
          </cell>
          <cell r="P24" t="str">
            <v>Pretax Inc</v>
          </cell>
          <cell r="Q24">
            <v>88.8</v>
          </cell>
          <cell r="R24">
            <v>114.2</v>
          </cell>
          <cell r="S24">
            <v>133</v>
          </cell>
          <cell r="T24">
            <v>129.30000000000001</v>
          </cell>
          <cell r="U24">
            <v>105.4</v>
          </cell>
          <cell r="V24">
            <v>122</v>
          </cell>
          <cell r="W24">
            <v>97.4</v>
          </cell>
          <cell r="X24">
            <v>85.9</v>
          </cell>
          <cell r="Y24">
            <v>101</v>
          </cell>
          <cell r="Z24">
            <v>41.3</v>
          </cell>
          <cell r="AA24">
            <v>82</v>
          </cell>
          <cell r="AB24">
            <v>88.6</v>
          </cell>
          <cell r="AC24">
            <v>77.900000000000006</v>
          </cell>
          <cell r="AD24">
            <v>31.2</v>
          </cell>
          <cell r="AE24">
            <v>71.599999999999994</v>
          </cell>
          <cell r="AF24">
            <v>91.4</v>
          </cell>
          <cell r="AG24">
            <v>41</v>
          </cell>
          <cell r="AH24">
            <v>-376.2</v>
          </cell>
          <cell r="AI24">
            <v>33.200000000000003</v>
          </cell>
          <cell r="AJ24">
            <v>-700.2</v>
          </cell>
          <cell r="AK24">
            <v>-398.2</v>
          </cell>
          <cell r="AL24">
            <v>-302</v>
          </cell>
          <cell r="AM24">
            <v>25</v>
          </cell>
          <cell r="AN24">
            <v>2</v>
          </cell>
          <cell r="AO24">
            <v>14.2</v>
          </cell>
          <cell r="AP24">
            <v>150.80000000000001</v>
          </cell>
          <cell r="AR24" t="str">
            <v>Pretax Inc</v>
          </cell>
          <cell r="AS24">
            <v>65</v>
          </cell>
          <cell r="AT24">
            <v>70</v>
          </cell>
          <cell r="AU24">
            <v>64</v>
          </cell>
          <cell r="AV24">
            <v>111</v>
          </cell>
          <cell r="AW24" t="str">
            <v>Pretax Inc</v>
          </cell>
          <cell r="AX24">
            <v>101</v>
          </cell>
          <cell r="AY24">
            <v>96</v>
          </cell>
          <cell r="AZ24">
            <v>117</v>
          </cell>
          <cell r="BA24">
            <v>99</v>
          </cell>
          <cell r="BB24" t="str">
            <v>Pretax Inc</v>
          </cell>
          <cell r="BC24">
            <v>83.6</v>
          </cell>
          <cell r="BD24">
            <v>82</v>
          </cell>
          <cell r="BE24">
            <v>83</v>
          </cell>
          <cell r="BF24">
            <v>94.4</v>
          </cell>
          <cell r="BG24" t="str">
            <v>Pretax Inc</v>
          </cell>
          <cell r="BH24">
            <v>92</v>
          </cell>
          <cell r="BI24">
            <v>93</v>
          </cell>
          <cell r="BJ24">
            <v>93</v>
          </cell>
          <cell r="BK24">
            <v>96.5</v>
          </cell>
          <cell r="BL24" t="str">
            <v>Pretax Inc</v>
          </cell>
          <cell r="BM24">
            <v>98</v>
          </cell>
          <cell r="BN24">
            <v>102.4</v>
          </cell>
          <cell r="BO24">
            <v>103</v>
          </cell>
          <cell r="BP24">
            <v>105.6</v>
          </cell>
          <cell r="BQ24" t="str">
            <v>Pretax Inc</v>
          </cell>
          <cell r="BR24">
            <v>108</v>
          </cell>
          <cell r="BS24">
            <v>122</v>
          </cell>
          <cell r="BT24">
            <v>123</v>
          </cell>
          <cell r="BU24">
            <v>126</v>
          </cell>
          <cell r="BW24" t="str">
            <v>Pretax Inc</v>
          </cell>
          <cell r="BX24">
            <v>188.22300000000001</v>
          </cell>
          <cell r="BY24">
            <v>226.7</v>
          </cell>
          <cell r="BZ24">
            <v>243.1</v>
          </cell>
          <cell r="CA24">
            <v>108.37699999999995</v>
          </cell>
          <cell r="CB24">
            <v>243.8119999999999</v>
          </cell>
          <cell r="CC24">
            <v>269.60000000000002</v>
          </cell>
          <cell r="CD24">
            <v>283</v>
          </cell>
          <cell r="CE24">
            <v>329.58800000000008</v>
          </cell>
          <cell r="CG24" t="str">
            <v>Pretax Inc</v>
          </cell>
          <cell r="CH24">
            <v>286</v>
          </cell>
          <cell r="CI24">
            <v>318</v>
          </cell>
          <cell r="CJ24">
            <v>317</v>
          </cell>
          <cell r="CK24">
            <v>337</v>
          </cell>
          <cell r="CL24">
            <v>330</v>
          </cell>
          <cell r="CM24">
            <v>353</v>
          </cell>
          <cell r="CN24">
            <v>358</v>
          </cell>
          <cell r="CO24">
            <v>384</v>
          </cell>
          <cell r="CQ24" t="str">
            <v>Effective Tax Rate</v>
          </cell>
          <cell r="CR24">
            <v>0.34499999999999997</v>
          </cell>
          <cell r="CS24">
            <v>0.34399999999999997</v>
          </cell>
          <cell r="CT24">
            <v>0.33849000000000001</v>
          </cell>
          <cell r="CU24">
            <v>0.317</v>
          </cell>
          <cell r="CV24">
            <v>0.28999999999999998</v>
          </cell>
          <cell r="CW24">
            <v>0.33</v>
          </cell>
          <cell r="CX24">
            <v>0.215</v>
          </cell>
          <cell r="CY24">
            <v>0.25271739130434784</v>
          </cell>
          <cell r="DA24" t="str">
            <v>Effective Tax Rate</v>
          </cell>
          <cell r="DB24">
            <v>0.33250000000000002</v>
          </cell>
          <cell r="DC24">
            <v>0.33179723502304148</v>
          </cell>
          <cell r="DD24">
            <v>0.30885529157667385</v>
          </cell>
          <cell r="DE24">
            <v>0.33198380566801622</v>
          </cell>
          <cell r="DG24" t="str">
            <v>Aerospace</v>
          </cell>
          <cell r="DH24">
            <v>0.13413014608233731</v>
          </cell>
          <cell r="DI24">
            <v>0.15096618357487923</v>
          </cell>
          <cell r="DJ24">
            <v>0.16114790286975716</v>
          </cell>
          <cell r="DK24">
            <v>0.13002114164904863</v>
          </cell>
          <cell r="DL24">
            <v>0.15608180839612487</v>
          </cell>
          <cell r="DM24">
            <v>0.15557638238050608</v>
          </cell>
          <cell r="DN24">
            <v>0.15179392824287027</v>
          </cell>
          <cell r="DO24">
            <v>0.16263310745401743</v>
          </cell>
          <cell r="EB24" t="str">
            <v>Aerospace</v>
          </cell>
          <cell r="EF24">
            <v>0.12027310924369748</v>
          </cell>
          <cell r="EG24">
            <v>9.406919275123557E-2</v>
          </cell>
          <cell r="EH24">
            <v>0.16569267789618425</v>
          </cell>
        </row>
        <row r="25">
          <cell r="A25" t="str">
            <v>Eff Tax Rate</v>
          </cell>
          <cell r="B25">
            <v>0.23146357188910383</v>
          </cell>
          <cell r="C25">
            <v>-1.7650025214321685E-2</v>
          </cell>
          <cell r="D25">
            <v>6.0402684563758302E-2</v>
          </cell>
          <cell r="E25">
            <v>-7.7177508269018702E-2</v>
          </cell>
          <cell r="F25">
            <v>0.60063897763578278</v>
          </cell>
          <cell r="H25" t="str">
            <v>Eff Tax Rate</v>
          </cell>
          <cell r="I25">
            <v>0.38906250000000009</v>
          </cell>
          <cell r="K25" t="str">
            <v>Eff Tax Rate</v>
          </cell>
          <cell r="L25">
            <v>0.32</v>
          </cell>
          <cell r="M25">
            <v>0.34699999999999998</v>
          </cell>
          <cell r="N25">
            <v>0.35</v>
          </cell>
          <cell r="P25" t="str">
            <v>Eff Tax Rate</v>
          </cell>
          <cell r="Q25">
            <v>0.19819819819819801</v>
          </cell>
          <cell r="R25">
            <v>9.8949211908931703E-2</v>
          </cell>
          <cell r="S25">
            <v>0.26390977443608998</v>
          </cell>
          <cell r="T25">
            <v>0.337973704563032</v>
          </cell>
          <cell r="U25">
            <v>-1.0842021724855001E-19</v>
          </cell>
          <cell r="V25">
            <v>-2.5409836065573801E-2</v>
          </cell>
          <cell r="W25">
            <v>-0.14476386036961</v>
          </cell>
          <cell r="X25">
            <v>-0.10942956926658901</v>
          </cell>
          <cell r="Y25">
            <v>0.15148514851485101</v>
          </cell>
          <cell r="Z25">
            <v>-0.13075060532687699</v>
          </cell>
          <cell r="AA25">
            <v>6.8292682926829204E-2</v>
          </cell>
          <cell r="AB25">
            <v>3.8374717832957199E-2</v>
          </cell>
          <cell r="AC25">
            <v>3.2092426187419601E-2</v>
          </cell>
          <cell r="AD25">
            <v>-0.87179487179487203</v>
          </cell>
          <cell r="AE25">
            <v>-6.8435754189944104E-2</v>
          </cell>
          <cell r="AF25">
            <v>9.4091903719912495E-2</v>
          </cell>
          <cell r="AG25">
            <v>-0.517073170731707</v>
          </cell>
          <cell r="AH25">
            <v>0.362041467304625</v>
          </cell>
          <cell r="AI25">
            <v>-0.80722891566265098</v>
          </cell>
          <cell r="AJ25">
            <v>0.205798343330477</v>
          </cell>
          <cell r="AK25">
            <v>-0.42365645404319402</v>
          </cell>
          <cell r="AL25">
            <v>1.03576158940397</v>
          </cell>
          <cell r="AM25">
            <v>-0.76</v>
          </cell>
          <cell r="AN25">
            <v>0.3</v>
          </cell>
          <cell r="AO25">
            <v>-1.8380281690140801</v>
          </cell>
          <cell r="AP25">
            <v>0.79045092838196296</v>
          </cell>
          <cell r="AR25" t="str">
            <v>Eff Tax Rate</v>
          </cell>
          <cell r="AS25">
            <v>0.32650000000000001</v>
          </cell>
          <cell r="AT25">
            <v>0.3</v>
          </cell>
          <cell r="AU25">
            <v>0.32700000000000001</v>
          </cell>
          <cell r="AV25">
            <v>0.33300000000000002</v>
          </cell>
          <cell r="AW25" t="str">
            <v>Eff Tax Rate</v>
          </cell>
          <cell r="AX25">
            <v>0.34</v>
          </cell>
          <cell r="AY25">
            <v>0.34499999999999997</v>
          </cell>
          <cell r="AZ25">
            <v>0.35099999999999998</v>
          </cell>
          <cell r="BA25">
            <v>0.35135353535353497</v>
          </cell>
          <cell r="BB25" t="str">
            <v>Eff Tax Rate</v>
          </cell>
          <cell r="BC25">
            <v>0.35</v>
          </cell>
          <cell r="BD25">
            <v>0.35</v>
          </cell>
          <cell r="BE25">
            <v>0.35</v>
          </cell>
          <cell r="BF25">
            <v>0.35</v>
          </cell>
          <cell r="BG25" t="str">
            <v>Eff Tax Rate</v>
          </cell>
          <cell r="BH25">
            <v>0.35</v>
          </cell>
          <cell r="BI25">
            <v>0.34399999999999997</v>
          </cell>
          <cell r="BJ25">
            <v>0.33300000000000002</v>
          </cell>
          <cell r="BK25">
            <v>0.337238341968912</v>
          </cell>
          <cell r="BL25" t="str">
            <v>Eff Tax Rate</v>
          </cell>
          <cell r="BM25">
            <v>0.33800000000000002</v>
          </cell>
          <cell r="BN25">
            <v>0.34</v>
          </cell>
          <cell r="BO25">
            <v>0.34</v>
          </cell>
          <cell r="BP25">
            <v>0.341856060606061</v>
          </cell>
          <cell r="BQ25" t="str">
            <v>Eff Tax Rate</v>
          </cell>
          <cell r="BR25">
            <v>0.34</v>
          </cell>
          <cell r="BS25">
            <v>0.34399999999999997</v>
          </cell>
          <cell r="BT25">
            <v>0.33700000000000002</v>
          </cell>
          <cell r="BU25">
            <v>0.34</v>
          </cell>
          <cell r="BW25" t="str">
            <v>Eff Tax Rate</v>
          </cell>
          <cell r="BX25">
            <v>0.34951520271167713</v>
          </cell>
          <cell r="BY25">
            <v>0.34883193647992938</v>
          </cell>
          <cell r="BZ25">
            <v>0.34570000000000001</v>
          </cell>
          <cell r="CA25">
            <v>0.36329664043108756</v>
          </cell>
          <cell r="CB25">
            <v>0.35</v>
          </cell>
          <cell r="CC25">
            <v>0.35399999999999998</v>
          </cell>
          <cell r="CD25">
            <v>0.35299999999999998</v>
          </cell>
          <cell r="CE25">
            <v>0.39129701324077337</v>
          </cell>
          <cell r="CG25" t="str">
            <v>Eff Tax Rate</v>
          </cell>
          <cell r="CH25">
            <v>0.35799999999999998</v>
          </cell>
          <cell r="CI25">
            <v>0.36</v>
          </cell>
          <cell r="CJ25">
            <v>0.35599999999999998</v>
          </cell>
          <cell r="CK25">
            <v>0.35699999999999998</v>
          </cell>
          <cell r="CL25">
            <v>0.35799999999999998</v>
          </cell>
          <cell r="CM25">
            <v>0.35799999999999998</v>
          </cell>
          <cell r="CN25">
            <v>0.36</v>
          </cell>
          <cell r="CO25">
            <v>0.36</v>
          </cell>
          <cell r="CQ25" t="str">
            <v>Pretax Margin</v>
          </cell>
          <cell r="CR25">
            <v>0.11411992263056092</v>
          </cell>
          <cell r="CS25">
            <v>0.1183685111237878</v>
          </cell>
          <cell r="CT25">
            <v>0.1281973203410475</v>
          </cell>
          <cell r="CU25">
            <v>0.10005279831045406</v>
          </cell>
          <cell r="CV25">
            <v>9.0640684971951574E-2</v>
          </cell>
          <cell r="CW25">
            <v>9.1889117043121152E-2</v>
          </cell>
          <cell r="CX25">
            <v>7.2789896670493681E-2</v>
          </cell>
          <cell r="CY25">
            <v>7.7784823504544492E-2</v>
          </cell>
          <cell r="DA25" t="str">
            <v>Pretax Margin</v>
          </cell>
          <cell r="DB25">
            <v>8.5449849332759356E-2</v>
          </cell>
          <cell r="DC25">
            <v>9.3293207222699917E-2</v>
          </cell>
          <cell r="DD25">
            <v>9.9634172584463096E-2</v>
          </cell>
          <cell r="DE25">
            <v>9.7501523461304085E-2</v>
          </cell>
          <cell r="DG25" t="str">
            <v>Resources/Corporate</v>
          </cell>
          <cell r="EB25" t="str">
            <v>Resources/Corporate</v>
          </cell>
          <cell r="EC25">
            <v>-0.10638297872340426</v>
          </cell>
          <cell r="ED25">
            <v>-0.14285714285714285</v>
          </cell>
          <cell r="EE25">
            <v>-1.3452914798206279E-2</v>
          </cell>
          <cell r="EF25">
            <v>0.10330578512396695</v>
          </cell>
          <cell r="EG25">
            <v>0.13559322033898305</v>
          </cell>
          <cell r="EH25">
            <v>0.184</v>
          </cell>
        </row>
        <row r="26">
          <cell r="CG26" t="str">
            <v>Pretax Margin</v>
          </cell>
          <cell r="CH26">
            <v>0.11233307148468186</v>
          </cell>
          <cell r="CI26">
            <v>0.1215131830340084</v>
          </cell>
          <cell r="CJ26">
            <v>0.1266986410871303</v>
          </cell>
          <cell r="CK26">
            <v>0.12765151515151515</v>
          </cell>
          <cell r="CL26">
            <v>0.12345679012345678</v>
          </cell>
          <cell r="CM26">
            <v>0.11917623227548954</v>
          </cell>
          <cell r="CN26">
            <v>0.11854304635761589</v>
          </cell>
          <cell r="CO26">
            <v>0.11297440423654016</v>
          </cell>
          <cell r="DG26" t="str">
            <v>Total Operating Profit Margin</v>
          </cell>
          <cell r="DH26">
            <v>9.6395641240569985E-2</v>
          </cell>
          <cell r="DI26">
            <v>0.10492505353319058</v>
          </cell>
          <cell r="DJ26">
            <v>0.10844964164466239</v>
          </cell>
          <cell r="DK26">
            <v>0.10617626648160999</v>
          </cell>
          <cell r="DL26">
            <v>0.10746483952398125</v>
          </cell>
          <cell r="DM26">
            <v>0.10936973373778228</v>
          </cell>
          <cell r="DN26">
            <v>0.11155050255396276</v>
          </cell>
          <cell r="DO26">
            <v>0.1079214000614062</v>
          </cell>
          <cell r="EB26" t="str">
            <v>Total Op Profit Margin</v>
          </cell>
          <cell r="EC26">
            <v>0.10497056899934598</v>
          </cell>
          <cell r="ED26">
            <v>0.10270622758395827</v>
          </cell>
          <cell r="EE26">
            <v>9.8575816810946668E-2</v>
          </cell>
          <cell r="EF26">
            <v>0.11311992038480677</v>
          </cell>
          <cell r="EG26">
            <v>0.10357000663570007</v>
          </cell>
          <cell r="EH26">
            <v>0.12702310525728319</v>
          </cell>
        </row>
        <row r="27">
          <cell r="CQ27" t="str">
            <v>Net Income</v>
          </cell>
          <cell r="CR27">
            <v>231.87</v>
          </cell>
          <cell r="CS27">
            <v>272.24</v>
          </cell>
          <cell r="CT27">
            <v>278.49571000000003</v>
          </cell>
          <cell r="CU27">
            <v>258.85700000000003</v>
          </cell>
          <cell r="CV27">
            <v>217.97</v>
          </cell>
          <cell r="CW27">
            <v>239.85999999999999</v>
          </cell>
          <cell r="CX27">
            <v>248.845</v>
          </cell>
          <cell r="CY27">
            <v>275</v>
          </cell>
          <cell r="DA27" t="str">
            <v>Net Income</v>
          </cell>
          <cell r="DB27">
            <v>264.9975</v>
          </cell>
          <cell r="DC27">
            <v>290</v>
          </cell>
          <cell r="DD27">
            <v>320.00000000000006</v>
          </cell>
          <cell r="DE27">
            <v>320.64777327935224</v>
          </cell>
          <cell r="DG27" t="str">
            <v>Interest, net</v>
          </cell>
          <cell r="DH27">
            <v>-34</v>
          </cell>
          <cell r="DI27">
            <v>-29</v>
          </cell>
          <cell r="DJ27">
            <v>-30</v>
          </cell>
          <cell r="DK27">
            <v>-25</v>
          </cell>
          <cell r="DL27">
            <v>-17</v>
          </cell>
          <cell r="DM27">
            <v>-23</v>
          </cell>
          <cell r="DN27">
            <v>-34</v>
          </cell>
          <cell r="DO27">
            <v>-27</v>
          </cell>
          <cell r="EB27" t="str">
            <v>Interest, net</v>
          </cell>
          <cell r="EC27">
            <v>22</v>
          </cell>
          <cell r="ED27">
            <v>54.5</v>
          </cell>
          <cell r="EE27">
            <v>55</v>
          </cell>
          <cell r="EF27">
            <v>16</v>
          </cell>
          <cell r="EG27">
            <v>-17</v>
          </cell>
          <cell r="EH27">
            <v>-34</v>
          </cell>
        </row>
        <row r="28">
          <cell r="A28" t="str">
            <v>Net Income</v>
          </cell>
          <cell r="B28">
            <v>357.6</v>
          </cell>
          <cell r="C28">
            <v>403.6</v>
          </cell>
          <cell r="D28">
            <v>294</v>
          </cell>
          <cell r="E28">
            <v>293.10000000000002</v>
          </cell>
          <cell r="F28">
            <v>-125</v>
          </cell>
          <cell r="H28" t="str">
            <v>Net Income</v>
          </cell>
          <cell r="I28">
            <v>117.29999999999998</v>
          </cell>
          <cell r="K28" t="str">
            <v>Net Income</v>
          </cell>
          <cell r="L28">
            <v>210.8</v>
          </cell>
          <cell r="M28">
            <v>269.68900000000002</v>
          </cell>
          <cell r="N28">
            <v>222.95</v>
          </cell>
          <cell r="P28" t="str">
            <v>Net Income</v>
          </cell>
          <cell r="Q28">
            <v>71.2</v>
          </cell>
          <cell r="R28">
            <v>102.9</v>
          </cell>
          <cell r="S28">
            <v>97.9</v>
          </cell>
          <cell r="T28">
            <v>85.6</v>
          </cell>
          <cell r="U28">
            <v>105.4</v>
          </cell>
          <cell r="V28">
            <v>125.1</v>
          </cell>
          <cell r="W28">
            <v>111.5</v>
          </cell>
          <cell r="X28">
            <v>95.3</v>
          </cell>
          <cell r="Y28">
            <v>85.7</v>
          </cell>
          <cell r="Z28">
            <v>46.7</v>
          </cell>
          <cell r="AA28">
            <v>76.400000000000006</v>
          </cell>
          <cell r="AB28">
            <v>85.2</v>
          </cell>
          <cell r="AC28">
            <v>75.400000000000006</v>
          </cell>
          <cell r="AD28">
            <v>58.4</v>
          </cell>
          <cell r="AE28">
            <v>76.5</v>
          </cell>
          <cell r="AF28">
            <v>82.8</v>
          </cell>
          <cell r="AG28">
            <v>62.2</v>
          </cell>
          <cell r="AH28">
            <v>-240</v>
          </cell>
          <cell r="AI28">
            <v>60</v>
          </cell>
          <cell r="AJ28">
            <v>-556.1</v>
          </cell>
          <cell r="AK28">
            <v>-566.9</v>
          </cell>
          <cell r="AL28">
            <v>10.8</v>
          </cell>
          <cell r="AM28">
            <v>44</v>
          </cell>
          <cell r="AN28">
            <v>1.4</v>
          </cell>
          <cell r="AO28">
            <v>40.299999999999997</v>
          </cell>
          <cell r="AP28">
            <v>31.6</v>
          </cell>
          <cell r="AR28" t="str">
            <v>Net Income</v>
          </cell>
          <cell r="AS28">
            <v>43.777500000000003</v>
          </cell>
          <cell r="AT28">
            <v>49</v>
          </cell>
          <cell r="AU28">
            <v>43.072000000000003</v>
          </cell>
          <cell r="AV28">
            <v>44</v>
          </cell>
          <cell r="AW28" t="str">
            <v>Net Income</v>
          </cell>
          <cell r="AX28">
            <v>66.66</v>
          </cell>
          <cell r="AY28">
            <v>62.88</v>
          </cell>
          <cell r="AZ28">
            <v>75.933000000000007</v>
          </cell>
          <cell r="BA28">
            <v>64.215999999999994</v>
          </cell>
          <cell r="BB28" t="str">
            <v>Net Income</v>
          </cell>
          <cell r="BC28">
            <v>54.34</v>
          </cell>
          <cell r="BD28">
            <v>53.3</v>
          </cell>
          <cell r="BE28">
            <v>53.95</v>
          </cell>
          <cell r="BF28">
            <v>61.36</v>
          </cell>
          <cell r="BG28" t="str">
            <v>Net Income</v>
          </cell>
          <cell r="BH28">
            <v>59.8</v>
          </cell>
          <cell r="BI28">
            <v>61.008000000000003</v>
          </cell>
          <cell r="BJ28">
            <v>62.030999999999999</v>
          </cell>
          <cell r="BK28">
            <v>63.956499999999998</v>
          </cell>
          <cell r="BL28" t="str">
            <v>Net Income</v>
          </cell>
          <cell r="BM28">
            <v>64.876000000000005</v>
          </cell>
          <cell r="BN28">
            <v>67.584000000000003</v>
          </cell>
          <cell r="BO28">
            <v>67.98</v>
          </cell>
          <cell r="BP28">
            <v>69.5</v>
          </cell>
          <cell r="BQ28" t="str">
            <v>Net Income</v>
          </cell>
          <cell r="BR28">
            <v>71.28</v>
          </cell>
          <cell r="BS28">
            <v>80.031999999999996</v>
          </cell>
          <cell r="BT28">
            <v>81.549000000000007</v>
          </cell>
          <cell r="BU28">
            <v>83.278999999999996</v>
          </cell>
          <cell r="BW28" t="str">
            <v>Net Income</v>
          </cell>
          <cell r="BX28">
            <v>122.43620000000001</v>
          </cell>
          <cell r="BY28">
            <v>147.6198</v>
          </cell>
          <cell r="BZ28">
            <v>159.06032999999999</v>
          </cell>
          <cell r="CA28">
            <v>69.003999999999991</v>
          </cell>
          <cell r="CB28">
            <v>158.47779999999995</v>
          </cell>
          <cell r="CC28">
            <v>172.81</v>
          </cell>
          <cell r="CD28">
            <v>183.101</v>
          </cell>
          <cell r="CE28">
            <v>200.62120000000004</v>
          </cell>
          <cell r="CG28" t="str">
            <v>Net Income</v>
          </cell>
          <cell r="CH28">
            <v>183.61199999999999</v>
          </cell>
          <cell r="CI28">
            <v>203.52</v>
          </cell>
          <cell r="CJ28">
            <v>204.148</v>
          </cell>
          <cell r="CK28">
            <v>216.691</v>
          </cell>
          <cell r="CL28">
            <v>211.86</v>
          </cell>
          <cell r="CM28">
            <v>226.626</v>
          </cell>
          <cell r="CN28">
            <v>229.12</v>
          </cell>
          <cell r="CO28">
            <v>245.76</v>
          </cell>
          <cell r="CQ28" t="str">
            <v>Net Margin</v>
          </cell>
          <cell r="CR28">
            <v>7.4748549323017416E-2</v>
          </cell>
          <cell r="CS28">
            <v>7.7649743297204796E-2</v>
          </cell>
          <cell r="CT28">
            <v>8.4803809378806341E-2</v>
          </cell>
          <cell r="CU28">
            <v>6.8336061246040136E-2</v>
          </cell>
          <cell r="CV28">
            <v>6.4354886330085626E-2</v>
          </cell>
          <cell r="CW28">
            <v>6.1565708418891169E-2</v>
          </cell>
          <cell r="CX28">
            <v>5.714006888633754E-2</v>
          </cell>
          <cell r="CY28">
            <v>5.812724582540689E-2</v>
          </cell>
          <cell r="DA28" t="str">
            <v>Net Margin</v>
          </cell>
          <cell r="DB28">
            <v>5.7037774429616876E-2</v>
          </cell>
          <cell r="DC28">
            <v>6.2338779019776441E-2</v>
          </cell>
          <cell r="DD28">
            <v>6.8861631159888109E-2</v>
          </cell>
          <cell r="DE28">
            <v>6.5132596644190993E-2</v>
          </cell>
          <cell r="DG28" t="str">
            <v>Other, net</v>
          </cell>
          <cell r="DH28">
            <v>-1</v>
          </cell>
          <cell r="DI28">
            <v>1</v>
          </cell>
          <cell r="DJ28">
            <v>-4</v>
          </cell>
          <cell r="DK28">
            <v>12</v>
          </cell>
          <cell r="DL28">
            <v>0</v>
          </cell>
          <cell r="DM28">
            <v>2</v>
          </cell>
          <cell r="DN28">
            <v>1</v>
          </cell>
          <cell r="DO28">
            <v>0</v>
          </cell>
          <cell r="EB28" t="str">
            <v>Other, net</v>
          </cell>
          <cell r="EC28">
            <v>0</v>
          </cell>
          <cell r="ED28">
            <v>5</v>
          </cell>
          <cell r="EE28">
            <v>1</v>
          </cell>
          <cell r="EF28">
            <v>-3</v>
          </cell>
          <cell r="EG28">
            <v>3</v>
          </cell>
          <cell r="EH28">
            <v>22</v>
          </cell>
        </row>
        <row r="29">
          <cell r="CG29" t="str">
            <v>Net Margin</v>
          </cell>
          <cell r="CH29">
            <v>7.2117831893165743E-2</v>
          </cell>
          <cell r="CI29">
            <v>7.7768437141765387E-2</v>
          </cell>
          <cell r="CJ29">
            <v>8.159392486011191E-2</v>
          </cell>
          <cell r="CK29">
            <v>8.2079924242424246E-2</v>
          </cell>
          <cell r="CL29">
            <v>7.9259259259259265E-2</v>
          </cell>
          <cell r="CM29">
            <v>7.6511141120864282E-2</v>
          </cell>
          <cell r="CN29">
            <v>7.5867549668874171E-2</v>
          </cell>
          <cell r="CO29">
            <v>7.23036187113857E-2</v>
          </cell>
          <cell r="CQ29" t="str">
            <v xml:space="preserve">  % Change Y/Y</v>
          </cell>
          <cell r="CR29">
            <v>9.4449164542622435E-2</v>
          </cell>
          <cell r="CS29">
            <v>0.20127434627977375</v>
          </cell>
          <cell r="CT29">
            <v>0.21550152758379901</v>
          </cell>
          <cell r="CU29">
            <v>5.3291829427083486E-2</v>
          </cell>
          <cell r="CV29">
            <v>-5.994738431017383E-2</v>
          </cell>
          <cell r="CW29">
            <v>-0.11893917131942412</v>
          </cell>
          <cell r="CX29">
            <v>-0.10646738508108447</v>
          </cell>
          <cell r="CY29">
            <v>6.2362617197912244E-2</v>
          </cell>
          <cell r="DA29" t="str">
            <v>% Ch Y/Y</v>
          </cell>
          <cell r="DB29">
            <v>0.21575216772950409</v>
          </cell>
          <cell r="DC29">
            <v>0.20903860585341458</v>
          </cell>
          <cell r="DD29">
            <v>0.28594104764009748</v>
          </cell>
          <cell r="DE29">
            <v>0.16599190283400814</v>
          </cell>
          <cell r="DG29" t="str">
            <v>Pretax Income</v>
          </cell>
          <cell r="DH29">
            <v>425</v>
          </cell>
          <cell r="DI29">
            <v>511</v>
          </cell>
          <cell r="DJ29">
            <v>541</v>
          </cell>
          <cell r="DK29">
            <v>599</v>
          </cell>
          <cell r="DL29">
            <v>579</v>
          </cell>
          <cell r="DM29">
            <v>628</v>
          </cell>
          <cell r="DN29">
            <v>644</v>
          </cell>
          <cell r="DO29">
            <v>676</v>
          </cell>
          <cell r="EB29" t="str">
            <v>Pretax Income</v>
          </cell>
          <cell r="EC29">
            <v>343</v>
          </cell>
          <cell r="ED29">
            <v>374.5</v>
          </cell>
          <cell r="EE29">
            <v>409</v>
          </cell>
          <cell r="EF29">
            <v>695</v>
          </cell>
          <cell r="EG29">
            <v>766.4</v>
          </cell>
          <cell r="EH29">
            <v>1126</v>
          </cell>
        </row>
        <row r="30">
          <cell r="CG30" t="str">
            <v xml:space="preserve">  % Change Y/Y</v>
          </cell>
          <cell r="CH30">
            <v>0.15859760799304423</v>
          </cell>
          <cell r="CI30">
            <v>0.17641618497109834</v>
          </cell>
          <cell r="CJ30">
            <v>0.11494748799842713</v>
          </cell>
          <cell r="CK30">
            <v>8.1124096448057958E-2</v>
          </cell>
          <cell r="CL30">
            <v>0.15384615384615397</v>
          </cell>
          <cell r="CM30">
            <v>0.11353183962264148</v>
          </cell>
          <cell r="CN30">
            <v>0.12232302055371598</v>
          </cell>
          <cell r="CO30">
            <v>0.13414954935830278</v>
          </cell>
          <cell r="DG30" t="str">
            <v>Effective Tax Rate</v>
          </cell>
          <cell r="DH30">
            <v>0.16941176470588235</v>
          </cell>
          <cell r="DI30">
            <v>0.33855185909980429</v>
          </cell>
          <cell r="DJ30">
            <v>0.32717190388170053</v>
          </cell>
          <cell r="DK30">
            <v>0.335559265442404</v>
          </cell>
          <cell r="DL30">
            <v>0.33160621761658032</v>
          </cell>
          <cell r="DM30">
            <v>0.33121019108280253</v>
          </cell>
          <cell r="DN30">
            <v>0.31677018633540371</v>
          </cell>
          <cell r="DO30">
            <v>0.3150887573964497</v>
          </cell>
          <cell r="EB30" t="str">
            <v>Effective Tax Rate</v>
          </cell>
          <cell r="EC30">
            <v>0.35</v>
          </cell>
          <cell r="ED30">
            <v>0.34100000000000003</v>
          </cell>
          <cell r="EE30">
            <v>0.34</v>
          </cell>
          <cell r="EF30">
            <v>0.19500000000000001</v>
          </cell>
          <cell r="EG30">
            <v>0.35299999999999998</v>
          </cell>
          <cell r="EH30">
            <v>0.36499999999999999</v>
          </cell>
        </row>
        <row r="31">
          <cell r="Q31" t="str">
            <v>====</v>
          </cell>
          <cell r="R31" t="str">
            <v>====</v>
          </cell>
          <cell r="S31" t="str">
            <v>====</v>
          </cell>
          <cell r="T31" t="str">
            <v>====</v>
          </cell>
          <cell r="U31" t="str">
            <v>====</v>
          </cell>
          <cell r="V31" t="str">
            <v>====</v>
          </cell>
          <cell r="W31" t="str">
            <v>====</v>
          </cell>
          <cell r="X31" t="str">
            <v>====</v>
          </cell>
          <cell r="Y31" t="str">
            <v>====</v>
          </cell>
          <cell r="Z31" t="str">
            <v>====</v>
          </cell>
          <cell r="AA31" t="str">
            <v>====</v>
          </cell>
          <cell r="AB31" t="str">
            <v>====</v>
          </cell>
          <cell r="AC31" t="str">
            <v>====</v>
          </cell>
          <cell r="AD31" t="str">
            <v>====</v>
          </cell>
          <cell r="AE31" t="str">
            <v>====</v>
          </cell>
          <cell r="AF31" t="str">
            <v>====</v>
          </cell>
          <cell r="AG31" t="str">
            <v>====</v>
          </cell>
          <cell r="AH31" t="str">
            <v>====</v>
          </cell>
          <cell r="AI31" t="str">
            <v>====</v>
          </cell>
          <cell r="AJ31" t="str">
            <v>====</v>
          </cell>
          <cell r="AK31" t="str">
            <v>====</v>
          </cell>
          <cell r="AL31" t="str">
            <v>====</v>
          </cell>
          <cell r="AM31" t="str">
            <v>====</v>
          </cell>
          <cell r="AN31" t="str">
            <v>====</v>
          </cell>
          <cell r="AO31" t="str">
            <v>====</v>
          </cell>
          <cell r="AP31" t="str">
            <v>====</v>
          </cell>
          <cell r="AS31" t="str">
            <v>====</v>
          </cell>
          <cell r="AT31" t="str">
            <v>====</v>
          </cell>
          <cell r="AU31" t="str">
            <v>====</v>
          </cell>
          <cell r="AV31" t="str">
            <v>====</v>
          </cell>
          <cell r="AX31" t="str">
            <v>====</v>
          </cell>
          <cell r="AY31" t="str">
            <v>====</v>
          </cell>
          <cell r="AZ31" t="str">
            <v>====</v>
          </cell>
          <cell r="BA31" t="str">
            <v>====</v>
          </cell>
          <cell r="CQ31" t="str">
            <v>EPS from Continued Operations</v>
          </cell>
          <cell r="CR31">
            <v>1.1439072520966946</v>
          </cell>
          <cell r="CS31">
            <v>1.3358194308145239</v>
          </cell>
          <cell r="CT31">
            <v>1.3712245691777452</v>
          </cell>
          <cell r="CU31">
            <v>1.2802027695351139</v>
          </cell>
          <cell r="CV31">
            <v>1.0914872308462695</v>
          </cell>
          <cell r="CW31">
            <v>1.2077542799597181</v>
          </cell>
          <cell r="CX31">
            <v>1.2503391584849917</v>
          </cell>
          <cell r="CY31">
            <v>1.3780759758241174</v>
          </cell>
          <cell r="DA31" t="str">
            <v>EPS, Cont. Ops</v>
          </cell>
          <cell r="DB31">
            <v>0.66149098919457006</v>
          </cell>
          <cell r="DC31">
            <v>0.72139303482587069</v>
          </cell>
          <cell r="DD31">
            <v>0.79265871992611958</v>
          </cell>
          <cell r="DE31">
            <v>0.79141922259092146</v>
          </cell>
          <cell r="DG31" t="str">
            <v>Pretax Margin</v>
          </cell>
          <cell r="DH31">
            <v>8.9061190276613578E-2</v>
          </cell>
          <cell r="DI31">
            <v>9.947440140159626E-2</v>
          </cell>
          <cell r="DJ31">
            <v>0.1020369671821954</v>
          </cell>
          <cell r="DK31">
            <v>0.10392088827203332</v>
          </cell>
          <cell r="DL31">
            <v>0.10439956725567977</v>
          </cell>
          <cell r="DM31">
            <v>0.10583080552746882</v>
          </cell>
          <cell r="DN31">
            <v>0.10611303344867359</v>
          </cell>
          <cell r="DO31">
            <v>0.10377648142462388</v>
          </cell>
          <cell r="EB31" t="str">
            <v>Pretax Margin</v>
          </cell>
          <cell r="EC31">
            <v>0.11216481360366252</v>
          </cell>
          <cell r="ED31">
            <v>0.1221062927942615</v>
          </cell>
          <cell r="EE31">
            <v>0.11421390672996369</v>
          </cell>
          <cell r="EF31">
            <v>0.11527616520152596</v>
          </cell>
          <cell r="EG31">
            <v>0.1017120106171201</v>
          </cell>
          <cell r="EH31">
            <v>0.1256836700524612</v>
          </cell>
        </row>
        <row r="32">
          <cell r="A32" t="str">
            <v>EPS-Core</v>
          </cell>
          <cell r="B32">
            <v>8.3820685613829493</v>
          </cell>
          <cell r="C32">
            <v>9.4700000000000006</v>
          </cell>
          <cell r="D32">
            <v>7.0022003553092098</v>
          </cell>
          <cell r="E32">
            <v>7.0091582619072295</v>
          </cell>
          <cell r="F32">
            <v>-15.34</v>
          </cell>
          <cell r="H32" t="str">
            <v>EPS</v>
          </cell>
          <cell r="I32">
            <v>2.7406542056074765</v>
          </cell>
          <cell r="K32" t="str">
            <v>EPS</v>
          </cell>
          <cell r="L32">
            <v>1.394179894179894</v>
          </cell>
          <cell r="M32">
            <v>2.133615506329114</v>
          </cell>
          <cell r="N32">
            <v>1.7582807570977919</v>
          </cell>
          <cell r="P32" t="str">
            <v>EPS-Core</v>
          </cell>
          <cell r="Q32">
            <v>1.67136150234742</v>
          </cell>
          <cell r="R32">
            <v>2.4126611957796</v>
          </cell>
          <cell r="S32">
            <v>2.2911303533816998</v>
          </cell>
          <cell r="T32">
            <v>2.00609327396297</v>
          </cell>
          <cell r="U32">
            <v>2.4454756380510401</v>
          </cell>
          <cell r="V32">
            <v>2.9228971962616801</v>
          </cell>
          <cell r="W32">
            <v>2.6173708920187799</v>
          </cell>
          <cell r="X32">
            <v>2.2636579572446598</v>
          </cell>
          <cell r="Y32">
            <v>2.0404761904761899</v>
          </cell>
          <cell r="Z32">
            <v>1.1092636579572399</v>
          </cell>
          <cell r="AA32">
            <v>1.8190476190476199</v>
          </cell>
          <cell r="AB32">
            <v>2.0334128878281601</v>
          </cell>
          <cell r="AC32">
            <v>1.8081534772182299</v>
          </cell>
          <cell r="AD32">
            <v>1.39</v>
          </cell>
          <cell r="AE32">
            <v>1.8301435406698601</v>
          </cell>
          <cell r="AF32">
            <v>1.98086124401914</v>
          </cell>
          <cell r="AK32">
            <v>-13.594724220623499</v>
          </cell>
          <cell r="AL32">
            <v>0.88249400479616202</v>
          </cell>
          <cell r="AM32">
            <v>1.0551558752997601</v>
          </cell>
          <cell r="AN32">
            <v>3.3412887828162298E-2</v>
          </cell>
          <cell r="AO32">
            <v>0.9618138424821</v>
          </cell>
          <cell r="AP32">
            <v>0.75363701407107098</v>
          </cell>
          <cell r="AR32" t="str">
            <v>EPS</v>
          </cell>
          <cell r="AS32">
            <v>1.0086981566820299</v>
          </cell>
          <cell r="AT32">
            <v>1.1192325262677001</v>
          </cell>
          <cell r="AU32">
            <v>1.3544654088050301</v>
          </cell>
          <cell r="AV32">
            <v>1.41479099678457</v>
          </cell>
          <cell r="AW32" t="str">
            <v>EPS</v>
          </cell>
          <cell r="AX32">
            <v>1.05809523809524</v>
          </cell>
          <cell r="AY32">
            <v>0.99493670886075902</v>
          </cell>
          <cell r="AZ32">
            <v>1.2014715189873399</v>
          </cell>
          <cell r="BA32">
            <v>1.0128706624605699</v>
          </cell>
          <cell r="BB32" t="str">
            <v>EPS</v>
          </cell>
          <cell r="BC32">
            <v>0.85306122448979604</v>
          </cell>
          <cell r="BD32">
            <v>0.83937007874015701</v>
          </cell>
          <cell r="BE32">
            <v>0.85229067930489699</v>
          </cell>
          <cell r="BF32">
            <v>-0.78782678946944495</v>
          </cell>
          <cell r="BG32" t="str">
            <v>EPS</v>
          </cell>
          <cell r="BH32">
            <v>0.94620253164557</v>
          </cell>
          <cell r="BI32">
            <v>0.96531645569620295</v>
          </cell>
          <cell r="BJ32">
            <v>0.979952606635071</v>
          </cell>
          <cell r="BK32">
            <v>0.5059849683544303</v>
          </cell>
          <cell r="BL32" t="str">
            <v>EPS</v>
          </cell>
          <cell r="BM32">
            <v>0.51325949367088597</v>
          </cell>
          <cell r="BN32">
            <v>0.53</v>
          </cell>
          <cell r="BO32">
            <v>0.53866877971473803</v>
          </cell>
          <cell r="BP32">
            <v>0.54984177215189867</v>
          </cell>
          <cell r="BQ32" t="str">
            <v>EPS</v>
          </cell>
          <cell r="BR32">
            <v>0.56481774960380349</v>
          </cell>
          <cell r="BS32">
            <v>0.63923322683706074</v>
          </cell>
          <cell r="BT32">
            <v>0.64927547770700633</v>
          </cell>
          <cell r="BU32">
            <v>0.63989121146727135</v>
          </cell>
          <cell r="BW32" t="str">
            <v>EPS</v>
          </cell>
          <cell r="BX32">
            <v>0.60526583780309962</v>
          </cell>
          <cell r="BY32">
            <v>0.7257610619469026</v>
          </cell>
          <cell r="BZ32">
            <v>0.78548311111111113</v>
          </cell>
          <cell r="CA32">
            <v>0.75</v>
          </cell>
          <cell r="CB32">
            <v>0.78361253955696175</v>
          </cell>
          <cell r="CC32">
            <v>0.8559187716691431</v>
          </cell>
          <cell r="CD32">
            <v>0.90375616979269502</v>
          </cell>
          <cell r="CE32">
            <v>0.99023297137216215</v>
          </cell>
          <cell r="CG32" t="str">
            <v>EPS</v>
          </cell>
          <cell r="CH32">
            <v>0.90762234305486889</v>
          </cell>
          <cell r="CI32">
            <v>1.0085232903865213</v>
          </cell>
          <cell r="CJ32">
            <v>1.0176869391824526</v>
          </cell>
          <cell r="CK32">
            <v>1.073790882061447</v>
          </cell>
          <cell r="CL32">
            <v>1.0477744807121663</v>
          </cell>
          <cell r="CM32">
            <v>1.116384236453202</v>
          </cell>
          <cell r="CN32">
            <v>1.1253438113948919</v>
          </cell>
          <cell r="CO32">
            <v>-0.96569769859476029</v>
          </cell>
          <cell r="CQ32" t="str">
            <v>EPS-Disc. Opns</v>
          </cell>
          <cell r="CR32">
            <v>-0.01</v>
          </cell>
          <cell r="CS32">
            <v>-0.05</v>
          </cell>
          <cell r="CT32">
            <v>-0.05</v>
          </cell>
          <cell r="CU32">
            <v>-0.55000000000000004</v>
          </cell>
          <cell r="CX32">
            <v>3.5171991036166861E-2</v>
          </cell>
          <cell r="CY32">
            <v>2.0044741466532619E-2</v>
          </cell>
          <cell r="DA32" t="str">
            <v>EPS, Disc. Opns</v>
          </cell>
          <cell r="DB32">
            <v>9.9848638450486527E-3</v>
          </cell>
          <cell r="DC32">
            <v>2.4875621890547265E-2</v>
          </cell>
          <cell r="DD32">
            <v>4.954116999538247E-3</v>
          </cell>
          <cell r="DE32">
            <v>1.4999999999999999E-2</v>
          </cell>
        </row>
        <row r="33">
          <cell r="A33" t="str">
            <v>EPS-Non-Core</v>
          </cell>
          <cell r="D33">
            <v>42</v>
          </cell>
          <cell r="F33">
            <v>1.48</v>
          </cell>
          <cell r="H33" t="str">
            <v>EPS-Disc. Opns</v>
          </cell>
          <cell r="I33">
            <v>5.4</v>
          </cell>
          <cell r="K33" t="str">
            <v>EPS-Disc. Opns</v>
          </cell>
          <cell r="L33">
            <v>1.8</v>
          </cell>
          <cell r="M33">
            <v>-0.47</v>
          </cell>
          <cell r="N33">
            <v>0.12</v>
          </cell>
          <cell r="AK33">
            <v>0</v>
          </cell>
          <cell r="AL33">
            <v>0</v>
          </cell>
          <cell r="AM33">
            <v>0.31484412470023998</v>
          </cell>
          <cell r="AN33">
            <v>1.6565871121718401</v>
          </cell>
          <cell r="AO33">
            <v>0.74102422095696996</v>
          </cell>
          <cell r="AP33">
            <v>3.1963629859289302</v>
          </cell>
          <cell r="AR33" t="str">
            <v>EPS-Disc. Opns</v>
          </cell>
          <cell r="AS33">
            <v>0.82130184331797196</v>
          </cell>
          <cell r="AT33">
            <v>0.48</v>
          </cell>
          <cell r="AU33">
            <v>1.6</v>
          </cell>
          <cell r="AV33">
            <v>0.16</v>
          </cell>
          <cell r="AW33" t="str">
            <v>EPS-Disc. Opns</v>
          </cell>
          <cell r="AX33">
            <v>-0.39</v>
          </cell>
          <cell r="AY33">
            <v>-0.04</v>
          </cell>
          <cell r="AZ33">
            <v>-4.4999999999999998E-2</v>
          </cell>
          <cell r="BA33">
            <v>5.0000000000000504E-3</v>
          </cell>
          <cell r="BB33" t="str">
            <v>EPS-Disc. Opns</v>
          </cell>
          <cell r="BC33" t="str">
            <v xml:space="preserve"> </v>
          </cell>
          <cell r="BD33">
            <v>0.23622047244094499</v>
          </cell>
          <cell r="BG33" t="str">
            <v>EPS-Disc. Opns</v>
          </cell>
          <cell r="BI33">
            <v>0.33</v>
          </cell>
          <cell r="BJ33">
            <v>0.46</v>
          </cell>
          <cell r="BK33">
            <v>0.39</v>
          </cell>
          <cell r="BL33" t="str">
            <v>EPS-Disc. Opns</v>
          </cell>
          <cell r="BQ33" t="str">
            <v>EPS-Disc. Opns</v>
          </cell>
          <cell r="BW33" t="str">
            <v>EPS-Disc. Opns</v>
          </cell>
          <cell r="CB33">
            <v>0.82</v>
          </cell>
          <cell r="CG33" t="str">
            <v>EPS-Disc. Opns</v>
          </cell>
          <cell r="CJ33">
            <v>0.47</v>
          </cell>
          <cell r="CK33">
            <v>-0.24499999999999997</v>
          </cell>
          <cell r="CL33">
            <v>0.14000000000000001</v>
          </cell>
          <cell r="CQ33" t="str">
            <v>EPS, Reported (GAAP)</v>
          </cell>
          <cell r="CR33">
            <v>1.1339072520966946</v>
          </cell>
          <cell r="CS33">
            <v>1.2858194308145239</v>
          </cell>
          <cell r="CT33">
            <v>1.3212245691777451</v>
          </cell>
          <cell r="CU33">
            <v>0.73020276953511387</v>
          </cell>
          <cell r="CV33">
            <v>1.0914872308462695</v>
          </cell>
          <cell r="CW33">
            <v>1.2077542799597181</v>
          </cell>
          <cell r="CX33">
            <v>1.2855111495211586</v>
          </cell>
          <cell r="CY33">
            <v>-1.0715968798177866</v>
          </cell>
          <cell r="DA33" t="str">
            <v>EPS, Reported (GAAP)/ FAS123R</v>
          </cell>
          <cell r="DB33">
            <v>0.67147585303961876</v>
          </cell>
          <cell r="DC33">
            <v>0.74626865671641796</v>
          </cell>
          <cell r="DD33">
            <v>0.79761283692565776</v>
          </cell>
          <cell r="DE33">
            <v>0.80641922259092147</v>
          </cell>
          <cell r="DG33" t="str">
            <v>Net Income</v>
          </cell>
          <cell r="DH33">
            <v>353</v>
          </cell>
          <cell r="DI33">
            <v>338.00000000000006</v>
          </cell>
          <cell r="DJ33">
            <v>364.00000000000006</v>
          </cell>
          <cell r="DK33">
            <v>398</v>
          </cell>
          <cell r="DL33">
            <v>386.99999999999994</v>
          </cell>
          <cell r="DM33">
            <v>420.00000000000006</v>
          </cell>
          <cell r="DN33">
            <v>440</v>
          </cell>
          <cell r="DO33">
            <v>463</v>
          </cell>
          <cell r="EB33" t="str">
            <v>Net Income</v>
          </cell>
          <cell r="EC33">
            <v>222.95000000000002</v>
          </cell>
          <cell r="ED33">
            <v>246.7955</v>
          </cell>
          <cell r="EE33">
            <v>269.93999999999994</v>
          </cell>
          <cell r="EF33">
            <v>559.47499999999991</v>
          </cell>
          <cell r="EG33">
            <v>495.86079999999998</v>
          </cell>
          <cell r="EH33">
            <v>715.01</v>
          </cell>
        </row>
        <row r="34">
          <cell r="A34" t="str">
            <v>Total EPS</v>
          </cell>
          <cell r="C34">
            <v>9.4630715123094973</v>
          </cell>
          <cell r="E34">
            <v>7.0091582619072197</v>
          </cell>
          <cell r="F34">
            <v>-13.86</v>
          </cell>
          <cell r="H34" t="str">
            <v>Total EPS</v>
          </cell>
          <cell r="I34">
            <v>8.1406542056074773</v>
          </cell>
          <cell r="K34" t="str">
            <v>Total EPS</v>
          </cell>
          <cell r="L34">
            <v>3.1941798941798938</v>
          </cell>
          <cell r="M34">
            <v>1.663615506329114</v>
          </cell>
          <cell r="N34">
            <v>1.8782807570977917</v>
          </cell>
          <cell r="AG34">
            <v>1.4880382775119601</v>
          </cell>
          <cell r="AH34">
            <v>-5.7485029940119796</v>
          </cell>
          <cell r="AI34">
            <v>1.6348448687350801</v>
          </cell>
          <cell r="AJ34">
            <v>-12.712230215827301</v>
          </cell>
          <cell r="AK34">
            <v>-13.594724220623499</v>
          </cell>
          <cell r="AL34">
            <v>0.88249400479616202</v>
          </cell>
          <cell r="AM34">
            <v>1.37</v>
          </cell>
          <cell r="AN34">
            <v>1.69</v>
          </cell>
          <cell r="AO34">
            <v>1.7028380634390701</v>
          </cell>
          <cell r="AP34">
            <v>3.95</v>
          </cell>
          <cell r="AR34" t="str">
            <v>Total EPS</v>
          </cell>
          <cell r="AS34">
            <v>1.83</v>
          </cell>
          <cell r="AT34">
            <v>1.5992325262677001</v>
          </cell>
          <cell r="AU34">
            <v>2.9544654088050302</v>
          </cell>
          <cell r="AV34">
            <v>1.5747909967845699</v>
          </cell>
          <cell r="AW34" t="str">
            <v>Total EPS</v>
          </cell>
          <cell r="AX34">
            <v>0.66809523809523796</v>
          </cell>
          <cell r="AY34">
            <v>0.95493670886075999</v>
          </cell>
          <cell r="AZ34">
            <v>1.15647151898734</v>
          </cell>
          <cell r="BA34">
            <v>1.01787066246057</v>
          </cell>
          <cell r="BB34" t="str">
            <v>Total EPS</v>
          </cell>
          <cell r="BC34">
            <v>0.42653061224489797</v>
          </cell>
          <cell r="BD34">
            <v>0.41968503937007873</v>
          </cell>
          <cell r="BE34">
            <v>0.42614533965244872</v>
          </cell>
          <cell r="BF34">
            <v>0.48467614533965248</v>
          </cell>
          <cell r="BG34" t="str">
            <v>Total EPS</v>
          </cell>
          <cell r="BH34">
            <v>0.47310126582278478</v>
          </cell>
          <cell r="BI34">
            <v>0.48265822784810125</v>
          </cell>
          <cell r="BJ34">
            <v>0.48997630331753556</v>
          </cell>
          <cell r="BK34">
            <v>0.5059849683544303</v>
          </cell>
          <cell r="BL34" t="str">
            <v>Total EPS</v>
          </cell>
          <cell r="BM34">
            <v>0.51325949367088597</v>
          </cell>
          <cell r="BN34">
            <v>1.06</v>
          </cell>
          <cell r="BO34">
            <v>0.53866877971473803</v>
          </cell>
          <cell r="BP34">
            <v>0.54984177215189867</v>
          </cell>
          <cell r="BQ34" t="str">
            <v>Total EPS</v>
          </cell>
          <cell r="BR34">
            <v>0.56481774960380349</v>
          </cell>
          <cell r="BS34">
            <v>0.63923322683706074</v>
          </cell>
          <cell r="BT34">
            <v>0.64927547770700633</v>
          </cell>
          <cell r="BU34">
            <v>0.63989121146727135</v>
          </cell>
          <cell r="BW34" t="str">
            <v>Total EPS</v>
          </cell>
          <cell r="BX34">
            <v>0.60526583780309962</v>
          </cell>
          <cell r="BY34">
            <v>0.7257610619469026</v>
          </cell>
          <cell r="BZ34">
            <v>0.78548311111111113</v>
          </cell>
          <cell r="CA34">
            <v>-0.89034581699365534</v>
          </cell>
          <cell r="CB34">
            <v>1.6036125395569618</v>
          </cell>
          <cell r="CC34">
            <v>0.8559187716691431</v>
          </cell>
          <cell r="CD34">
            <v>0.90375616979269502</v>
          </cell>
          <cell r="CE34">
            <v>0.99461454767986401</v>
          </cell>
          <cell r="CG34" t="str">
            <v>Total EPS</v>
          </cell>
          <cell r="CH34">
            <v>0.90762234305486889</v>
          </cell>
          <cell r="CI34">
            <v>1.0085232903865213</v>
          </cell>
          <cell r="CJ34">
            <v>1.4876869391824525</v>
          </cell>
          <cell r="CK34">
            <v>-1.1696572124648763</v>
          </cell>
          <cell r="CL34">
            <v>1.1877744807121662</v>
          </cell>
          <cell r="CM34">
            <v>1.116384236453202</v>
          </cell>
          <cell r="CN34">
            <v>1.1253438113948919</v>
          </cell>
          <cell r="CO34">
            <v>-1.10569769859476</v>
          </cell>
          <cell r="CQ34" t="str">
            <v xml:space="preserve">  % Change</v>
          </cell>
          <cell r="CR34">
            <v>9.1749487274387018E-2</v>
          </cell>
          <cell r="CS34">
            <v>0.1965588434484497</v>
          </cell>
          <cell r="CT34">
            <v>0.21849389963595023</v>
          </cell>
          <cell r="CU34">
            <v>-2.3256765252708038</v>
          </cell>
          <cell r="CV34">
            <v>-4.582541211653586E-2</v>
          </cell>
          <cell r="CW34">
            <v>-9.5870106318724044E-2</v>
          </cell>
          <cell r="CX34">
            <v>-8.8158725718605252E-2</v>
          </cell>
          <cell r="CY34">
            <v>7.645133147504804E-2</v>
          </cell>
          <cell r="DA34" t="str">
            <v>% Ch Y/Y</v>
          </cell>
          <cell r="DB34">
            <v>-0.3939544407847152</v>
          </cell>
          <cell r="DC34">
            <v>-0.40269883800376088</v>
          </cell>
          <cell r="DD34">
            <v>-0.36604503302402636</v>
          </cell>
          <cell r="DE34">
            <v>-0.42570711885631946</v>
          </cell>
          <cell r="DG34" t="str">
            <v>Net Margin</v>
          </cell>
          <cell r="DH34">
            <v>7.3973176865046106E-2</v>
          </cell>
          <cell r="DI34">
            <v>6.5797157874245685E-2</v>
          </cell>
          <cell r="DJ34">
            <v>6.8653338362881941E-2</v>
          </cell>
          <cell r="DK34">
            <v>6.904927133934767E-2</v>
          </cell>
          <cell r="DL34">
            <v>6.9780021637216E-2</v>
          </cell>
          <cell r="DM34">
            <v>7.0778564206268962E-2</v>
          </cell>
          <cell r="DN34">
            <v>7.2499588070522328E-2</v>
          </cell>
          <cell r="DO34">
            <v>7.1077678845563402E-2</v>
          </cell>
          <cell r="EB34" t="str">
            <v>Net Margin</v>
          </cell>
          <cell r="EC34">
            <v>7.2907128842380653E-2</v>
          </cell>
          <cell r="ED34">
            <v>8.0468046951418321E-2</v>
          </cell>
          <cell r="EE34">
            <v>7.5381178441776026E-2</v>
          </cell>
          <cell r="EF34">
            <v>9.2797312987228375E-2</v>
          </cell>
          <cell r="EG34">
            <v>6.5807670869276705E-2</v>
          </cell>
          <cell r="EH34">
            <v>7.9809130483312868E-2</v>
          </cell>
        </row>
        <row r="35">
          <cell r="A35" t="str">
            <v xml:space="preserve">  %Chge.</v>
          </cell>
          <cell r="E35" t="str">
            <v xml:space="preserve"> </v>
          </cell>
          <cell r="H35" t="str">
            <v xml:space="preserve">  %Chge.</v>
          </cell>
          <cell r="I35" t="str">
            <v xml:space="preserve"> </v>
          </cell>
          <cell r="K35" t="str">
            <v xml:space="preserve">  %Chge.</v>
          </cell>
          <cell r="M35">
            <v>0.53037317152259023</v>
          </cell>
          <cell r="N35">
            <v>-0.58828214646598986</v>
          </cell>
          <cell r="P35" t="str">
            <v xml:space="preserve">  %Chge.</v>
          </cell>
          <cell r="U35">
            <v>0.46316379467660801</v>
          </cell>
          <cell r="V35">
            <v>0.211482657148307</v>
          </cell>
          <cell r="W35">
            <v>0.14239283162372199</v>
          </cell>
          <cell r="X35">
            <v>0.128391180322774</v>
          </cell>
          <cell r="Y35">
            <v>-0.16561172856239301</v>
          </cell>
          <cell r="Z35">
            <v>-0.62049173013133396</v>
          </cell>
          <cell r="AA35">
            <v>-0.30500960922485598</v>
          </cell>
          <cell r="AB35">
            <v>-0.10171371901819901</v>
          </cell>
          <cell r="AC35">
            <v>-0.113857105680683</v>
          </cell>
          <cell r="AD35">
            <v>0.25308351177730198</v>
          </cell>
          <cell r="AE35">
            <v>6.0998522007062999E-3</v>
          </cell>
          <cell r="AF35">
            <v>-2.5844059572747501E-2</v>
          </cell>
          <cell r="AR35" t="str">
            <v xml:space="preserve">  %Chge.</v>
          </cell>
          <cell r="AS35">
            <v>-4.4029246962714701E-2</v>
          </cell>
          <cell r="AT35">
            <v>32.497030607583397</v>
          </cell>
          <cell r="AU35">
            <v>0.40824071039530602</v>
          </cell>
          <cell r="AV35">
            <v>0.87728438275876097</v>
          </cell>
          <cell r="AW35" t="str">
            <v xml:space="preserve">  %Chge.</v>
          </cell>
          <cell r="AX35">
            <v>0.288314700257637</v>
          </cell>
          <cell r="AY35">
            <v>1.07278481012658</v>
          </cell>
          <cell r="AZ35">
            <v>-0.24908030063291101</v>
          </cell>
          <cell r="BA35">
            <v>5.3304416403785497</v>
          </cell>
          <cell r="BB35" t="str">
            <v xml:space="preserve">  %Chge.</v>
          </cell>
          <cell r="BC35">
            <v>-0.14259749701407301</v>
          </cell>
          <cell r="BD35">
            <v>-0.15635831780569401</v>
          </cell>
          <cell r="BE35">
            <v>-0.29062764631886701</v>
          </cell>
          <cell r="BF35">
            <v>-1.7739949863227</v>
          </cell>
          <cell r="BG35" t="str">
            <v xml:space="preserve">  %Chge.</v>
          </cell>
          <cell r="BH35">
            <v>0.10918478590030878</v>
          </cell>
          <cell r="BI35">
            <v>0.15004868549172357</v>
          </cell>
          <cell r="BJ35">
            <v>0.14978683966635753</v>
          </cell>
          <cell r="BK35">
            <v>4.3965074864257936E-2</v>
          </cell>
          <cell r="BL35" t="str">
            <v xml:space="preserve">  %Chge.</v>
          </cell>
          <cell r="BM35">
            <v>8.4882943143812506E-2</v>
          </cell>
          <cell r="BN35">
            <v>1.1961709939680043</v>
          </cell>
          <cell r="BO35">
            <v>9.9377206749622582E-2</v>
          </cell>
          <cell r="BP35">
            <v>8.6676100161828806E-2</v>
          </cell>
          <cell r="BQ35" t="str">
            <v xml:space="preserve">  %Chge.</v>
          </cell>
          <cell r="BR35">
            <v>0.1004526103631662</v>
          </cell>
          <cell r="BS35">
            <v>0.20610042799445419</v>
          </cell>
          <cell r="BT35">
            <v>0.20533341110068079</v>
          </cell>
          <cell r="BU35">
            <v>0.1637733687692533</v>
          </cell>
          <cell r="BW35" t="str">
            <v xml:space="preserve">  %Chge.</v>
          </cell>
          <cell r="BX35">
            <v>7.1612636514466477E-2</v>
          </cell>
          <cell r="BY35">
            <v>0.13536191718003043</v>
          </cell>
          <cell r="BZ35">
            <v>0.20978404095152081</v>
          </cell>
          <cell r="CA35">
            <v>0.17207423161860436</v>
          </cell>
          <cell r="CB35">
            <v>0.29465846346325675</v>
          </cell>
          <cell r="CC35">
            <v>0.17933961540053378</v>
          </cell>
          <cell r="CD35">
            <v>0.15057364952669672</v>
          </cell>
          <cell r="CE35">
            <v>0.24662751433513908</v>
          </cell>
          <cell r="CG35" t="str">
            <v xml:space="preserve">  % Change</v>
          </cell>
          <cell r="CH35">
            <v>0.15825398042764816</v>
          </cell>
          <cell r="CI35">
            <v>0.17699914641062819</v>
          </cell>
          <cell r="CJ35">
            <v>0.12606361449890979</v>
          </cell>
          <cell r="CK35">
            <v>8.5410019526147352E-2</v>
          </cell>
          <cell r="CL35">
            <v>0.15441679981739356</v>
          </cell>
          <cell r="CM35">
            <v>0.10694938539827117</v>
          </cell>
          <cell r="CN35">
            <v>0.1057858444158911</v>
          </cell>
          <cell r="CO35">
            <v>-1.8993349773475714</v>
          </cell>
          <cell r="CQ35" t="str">
            <v>EPS Post FAS142</v>
          </cell>
          <cell r="DA35" t="str">
            <v>EPS Post FAS142</v>
          </cell>
          <cell r="DG35" t="str">
            <v>% Ch Y/Y</v>
          </cell>
          <cell r="DH35">
            <v>0.33208803856640157</v>
          </cell>
          <cell r="DI35">
            <v>0.16551724137931054</v>
          </cell>
          <cell r="DJ35">
            <v>0.13749999999999998</v>
          </cell>
          <cell r="DK35">
            <v>0.24123737373737369</v>
          </cell>
          <cell r="DL35">
            <v>9.6317280453257631E-2</v>
          </cell>
          <cell r="DM35">
            <v>0.24260355029585795</v>
          </cell>
          <cell r="DN35">
            <v>0.2087912087912086</v>
          </cell>
          <cell r="DO35">
            <v>0.16331658291457288</v>
          </cell>
          <cell r="EB35" t="str">
            <v>% Ch Y/Y</v>
          </cell>
          <cell r="ED35">
            <v>0.10695447409733118</v>
          </cell>
          <cell r="EE35">
            <v>9.3780072975398407E-2</v>
          </cell>
          <cell r="EF35">
            <v>1.0725902052307921</v>
          </cell>
          <cell r="EG35">
            <v>-0.11370338263550639</v>
          </cell>
          <cell r="EH35">
            <v>0.4419570976370788</v>
          </cell>
        </row>
        <row r="36">
          <cell r="CG36" t="str">
            <v>EPS Post FAS142</v>
          </cell>
        </row>
        <row r="37">
          <cell r="A37" t="str">
            <v xml:space="preserve"> Avg. Shs.</v>
          </cell>
          <cell r="B37">
            <v>42.662499999999994</v>
          </cell>
          <cell r="C37">
            <v>42.65</v>
          </cell>
          <cell r="E37">
            <v>41.8</v>
          </cell>
          <cell r="F37">
            <v>41.7</v>
          </cell>
          <cell r="H37" t="str">
            <v xml:space="preserve"> Avg. Shs.</v>
          </cell>
          <cell r="I37">
            <v>42.8</v>
          </cell>
          <cell r="K37" t="str">
            <v xml:space="preserve"> Avg. Shs.</v>
          </cell>
          <cell r="L37">
            <v>151.19999999999999</v>
          </cell>
          <cell r="M37">
            <v>126.4</v>
          </cell>
          <cell r="N37">
            <v>126.8</v>
          </cell>
          <cell r="P37" t="str">
            <v xml:space="preserve"> Avg. Shs.</v>
          </cell>
          <cell r="Q37">
            <v>42.6</v>
          </cell>
          <cell r="R37">
            <v>42.65</v>
          </cell>
          <cell r="S37">
            <v>42.73</v>
          </cell>
          <cell r="T37">
            <v>42.67</v>
          </cell>
          <cell r="U37">
            <v>43.1</v>
          </cell>
          <cell r="V37">
            <v>42.8</v>
          </cell>
          <cell r="W37">
            <v>42.6</v>
          </cell>
          <cell r="X37">
            <v>42.1</v>
          </cell>
          <cell r="Y37">
            <v>42</v>
          </cell>
          <cell r="Z37">
            <v>42.1</v>
          </cell>
          <cell r="AA37">
            <v>42</v>
          </cell>
          <cell r="AB37">
            <v>41.9</v>
          </cell>
          <cell r="AC37">
            <v>41.7</v>
          </cell>
          <cell r="AD37">
            <v>41.8</v>
          </cell>
          <cell r="AE37">
            <v>41.8</v>
          </cell>
          <cell r="AF37">
            <v>41.8</v>
          </cell>
          <cell r="AG37">
            <v>41.8</v>
          </cell>
          <cell r="AH37">
            <v>41.75</v>
          </cell>
          <cell r="AI37">
            <v>41.9</v>
          </cell>
          <cell r="AJ37">
            <v>41.7</v>
          </cell>
          <cell r="AK37">
            <v>41.7</v>
          </cell>
          <cell r="AL37">
            <v>41.7</v>
          </cell>
          <cell r="AM37">
            <v>41.7</v>
          </cell>
          <cell r="AN37">
            <v>41.9</v>
          </cell>
          <cell r="AO37">
            <v>41.9</v>
          </cell>
          <cell r="AP37">
            <v>41.93</v>
          </cell>
          <cell r="AR37" t="str">
            <v xml:space="preserve"> Avg. Shs.</v>
          </cell>
          <cell r="AS37">
            <v>43.4</v>
          </cell>
          <cell r="AT37">
            <v>43.78</v>
          </cell>
          <cell r="AU37">
            <v>31.8</v>
          </cell>
          <cell r="AV37">
            <v>31.1</v>
          </cell>
          <cell r="AW37" t="str">
            <v xml:space="preserve"> Avg. Shs.</v>
          </cell>
          <cell r="AX37">
            <v>63</v>
          </cell>
          <cell r="AY37">
            <v>63.2</v>
          </cell>
          <cell r="AZ37">
            <v>63.2</v>
          </cell>
          <cell r="BA37">
            <v>63.4</v>
          </cell>
          <cell r="BB37" t="str">
            <v xml:space="preserve"> Avg. Shs.</v>
          </cell>
          <cell r="BC37">
            <v>127.4</v>
          </cell>
          <cell r="BD37">
            <v>127</v>
          </cell>
          <cell r="BE37">
            <v>126.6</v>
          </cell>
          <cell r="BF37">
            <v>126.6</v>
          </cell>
          <cell r="BG37" t="str">
            <v xml:space="preserve"> Avg. Shs.</v>
          </cell>
          <cell r="BH37">
            <v>126.4</v>
          </cell>
          <cell r="BI37">
            <v>126.4</v>
          </cell>
          <cell r="BJ37">
            <v>126.6</v>
          </cell>
          <cell r="BK37">
            <v>126.4</v>
          </cell>
          <cell r="BL37" t="str">
            <v xml:space="preserve"> Avg. Shs.</v>
          </cell>
          <cell r="BM37">
            <v>126.4</v>
          </cell>
          <cell r="BN37">
            <v>126.6</v>
          </cell>
          <cell r="BO37">
            <v>126.2</v>
          </cell>
          <cell r="BP37">
            <v>126.4</v>
          </cell>
          <cell r="BQ37" t="str">
            <v xml:space="preserve"> Avg. Shs.</v>
          </cell>
          <cell r="BR37">
            <v>126.2</v>
          </cell>
          <cell r="BS37">
            <v>125.2</v>
          </cell>
          <cell r="BT37">
            <v>125.6</v>
          </cell>
          <cell r="BU37">
            <v>124.8</v>
          </cell>
          <cell r="BW37" t="str">
            <v xml:space="preserve"> Avg. Shs.</v>
          </cell>
          <cell r="BX37">
            <v>202.285</v>
          </cell>
          <cell r="BY37">
            <v>203.4</v>
          </cell>
          <cell r="BZ37">
            <v>202.5</v>
          </cell>
          <cell r="CA37">
            <v>202.9</v>
          </cell>
          <cell r="CB37">
            <v>202.24</v>
          </cell>
          <cell r="CC37">
            <v>201.9</v>
          </cell>
          <cell r="CD37">
            <v>202.6</v>
          </cell>
          <cell r="CE37">
            <v>202.6</v>
          </cell>
          <cell r="CG37" t="str">
            <v xml:space="preserve"> Avg. Shs. (MM)</v>
          </cell>
          <cell r="CH37">
            <v>202.3</v>
          </cell>
          <cell r="CI37">
            <v>201.8</v>
          </cell>
          <cell r="CJ37">
            <v>200.6</v>
          </cell>
          <cell r="CK37">
            <v>201.8</v>
          </cell>
          <cell r="CL37">
            <v>202.2</v>
          </cell>
          <cell r="CM37">
            <v>203</v>
          </cell>
          <cell r="CN37">
            <v>203.6</v>
          </cell>
          <cell r="CO37">
            <v>202</v>
          </cell>
          <cell r="CQ37" t="str">
            <v>Reported EPS</v>
          </cell>
          <cell r="CR37">
            <v>1.1339072520966946</v>
          </cell>
          <cell r="CS37">
            <v>1.2858194308145239</v>
          </cell>
          <cell r="CT37">
            <v>1.3212245691777451</v>
          </cell>
          <cell r="CU37">
            <v>0.73020276953511387</v>
          </cell>
          <cell r="CV37">
            <v>1.0914872308462695</v>
          </cell>
          <cell r="CW37">
            <v>1.2077542799597181</v>
          </cell>
          <cell r="CX37">
            <v>1.2855111495211586</v>
          </cell>
          <cell r="CY37">
            <v>-1.0715968798177866</v>
          </cell>
          <cell r="DA37" t="str">
            <v>Reported EPS</v>
          </cell>
          <cell r="DB37">
            <v>0.67147585303961876</v>
          </cell>
          <cell r="DC37">
            <v>0.74626865671641796</v>
          </cell>
          <cell r="DD37">
            <v>0.79761283692565776</v>
          </cell>
          <cell r="DE37">
            <v>0.80641922259092147</v>
          </cell>
          <cell r="DG37" t="str">
            <v>EPS, Cont. Ops</v>
          </cell>
          <cell r="DH37">
            <v>0.87365955256335326</v>
          </cell>
          <cell r="DI37">
            <v>0.8358111465821999</v>
          </cell>
          <cell r="DJ37">
            <v>0.8974209713957767</v>
          </cell>
          <cell r="DK37">
            <v>0.98198278222971003</v>
          </cell>
          <cell r="DL37">
            <v>0.95673671199011112</v>
          </cell>
          <cell r="DM37">
            <v>1.0320485247395879</v>
          </cell>
          <cell r="DN37">
            <v>1.0806109303643339</v>
          </cell>
          <cell r="DO37">
            <v>1.1328602887203327</v>
          </cell>
          <cell r="EB37" t="str">
            <v>EPS, Cont. Ops</v>
          </cell>
          <cell r="EC37">
            <v>0.87914037854889604</v>
          </cell>
          <cell r="ED37">
            <v>0.97934722222222226</v>
          </cell>
          <cell r="EE37">
            <v>1.0627559055118108</v>
          </cell>
          <cell r="EF37">
            <v>1.366573033707865</v>
          </cell>
          <cell r="EG37">
            <v>1.2261641938674579</v>
          </cell>
          <cell r="EH37">
            <v>1.7689510143493321</v>
          </cell>
        </row>
        <row r="38">
          <cell r="AS38" t="str">
            <v xml:space="preserve"> </v>
          </cell>
          <cell r="AT38" t="str">
            <v xml:space="preserve"> </v>
          </cell>
          <cell r="AU38" t="str">
            <v xml:space="preserve"> </v>
          </cell>
          <cell r="AV38" t="str">
            <v xml:space="preserve"> </v>
          </cell>
          <cell r="AY38" t="str">
            <v xml:space="preserve"> </v>
          </cell>
          <cell r="AZ38" t="str">
            <v xml:space="preserve"> </v>
          </cell>
          <cell r="BA38" t="str">
            <v xml:space="preserve"> </v>
          </cell>
          <cell r="CQ38" t="str">
            <v>Stock Options Expense</v>
          </cell>
          <cell r="CR38">
            <v>-3.4533793783917119E-2</v>
          </cell>
          <cell r="CS38">
            <v>-3.4347399411187439E-2</v>
          </cell>
          <cell r="CT38">
            <v>-3.4465780403742E-2</v>
          </cell>
          <cell r="CV38">
            <v>-3.5052578868302459E-2</v>
          </cell>
          <cell r="CW38">
            <v>-3.5246727089627394E-2</v>
          </cell>
          <cell r="CX38">
            <v>-3.5171991036166861E-2</v>
          </cell>
          <cell r="CY38">
            <v>3.5173233203625115E-2</v>
          </cell>
          <cell r="DA38" t="str">
            <v>Stock Options Expense</v>
          </cell>
          <cell r="DB38">
            <v>-1.4977295767572979E-2</v>
          </cell>
          <cell r="DC38">
            <v>-1.7412935323383085E-2</v>
          </cell>
          <cell r="DD38">
            <v>-1.7339409498383862E-2</v>
          </cell>
          <cell r="DE38">
            <v>-1.9760648142809742E-2</v>
          </cell>
          <cell r="DG38" t="str">
            <v>EPS, Disc. Opns</v>
          </cell>
          <cell r="DH38">
            <v>-4.2074256072456108E-2</v>
          </cell>
          <cell r="DI38">
            <v>5.0000000000000001E-3</v>
          </cell>
          <cell r="DJ38">
            <v>2.4654422291092763E-2</v>
          </cell>
          <cell r="DK38">
            <v>1.9738347381501709E-2</v>
          </cell>
          <cell r="DL38">
            <v>-3.2138442521631644E-2</v>
          </cell>
          <cell r="DM38">
            <v>0.5307678127232166</v>
          </cell>
          <cell r="DN38">
            <v>-4.9118678652924266E-3</v>
          </cell>
          <cell r="DO38">
            <v>-0.13457303645705898</v>
          </cell>
          <cell r="EB38" t="str">
            <v>EPS, Disc. Opns</v>
          </cell>
          <cell r="EC38">
            <v>0.06</v>
          </cell>
          <cell r="EH38">
            <v>0.41</v>
          </cell>
        </row>
        <row r="39">
          <cell r="CQ39" t="str">
            <v>EPS Post Stock Options</v>
          </cell>
          <cell r="CR39">
            <v>1.0993734583127774</v>
          </cell>
          <cell r="CS39">
            <v>1.2514720314033365</v>
          </cell>
          <cell r="CT39">
            <v>1.2867587887740031</v>
          </cell>
          <cell r="CU39">
            <v>0.73020276953511387</v>
          </cell>
          <cell r="CV39">
            <v>1.056434651977967</v>
          </cell>
          <cell r="CW39">
            <v>1.1725075528700906</v>
          </cell>
          <cell r="CX39">
            <v>1.2503391584849917</v>
          </cell>
          <cell r="CY39">
            <v>-1.0364236466141614</v>
          </cell>
          <cell r="DA39" t="str">
            <v>EPS Post Stock Options</v>
          </cell>
          <cell r="DB39">
            <v>0.65649855727204576</v>
          </cell>
          <cell r="DC39">
            <v>0.72885572139303489</v>
          </cell>
          <cell r="DD39">
            <v>0.7802734274272739</v>
          </cell>
          <cell r="DE39">
            <v>0.78665857444811171</v>
          </cell>
          <cell r="DG39" t="str">
            <v>EPS, Reported (GAAP)/ FAS123R</v>
          </cell>
          <cell r="DH39">
            <v>0.83158529649089719</v>
          </cell>
          <cell r="DI39">
            <v>0.84081114658219991</v>
          </cell>
          <cell r="DJ39">
            <v>0.92207539368686942</v>
          </cell>
          <cell r="DK39">
            <v>1.0017211296112118</v>
          </cell>
          <cell r="DL39">
            <v>0.92459826946847945</v>
          </cell>
          <cell r="DM39">
            <v>1.5628163374628046</v>
          </cell>
          <cell r="DN39">
            <v>1.0756990624990415</v>
          </cell>
          <cell r="DO39">
            <v>0.99828725226327375</v>
          </cell>
          <cell r="EB39" t="str">
            <v>EPS, Reported</v>
          </cell>
          <cell r="EC39">
            <v>0.93914037854889609</v>
          </cell>
          <cell r="ED39">
            <v>0.97934722222222226</v>
          </cell>
          <cell r="EE39">
            <v>1.0627559055118108</v>
          </cell>
          <cell r="EF39">
            <v>1.366573033707865</v>
          </cell>
          <cell r="EG39">
            <v>1.2261641938674579</v>
          </cell>
          <cell r="EH39">
            <v>2.178951014349332</v>
          </cell>
        </row>
        <row r="40">
          <cell r="CV40">
            <v>1.0914872308462695</v>
          </cell>
          <cell r="CW40">
            <v>1.2077542799597181</v>
          </cell>
          <cell r="CX40">
            <v>1.2503391584849917</v>
          </cell>
          <cell r="CY40">
            <v>1.3780759758241174</v>
          </cell>
          <cell r="DA40" t="str">
            <v>EPS Adj for Consensus</v>
          </cell>
          <cell r="DB40">
            <v>0.67147585303961876</v>
          </cell>
          <cell r="DC40">
            <v>0.74626865671641796</v>
          </cell>
          <cell r="DD40">
            <v>0.79761283692565776</v>
          </cell>
          <cell r="DE40">
            <v>0.80641922259092147</v>
          </cell>
          <cell r="DG40" t="str">
            <v>% Ch Y/Y</v>
          </cell>
          <cell r="DH40">
            <v>0.32074293805138476</v>
          </cell>
          <cell r="DI40">
            <v>0.15860717560704946</v>
          </cell>
          <cell r="DJ40">
            <v>0.13216564561280744</v>
          </cell>
          <cell r="DK40">
            <v>0.24078712545662972</v>
          </cell>
          <cell r="DL40">
            <v>9.5090998756902551E-2</v>
          </cell>
          <cell r="DM40">
            <v>0.23478674454132625</v>
          </cell>
          <cell r="DN40">
            <v>0.2041293493327197</v>
          </cell>
          <cell r="DO40">
            <v>0.15364577589439724</v>
          </cell>
          <cell r="EB40" t="str">
            <v>% Ch Y/Y</v>
          </cell>
          <cell r="ED40">
            <v>0.11398275647255218</v>
          </cell>
          <cell r="EE40">
            <v>8.5167631455907111E-2</v>
          </cell>
          <cell r="EF40">
            <v>0.28587667837963182</v>
          </cell>
          <cell r="EG40">
            <v>-0.10274521476502552</v>
          </cell>
          <cell r="EH40">
            <v>0.44267058457306963</v>
          </cell>
        </row>
        <row r="41">
          <cell r="A41" t="str">
            <v>OP MARGIN</v>
          </cell>
          <cell r="G41" t="str">
            <v>OP MARGIN</v>
          </cell>
          <cell r="K41" t="str">
            <v>Op Margin</v>
          </cell>
          <cell r="P41" t="str">
            <v>OP MARGIN</v>
          </cell>
          <cell r="AQ41" t="str">
            <v>OP MARGIN</v>
          </cell>
          <cell r="BL41" t="str">
            <v>Op Margin</v>
          </cell>
          <cell r="BQ41" t="str">
            <v>Op Margin</v>
          </cell>
          <cell r="BW41" t="str">
            <v>Op Margin</v>
          </cell>
          <cell r="CG41" t="str">
            <v>Operating Margins</v>
          </cell>
          <cell r="CQ41" t="str">
            <v xml:space="preserve"> Avg. Shs. (MM)</v>
          </cell>
          <cell r="CR41">
            <v>202.7</v>
          </cell>
          <cell r="CS41">
            <v>203.8</v>
          </cell>
          <cell r="CT41">
            <v>203.1</v>
          </cell>
          <cell r="CU41">
            <v>202.2</v>
          </cell>
          <cell r="CV41">
            <v>199.7</v>
          </cell>
          <cell r="CW41">
            <v>198.6</v>
          </cell>
          <cell r="CX41">
            <v>199.02199999999999</v>
          </cell>
          <cell r="CY41">
            <v>199.553584</v>
          </cell>
          <cell r="DA41" t="str">
            <v>Avg. Diluted Shares</v>
          </cell>
          <cell r="DB41">
            <v>400.60636399999999</v>
          </cell>
          <cell r="DC41">
            <v>402</v>
          </cell>
          <cell r="DD41">
            <v>403.70463599999999</v>
          </cell>
          <cell r="DE41">
            <v>405.15540199999998</v>
          </cell>
          <cell r="DG41" t="str">
            <v>EPS Post FAS142</v>
          </cell>
          <cell r="EB41" t="str">
            <v>EPS Post FAS142</v>
          </cell>
        </row>
        <row r="42">
          <cell r="A42" t="str">
            <v>Tactical A/C</v>
          </cell>
          <cell r="C42">
            <v>0.20062383031815348</v>
          </cell>
          <cell r="D42">
            <v>0.20542635658914729</v>
          </cell>
          <cell r="E42">
            <v>0.14129981533329361</v>
          </cell>
          <cell r="F42">
            <v>4.8082427017744706E-2</v>
          </cell>
          <cell r="K42" t="str">
            <v>Marine Group</v>
          </cell>
          <cell r="L42">
            <v>5.4335260115606937E-2</v>
          </cell>
          <cell r="M42">
            <v>7.2472238457042662E-2</v>
          </cell>
          <cell r="N42">
            <v>0.1130986728216965</v>
          </cell>
          <cell r="P42" t="str">
            <v>Tactical A/C</v>
          </cell>
          <cell r="Q42">
            <v>0.10214285714285699</v>
          </cell>
          <cell r="R42">
            <v>9.7477064220183499E-2</v>
          </cell>
          <cell r="S42">
            <v>9.7686375321336796E-2</v>
          </cell>
          <cell r="T42">
            <v>0.12463768115942001</v>
          </cell>
          <cell r="U42">
            <v>6.0054347826086998E-2</v>
          </cell>
          <cell r="V42">
            <v>6.5770171149144296E-2</v>
          </cell>
          <cell r="W42">
            <v>7.4216867469879502E-2</v>
          </cell>
          <cell r="X42">
            <v>6.27737226277372E-2</v>
          </cell>
          <cell r="Y42">
            <v>6.5776699029126195E-2</v>
          </cell>
          <cell r="Z42">
            <v>-5.4955378111789598E-2</v>
          </cell>
          <cell r="AA42">
            <v>2.9394121175764801E-2</v>
          </cell>
          <cell r="AB42">
            <v>5.9650053022269403E-2</v>
          </cell>
          <cell r="AC42">
            <v>7.6674937965260606E-2</v>
          </cell>
          <cell r="AD42">
            <v>-8.7074829931972797E-2</v>
          </cell>
          <cell r="AE42">
            <v>5.1262815703925997E-2</v>
          </cell>
          <cell r="AF42">
            <v>6.5317387304507799E-2</v>
          </cell>
          <cell r="AG42">
            <v>5.8875510880371101E-2</v>
          </cell>
          <cell r="AH42">
            <v>-0.37292464878671799</v>
          </cell>
          <cell r="AI42">
            <v>4.7461116193961601E-2</v>
          </cell>
          <cell r="AJ42">
            <v>-0.41014358499305198</v>
          </cell>
          <cell r="AL42">
            <v>3.3580361278369601E-2</v>
          </cell>
          <cell r="AR42" t="str">
            <v>Nuc. Subs</v>
          </cell>
          <cell r="AS42">
            <v>5.1401869158878503E-2</v>
          </cell>
          <cell r="AT42">
            <v>4.8165137614678902E-2</v>
          </cell>
          <cell r="AU42">
            <v>6.2052505966587103E-2</v>
          </cell>
          <cell r="AV42">
            <v>5.5928411633109597E-2</v>
          </cell>
          <cell r="AW42" t="str">
            <v>Nuc. Subs</v>
          </cell>
          <cell r="AX42">
            <v>6.6666666666666693E-2</v>
          </cell>
          <cell r="AY42">
            <v>6.9605568445475594E-2</v>
          </cell>
          <cell r="AZ42">
            <v>6.8235294117647102E-2</v>
          </cell>
          <cell r="BA42">
            <v>8.6419753086419707E-2</v>
          </cell>
          <cell r="BB42" t="str">
            <v>Marine Group</v>
          </cell>
          <cell r="BC42">
            <v>0.11184210526315801</v>
          </cell>
          <cell r="BD42">
            <v>0.114285714285714</v>
          </cell>
          <cell r="BE42">
            <v>0.11414392059553299</v>
          </cell>
          <cell r="BF42">
            <v>0.112171837708831</v>
          </cell>
          <cell r="BG42" t="str">
            <v>Marine Group</v>
          </cell>
          <cell r="BH42">
            <v>0.11161731207289299</v>
          </cell>
          <cell r="BI42">
            <v>0.114634146341463</v>
          </cell>
          <cell r="BJ42">
            <v>0.10930232558139499</v>
          </cell>
          <cell r="BK42">
            <v>8.4297520661157005E-2</v>
          </cell>
          <cell r="BL42" t="str">
            <v>Marine Group</v>
          </cell>
          <cell r="BM42">
            <v>8.7947882736156294E-2</v>
          </cell>
          <cell r="BN42">
            <v>8.9869281045751606E-2</v>
          </cell>
          <cell r="BO42">
            <v>9.6834264432029804E-2</v>
          </cell>
          <cell r="BP42">
            <v>9.6660808435852397E-2</v>
          </cell>
          <cell r="BQ42" t="str">
            <v>Marine Group</v>
          </cell>
          <cell r="BR42">
            <v>0.10554561717352411</v>
          </cell>
          <cell r="BS42">
            <v>0.1039182282793867</v>
          </cell>
          <cell r="BT42">
            <v>0.1005484460694698</v>
          </cell>
          <cell r="BU42">
            <v>9.5469255663430425E-2</v>
          </cell>
          <cell r="BW42" t="str">
            <v>Marine Group</v>
          </cell>
          <cell r="BX42">
            <v>0.11531531531531532</v>
          </cell>
          <cell r="BY42">
            <v>0.11488673139158576</v>
          </cell>
          <cell r="BZ42">
            <v>0.1111111111111111</v>
          </cell>
          <cell r="CA42">
            <v>9.3437152391546166E-2</v>
          </cell>
          <cell r="CB42">
            <v>0.10891089108910891</v>
          </cell>
          <cell r="CC42">
            <v>0.11518324607329843</v>
          </cell>
          <cell r="CD42">
            <v>0.10152284263959391</v>
          </cell>
          <cell r="CE42">
            <v>9.8901098901098897E-2</v>
          </cell>
          <cell r="CG42" t="str">
            <v>Marine Group</v>
          </cell>
          <cell r="CH42">
            <v>0.10401891252955082</v>
          </cell>
          <cell r="CI42">
            <v>9.5906432748538009E-2</v>
          </cell>
          <cell r="CJ42">
            <v>9.6491228070175433E-2</v>
          </cell>
          <cell r="CK42">
            <v>8.4245076586433265E-2</v>
          </cell>
          <cell r="CL42">
            <v>9.2807424593967514E-2</v>
          </cell>
          <cell r="CM42">
            <v>8.7645195353748678E-2</v>
          </cell>
          <cell r="CN42">
            <v>8.9912280701754388E-2</v>
          </cell>
          <cell r="CO42">
            <v>7.2951739618406286E-2</v>
          </cell>
          <cell r="DL42">
            <v>404.5</v>
          </cell>
          <cell r="DM42">
            <v>406.95760899999999</v>
          </cell>
          <cell r="DN42">
            <v>407.177077</v>
          </cell>
          <cell r="DO42">
            <v>408.7</v>
          </cell>
        </row>
        <row r="43">
          <cell r="A43" t="str">
            <v>Nuc. Subs</v>
          </cell>
          <cell r="B43">
            <v>4.6187943262411352E-2</v>
          </cell>
          <cell r="C43">
            <v>0.10124640460210929</v>
          </cell>
          <cell r="D43">
            <v>3.5942492012779548E-2</v>
          </cell>
          <cell r="E43">
            <v>4.1512082623082321E-2</v>
          </cell>
          <cell r="F43">
            <v>6.6176470588235295E-2</v>
          </cell>
          <cell r="H43" t="str">
            <v>Nuc. Subs</v>
          </cell>
          <cell r="I43">
            <v>4.6052631578947366E-2</v>
          </cell>
          <cell r="K43" t="str">
            <v>Combat Sys</v>
          </cell>
          <cell r="L43">
            <v>9.6748612212529742E-2</v>
          </cell>
          <cell r="M43">
            <v>0.135303265940902</v>
          </cell>
          <cell r="N43">
            <v>0.1182432432432432</v>
          </cell>
          <cell r="P43" t="str">
            <v>Nuc. Subs</v>
          </cell>
          <cell r="Q43">
            <v>4.0860215053763402E-2</v>
          </cell>
          <cell r="R43">
            <v>3.9857651245551601E-2</v>
          </cell>
          <cell r="S43">
            <v>6.18556701030928E-2</v>
          </cell>
          <cell r="T43">
            <v>4.15162454873646E-2</v>
          </cell>
          <cell r="U43">
            <v>2.0392156862745099E-2</v>
          </cell>
          <cell r="V43">
            <v>0.02</v>
          </cell>
          <cell r="W43">
            <v>1.2552301255230099E-2</v>
          </cell>
          <cell r="X43">
            <v>5.3903345724907098E-2</v>
          </cell>
          <cell r="Y43">
            <v>1.7692307692307702E-2</v>
          </cell>
          <cell r="Z43">
            <v>3.2584764420959901E-2</v>
          </cell>
          <cell r="AA43">
            <v>6.3598952487841406E-2</v>
          </cell>
          <cell r="AB43">
            <v>4.2071197411003201E-2</v>
          </cell>
          <cell r="AC43">
            <v>7.0081967213114799E-2</v>
          </cell>
          <cell r="AD43">
            <v>7.2549019607843102E-2</v>
          </cell>
          <cell r="AE43">
            <v>6.0137457044673499E-2</v>
          </cell>
          <cell r="AF43">
            <v>7.8719397363465199E-2</v>
          </cell>
          <cell r="AG43">
            <v>6.0711793440334998E-2</v>
          </cell>
          <cell r="AH43">
            <v>6.6577000672495001E-2</v>
          </cell>
          <cell r="AI43">
            <v>5.5280118988596902E-2</v>
          </cell>
          <cell r="AJ43">
            <v>1.5289164635497499E-2</v>
          </cell>
          <cell r="AL43">
            <v>1.5289164635497499E-2</v>
          </cell>
          <cell r="AM43">
            <v>4.5454545454545497E-2</v>
          </cell>
          <cell r="AN43">
            <v>4.3572984749455299E-2</v>
          </cell>
          <cell r="AO43">
            <v>5.2980132450331098E-2</v>
          </cell>
          <cell r="AP43">
            <v>4.2510121457489898E-2</v>
          </cell>
          <cell r="AR43" t="str">
            <v>Armored Veh</v>
          </cell>
          <cell r="AS43">
            <v>9.0909090909090898E-2</v>
          </cell>
          <cell r="AT43">
            <v>9.5238095238095205E-2</v>
          </cell>
          <cell r="AU43">
            <v>0.101818181818182</v>
          </cell>
          <cell r="AV43">
            <v>9.8522167487684706E-2</v>
          </cell>
          <cell r="AW43" t="str">
            <v>Armored Veh</v>
          </cell>
          <cell r="AX43">
            <v>0.162921348314607</v>
          </cell>
          <cell r="AY43">
            <v>0.10689655172413801</v>
          </cell>
          <cell r="AZ43">
            <v>0.108108108108108</v>
          </cell>
          <cell r="BA43">
            <v>0.15406976744185999</v>
          </cell>
          <cell r="BB43" t="str">
            <v>Armored Veh</v>
          </cell>
          <cell r="BC43">
            <v>0.10423452768729601</v>
          </cell>
          <cell r="BD43">
            <v>0.103658536585366</v>
          </cell>
          <cell r="BE43">
            <v>0.13357400722021701</v>
          </cell>
          <cell r="BF43">
            <v>0.13602941176470601</v>
          </cell>
          <cell r="BG43" t="str">
            <v>Armored Veh</v>
          </cell>
          <cell r="BH43">
            <v>0.12949640287769801</v>
          </cell>
          <cell r="BI43">
            <v>0.13409961685823801</v>
          </cell>
          <cell r="BJ43">
            <v>0.13725490196078399</v>
          </cell>
          <cell r="BK43">
            <v>0.1328125</v>
          </cell>
          <cell r="BL43" t="str">
            <v>Combat Sys</v>
          </cell>
          <cell r="BM43">
            <v>0.134146341463415</v>
          </cell>
          <cell r="BN43">
            <v>0.13563218390804599</v>
          </cell>
          <cell r="BO43">
            <v>0.1328125</v>
          </cell>
          <cell r="BP43">
            <v>0.14296577946768099</v>
          </cell>
          <cell r="BQ43" t="str">
            <v>Combat Sys</v>
          </cell>
          <cell r="BR43">
            <v>0.1335311572700297</v>
          </cell>
          <cell r="BS43">
            <v>0.1084656084656085</v>
          </cell>
          <cell r="BT43">
            <v>0.1263440860215054</v>
          </cell>
          <cell r="BU43">
            <v>0.12796208530805689</v>
          </cell>
          <cell r="BW43" t="str">
            <v>Combat Sys</v>
          </cell>
          <cell r="BX43">
            <v>0.12835820895522387</v>
          </cell>
          <cell r="BY43">
            <v>0.12751677852348994</v>
          </cell>
          <cell r="BZ43">
            <v>0.13732394366197184</v>
          </cell>
          <cell r="CA43">
            <v>0.12957746478873239</v>
          </cell>
          <cell r="CB43">
            <v>0.1206896551724138</v>
          </cell>
          <cell r="CC43">
            <v>0.1111111111111111</v>
          </cell>
          <cell r="CD43">
            <v>0.125</v>
          </cell>
          <cell r="CE43">
            <v>0.12311557788944724</v>
          </cell>
          <cell r="CG43" t="str">
            <v>Combat Sys</v>
          </cell>
          <cell r="CH43">
            <v>0.11746031746031746</v>
          </cell>
          <cell r="CI43">
            <v>0.125</v>
          </cell>
          <cell r="CJ43">
            <v>0.12416107382550336</v>
          </cell>
          <cell r="CK43">
            <v>0.12365591397849462</v>
          </cell>
          <cell r="CL43">
            <v>0.1095890410958904</v>
          </cell>
          <cell r="CM43">
            <v>0.10980392156862745</v>
          </cell>
          <cell r="CN43">
            <v>0.10642201834862386</v>
          </cell>
          <cell r="CO43">
            <v>0.10599721059972106</v>
          </cell>
          <cell r="CQ43" t="str">
            <v>Operating Margins</v>
          </cell>
          <cell r="DA43" t="str">
            <v>Operating Margins</v>
          </cell>
          <cell r="DG43" t="str">
            <v>Reported EPS</v>
          </cell>
          <cell r="DH43">
            <v>0.83158529649089719</v>
          </cell>
          <cell r="DI43">
            <v>0.84081114658219991</v>
          </cell>
          <cell r="DJ43">
            <v>0.92207539368686942</v>
          </cell>
          <cell r="DK43">
            <v>1.0017211296112118</v>
          </cell>
          <cell r="EB43" t="str">
            <v>Reported EPS</v>
          </cell>
          <cell r="EG43">
            <v>1.2261641938674579</v>
          </cell>
          <cell r="EH43">
            <v>2.178951014349332</v>
          </cell>
        </row>
        <row r="44">
          <cell r="A44" t="str">
            <v>Armored Veh</v>
          </cell>
          <cell r="B44">
            <v>-0.11478599221789884</v>
          </cell>
          <cell r="C44">
            <v>6.1925601750547045E-2</v>
          </cell>
          <cell r="D44">
            <v>8.6841525236940706E-2</v>
          </cell>
          <cell r="E44">
            <v>0.24479166666666666</v>
          </cell>
          <cell r="F44">
            <v>-1.3166666666666667</v>
          </cell>
          <cell r="H44" t="str">
            <v>Armored Veh</v>
          </cell>
          <cell r="I44">
            <v>8.5031000885739588E-2</v>
          </cell>
          <cell r="K44" t="str">
            <v>Info Sys &amp; Tech</v>
          </cell>
          <cell r="P44" t="str">
            <v>Armored Veh</v>
          </cell>
          <cell r="Q44">
            <v>-0.37468354430379702</v>
          </cell>
          <cell r="R44">
            <v>-0.21034482758620701</v>
          </cell>
          <cell r="S44">
            <v>-9.8360655737704902E-2</v>
          </cell>
          <cell r="T44">
            <v>3.9823008849557504E-3</v>
          </cell>
          <cell r="U44">
            <v>2.3966942148760301E-2</v>
          </cell>
          <cell r="V44">
            <v>2.28346456692913E-2</v>
          </cell>
          <cell r="W44">
            <v>-1.6842105263157901E-2</v>
          </cell>
          <cell r="X44">
            <v>1.80257510729614E-2</v>
          </cell>
          <cell r="Y44">
            <v>3.06406685236769E-2</v>
          </cell>
          <cell r="Z44">
            <v>1.0215664018161199E-2</v>
          </cell>
          <cell r="AA44">
            <v>7.4840764331210202E-2</v>
          </cell>
          <cell r="AB44">
            <v>8.5411942554799697E-2</v>
          </cell>
          <cell r="AC44">
            <v>3.7068965517241398E-2</v>
          </cell>
          <cell r="AD44">
            <v>6.9402985074626902E-2</v>
          </cell>
          <cell r="AE44">
            <v>0.11992731677771</v>
          </cell>
          <cell r="AF44">
            <v>0.22866344605475</v>
          </cell>
          <cell r="AG44">
            <v>5.8394160583941597E-2</v>
          </cell>
          <cell r="AH44">
            <v>6.7924528301886805E-2</v>
          </cell>
          <cell r="AI44">
            <v>6.15384615384615E-2</v>
          </cell>
          <cell r="AJ44">
            <v>7.3260073260073305E-2</v>
          </cell>
          <cell r="AL44">
            <v>0.128205128205128</v>
          </cell>
          <cell r="AM44">
            <v>8.4507042253521097E-2</v>
          </cell>
          <cell r="AN44">
            <v>8.2508250825082494E-2</v>
          </cell>
          <cell r="AO44">
            <v>9.8859315589353597E-2</v>
          </cell>
          <cell r="AP44">
            <v>7.5268817204301106E-2</v>
          </cell>
          <cell r="AR44" t="str">
            <v>Other</v>
          </cell>
          <cell r="AS44">
            <v>0.170212765957447</v>
          </cell>
          <cell r="AT44">
            <v>0.15384615384615399</v>
          </cell>
          <cell r="AU44">
            <v>0.160714285714286</v>
          </cell>
          <cell r="AV44">
            <v>0.18181818181818199</v>
          </cell>
          <cell r="AW44" t="str">
            <v>Other</v>
          </cell>
          <cell r="AX44">
            <v>4.2553191489361701E-2</v>
          </cell>
          <cell r="AY44">
            <v>8.5106382978723402E-2</v>
          </cell>
          <cell r="AZ44">
            <v>6.3829787234042507E-2</v>
          </cell>
          <cell r="BA44">
            <v>4.08163265306122E-2</v>
          </cell>
          <cell r="BG44" t="str">
            <v>Def/Arm Sys</v>
          </cell>
          <cell r="BL44" t="str">
            <v>CDI</v>
          </cell>
          <cell r="BQ44" t="str">
            <v>Info Sys &amp; Tech</v>
          </cell>
          <cell r="BW44" t="str">
            <v>Info Sys &amp; Tech</v>
          </cell>
          <cell r="BX44">
            <v>6.4220183486238536E-2</v>
          </cell>
          <cell r="BY44">
            <v>6.6326530612244902E-2</v>
          </cell>
          <cell r="BZ44">
            <v>7.9646017699115043E-2</v>
          </cell>
          <cell r="CA44">
            <v>8.191126279863481E-2</v>
          </cell>
          <cell r="CB44">
            <v>8.5836909871244635E-2</v>
          </cell>
          <cell r="CC44">
            <v>9.8765432098765427E-2</v>
          </cell>
          <cell r="CD44">
            <v>8.4745762711864403E-2</v>
          </cell>
          <cell r="CE44">
            <v>8.9527027027027029E-2</v>
          </cell>
          <cell r="CG44" t="str">
            <v>Info Sys &amp; Tech</v>
          </cell>
          <cell r="CH44">
            <v>9.5709570957095716E-2</v>
          </cell>
          <cell r="CI44">
            <v>8.9830508474576271E-2</v>
          </cell>
          <cell r="CJ44">
            <v>9.2281879194630878E-2</v>
          </cell>
          <cell r="CK44">
            <v>9.3577981651376152E-2</v>
          </cell>
          <cell r="CL44">
            <v>9.8039215686274508E-2</v>
          </cell>
          <cell r="CM44">
            <v>9.1044776119402981E-2</v>
          </cell>
          <cell r="CN44">
            <v>9.1190108191653782E-2</v>
          </cell>
          <cell r="CO44">
            <v>0.1062992125984252</v>
          </cell>
          <cell r="CQ44" t="str">
            <v>Marine Group</v>
          </cell>
          <cell r="CR44">
            <v>8.4490740740740741E-2</v>
          </cell>
          <cell r="CS44">
            <v>6.9868995633187769E-2</v>
          </cell>
          <cell r="CT44">
            <v>9.0382387022016217E-2</v>
          </cell>
          <cell r="CU44">
            <v>7.1499503475670315E-2</v>
          </cell>
          <cell r="CV44">
            <v>6.6598360655737709E-2</v>
          </cell>
          <cell r="CW44">
            <v>6.5106815869786366E-2</v>
          </cell>
          <cell r="CX44">
            <v>3.0252100840336135E-2</v>
          </cell>
          <cell r="CY44">
            <v>4.5454545454545456E-2</v>
          </cell>
          <cell r="DA44" t="str">
            <v>Marine Systems</v>
          </cell>
          <cell r="DB44">
            <v>7.6562500000000006E-2</v>
          </cell>
          <cell r="DC44">
            <v>6.881903143585387E-2</v>
          </cell>
          <cell r="DD44">
            <v>5.3726169844020795E-2</v>
          </cell>
          <cell r="DE44">
            <v>4.5739910313901344E-2</v>
          </cell>
          <cell r="DG44" t="str">
            <v>Stock Options Expense</v>
          </cell>
          <cell r="DH44">
            <v>-2.2274606156006172E-2</v>
          </cell>
          <cell r="DI44">
            <v>-0.03</v>
          </cell>
          <cell r="DJ44">
            <v>-0.03</v>
          </cell>
          <cell r="DK44">
            <v>-4.1775931879451389E-3</v>
          </cell>
          <cell r="EB44" t="str">
            <v>Stock Options Expense</v>
          </cell>
        </row>
        <row r="45">
          <cell r="A45" t="str">
            <v>Space Launch</v>
          </cell>
          <cell r="C45">
            <v>4.5454545454545456E-2</v>
          </cell>
          <cell r="D45">
            <v>6.0290556900726398E-2</v>
          </cell>
          <cell r="H45" t="str">
            <v>Other</v>
          </cell>
          <cell r="I45">
            <v>0.14903846153846154</v>
          </cell>
          <cell r="K45" t="str">
            <v>Other</v>
          </cell>
          <cell r="L45">
            <v>0.16666666666666671</v>
          </cell>
          <cell r="M45">
            <v>5.7894736842105263E-2</v>
          </cell>
          <cell r="N45">
            <v>-0.1063829787234043</v>
          </cell>
          <cell r="P45" t="str">
            <v>Space Launch</v>
          </cell>
          <cell r="Q45">
            <v>-0.1</v>
          </cell>
          <cell r="R45">
            <v>-0.139130434782609</v>
          </cell>
          <cell r="S45">
            <v>0.28000000000000003</v>
          </cell>
          <cell r="T45">
            <v>-9.1999999999999998E-2</v>
          </cell>
          <cell r="U45">
            <v>8.3333333333333301E-2</v>
          </cell>
          <cell r="V45">
            <v>6.7857142857142894E-2</v>
          </cell>
          <cell r="W45">
            <v>5.6666666666666698E-2</v>
          </cell>
          <cell r="X45">
            <v>-0.204481792717087</v>
          </cell>
          <cell r="Y45">
            <v>-0.33932584269662902</v>
          </cell>
          <cell r="Z45">
            <v>-0.196850393700787</v>
          </cell>
          <cell r="AA45">
            <v>-8.6680761099365705E-2</v>
          </cell>
          <cell r="AB45">
            <v>-4.2035398230088498E-2</v>
          </cell>
          <cell r="AC45">
            <v>-0.11562500000000001</v>
          </cell>
          <cell r="AD45">
            <v>4.1772151898734199E-2</v>
          </cell>
          <cell r="AE45">
            <v>-7.7611940298507501E-2</v>
          </cell>
          <cell r="AF45">
            <v>-6.5843621399177002E-2</v>
          </cell>
          <cell r="AG45">
            <v>-0.38333333333333303</v>
          </cell>
          <cell r="AH45">
            <v>-0.30303030303030298</v>
          </cell>
          <cell r="AI45">
            <v>-0.20512820512820501</v>
          </cell>
          <cell r="AJ45">
            <v>-6.07407407407407</v>
          </cell>
          <cell r="AL45">
            <v>-6.07407407407407</v>
          </cell>
          <cell r="AM45">
            <v>-1.5625E-2</v>
          </cell>
          <cell r="AN45">
            <v>-0.26595744680851102</v>
          </cell>
          <cell r="AO45">
            <v>-0.365079365079365</v>
          </cell>
          <cell r="AP45">
            <v>-6.1538461538461497</v>
          </cell>
          <cell r="AS45" t="str">
            <v>----</v>
          </cell>
          <cell r="AT45" t="str">
            <v>----</v>
          </cell>
          <cell r="AU45" t="str">
            <v>----</v>
          </cell>
          <cell r="AV45" t="str">
            <v>----</v>
          </cell>
          <cell r="AX45" t="str">
            <v>----</v>
          </cell>
          <cell r="AY45" t="str">
            <v>----</v>
          </cell>
          <cell r="AZ45" t="str">
            <v>----</v>
          </cell>
          <cell r="BA45" t="str">
            <v>----</v>
          </cell>
          <cell r="BW45" t="str">
            <v>Gulfstream</v>
          </cell>
          <cell r="BX45">
            <v>0.13746523639253083</v>
          </cell>
          <cell r="BY45">
            <v>0.1644524236983842</v>
          </cell>
          <cell r="BZ45">
            <v>0.16608112424145638</v>
          </cell>
          <cell r="CA45">
            <v>-4.7882384677636912E-2</v>
          </cell>
          <cell r="CB45">
            <v>0.1556742921132617</v>
          </cell>
          <cell r="CC45">
            <v>0.16332297259112744</v>
          </cell>
          <cell r="CD45">
            <v>0.18181818181818182</v>
          </cell>
          <cell r="CE45">
            <v>0.16177961242976735</v>
          </cell>
          <cell r="CG45" t="str">
            <v>Aerospace</v>
          </cell>
          <cell r="CH45">
            <v>0.17945205479452056</v>
          </cell>
          <cell r="CI45">
            <v>0.18392204628501826</v>
          </cell>
          <cell r="CJ45">
            <v>0.20327421555252387</v>
          </cell>
          <cell r="CK45">
            <v>0.21610738255033557</v>
          </cell>
          <cell r="CL45">
            <v>0.20224719101123595</v>
          </cell>
          <cell r="CM45">
            <v>0.20522875816993463</v>
          </cell>
          <cell r="CN45">
            <v>0.19212410501193317</v>
          </cell>
          <cell r="CO45">
            <v>0.17157894736842105</v>
          </cell>
          <cell r="CQ45" t="str">
            <v>Combat Systems</v>
          </cell>
          <cell r="CR45">
            <v>9.5986038394415357E-2</v>
          </cell>
          <cell r="CS45">
            <v>0.11790393013100436</v>
          </cell>
          <cell r="CT45">
            <v>0.11315417256011315</v>
          </cell>
          <cell r="CU45">
            <v>0.11355311355311355</v>
          </cell>
          <cell r="CV45">
            <v>0.1123882503192848</v>
          </cell>
          <cell r="CW45">
            <v>0.11746680286006128</v>
          </cell>
          <cell r="CX45">
            <v>0.10845771144278607</v>
          </cell>
          <cell r="CY45">
            <v>0.10564516129032259</v>
          </cell>
          <cell r="DA45" t="str">
            <v>Combat Systems</v>
          </cell>
          <cell r="DB45">
            <v>0.10467289719626169</v>
          </cell>
          <cell r="DC45">
            <v>0.11122244488977956</v>
          </cell>
          <cell r="DD45">
            <v>0.12415130940834142</v>
          </cell>
          <cell r="DE45">
            <v>0.13073394495412843</v>
          </cell>
          <cell r="DG45" t="str">
            <v>EPS Post Stock Options</v>
          </cell>
          <cell r="DH45">
            <v>0.809310690334891</v>
          </cell>
          <cell r="DI45">
            <v>0.81081114658219988</v>
          </cell>
          <cell r="DJ45">
            <v>0.89207539368686939</v>
          </cell>
          <cell r="DK45">
            <v>0.99754353642326676</v>
          </cell>
          <cell r="EB45" t="str">
            <v>EPS Post Stock Options</v>
          </cell>
          <cell r="EG45">
            <v>1.2261641938674579</v>
          </cell>
          <cell r="EH45">
            <v>2.178951014349332</v>
          </cell>
        </row>
        <row r="46">
          <cell r="A46" t="str">
            <v xml:space="preserve">  Total</v>
          </cell>
          <cell r="B46">
            <v>0.13155108523028058</v>
          </cell>
          <cell r="C46">
            <v>0.13113604488078542</v>
          </cell>
          <cell r="D46">
            <v>0.11278283523109797</v>
          </cell>
          <cell r="E46">
            <v>0.1375843454790823</v>
          </cell>
          <cell r="F46">
            <v>-7.6236044657097282E-2</v>
          </cell>
          <cell r="H46" t="str">
            <v xml:space="preserve">  Total</v>
          </cell>
          <cell r="I46">
            <v>6.6751028155646944E-2</v>
          </cell>
          <cell r="K46" t="str">
            <v xml:space="preserve">  Total</v>
          </cell>
          <cell r="L46">
            <v>7.9069767441860464E-2</v>
          </cell>
          <cell r="M46">
            <v>9.6956385315343577E-2</v>
          </cell>
          <cell r="N46">
            <v>0.104970568999346</v>
          </cell>
          <cell r="P46" t="str">
            <v xml:space="preserve">  Total</v>
          </cell>
          <cell r="Q46">
            <v>9.9597989949748736E-2</v>
          </cell>
          <cell r="R46">
            <v>0.10568888888888889</v>
          </cell>
          <cell r="S46">
            <v>0.12298025134649911</v>
          </cell>
          <cell r="T46">
            <v>0.11716171617161716</v>
          </cell>
          <cell r="U46">
            <v>0.11044214487300094</v>
          </cell>
          <cell r="V46">
            <v>0.10994671403197158</v>
          </cell>
          <cell r="W46">
            <v>0.1050232558139535</v>
          </cell>
          <cell r="X46">
            <v>8.3892902677433073E-2</v>
          </cell>
          <cell r="Y46">
            <v>0.11697492011232691</v>
          </cell>
          <cell r="Z46">
            <v>5.4081823276667294E-2</v>
          </cell>
          <cell r="AA46">
            <v>9.0776787338548284E-2</v>
          </cell>
          <cell r="AB46">
            <v>9.2869565217391301E-2</v>
          </cell>
          <cell r="AC46">
            <v>0.10396902226524686</v>
          </cell>
          <cell r="AD46">
            <v>5.5869373345101496E-2</v>
          </cell>
          <cell r="AE46">
            <v>9.1616554651574089E-2</v>
          </cell>
          <cell r="AF46">
            <v>0.11804757272968432</v>
          </cell>
          <cell r="AG46">
            <v>4.33740714114546E-2</v>
          </cell>
          <cell r="AH46">
            <v>-0.19604456824512534</v>
          </cell>
          <cell r="AI46">
            <v>3.3720087019579403E-2</v>
          </cell>
          <cell r="AJ46">
            <v>-0.39911078628418289</v>
          </cell>
          <cell r="AL46">
            <v>0</v>
          </cell>
          <cell r="AM46">
            <v>5.4830287206266322E-2</v>
          </cell>
          <cell r="AN46">
            <v>2.336448598130841E-2</v>
          </cell>
          <cell r="AO46">
            <v>3.4659820282413351E-2</v>
          </cell>
          <cell r="AP46">
            <v>0.16052631578947368</v>
          </cell>
          <cell r="AR46" t="str">
            <v xml:space="preserve">  Total</v>
          </cell>
          <cell r="AS46">
            <v>7.3587385019710905E-2</v>
          </cell>
          <cell r="AT46">
            <v>7.4213836477987405E-2</v>
          </cell>
          <cell r="AU46">
            <v>8.4000000000000005E-2</v>
          </cell>
          <cell r="AV46">
            <v>8.3786724700761706E-2</v>
          </cell>
          <cell r="AW46" t="str">
            <v xml:space="preserve">  Total</v>
          </cell>
          <cell r="AX46">
            <v>0.105509964830012</v>
          </cell>
          <cell r="AY46">
            <v>8.4635416666666699E-2</v>
          </cell>
          <cell r="AZ46">
            <v>8.3333333333333301E-2</v>
          </cell>
          <cell r="BA46">
            <v>0.112781954887218</v>
          </cell>
          <cell r="BB46" t="str">
            <v>Other</v>
          </cell>
          <cell r="BC46">
            <v>-0.108108108108108</v>
          </cell>
          <cell r="BD46">
            <v>-8.1081081081081099E-2</v>
          </cell>
          <cell r="BE46">
            <v>-0.17647058823529399</v>
          </cell>
          <cell r="BF46">
            <v>-6.0606060606060601E-2</v>
          </cell>
          <cell r="BG46" t="str">
            <v>Other</v>
          </cell>
          <cell r="BH46">
            <v>-0.16666666666666699</v>
          </cell>
          <cell r="BI46">
            <v>-0.1875</v>
          </cell>
          <cell r="BJ46">
            <v>-0.15151515151515099</v>
          </cell>
          <cell r="BK46">
            <v>-6.25E-2</v>
          </cell>
          <cell r="BL46" t="str">
            <v>Other</v>
          </cell>
          <cell r="BM46">
            <v>-0.12121212121212099</v>
          </cell>
          <cell r="BN46">
            <v>-1.7543859649122799E-2</v>
          </cell>
          <cell r="BO46">
            <v>4.3478260869565202E-2</v>
          </cell>
          <cell r="BP46">
            <v>-1.5625E-2</v>
          </cell>
          <cell r="BQ46" t="str">
            <v>Other</v>
          </cell>
          <cell r="BR46">
            <v>-4.4444444444444453E-2</v>
          </cell>
          <cell r="BS46">
            <v>0.17910447761194029</v>
          </cell>
          <cell r="BT46">
            <v>0.15942028985507251</v>
          </cell>
          <cell r="BU46">
            <v>6.5573770491803282E-2</v>
          </cell>
          <cell r="BW46" t="str">
            <v>Other</v>
          </cell>
          <cell r="BX46">
            <v>6.5217391304347824E-2</v>
          </cell>
          <cell r="BY46">
            <v>0.19696969696969696</v>
          </cell>
          <cell r="BZ46">
            <v>0.23529411764705882</v>
          </cell>
          <cell r="CA46">
            <v>0</v>
          </cell>
          <cell r="CB46">
            <v>0</v>
          </cell>
          <cell r="CC46">
            <v>0.25757575757575757</v>
          </cell>
          <cell r="CD46">
            <v>0.20547945205479451</v>
          </cell>
          <cell r="CE46">
            <v>0.2153846153846154</v>
          </cell>
          <cell r="CG46" t="str">
            <v>Other</v>
          </cell>
          <cell r="CH46">
            <v>-0.16326530612244897</v>
          </cell>
          <cell r="CI46">
            <v>0.20634920634920634</v>
          </cell>
          <cell r="CJ46">
            <v>0.24675324675324675</v>
          </cell>
          <cell r="CK46">
            <v>0.1875</v>
          </cell>
          <cell r="CL46">
            <v>4.0816326530612242E-2</v>
          </cell>
          <cell r="CM46">
            <v>0.2</v>
          </cell>
          <cell r="CN46">
            <v>0.20512820512820512</v>
          </cell>
          <cell r="CO46">
            <v>0.25316455696202533</v>
          </cell>
          <cell r="CQ46" t="str">
            <v>Info. Systems &amp; Tech.</v>
          </cell>
          <cell r="CR46">
            <v>0.1068075117370892</v>
          </cell>
          <cell r="CS46">
            <v>0.10887949260042283</v>
          </cell>
          <cell r="CT46">
            <v>0.15168539325842698</v>
          </cell>
          <cell r="CU46">
            <v>0.10805300713557595</v>
          </cell>
          <cell r="CV46">
            <v>0.11178247734138973</v>
          </cell>
          <cell r="CW46">
            <v>0.12347826086956522</v>
          </cell>
          <cell r="CX46">
            <v>0.11459968602825746</v>
          </cell>
          <cell r="CY46">
            <v>9.307065217391304E-2</v>
          </cell>
          <cell r="DA46" t="str">
            <v>Info. Systems &amp; Tech.</v>
          </cell>
          <cell r="DB46">
            <v>0.10286062081558126</v>
          </cell>
          <cell r="DC46">
            <v>0.1170018281535649</v>
          </cell>
          <cell r="DD46">
            <v>0.11069182389937107</v>
          </cell>
          <cell r="DE46">
            <v>9.7943722943722944E-2</v>
          </cell>
          <cell r="DG46" t="str">
            <v>EPS Adj for Consensus</v>
          </cell>
          <cell r="DH46">
            <v>0.87365955256335326</v>
          </cell>
          <cell r="DI46">
            <v>0.8358111465821999</v>
          </cell>
          <cell r="DJ46">
            <v>0.8974209713957767</v>
          </cell>
          <cell r="DK46">
            <v>0.98198278222971003</v>
          </cell>
          <cell r="EB46" t="str">
            <v>EPS Adj for Consensus</v>
          </cell>
          <cell r="EC46">
            <v>0.87914037854889604</v>
          </cell>
          <cell r="ED46">
            <v>0.97934722222222226</v>
          </cell>
          <cell r="EE46">
            <v>1.0627559055118108</v>
          </cell>
          <cell r="EF46">
            <v>1.366573033707865</v>
          </cell>
          <cell r="EG46">
            <v>1.2261641938674579</v>
          </cell>
          <cell r="EH46">
            <v>1.7689510143493321</v>
          </cell>
        </row>
        <row r="47">
          <cell r="BB47" t="str">
            <v xml:space="preserve">  Total</v>
          </cell>
          <cell r="BC47">
            <v>9.8750000000000004E-2</v>
          </cell>
          <cell r="BD47">
            <v>0.101219512195122</v>
          </cell>
          <cell r="BE47">
            <v>0.10784313725490199</v>
          </cell>
          <cell r="BF47">
            <v>0.113259668508287</v>
          </cell>
          <cell r="BG47" t="str">
            <v xml:space="preserve">  Total</v>
          </cell>
          <cell r="BH47">
            <v>0.104913678618858</v>
          </cell>
          <cell r="BI47">
            <v>0.108108108108108</v>
          </cell>
          <cell r="BJ47">
            <v>0.107242339832869</v>
          </cell>
          <cell r="BK47">
            <v>9.29451287793953E-2</v>
          </cell>
          <cell r="BL47" t="str">
            <v xml:space="preserve">  Total</v>
          </cell>
          <cell r="BM47">
            <v>9.29451287793953E-2</v>
          </cell>
          <cell r="BN47">
            <v>9.6129032258064503E-2</v>
          </cell>
          <cell r="BO47">
            <v>0.103248259860789</v>
          </cell>
          <cell r="BP47">
            <v>0.10223214285714299</v>
          </cell>
          <cell r="BQ47" t="str">
            <v xml:space="preserve">  Total</v>
          </cell>
          <cell r="BR47">
            <v>0.1083953241232731</v>
          </cell>
          <cell r="BS47">
            <v>0.1104651162790698</v>
          </cell>
          <cell r="BT47">
            <v>0.1143724696356275</v>
          </cell>
          <cell r="BU47">
            <v>0.106267029972752</v>
          </cell>
          <cell r="BW47" t="str">
            <v xml:space="preserve">  Total</v>
          </cell>
          <cell r="BX47">
            <v>0.11656811874019549</v>
          </cell>
          <cell r="BY47">
            <v>0.13060518731988471</v>
          </cell>
          <cell r="BZ47">
            <v>0.13513513513513514</v>
          </cell>
          <cell r="CA47">
            <v>5.0162088380822402E-2</v>
          </cell>
          <cell r="CB47">
            <v>0.12002996853304027</v>
          </cell>
          <cell r="CC47">
            <v>0.13350584627180373</v>
          </cell>
          <cell r="CD47">
            <v>0.1309255079006772</v>
          </cell>
          <cell r="CE47">
            <v>0.12394561410116381</v>
          </cell>
          <cell r="CG47" t="str">
            <v xml:space="preserve">  Total</v>
          </cell>
          <cell r="CH47">
            <v>0.1201885310290652</v>
          </cell>
          <cell r="CI47">
            <v>0.12800917080626673</v>
          </cell>
          <cell r="CJ47">
            <v>0.13469224620303757</v>
          </cell>
          <cell r="CK47">
            <v>0.13143939393939394</v>
          </cell>
          <cell r="CL47">
            <v>0.12495323606434718</v>
          </cell>
          <cell r="CM47">
            <v>0.12525320729237002</v>
          </cell>
          <cell r="CN47">
            <v>0.12450331125827814</v>
          </cell>
          <cell r="CO47">
            <v>0.11915269196822595</v>
          </cell>
          <cell r="CQ47" t="str">
            <v>Aerospace</v>
          </cell>
          <cell r="CR47">
            <v>0.18872870249017037</v>
          </cell>
          <cell r="CS47">
            <v>0.17045454545454544</v>
          </cell>
          <cell r="CT47">
            <v>0.13531799729364005</v>
          </cell>
          <cell r="CU47">
            <v>5.8434399117971332E-2</v>
          </cell>
          <cell r="CV47">
            <v>6.7340067340067339E-2</v>
          </cell>
          <cell r="CW47">
            <v>6.2937062937062943E-2</v>
          </cell>
          <cell r="CX47">
            <v>6.1881188118811881E-2</v>
          </cell>
          <cell r="CY47">
            <v>0.10012062726176116</v>
          </cell>
          <cell r="DA47" t="str">
            <v>Aerospace</v>
          </cell>
          <cell r="DB47">
            <v>0.10891089108910891</v>
          </cell>
          <cell r="DC47">
            <v>0.12191958495460441</v>
          </cell>
          <cell r="DD47">
            <v>0.14661654135338345</v>
          </cell>
          <cell r="DE47">
            <v>0.13859020310633213</v>
          </cell>
          <cell r="DG47" t="str">
            <v>Avg. Diluted Shares</v>
          </cell>
          <cell r="DH47">
            <v>404.04754800000001</v>
          </cell>
          <cell r="DI47">
            <v>404.39757400000002</v>
          </cell>
          <cell r="DJ47">
            <v>405.60674599999999</v>
          </cell>
          <cell r="DK47">
            <v>405.30242199999998</v>
          </cell>
          <cell r="EB47" t="str">
            <v>Avg. Diluted Shares</v>
          </cell>
          <cell r="EC47">
            <v>253.6</v>
          </cell>
          <cell r="ED47">
            <v>252</v>
          </cell>
          <cell r="EE47">
            <v>254</v>
          </cell>
          <cell r="EF47">
            <v>409.4</v>
          </cell>
          <cell r="EG47">
            <v>404.4</v>
          </cell>
          <cell r="EH47">
            <v>404.2</v>
          </cell>
        </row>
        <row r="48">
          <cell r="A48" t="str">
            <v>BAL SHEET</v>
          </cell>
          <cell r="G48" t="str">
            <v>BAL SHEET</v>
          </cell>
          <cell r="K48" t="str">
            <v>BAL SHEET</v>
          </cell>
          <cell r="P48" t="str">
            <v>BAL SHEET</v>
          </cell>
          <cell r="AQ48" t="str">
            <v>BAL SHEET</v>
          </cell>
          <cell r="BB48" t="str">
            <v>BAL SHEET</v>
          </cell>
          <cell r="BG48" t="str">
            <v>BAL SHEET</v>
          </cell>
          <cell r="BJ48" t="str">
            <v xml:space="preserve"> </v>
          </cell>
          <cell r="BL48" t="str">
            <v>BAL SHEET</v>
          </cell>
          <cell r="BQ48" t="str">
            <v>BAL SHEET</v>
          </cell>
          <cell r="BW48" t="str">
            <v>Bal Sheet - GD only</v>
          </cell>
          <cell r="CG48" t="str">
            <v xml:space="preserve">Balance Sheet </v>
          </cell>
          <cell r="CQ48" t="str">
            <v>Resources</v>
          </cell>
          <cell r="CR48">
            <v>0.12</v>
          </cell>
          <cell r="CS48">
            <v>0.32467532467532467</v>
          </cell>
          <cell r="CT48">
            <v>0.36470588235294116</v>
          </cell>
          <cell r="CU48">
            <v>0.36486486486486486</v>
          </cell>
          <cell r="CV48">
            <v>0.24390243902439024</v>
          </cell>
          <cell r="CW48">
            <v>0.13043478260869565</v>
          </cell>
          <cell r="CX48">
            <v>0.10256410256410256</v>
          </cell>
          <cell r="CY48">
            <v>7.3529411764705885E-2</v>
          </cell>
          <cell r="DA48" t="str">
            <v>Resources</v>
          </cell>
          <cell r="DB48">
            <v>-0.19148936170212766</v>
          </cell>
          <cell r="DC48">
            <v>0.1076923076923077</v>
          </cell>
          <cell r="DD48">
            <v>0.13513513513513514</v>
          </cell>
          <cell r="DE48">
            <v>1.0810810810810811E-2</v>
          </cell>
        </row>
        <row r="49">
          <cell r="A49" t="str">
            <v>Comml Paper</v>
          </cell>
          <cell r="D49">
            <v>40</v>
          </cell>
          <cell r="E49">
            <v>198</v>
          </cell>
          <cell r="F49">
            <v>3</v>
          </cell>
          <cell r="H49" t="str">
            <v>Comml Paper</v>
          </cell>
          <cell r="I49">
            <v>0</v>
          </cell>
          <cell r="P49" t="str">
            <v>Comml Paper</v>
          </cell>
          <cell r="Z49">
            <v>40</v>
          </cell>
          <cell r="AB49">
            <v>40</v>
          </cell>
          <cell r="AC49">
            <v>223</v>
          </cell>
          <cell r="AD49">
            <v>335</v>
          </cell>
          <cell r="AE49">
            <v>450</v>
          </cell>
          <cell r="AF49">
            <v>198</v>
          </cell>
          <cell r="AG49">
            <v>239.9</v>
          </cell>
          <cell r="AH49">
            <v>4</v>
          </cell>
          <cell r="AI49">
            <v>4</v>
          </cell>
          <cell r="AJ49">
            <v>3</v>
          </cell>
          <cell r="AM49" t="str">
            <v xml:space="preserve"> </v>
          </cell>
          <cell r="AR49" t="str">
            <v>Comml Paper</v>
          </cell>
          <cell r="AS49" t="str">
            <v xml:space="preserve"> </v>
          </cell>
          <cell r="AU49" t="str">
            <v xml:space="preserve"> </v>
          </cell>
          <cell r="AW49" t="str">
            <v>Comml Paper</v>
          </cell>
          <cell r="AX49" t="str">
            <v xml:space="preserve"> </v>
          </cell>
          <cell r="AY49" t="str">
            <v xml:space="preserve"> </v>
          </cell>
          <cell r="AZ49" t="str">
            <v xml:space="preserve"> </v>
          </cell>
          <cell r="CQ49" t="str">
            <v xml:space="preserve">  Total</v>
          </cell>
          <cell r="CR49">
            <v>0.11895551257253385</v>
          </cell>
          <cell r="CS49">
            <v>0.12065031374786081</v>
          </cell>
          <cell r="CT49">
            <v>0.12911084043848964</v>
          </cell>
          <cell r="CU49">
            <v>9.2661034846884899E-2</v>
          </cell>
          <cell r="CV49">
            <v>9.2707410687924416E-2</v>
          </cell>
          <cell r="CW49">
            <v>9.625256673511294E-2</v>
          </cell>
          <cell r="CX49">
            <v>8.0137772675086108E-2</v>
          </cell>
          <cell r="CY49">
            <v>8.6028323821602193E-2</v>
          </cell>
          <cell r="DA49" t="str">
            <v xml:space="preserve">  Total</v>
          </cell>
          <cell r="DB49">
            <v>9.384416702539819E-2</v>
          </cell>
          <cell r="DC49">
            <v>0.10425623387790198</v>
          </cell>
          <cell r="DD49">
            <v>0.10608995050570261</v>
          </cell>
          <cell r="DE49">
            <v>0.10501726589477961</v>
          </cell>
          <cell r="DG49" t="str">
            <v>Balance Sheet Highlights</v>
          </cell>
          <cell r="EB49" t="str">
            <v>Balance Sheet Highlights</v>
          </cell>
        </row>
        <row r="50">
          <cell r="A50" t="str">
            <v>LT DEbt</v>
          </cell>
          <cell r="D50">
            <v>624</v>
          </cell>
          <cell r="E50">
            <v>624</v>
          </cell>
          <cell r="F50">
            <v>636</v>
          </cell>
          <cell r="H50" t="str">
            <v>LT DEbt</v>
          </cell>
          <cell r="I50">
            <v>623</v>
          </cell>
          <cell r="K50" t="str">
            <v>LT DEbt</v>
          </cell>
          <cell r="L50">
            <v>183</v>
          </cell>
          <cell r="M50">
            <v>38</v>
          </cell>
          <cell r="N50">
            <v>40</v>
          </cell>
          <cell r="P50" t="str">
            <v>LT DEbt</v>
          </cell>
          <cell r="Z50">
            <v>625</v>
          </cell>
          <cell r="AB50">
            <v>624</v>
          </cell>
          <cell r="AC50">
            <v>624</v>
          </cell>
          <cell r="AD50">
            <v>623</v>
          </cell>
          <cell r="AE50">
            <v>623</v>
          </cell>
          <cell r="AF50">
            <v>624</v>
          </cell>
          <cell r="AG50">
            <v>623.6</v>
          </cell>
          <cell r="AH50">
            <v>623</v>
          </cell>
          <cell r="AI50">
            <v>631.9</v>
          </cell>
          <cell r="AJ50">
            <v>636</v>
          </cell>
          <cell r="AM50">
            <v>638</v>
          </cell>
          <cell r="AN50">
            <v>636</v>
          </cell>
          <cell r="AO50">
            <v>614</v>
          </cell>
          <cell r="AP50">
            <v>623</v>
          </cell>
          <cell r="AR50" t="str">
            <v>LT DEbt</v>
          </cell>
          <cell r="AS50">
            <v>266</v>
          </cell>
          <cell r="AT50">
            <v>256</v>
          </cell>
          <cell r="AU50">
            <v>243</v>
          </cell>
          <cell r="AV50">
            <v>183</v>
          </cell>
          <cell r="AW50" t="str">
            <v>LT DEbt</v>
          </cell>
          <cell r="AX50">
            <v>83</v>
          </cell>
          <cell r="AY50">
            <v>83</v>
          </cell>
          <cell r="AZ50">
            <v>38</v>
          </cell>
          <cell r="BA50">
            <v>38</v>
          </cell>
          <cell r="BB50" t="str">
            <v>LT DEbt</v>
          </cell>
          <cell r="BC50">
            <v>42</v>
          </cell>
          <cell r="BD50">
            <v>41</v>
          </cell>
          <cell r="BE50">
            <v>41</v>
          </cell>
          <cell r="BF50">
            <v>40</v>
          </cell>
          <cell r="BG50" t="str">
            <v>LT DEbt</v>
          </cell>
          <cell r="BH50">
            <v>40</v>
          </cell>
          <cell r="BI50">
            <v>39</v>
          </cell>
          <cell r="BJ50">
            <v>38</v>
          </cell>
          <cell r="BK50">
            <v>38</v>
          </cell>
          <cell r="BL50" t="str">
            <v>LT DEbt</v>
          </cell>
          <cell r="BM50">
            <v>38</v>
          </cell>
          <cell r="BN50">
            <v>38</v>
          </cell>
          <cell r="BO50">
            <v>38</v>
          </cell>
          <cell r="BP50">
            <v>38</v>
          </cell>
          <cell r="BQ50" t="str">
            <v>LT DEbt</v>
          </cell>
          <cell r="BR50">
            <v>40</v>
          </cell>
          <cell r="BS50">
            <v>40</v>
          </cell>
          <cell r="BT50">
            <v>40</v>
          </cell>
          <cell r="BU50">
            <v>157</v>
          </cell>
          <cell r="BW50" t="str">
            <v>LT DEbt</v>
          </cell>
          <cell r="BX50">
            <v>268</v>
          </cell>
          <cell r="BY50">
            <v>156</v>
          </cell>
          <cell r="BZ50">
            <v>149</v>
          </cell>
          <cell r="CA50">
            <v>169</v>
          </cell>
          <cell r="CB50">
            <v>202</v>
          </cell>
          <cell r="CC50">
            <v>169</v>
          </cell>
          <cell r="CD50">
            <v>1317</v>
          </cell>
          <cell r="CE50">
            <v>1022</v>
          </cell>
          <cell r="CG50" t="str">
            <v>Total  Debt</v>
          </cell>
          <cell r="CH50">
            <v>1168</v>
          </cell>
          <cell r="CI50">
            <v>1071</v>
          </cell>
          <cell r="CJ50">
            <v>1011</v>
          </cell>
          <cell r="CK50">
            <v>502</v>
          </cell>
          <cell r="CL50">
            <v>1143</v>
          </cell>
          <cell r="CM50">
            <v>1183</v>
          </cell>
          <cell r="CN50">
            <v>2239</v>
          </cell>
          <cell r="CO50">
            <v>1924</v>
          </cell>
          <cell r="DG50" t="str">
            <v>Total  Debt</v>
          </cell>
          <cell r="DH50">
            <v>3297</v>
          </cell>
          <cell r="DI50">
            <v>3298</v>
          </cell>
          <cell r="DJ50">
            <v>3297</v>
          </cell>
          <cell r="DK50">
            <v>3291</v>
          </cell>
          <cell r="DL50">
            <v>3285</v>
          </cell>
          <cell r="DM50">
            <v>3649</v>
          </cell>
          <cell r="DN50">
            <v>3107</v>
          </cell>
          <cell r="DO50">
            <v>2781</v>
          </cell>
          <cell r="EB50" t="str">
            <v>Total  Debt</v>
          </cell>
          <cell r="EF50">
            <v>645</v>
          </cell>
          <cell r="EG50">
            <v>530</v>
          </cell>
          <cell r="EH50">
            <v>1022</v>
          </cell>
        </row>
        <row r="51">
          <cell r="A51" t="str">
            <v>Cash</v>
          </cell>
          <cell r="C51">
            <v>181</v>
          </cell>
          <cell r="D51">
            <v>228</v>
          </cell>
          <cell r="E51">
            <v>14</v>
          </cell>
          <cell r="F51">
            <v>115</v>
          </cell>
          <cell r="H51" t="str">
            <v>Cash</v>
          </cell>
          <cell r="I51">
            <v>820</v>
          </cell>
          <cell r="K51" t="str">
            <v>Cash</v>
          </cell>
          <cell r="L51">
            <v>945</v>
          </cell>
          <cell r="M51">
            <v>585</v>
          </cell>
          <cell r="N51">
            <v>1059</v>
          </cell>
          <cell r="P51" t="str">
            <v>Cash</v>
          </cell>
          <cell r="Z51">
            <v>197</v>
          </cell>
          <cell r="AB51">
            <v>228</v>
          </cell>
          <cell r="AC51">
            <v>220</v>
          </cell>
          <cell r="AD51">
            <v>96</v>
          </cell>
          <cell r="AE51">
            <v>119</v>
          </cell>
          <cell r="AF51">
            <v>14</v>
          </cell>
          <cell r="AG51">
            <v>211.3</v>
          </cell>
          <cell r="AH51">
            <v>126</v>
          </cell>
          <cell r="AI51">
            <v>54</v>
          </cell>
          <cell r="AJ51">
            <v>115</v>
          </cell>
          <cell r="AM51">
            <v>143</v>
          </cell>
          <cell r="AN51">
            <v>491</v>
          </cell>
          <cell r="AO51">
            <v>605</v>
          </cell>
          <cell r="AP51">
            <v>820</v>
          </cell>
          <cell r="AR51" t="str">
            <v>Cash</v>
          </cell>
          <cell r="AS51">
            <v>1196</v>
          </cell>
          <cell r="AT51">
            <v>1328</v>
          </cell>
          <cell r="AU51">
            <v>513</v>
          </cell>
          <cell r="AV51">
            <v>945</v>
          </cell>
          <cell r="AW51" t="str">
            <v>Cash</v>
          </cell>
          <cell r="AX51">
            <v>2360</v>
          </cell>
          <cell r="AY51">
            <v>1613</v>
          </cell>
          <cell r="AZ51">
            <v>970</v>
          </cell>
          <cell r="BA51">
            <v>585</v>
          </cell>
          <cell r="BB51" t="str">
            <v>Cash</v>
          </cell>
          <cell r="BC51">
            <v>711</v>
          </cell>
          <cell r="BD51">
            <v>988</v>
          </cell>
          <cell r="BE51">
            <v>953</v>
          </cell>
          <cell r="BF51">
            <v>1059</v>
          </cell>
          <cell r="BG51" t="str">
            <v>Cash</v>
          </cell>
          <cell r="BH51">
            <v>1080</v>
          </cell>
          <cell r="BI51">
            <v>1238</v>
          </cell>
          <cell r="BJ51">
            <v>993</v>
          </cell>
          <cell r="BK51">
            <v>1095</v>
          </cell>
          <cell r="BL51" t="str">
            <v>Cash</v>
          </cell>
          <cell r="BM51">
            <v>1030</v>
          </cell>
          <cell r="BN51">
            <v>1112</v>
          </cell>
          <cell r="BO51">
            <v>1111</v>
          </cell>
          <cell r="BP51">
            <v>1155</v>
          </cell>
          <cell r="BQ51" t="str">
            <v>Cash</v>
          </cell>
          <cell r="BR51">
            <v>665</v>
          </cell>
          <cell r="BS51">
            <v>788</v>
          </cell>
          <cell r="BT51">
            <v>874</v>
          </cell>
          <cell r="BU51">
            <v>441</v>
          </cell>
          <cell r="BW51" t="str">
            <v>Cash</v>
          </cell>
          <cell r="BX51">
            <v>403</v>
          </cell>
          <cell r="BY51">
            <v>322</v>
          </cell>
          <cell r="BZ51">
            <v>400</v>
          </cell>
          <cell r="CA51">
            <v>220</v>
          </cell>
          <cell r="CB51">
            <v>185</v>
          </cell>
          <cell r="CC51">
            <v>393</v>
          </cell>
          <cell r="CD51">
            <v>69</v>
          </cell>
          <cell r="CE51">
            <v>270</v>
          </cell>
          <cell r="CG51" t="str">
            <v>Cash</v>
          </cell>
          <cell r="CH51">
            <v>236</v>
          </cell>
          <cell r="CI51">
            <v>275</v>
          </cell>
          <cell r="CJ51">
            <v>367</v>
          </cell>
          <cell r="CK51">
            <v>177</v>
          </cell>
          <cell r="CL51">
            <v>280</v>
          </cell>
          <cell r="CM51">
            <v>163</v>
          </cell>
          <cell r="CN51">
            <v>579</v>
          </cell>
          <cell r="CO51">
            <v>442</v>
          </cell>
          <cell r="CQ51" t="str">
            <v>Balance Sheet Highlights</v>
          </cell>
          <cell r="DA51" t="str">
            <v>Balance Sheet Highlights</v>
          </cell>
          <cell r="DG51" t="str">
            <v>Cash</v>
          </cell>
          <cell r="DH51">
            <v>1511</v>
          </cell>
          <cell r="DI51">
            <v>1438</v>
          </cell>
          <cell r="DJ51">
            <v>1754</v>
          </cell>
          <cell r="DK51">
            <v>2331</v>
          </cell>
          <cell r="DL51">
            <v>2599</v>
          </cell>
          <cell r="DM51">
            <v>1399</v>
          </cell>
          <cell r="DN51">
            <v>963</v>
          </cell>
          <cell r="DO51">
            <v>1604</v>
          </cell>
          <cell r="EB51" t="str">
            <v>Cash</v>
          </cell>
          <cell r="EF51">
            <v>669.47499999999991</v>
          </cell>
          <cell r="EG51">
            <v>117.33579999999984</v>
          </cell>
          <cell r="EH51">
            <v>176.34579999999983</v>
          </cell>
        </row>
        <row r="52">
          <cell r="A52" t="str">
            <v>Net Debt-Parent</v>
          </cell>
          <cell r="D52">
            <v>436</v>
          </cell>
          <cell r="E52">
            <v>808</v>
          </cell>
          <cell r="F52">
            <v>524</v>
          </cell>
          <cell r="H52" t="str">
            <v>Net Debt-Parent</v>
          </cell>
          <cell r="I52">
            <v>-197</v>
          </cell>
          <cell r="K52" t="str">
            <v>Net Debt-Parent</v>
          </cell>
          <cell r="L52">
            <v>-762</v>
          </cell>
          <cell r="M52">
            <v>-547</v>
          </cell>
          <cell r="N52">
            <v>-1019</v>
          </cell>
          <cell r="P52" t="str">
            <v>Net Debt-Parent</v>
          </cell>
          <cell r="Z52">
            <v>468</v>
          </cell>
          <cell r="AB52">
            <v>436</v>
          </cell>
          <cell r="AC52">
            <v>627</v>
          </cell>
          <cell r="AD52">
            <v>862</v>
          </cell>
          <cell r="AE52">
            <v>954</v>
          </cell>
          <cell r="AF52">
            <v>808</v>
          </cell>
          <cell r="AG52">
            <v>652.20000000000005</v>
          </cell>
          <cell r="AH52">
            <v>501</v>
          </cell>
          <cell r="AI52">
            <v>581.9</v>
          </cell>
          <cell r="AJ52">
            <v>524</v>
          </cell>
          <cell r="AM52">
            <v>495</v>
          </cell>
          <cell r="AN52">
            <v>145</v>
          </cell>
          <cell r="AO52">
            <v>9</v>
          </cell>
          <cell r="AP52">
            <v>-197</v>
          </cell>
          <cell r="AR52" t="str">
            <v>Net Debt-Parent</v>
          </cell>
          <cell r="AS52">
            <v>-930</v>
          </cell>
          <cell r="AT52">
            <v>-1072</v>
          </cell>
          <cell r="AU52">
            <v>-270</v>
          </cell>
          <cell r="AV52">
            <v>-762</v>
          </cell>
          <cell r="AW52" t="str">
            <v>Net Debt-Parent</v>
          </cell>
          <cell r="AX52">
            <v>-2277</v>
          </cell>
          <cell r="AY52">
            <v>-1530</v>
          </cell>
          <cell r="AZ52">
            <v>-932</v>
          </cell>
          <cell r="BA52">
            <v>-547</v>
          </cell>
          <cell r="BB52" t="str">
            <v>Net Debt-Parent</v>
          </cell>
          <cell r="BC52">
            <v>-669</v>
          </cell>
          <cell r="BD52">
            <v>-947</v>
          </cell>
          <cell r="BE52">
            <v>-912</v>
          </cell>
          <cell r="BF52">
            <v>-1019</v>
          </cell>
          <cell r="BG52" t="str">
            <v>Net Debt-Parent</v>
          </cell>
          <cell r="BH52">
            <v>-1040</v>
          </cell>
          <cell r="BI52">
            <v>-1199</v>
          </cell>
          <cell r="BJ52">
            <v>-955</v>
          </cell>
          <cell r="BK52">
            <v>-1057</v>
          </cell>
          <cell r="BL52" t="str">
            <v>Net Debt-Parent</v>
          </cell>
          <cell r="BM52">
            <v>-992</v>
          </cell>
          <cell r="BN52">
            <v>-1074</v>
          </cell>
          <cell r="BO52">
            <v>-1073</v>
          </cell>
          <cell r="BP52">
            <v>-1117</v>
          </cell>
          <cell r="BQ52" t="str">
            <v>Net Debt-Parent</v>
          </cell>
          <cell r="BR52">
            <v>-625</v>
          </cell>
          <cell r="BS52">
            <v>-748</v>
          </cell>
          <cell r="BT52">
            <v>-834</v>
          </cell>
          <cell r="BU52">
            <v>-284</v>
          </cell>
          <cell r="BW52" t="str">
            <v>Net Debt-Parent</v>
          </cell>
          <cell r="BX52">
            <v>135</v>
          </cell>
          <cell r="BY52">
            <v>166</v>
          </cell>
          <cell r="BZ52">
            <v>251</v>
          </cell>
          <cell r="CA52">
            <v>51</v>
          </cell>
          <cell r="CB52">
            <v>-17</v>
          </cell>
          <cell r="CC52">
            <v>224</v>
          </cell>
          <cell r="CD52">
            <v>-1248</v>
          </cell>
          <cell r="CE52">
            <v>-752</v>
          </cell>
          <cell r="CG52" t="str">
            <v>Net Debt (Cash)</v>
          </cell>
          <cell r="CH52">
            <v>932</v>
          </cell>
          <cell r="CI52">
            <v>796</v>
          </cell>
          <cell r="CJ52">
            <v>644</v>
          </cell>
          <cell r="CK52">
            <v>325</v>
          </cell>
          <cell r="CL52">
            <v>863</v>
          </cell>
          <cell r="CM52">
            <v>1020</v>
          </cell>
          <cell r="CN52">
            <v>1660</v>
          </cell>
          <cell r="CO52">
            <v>1482</v>
          </cell>
          <cell r="CQ52" t="str">
            <v>Total  Debt</v>
          </cell>
          <cell r="CR52">
            <v>2016</v>
          </cell>
          <cell r="CS52">
            <v>1948</v>
          </cell>
          <cell r="CT52">
            <v>2021</v>
          </cell>
          <cell r="CU52">
            <v>1450</v>
          </cell>
          <cell r="CV52">
            <v>3100</v>
          </cell>
          <cell r="CW52">
            <v>3084</v>
          </cell>
          <cell r="CX52">
            <v>4544</v>
          </cell>
          <cell r="CY52">
            <v>4043</v>
          </cell>
          <cell r="DA52" t="str">
            <v>Total  Debt</v>
          </cell>
          <cell r="DB52">
            <v>3858</v>
          </cell>
          <cell r="DC52">
            <v>3816</v>
          </cell>
          <cell r="DD52">
            <v>3687</v>
          </cell>
          <cell r="DE52">
            <v>3297</v>
          </cell>
          <cell r="DG52" t="str">
            <v>Net Debt (Cash)</v>
          </cell>
          <cell r="DH52">
            <v>1786</v>
          </cell>
          <cell r="DI52">
            <v>1860</v>
          </cell>
          <cell r="DJ52">
            <v>1543</v>
          </cell>
          <cell r="DK52">
            <v>960</v>
          </cell>
          <cell r="DL52">
            <v>686</v>
          </cell>
          <cell r="DM52">
            <v>2250</v>
          </cell>
          <cell r="DN52">
            <v>2144</v>
          </cell>
          <cell r="DO52">
            <v>1177</v>
          </cell>
          <cell r="EB52" t="str">
            <v>Net Debt (Cash)</v>
          </cell>
          <cell r="EC52">
            <v>-1019.95</v>
          </cell>
          <cell r="ED52">
            <v>-1056.7455</v>
          </cell>
          <cell r="EE52">
            <v>-855.68550000000005</v>
          </cell>
          <cell r="EF52">
            <v>-24.474999999999909</v>
          </cell>
          <cell r="EG52">
            <v>412.66420000000016</v>
          </cell>
          <cell r="EH52">
            <v>845.65420000000017</v>
          </cell>
        </row>
        <row r="53">
          <cell r="A53" t="str">
            <v>Equity</v>
          </cell>
          <cell r="D53">
            <v>1878</v>
          </cell>
          <cell r="E53">
            <v>2126</v>
          </cell>
          <cell r="F53">
            <v>1510</v>
          </cell>
          <cell r="H53" t="str">
            <v>Equity</v>
          </cell>
          <cell r="I53">
            <v>1980</v>
          </cell>
          <cell r="K53" t="str">
            <v>Equity</v>
          </cell>
          <cell r="L53">
            <v>1874</v>
          </cell>
          <cell r="M53">
            <v>1177</v>
          </cell>
          <cell r="N53">
            <v>1316</v>
          </cell>
          <cell r="P53" t="str">
            <v>Equity</v>
          </cell>
          <cell r="Z53">
            <v>1761</v>
          </cell>
          <cell r="AB53">
            <v>1878</v>
          </cell>
          <cell r="AC53">
            <v>1946</v>
          </cell>
          <cell r="AD53">
            <v>1996</v>
          </cell>
          <cell r="AE53">
            <v>2064</v>
          </cell>
          <cell r="AF53">
            <v>2126</v>
          </cell>
          <cell r="AG53">
            <v>2246.5</v>
          </cell>
          <cell r="AH53">
            <v>1993</v>
          </cell>
          <cell r="AI53">
            <v>2051</v>
          </cell>
          <cell r="AJ53">
            <v>1510</v>
          </cell>
          <cell r="AM53">
            <v>1562</v>
          </cell>
          <cell r="AN53">
            <v>1763</v>
          </cell>
          <cell r="AO53">
            <v>1824</v>
          </cell>
          <cell r="AP53">
            <v>1980</v>
          </cell>
          <cell r="AR53" t="str">
            <v>Equity</v>
          </cell>
          <cell r="AS53">
            <v>2422</v>
          </cell>
          <cell r="AT53">
            <v>2492</v>
          </cell>
          <cell r="AU53">
            <v>1660</v>
          </cell>
          <cell r="AV53">
            <v>1874</v>
          </cell>
          <cell r="AW53" t="str">
            <v>Equity</v>
          </cell>
          <cell r="AX53">
            <v>1939</v>
          </cell>
          <cell r="AY53">
            <v>1432</v>
          </cell>
          <cell r="AZ53">
            <v>1117</v>
          </cell>
          <cell r="BA53">
            <v>1177</v>
          </cell>
          <cell r="BB53" t="str">
            <v>Equity</v>
          </cell>
          <cell r="BC53">
            <v>1220</v>
          </cell>
          <cell r="BD53">
            <v>1250</v>
          </cell>
          <cell r="BE53">
            <v>1283</v>
          </cell>
          <cell r="BF53">
            <v>1316</v>
          </cell>
          <cell r="BG53" t="str">
            <v>Equity</v>
          </cell>
          <cell r="BH53">
            <v>1353</v>
          </cell>
          <cell r="BI53">
            <v>1411</v>
          </cell>
          <cell r="BJ53">
            <v>1480</v>
          </cell>
          <cell r="BK53">
            <v>1480</v>
          </cell>
          <cell r="BL53" t="str">
            <v>Equity</v>
          </cell>
          <cell r="BM53">
            <v>1601</v>
          </cell>
          <cell r="BN53">
            <v>1641</v>
          </cell>
          <cell r="BO53">
            <v>1665</v>
          </cell>
          <cell r="BP53">
            <v>1714</v>
          </cell>
          <cell r="BQ53" t="str">
            <v>Equity</v>
          </cell>
          <cell r="BR53">
            <v>1744</v>
          </cell>
          <cell r="BS53">
            <v>1792</v>
          </cell>
          <cell r="BT53">
            <v>1856</v>
          </cell>
          <cell r="BU53">
            <v>1915</v>
          </cell>
          <cell r="BW53" t="str">
            <v>Equity</v>
          </cell>
          <cell r="BX53">
            <v>1989</v>
          </cell>
          <cell r="BY53">
            <v>2064</v>
          </cell>
          <cell r="BZ53">
            <v>2120</v>
          </cell>
          <cell r="CA53">
            <v>2219</v>
          </cell>
          <cell r="CB53">
            <v>2489</v>
          </cell>
          <cell r="CC53">
            <v>2575</v>
          </cell>
          <cell r="CD53">
            <v>3031</v>
          </cell>
          <cell r="CE53">
            <v>3171</v>
          </cell>
          <cell r="CG53" t="str">
            <v>Equity</v>
          </cell>
          <cell r="CH53">
            <v>3270</v>
          </cell>
          <cell r="CI53">
            <v>3315</v>
          </cell>
          <cell r="CJ53">
            <v>3577</v>
          </cell>
          <cell r="CK53">
            <v>3820</v>
          </cell>
          <cell r="CL53">
            <v>4008</v>
          </cell>
          <cell r="CM53">
            <v>4214</v>
          </cell>
          <cell r="CN53">
            <v>4434</v>
          </cell>
          <cell r="CO53">
            <v>4525</v>
          </cell>
          <cell r="CQ53" t="str">
            <v>Cash</v>
          </cell>
          <cell r="CR53">
            <v>377</v>
          </cell>
          <cell r="CS53">
            <v>376</v>
          </cell>
          <cell r="CT53">
            <v>468</v>
          </cell>
          <cell r="CU53">
            <v>328</v>
          </cell>
          <cell r="CV53">
            <v>748</v>
          </cell>
          <cell r="CW53">
            <v>811</v>
          </cell>
          <cell r="CX53">
            <v>697</v>
          </cell>
          <cell r="CY53">
            <v>861</v>
          </cell>
          <cell r="DA53" t="str">
            <v>Cash</v>
          </cell>
          <cell r="DB53">
            <v>869</v>
          </cell>
          <cell r="DC53">
            <v>1100</v>
          </cell>
          <cell r="DD53">
            <v>686</v>
          </cell>
          <cell r="DE53">
            <v>976</v>
          </cell>
          <cell r="DG53" t="str">
            <v>Equity</v>
          </cell>
          <cell r="DH53">
            <v>7396</v>
          </cell>
          <cell r="DI53">
            <v>7576</v>
          </cell>
          <cell r="DJ53">
            <v>7973</v>
          </cell>
          <cell r="DK53">
            <v>8145</v>
          </cell>
          <cell r="DL53">
            <v>8467</v>
          </cell>
          <cell r="DM53">
            <v>9081</v>
          </cell>
          <cell r="DN53">
            <v>9472</v>
          </cell>
          <cell r="DO53">
            <v>9827</v>
          </cell>
          <cell r="EB53" t="str">
            <v>Equity</v>
          </cell>
          <cell r="EC53">
            <v>1316</v>
          </cell>
          <cell r="ED53">
            <v>1567</v>
          </cell>
          <cell r="EE53">
            <v>1714</v>
          </cell>
          <cell r="EF53">
            <v>2008</v>
          </cell>
          <cell r="EG53">
            <v>2415</v>
          </cell>
          <cell r="EH53">
            <v>3170.4</v>
          </cell>
        </row>
        <row r="54">
          <cell r="A54" t="str">
            <v>Net Debt/Cap</v>
          </cell>
          <cell r="D54">
            <v>0.188418323249784</v>
          </cell>
          <cell r="E54">
            <v>0.27539195637355102</v>
          </cell>
          <cell r="F54">
            <v>0.25762045231071801</v>
          </cell>
          <cell r="H54" t="str">
            <v>Net Debt/Cap</v>
          </cell>
          <cell r="I54">
            <v>-0.11048794167134</v>
          </cell>
          <cell r="P54" t="str">
            <v>Net Debt/Cap</v>
          </cell>
          <cell r="Z54">
            <v>0.20995962314939401</v>
          </cell>
          <cell r="AB54">
            <v>0.188418323249784</v>
          </cell>
          <cell r="AC54">
            <v>0.243684415079674</v>
          </cell>
          <cell r="AD54">
            <v>0.30160951714485701</v>
          </cell>
          <cell r="AE54">
            <v>0.31610337972167002</v>
          </cell>
          <cell r="AF54">
            <v>0.27539195637355102</v>
          </cell>
          <cell r="AG54">
            <v>0.22499741263324899</v>
          </cell>
          <cell r="AH54">
            <v>0.20088211708099399</v>
          </cell>
          <cell r="AI54">
            <v>0.22101105245166899</v>
          </cell>
          <cell r="AJ54">
            <v>0.25762045231071801</v>
          </cell>
          <cell r="AM54">
            <v>0.24064171122994699</v>
          </cell>
          <cell r="AN54">
            <v>7.5995807127882606E-2</v>
          </cell>
          <cell r="AO54">
            <v>4.9099836333878896E-3</v>
          </cell>
          <cell r="AP54">
            <v>-0.11048794167134</v>
          </cell>
          <cell r="AR54" t="str">
            <v>Net Debt/Cap</v>
          </cell>
          <cell r="AS54">
            <v>-0.62332439678284202</v>
          </cell>
          <cell r="AT54">
            <v>-0.75492957746478895</v>
          </cell>
          <cell r="AU54">
            <v>-0.194244604316547</v>
          </cell>
          <cell r="AV54" t="str">
            <v>NMF</v>
          </cell>
          <cell r="AW54" t="str">
            <v>Net Debt/Cap</v>
          </cell>
          <cell r="AX54" t="str">
            <v>NMF</v>
          </cell>
          <cell r="AY54" t="str">
            <v>NMF</v>
          </cell>
          <cell r="AZ54" t="str">
            <v>NMF</v>
          </cell>
          <cell r="BA54" t="str">
            <v>NMF</v>
          </cell>
          <cell r="BB54" t="str">
            <v>Net Debt/Cap</v>
          </cell>
          <cell r="BC54" t="str">
            <v>NMF</v>
          </cell>
          <cell r="BD54" t="str">
            <v>NMF</v>
          </cell>
          <cell r="BE54" t="str">
            <v>NMF</v>
          </cell>
          <cell r="BF54" t="str">
            <v>NMF</v>
          </cell>
          <cell r="CG54" t="str">
            <v>N. Debt/cap</v>
          </cell>
          <cell r="CQ54" t="str">
            <v>Net Debt (Cash)</v>
          </cell>
          <cell r="CR54">
            <v>1639</v>
          </cell>
          <cell r="CS54">
            <v>1572</v>
          </cell>
          <cell r="CT54">
            <v>1553</v>
          </cell>
          <cell r="CU54">
            <v>1122</v>
          </cell>
          <cell r="CV54">
            <v>2352</v>
          </cell>
          <cell r="CW54">
            <v>2273</v>
          </cell>
          <cell r="CX54">
            <v>3847</v>
          </cell>
          <cell r="CY54">
            <v>3182</v>
          </cell>
          <cell r="DA54" t="str">
            <v>Net Debt (Cash)</v>
          </cell>
          <cell r="DB54">
            <v>2989</v>
          </cell>
          <cell r="DC54">
            <v>2716</v>
          </cell>
          <cell r="DD54">
            <v>3001</v>
          </cell>
          <cell r="DE54">
            <v>2321</v>
          </cell>
          <cell r="DG54" t="str">
            <v>Net Debt(Cash)/Cap</v>
          </cell>
          <cell r="DH54">
            <v>0.19451099978218253</v>
          </cell>
          <cell r="DI54">
            <v>0.19711742263671048</v>
          </cell>
          <cell r="DJ54">
            <v>0.16214796132828921</v>
          </cell>
          <cell r="DK54">
            <v>0.10543657331136738</v>
          </cell>
          <cell r="DL54">
            <v>7.4948104446629527E-2</v>
          </cell>
          <cell r="DM54">
            <v>0.19857029388403494</v>
          </cell>
          <cell r="DN54">
            <v>0.18457300275482094</v>
          </cell>
          <cell r="DO54">
            <v>0.1069611050527081</v>
          </cell>
          <cell r="EB54" t="str">
            <v>Net Debt(Cash)/Cap</v>
          </cell>
          <cell r="EC54" t="str">
            <v>NM</v>
          </cell>
          <cell r="ED54" t="str">
            <v>NM</v>
          </cell>
          <cell r="EE54" t="str">
            <v>NM</v>
          </cell>
          <cell r="EF54" t="str">
            <v>NM</v>
          </cell>
          <cell r="EG54">
            <v>0.14593819167070834</v>
          </cell>
          <cell r="EH54">
            <v>0.21056842310544516</v>
          </cell>
        </row>
        <row r="55">
          <cell r="A55" t="str">
            <v>Cash/share</v>
          </cell>
          <cell r="BG55" t="str">
            <v>Cash/share</v>
          </cell>
          <cell r="BJ55">
            <v>15.6872037914692</v>
          </cell>
          <cell r="BK55">
            <v>17.325949367088601</v>
          </cell>
          <cell r="BL55" t="str">
            <v>Cash/share</v>
          </cell>
          <cell r="BM55">
            <v>8.1487341772151893</v>
          </cell>
          <cell r="BN55">
            <v>8.7835703001579795</v>
          </cell>
          <cell r="BO55">
            <v>8.8034865293185405</v>
          </cell>
          <cell r="BP55">
            <v>9.1376582278480996</v>
          </cell>
          <cell r="BQ55" t="str">
            <v>Cash/share</v>
          </cell>
          <cell r="BR55">
            <v>4.9524564183835178</v>
          </cell>
          <cell r="BS55">
            <v>5.9744408945686898</v>
          </cell>
          <cell r="BT55">
            <v>6.6401273885350323</v>
          </cell>
          <cell r="BU55">
            <v>2.275641025641026</v>
          </cell>
          <cell r="BW55" t="str">
            <v>Cash/share//NDEbt/cap</v>
          </cell>
          <cell r="BX55">
            <v>0.66737523790691355</v>
          </cell>
          <cell r="BY55">
            <v>0.81612586037364798</v>
          </cell>
          <cell r="BZ55">
            <v>1.2395061728395063</v>
          </cell>
          <cell r="CA55">
            <v>0.25135534746180382</v>
          </cell>
          <cell r="CQ55" t="str">
            <v>Equity</v>
          </cell>
          <cell r="CR55">
            <v>4741</v>
          </cell>
          <cell r="CS55">
            <v>4989</v>
          </cell>
          <cell r="CT55">
            <v>5121</v>
          </cell>
          <cell r="CU55">
            <v>5199</v>
          </cell>
          <cell r="CV55">
            <v>5108</v>
          </cell>
          <cell r="CW55">
            <v>5407</v>
          </cell>
          <cell r="CX55">
            <v>5586</v>
          </cell>
          <cell r="CY55">
            <v>5921</v>
          </cell>
          <cell r="DA55" t="str">
            <v>Equity</v>
          </cell>
          <cell r="DB55">
            <v>6217</v>
          </cell>
          <cell r="DC55">
            <v>6458</v>
          </cell>
          <cell r="DD55">
            <v>6777</v>
          </cell>
          <cell r="DE55">
            <v>7189</v>
          </cell>
        </row>
        <row r="56">
          <cell r="A56" t="str">
            <v>FUNDED BACKLOG</v>
          </cell>
          <cell r="F56">
            <v>18.600000000000001</v>
          </cell>
          <cell r="G56" t="str">
            <v>Funded Backlog</v>
          </cell>
          <cell r="I56">
            <v>18</v>
          </cell>
          <cell r="K56" t="str">
            <v>Funded Backlog</v>
          </cell>
          <cell r="L56">
            <v>8.5</v>
          </cell>
          <cell r="M56">
            <v>5.5</v>
          </cell>
          <cell r="N56">
            <v>4.5999999999999996</v>
          </cell>
          <cell r="P56" t="str">
            <v>FUNDED BACKLOG</v>
          </cell>
          <cell r="AG56">
            <v>19.100000000000001</v>
          </cell>
          <cell r="AH56">
            <v>18.2</v>
          </cell>
          <cell r="AI56">
            <v>17.3</v>
          </cell>
          <cell r="AJ56">
            <v>18.600000000000001</v>
          </cell>
          <cell r="AM56">
            <v>18</v>
          </cell>
          <cell r="AN56">
            <v>17.7</v>
          </cell>
          <cell r="AO56">
            <v>17.7</v>
          </cell>
          <cell r="AP56">
            <v>18</v>
          </cell>
          <cell r="AQ56" t="str">
            <v>Funded Backlog</v>
          </cell>
          <cell r="AS56" t="str">
            <v xml:space="preserve"> </v>
          </cell>
          <cell r="AT56" t="str">
            <v xml:space="preserve"> </v>
          </cell>
          <cell r="AU56" t="str">
            <v xml:space="preserve"> </v>
          </cell>
          <cell r="AV56">
            <v>8.5</v>
          </cell>
          <cell r="AX56">
            <v>6.4</v>
          </cell>
          <cell r="AY56">
            <v>6.2</v>
          </cell>
          <cell r="AZ56">
            <v>5.7</v>
          </cell>
          <cell r="BA56">
            <v>5.5</v>
          </cell>
          <cell r="BB56" t="str">
            <v>Funded Backlog</v>
          </cell>
          <cell r="BC56">
            <v>5.2</v>
          </cell>
          <cell r="BD56">
            <v>4.9000000000000004</v>
          </cell>
          <cell r="BE56">
            <v>5.0999999999999996</v>
          </cell>
          <cell r="BF56">
            <v>4.5999999999999996</v>
          </cell>
          <cell r="BG56" t="str">
            <v>Funded Backlog</v>
          </cell>
          <cell r="BH56">
            <v>4.5</v>
          </cell>
          <cell r="BI56">
            <v>4.0999999999999996</v>
          </cell>
          <cell r="BJ56">
            <v>6</v>
          </cell>
          <cell r="BK56">
            <v>5.2</v>
          </cell>
          <cell r="BL56" t="str">
            <v>Funded Backlog</v>
          </cell>
          <cell r="BM56">
            <v>4.8</v>
          </cell>
          <cell r="BN56">
            <v>5.9</v>
          </cell>
          <cell r="BO56">
            <v>5.6</v>
          </cell>
          <cell r="BP56">
            <v>6.2</v>
          </cell>
          <cell r="BQ56" t="str">
            <v>Funded Backlog</v>
          </cell>
          <cell r="BR56">
            <v>6.7</v>
          </cell>
          <cell r="BS56">
            <v>6.2</v>
          </cell>
          <cell r="BT56">
            <v>5.7</v>
          </cell>
          <cell r="BU56">
            <v>6.8</v>
          </cell>
          <cell r="BW56" t="str">
            <v>Funded BL-GD</v>
          </cell>
          <cell r="BX56">
            <v>7.2</v>
          </cell>
          <cell r="BY56">
            <v>6.6</v>
          </cell>
          <cell r="BZ56">
            <v>7.1</v>
          </cell>
          <cell r="CA56">
            <v>7.3</v>
          </cell>
          <cell r="CB56">
            <v>8.0389999999999997</v>
          </cell>
          <cell r="CC56">
            <v>7.6</v>
          </cell>
          <cell r="CD56">
            <v>10.5</v>
          </cell>
          <cell r="CE56">
            <v>11.7</v>
          </cell>
          <cell r="CG56" t="str">
            <v>Funded BL-GD</v>
          </cell>
          <cell r="CH56">
            <v>12.909000000000001</v>
          </cell>
          <cell r="CI56">
            <v>12.606999999999999</v>
          </cell>
          <cell r="CJ56">
            <v>12.444000000000001</v>
          </cell>
          <cell r="CK56">
            <v>14.366</v>
          </cell>
          <cell r="CL56">
            <v>15.32</v>
          </cell>
          <cell r="CM56">
            <v>16.2</v>
          </cell>
          <cell r="CN56">
            <v>20.9</v>
          </cell>
          <cell r="CO56">
            <v>20.2</v>
          </cell>
          <cell r="CQ56" t="str">
            <v>N. Debt/cap</v>
          </cell>
          <cell r="CR56">
            <v>0.25689655172413794</v>
          </cell>
          <cell r="CS56">
            <v>0.23959762231367171</v>
          </cell>
          <cell r="CT56">
            <v>0.23269403655978424</v>
          </cell>
          <cell r="CU56">
            <v>0.17750355956336022</v>
          </cell>
          <cell r="CV56">
            <v>0.31528150134048255</v>
          </cell>
          <cell r="CW56">
            <v>0.29596354166666666</v>
          </cell>
          <cell r="CX56">
            <v>0.40782359800699669</v>
          </cell>
          <cell r="CY56">
            <v>0.34955509172800175</v>
          </cell>
          <cell r="DA56" t="str">
            <v>Net Debt(Cash)/Cap</v>
          </cell>
          <cell r="DB56">
            <v>0.32467955681077559</v>
          </cell>
          <cell r="DC56">
            <v>0.29605406583823851</v>
          </cell>
          <cell r="DD56">
            <v>0.30691347923910822</v>
          </cell>
          <cell r="DE56">
            <v>0.24405888538380652</v>
          </cell>
          <cell r="DG56" t="str">
            <v>Total Debt to Equity</v>
          </cell>
          <cell r="DH56">
            <v>0.30833255400729448</v>
          </cell>
          <cell r="DI56">
            <v>0.30329225675924221</v>
          </cell>
          <cell r="DJ56">
            <v>0.29254658385093169</v>
          </cell>
          <cell r="DK56">
            <v>0.28777544596012594</v>
          </cell>
          <cell r="DL56">
            <v>0.27952688904016337</v>
          </cell>
          <cell r="DM56">
            <v>0.28664571877454831</v>
          </cell>
          <cell r="DN56">
            <v>0.24699896653152079</v>
          </cell>
          <cell r="DO56">
            <v>0.22057423857868019</v>
          </cell>
          <cell r="EB56" t="str">
            <v>Total Debt to Equity</v>
          </cell>
          <cell r="EH56">
            <v>0.24377444900295775</v>
          </cell>
        </row>
        <row r="57">
          <cell r="Q57">
            <v>41.8</v>
          </cell>
          <cell r="R57">
            <v>48.6</v>
          </cell>
          <cell r="S57">
            <v>28</v>
          </cell>
          <cell r="T57">
            <v>23.9</v>
          </cell>
          <cell r="U57">
            <v>46.7</v>
          </cell>
          <cell r="V57">
            <v>41.1</v>
          </cell>
          <cell r="W57">
            <v>42.4</v>
          </cell>
          <cell r="X57">
            <v>30.2</v>
          </cell>
          <cell r="Y57">
            <v>38.700000000000003</v>
          </cell>
          <cell r="Z57">
            <v>19.8</v>
          </cell>
          <cell r="AA57">
            <v>38</v>
          </cell>
          <cell r="AB57">
            <v>46.4</v>
          </cell>
          <cell r="AC57">
            <v>43.6</v>
          </cell>
          <cell r="AD57">
            <v>39.700000000000003</v>
          </cell>
          <cell r="AE57">
            <v>30.5</v>
          </cell>
          <cell r="AF57">
            <v>35.1</v>
          </cell>
          <cell r="AG57">
            <v>-0.517073170731707</v>
          </cell>
          <cell r="AH57">
            <v>0.362041467304625</v>
          </cell>
          <cell r="AI57">
            <v>-0.80722891566265098</v>
          </cell>
          <cell r="AJ57">
            <v>0.205798343330477</v>
          </cell>
          <cell r="DG57" t="str">
            <v>Orders ($B)</v>
          </cell>
          <cell r="DJ57">
            <v>5.0999999999999996</v>
          </cell>
          <cell r="EB57" t="str">
            <v>Orders ($B)</v>
          </cell>
        </row>
        <row r="58">
          <cell r="Q58">
            <v>-7.7</v>
          </cell>
          <cell r="R58">
            <v>12.3</v>
          </cell>
          <cell r="S58">
            <v>8</v>
          </cell>
          <cell r="T58">
            <v>-3.9</v>
          </cell>
          <cell r="U58">
            <v>-9.8000000000000007</v>
          </cell>
          <cell r="V58">
            <v>14.1</v>
          </cell>
          <cell r="W58">
            <v>11.8</v>
          </cell>
          <cell r="X58">
            <v>5.2</v>
          </cell>
          <cell r="Y58">
            <v>-10</v>
          </cell>
          <cell r="Z58">
            <v>8</v>
          </cell>
          <cell r="AA58">
            <v>-5.7</v>
          </cell>
          <cell r="AB58">
            <v>1.6</v>
          </cell>
          <cell r="AC58">
            <v>-8.9</v>
          </cell>
          <cell r="AD58">
            <v>14.8</v>
          </cell>
          <cell r="AE58">
            <v>15.8</v>
          </cell>
          <cell r="AF58">
            <v>5.5</v>
          </cell>
          <cell r="AG58">
            <v>33</v>
          </cell>
          <cell r="AH58">
            <v>25</v>
          </cell>
          <cell r="AI58">
            <v>14</v>
          </cell>
          <cell r="AJ58">
            <v>-83</v>
          </cell>
          <cell r="AK58" t="str">
            <v xml:space="preserve"> </v>
          </cell>
          <cell r="AL58">
            <v>-83</v>
          </cell>
          <cell r="AM58">
            <v>18</v>
          </cell>
          <cell r="AN58">
            <v>7</v>
          </cell>
          <cell r="AO58">
            <v>15</v>
          </cell>
          <cell r="AP58">
            <v>36</v>
          </cell>
          <cell r="BQ58" t="str">
            <v>Revenue Growth</v>
          </cell>
          <cell r="BW58" t="str">
            <v>Backlog by division, Funded</v>
          </cell>
          <cell r="CG58" t="str">
            <v>Backlog by division, Unfunded</v>
          </cell>
          <cell r="CH58" t="str">
            <v>--- unfunded ----</v>
          </cell>
          <cell r="CQ58" t="str">
            <v xml:space="preserve">New Orders </v>
          </cell>
          <cell r="DA58" t="str">
            <v>Total Debt to Equity</v>
          </cell>
          <cell r="DB58">
            <v>0.38292803970223327</v>
          </cell>
          <cell r="DC58">
            <v>0.37142300953864121</v>
          </cell>
          <cell r="DD58">
            <v>0.35235091743119268</v>
          </cell>
          <cell r="DE58">
            <v>0.3144192256341789</v>
          </cell>
          <cell r="DG58" t="str">
            <v>Book:bill</v>
          </cell>
          <cell r="EB58" t="str">
            <v>Book:bill</v>
          </cell>
        </row>
        <row r="59">
          <cell r="Q59">
            <v>420</v>
          </cell>
          <cell r="R59">
            <v>436</v>
          </cell>
          <cell r="S59">
            <v>389</v>
          </cell>
          <cell r="T59">
            <v>414</v>
          </cell>
          <cell r="U59">
            <v>368</v>
          </cell>
          <cell r="V59">
            <v>409</v>
          </cell>
          <cell r="W59">
            <v>415</v>
          </cell>
          <cell r="X59">
            <v>411</v>
          </cell>
          <cell r="Y59">
            <v>412</v>
          </cell>
          <cell r="Z59">
            <v>425.8</v>
          </cell>
          <cell r="AA59">
            <v>333.4</v>
          </cell>
          <cell r="AB59">
            <v>377.2</v>
          </cell>
          <cell r="AC59">
            <v>403</v>
          </cell>
          <cell r="AD59">
            <v>441</v>
          </cell>
          <cell r="AE59">
            <v>399.9</v>
          </cell>
          <cell r="AF59">
            <v>434.8</v>
          </cell>
          <cell r="AG59">
            <v>6</v>
          </cell>
          <cell r="AH59">
            <v>-29</v>
          </cell>
          <cell r="AI59">
            <v>43</v>
          </cell>
          <cell r="AJ59">
            <v>-50</v>
          </cell>
          <cell r="AK59" t="str">
            <v xml:space="preserve"> </v>
          </cell>
          <cell r="AL59">
            <v>-50</v>
          </cell>
          <cell r="AM59">
            <v>-20</v>
          </cell>
          <cell r="AN59">
            <v>16</v>
          </cell>
          <cell r="AO59">
            <v>21</v>
          </cell>
          <cell r="AP59">
            <v>8</v>
          </cell>
          <cell r="BQ59" t="str">
            <v>Marine Group</v>
          </cell>
          <cell r="BW59" t="str">
            <v>Marine</v>
          </cell>
          <cell r="BX59">
            <v>11565</v>
          </cell>
          <cell r="BY59" t="str">
            <v xml:space="preserve"> </v>
          </cell>
          <cell r="CB59">
            <v>11351</v>
          </cell>
          <cell r="CC59">
            <v>11200</v>
          </cell>
          <cell r="CD59">
            <v>10800</v>
          </cell>
          <cell r="CE59">
            <v>11608</v>
          </cell>
          <cell r="CG59" t="str">
            <v>Marine</v>
          </cell>
          <cell r="CH59">
            <v>11.815</v>
          </cell>
          <cell r="CI59">
            <v>11.241</v>
          </cell>
          <cell r="CJ59">
            <v>11.628</v>
          </cell>
          <cell r="CK59">
            <v>11.211</v>
          </cell>
          <cell r="CL59">
            <v>6.9370000000000003</v>
          </cell>
          <cell r="CM59">
            <v>6.4</v>
          </cell>
          <cell r="CN59">
            <v>9.5280000000000005</v>
          </cell>
          <cell r="CO59">
            <v>10.06</v>
          </cell>
          <cell r="CQ59" t="str">
            <v>Total</v>
          </cell>
          <cell r="DA59" t="str">
            <v>Orders ($B)</v>
          </cell>
          <cell r="DG59" t="str">
            <v>Funded Backlog</v>
          </cell>
          <cell r="EB59" t="str">
            <v>Funded Backlog</v>
          </cell>
        </row>
        <row r="60">
          <cell r="Q60">
            <v>17</v>
          </cell>
          <cell r="R60">
            <v>23</v>
          </cell>
          <cell r="S60">
            <v>25</v>
          </cell>
          <cell r="T60">
            <v>25</v>
          </cell>
          <cell r="U60">
            <v>24</v>
          </cell>
          <cell r="V60">
            <v>28</v>
          </cell>
          <cell r="W60">
            <v>30</v>
          </cell>
          <cell r="X60">
            <v>71.400000000000006</v>
          </cell>
          <cell r="Y60">
            <v>44.5</v>
          </cell>
          <cell r="Z60">
            <v>50.8</v>
          </cell>
          <cell r="AA60">
            <v>47.3</v>
          </cell>
          <cell r="AB60">
            <v>90.4</v>
          </cell>
          <cell r="AC60">
            <v>64</v>
          </cell>
          <cell r="AD60">
            <v>79</v>
          </cell>
          <cell r="AE60">
            <v>67</v>
          </cell>
          <cell r="AF60">
            <v>121.5</v>
          </cell>
          <cell r="AG60">
            <v>440</v>
          </cell>
          <cell r="AH60">
            <v>402</v>
          </cell>
          <cell r="AI60">
            <v>363</v>
          </cell>
          <cell r="AJ60">
            <v>390</v>
          </cell>
          <cell r="AL60">
            <v>390</v>
          </cell>
          <cell r="AM60">
            <v>367</v>
          </cell>
          <cell r="AN60">
            <v>330</v>
          </cell>
          <cell r="AO60">
            <v>343</v>
          </cell>
          <cell r="AP60">
            <v>345</v>
          </cell>
          <cell r="BQ60" t="str">
            <v>Combat Sys</v>
          </cell>
          <cell r="CG60" t="str">
            <v>Aerospace</v>
          </cell>
          <cell r="CK60">
            <v>4.37</v>
          </cell>
          <cell r="CL60">
            <v>3.64</v>
          </cell>
          <cell r="CM60">
            <v>5.0999999999999996</v>
          </cell>
          <cell r="CN60">
            <v>9.0370000000000008</v>
          </cell>
          <cell r="CO60">
            <v>6.2729999999999997</v>
          </cell>
          <cell r="DA60" t="str">
            <v>Book:bill</v>
          </cell>
          <cell r="DG60" t="str">
            <v>Marine Systems</v>
          </cell>
          <cell r="DH60">
            <v>10.396000000000001</v>
          </cell>
          <cell r="DI60">
            <v>9.6539999999999999</v>
          </cell>
          <cell r="DJ60">
            <v>8.8759999999999994</v>
          </cell>
          <cell r="DK60">
            <v>8.4190000000000005</v>
          </cell>
          <cell r="DL60">
            <v>9.5449999999999999</v>
          </cell>
          <cell r="DM60">
            <v>8.8030000000000008</v>
          </cell>
          <cell r="DN60">
            <v>8.64</v>
          </cell>
          <cell r="DO60">
            <v>8.1739999999999995</v>
          </cell>
          <cell r="EB60" t="str">
            <v>Marine Systems</v>
          </cell>
          <cell r="EC60">
            <v>2.4630000000000001</v>
          </cell>
          <cell r="EH60">
            <v>5.5289999999999999</v>
          </cell>
        </row>
        <row r="61">
          <cell r="AG61">
            <v>224</v>
          </cell>
          <cell r="AH61">
            <v>252</v>
          </cell>
          <cell r="AI61">
            <v>258</v>
          </cell>
          <cell r="AJ61">
            <v>367</v>
          </cell>
          <cell r="AL61">
            <v>367</v>
          </cell>
          <cell r="AM61">
            <v>286</v>
          </cell>
          <cell r="AN61">
            <v>339</v>
          </cell>
          <cell r="AO61">
            <v>363</v>
          </cell>
          <cell r="BQ61" t="str">
            <v>Info Sys &amp; Tech</v>
          </cell>
          <cell r="BW61" t="str">
            <v>Combat</v>
          </cell>
          <cell r="BX61">
            <v>1579</v>
          </cell>
          <cell r="CB61">
            <v>1424</v>
          </cell>
          <cell r="CC61">
            <v>1500</v>
          </cell>
          <cell r="CD61">
            <v>1300</v>
          </cell>
          <cell r="CE61">
            <v>1596</v>
          </cell>
          <cell r="CG61" t="str">
            <v>Combat</v>
          </cell>
          <cell r="CH61">
            <v>1.631</v>
          </cell>
          <cell r="CI61">
            <v>1.6619999999999999</v>
          </cell>
          <cell r="CJ61">
            <v>1.5840000000000001</v>
          </cell>
          <cell r="CK61">
            <v>1.7729999999999999</v>
          </cell>
          <cell r="CL61">
            <v>2.3719999999999999</v>
          </cell>
          <cell r="CM61">
            <v>2.2000000000000002</v>
          </cell>
          <cell r="CN61">
            <v>5.1829999999999998</v>
          </cell>
          <cell r="CO61">
            <v>5.194</v>
          </cell>
          <cell r="CQ61" t="str">
            <v>Funded Backlog</v>
          </cell>
          <cell r="DA61" t="str">
            <v>Funded Backlog</v>
          </cell>
          <cell r="DG61" t="str">
            <v>Combat Systems</v>
          </cell>
          <cell r="DH61">
            <v>8.06</v>
          </cell>
          <cell r="DI61">
            <v>7.9020000000000001</v>
          </cell>
          <cell r="DJ61">
            <v>7.7709999999999999</v>
          </cell>
          <cell r="DK61">
            <v>6.9539999999999997</v>
          </cell>
          <cell r="DL61">
            <v>7.5629999999999997</v>
          </cell>
          <cell r="DM61">
            <v>8.3140000000000001</v>
          </cell>
          <cell r="DN61">
            <v>9.2129999999999992</v>
          </cell>
          <cell r="DO61">
            <v>10.086</v>
          </cell>
          <cell r="EB61" t="str">
            <v>Combat Systems</v>
          </cell>
          <cell r="EC61">
            <v>1.3779999999999999</v>
          </cell>
          <cell r="EH61">
            <v>1.1160000000000001</v>
          </cell>
        </row>
        <row r="62">
          <cell r="AM62">
            <v>4.9046321525885603E-2</v>
          </cell>
          <cell r="AN62">
            <v>2.12121212121212E-2</v>
          </cell>
          <cell r="AO62">
            <v>4.3731778425656002E-2</v>
          </cell>
          <cell r="AP62">
            <v>0.104347826086957</v>
          </cell>
          <cell r="BQ62" t="str">
            <v>Other</v>
          </cell>
          <cell r="BW62" t="str">
            <v>Info</v>
          </cell>
          <cell r="BX62">
            <v>892</v>
          </cell>
          <cell r="CB62">
            <v>925</v>
          </cell>
          <cell r="CC62">
            <v>900</v>
          </cell>
          <cell r="CD62">
            <v>1800</v>
          </cell>
          <cell r="CE62">
            <v>1952</v>
          </cell>
          <cell r="CG62" t="str">
            <v>Info</v>
          </cell>
          <cell r="CH62">
            <v>2.12</v>
          </cell>
          <cell r="CI62">
            <v>1.988</v>
          </cell>
          <cell r="CJ62">
            <v>1.92</v>
          </cell>
          <cell r="CK62">
            <v>1.9419999999999999</v>
          </cell>
          <cell r="CL62">
            <v>1.9670000000000001</v>
          </cell>
          <cell r="CM62">
            <v>2</v>
          </cell>
          <cell r="CN62">
            <v>5.1829999999999998</v>
          </cell>
          <cell r="CO62">
            <v>4.9710000000000001</v>
          </cell>
          <cell r="CQ62" t="str">
            <v>Marine</v>
          </cell>
          <cell r="CT62">
            <v>7.8</v>
          </cell>
          <cell r="CU62">
            <v>7.2619999999999996</v>
          </cell>
          <cell r="CV62">
            <v>8.26</v>
          </cell>
          <cell r="CW62">
            <v>7.7610000000000001</v>
          </cell>
          <cell r="CX62">
            <v>8.81</v>
          </cell>
          <cell r="CY62">
            <v>8.7750000000000004</v>
          </cell>
          <cell r="DA62" t="str">
            <v>Marine Systems</v>
          </cell>
          <cell r="DB62">
            <v>9.968</v>
          </cell>
          <cell r="DC62">
            <v>9.3870000000000005</v>
          </cell>
          <cell r="DD62">
            <v>8.4459999999999997</v>
          </cell>
          <cell r="DE62">
            <v>9.8989999999999991</v>
          </cell>
          <cell r="DG62" t="str">
            <v>Info. Systems &amp; Tech.</v>
          </cell>
          <cell r="DH62">
            <v>7.4660000000000002</v>
          </cell>
          <cell r="DI62">
            <v>7.1740000000000004</v>
          </cell>
          <cell r="DJ62">
            <v>7.31</v>
          </cell>
          <cell r="DK62">
            <v>6.96</v>
          </cell>
          <cell r="DL62">
            <v>6.3220000000000001</v>
          </cell>
          <cell r="DM62">
            <v>7.125</v>
          </cell>
          <cell r="DN62">
            <v>7.3440000000000003</v>
          </cell>
          <cell r="DO62">
            <v>7.548</v>
          </cell>
          <cell r="EB62" t="str">
            <v>Info. Systems &amp; Tech.</v>
          </cell>
          <cell r="EH62">
            <v>1.952</v>
          </cell>
        </row>
        <row r="63">
          <cell r="AM63">
            <v>-6.9930069930069894E-2</v>
          </cell>
          <cell r="AN63">
            <v>4.71976401179941E-2</v>
          </cell>
          <cell r="AO63">
            <v>5.7851239669421503E-2</v>
          </cell>
          <cell r="BQ63" t="str">
            <v xml:space="preserve"> Total Revs.</v>
          </cell>
          <cell r="BW63" t="str">
            <v>Other</v>
          </cell>
          <cell r="BX63">
            <v>562</v>
          </cell>
          <cell r="CB63">
            <v>545</v>
          </cell>
          <cell r="CC63">
            <v>500</v>
          </cell>
          <cell r="CD63">
            <v>4000</v>
          </cell>
          <cell r="CE63">
            <v>4344</v>
          </cell>
          <cell r="CG63" t="str">
            <v>Other</v>
          </cell>
          <cell r="CH63">
            <v>4.0170000000000003</v>
          </cell>
          <cell r="CI63">
            <v>4.0190000000000001</v>
          </cell>
          <cell r="CJ63">
            <v>3.7719999999999998</v>
          </cell>
          <cell r="CK63">
            <v>0.44600000000000001</v>
          </cell>
          <cell r="CL63">
            <v>0.39900000000000002</v>
          </cell>
          <cell r="CM63">
            <v>0.5</v>
          </cell>
          <cell r="CN63">
            <v>0.44600000000000001</v>
          </cell>
          <cell r="CO63">
            <v>0.33400000000000002</v>
          </cell>
          <cell r="CQ63" t="str">
            <v>Aerospace</v>
          </cell>
          <cell r="CS63">
            <v>4.3</v>
          </cell>
          <cell r="CT63">
            <v>4.5999999999999996</v>
          </cell>
          <cell r="CU63">
            <v>4.4980000000000002</v>
          </cell>
          <cell r="CV63">
            <v>5.867</v>
          </cell>
          <cell r="CW63">
            <v>5.8890000000000002</v>
          </cell>
          <cell r="CX63">
            <v>5.569</v>
          </cell>
          <cell r="CY63">
            <v>5.8259999999999996</v>
          </cell>
          <cell r="DA63" t="str">
            <v>Combat Systems</v>
          </cell>
          <cell r="DB63">
            <v>6.32</v>
          </cell>
          <cell r="DC63">
            <v>6.6440000000000001</v>
          </cell>
          <cell r="DD63">
            <v>6.202</v>
          </cell>
          <cell r="DE63">
            <v>6.3979999999999997</v>
          </cell>
          <cell r="DG63" t="str">
            <v>Aerospace</v>
          </cell>
          <cell r="DH63">
            <v>4.7249999999999996</v>
          </cell>
          <cell r="DI63">
            <v>4.9770000000000003</v>
          </cell>
          <cell r="DJ63">
            <v>5.1559999999999997</v>
          </cell>
          <cell r="DK63">
            <v>5.8529999999999998</v>
          </cell>
          <cell r="DL63">
            <v>5.798</v>
          </cell>
          <cell r="DM63">
            <v>6.2939999999999996</v>
          </cell>
          <cell r="DN63">
            <v>6.5</v>
          </cell>
          <cell r="DO63">
            <v>6.9409999999999998</v>
          </cell>
          <cell r="EB63" t="str">
            <v>Aerospace</v>
          </cell>
          <cell r="EF63">
            <v>2.782</v>
          </cell>
          <cell r="EG63">
            <v>3.5779999999999998</v>
          </cell>
          <cell r="EH63">
            <v>2.5739999999999998</v>
          </cell>
        </row>
        <row r="64">
          <cell r="BW64" t="str">
            <v>Total B-L GD</v>
          </cell>
          <cell r="BX64">
            <v>14598</v>
          </cell>
          <cell r="CB64">
            <v>14245</v>
          </cell>
          <cell r="CC64">
            <v>14100</v>
          </cell>
          <cell r="CD64">
            <v>17900</v>
          </cell>
          <cell r="CE64">
            <v>19500</v>
          </cell>
          <cell r="CG64" t="str">
            <v>Total B-L GD</v>
          </cell>
          <cell r="CH64">
            <v>19.582999999999998</v>
          </cell>
          <cell r="CI64">
            <v>18.909999999999997</v>
          </cell>
          <cell r="CJ64">
            <v>18.904</v>
          </cell>
          <cell r="CK64">
            <v>19.742000000000001</v>
          </cell>
          <cell r="CL64">
            <v>15.315000000000001</v>
          </cell>
          <cell r="CM64">
            <v>16.2</v>
          </cell>
          <cell r="CN64">
            <v>29.377000000000002</v>
          </cell>
          <cell r="CO64">
            <v>26.831999999999997</v>
          </cell>
          <cell r="CQ64" t="str">
            <v>Combat</v>
          </cell>
          <cell r="CT64">
            <v>4</v>
          </cell>
          <cell r="CU64">
            <v>4.2329999999999997</v>
          </cell>
          <cell r="CV64">
            <v>5.2389999999999999</v>
          </cell>
          <cell r="CW64">
            <v>5.5190000000000001</v>
          </cell>
          <cell r="CX64">
            <v>5.931</v>
          </cell>
          <cell r="CY64">
            <v>5.95</v>
          </cell>
          <cell r="DA64" t="str">
            <v>Info. Systems &amp; Tech.</v>
          </cell>
          <cell r="DB64">
            <v>6.48</v>
          </cell>
          <cell r="DC64">
            <v>6.1719999999999997</v>
          </cell>
          <cell r="DD64">
            <v>6.1639999999999997</v>
          </cell>
          <cell r="DE64">
            <v>7.0709999999999997</v>
          </cell>
          <cell r="DG64" t="str">
            <v>Resources/Corporate</v>
          </cell>
          <cell r="DH64">
            <v>0.22800000000000001</v>
          </cell>
          <cell r="DI64">
            <v>0.20200000000000001</v>
          </cell>
          <cell r="DJ64">
            <v>0.18099999999999999</v>
          </cell>
          <cell r="DK64">
            <v>0</v>
          </cell>
          <cell r="DL64">
            <v>0.14599999999999999</v>
          </cell>
          <cell r="DM64">
            <v>0</v>
          </cell>
          <cell r="DN64">
            <v>0</v>
          </cell>
          <cell r="DO64">
            <v>0</v>
          </cell>
          <cell r="EB64" t="str">
            <v>Resources/Corporate</v>
          </cell>
          <cell r="EC64">
            <v>0.72099999999999997</v>
          </cell>
          <cell r="EH64">
            <v>0.49399999999999999</v>
          </cell>
        </row>
        <row r="65">
          <cell r="CG65" t="str">
            <v>Funded backlog</v>
          </cell>
          <cell r="CQ65" t="str">
            <v>Info</v>
          </cell>
          <cell r="CT65">
            <v>5</v>
          </cell>
          <cell r="CU65">
            <v>5.1050000000000004</v>
          </cell>
          <cell r="CV65">
            <v>4.28</v>
          </cell>
          <cell r="CW65">
            <v>4.13</v>
          </cell>
          <cell r="CX65">
            <v>3.831</v>
          </cell>
          <cell r="CY65">
            <v>4.1269999999999998</v>
          </cell>
          <cell r="DA65" t="str">
            <v>Aerospace</v>
          </cell>
          <cell r="DB65">
            <v>4.0940000000000003</v>
          </cell>
          <cell r="DC65">
            <v>3.97</v>
          </cell>
          <cell r="DD65">
            <v>4.0659999999999998</v>
          </cell>
          <cell r="DE65">
            <v>4.6520000000000001</v>
          </cell>
          <cell r="DG65" t="str">
            <v>Total</v>
          </cell>
          <cell r="DH65">
            <v>30.875000000000007</v>
          </cell>
          <cell r="DI65">
            <v>29.909000000000002</v>
          </cell>
          <cell r="DJ65">
            <v>29.293999999999997</v>
          </cell>
          <cell r="DK65">
            <v>28.186</v>
          </cell>
          <cell r="DL65">
            <v>29.374000000000002</v>
          </cell>
          <cell r="DM65">
            <v>30.536000000000001</v>
          </cell>
          <cell r="DN65">
            <v>31.697000000000003</v>
          </cell>
          <cell r="DO65">
            <v>32.749000000000002</v>
          </cell>
          <cell r="EB65" t="str">
            <v>Total</v>
          </cell>
          <cell r="EC65">
            <v>4.5620000000000003</v>
          </cell>
          <cell r="ED65">
            <v>5.2270000000000003</v>
          </cell>
          <cell r="EE65">
            <v>6.1609999999999996</v>
          </cell>
          <cell r="EF65">
            <v>6.7960000000000003</v>
          </cell>
          <cell r="EG65">
            <v>7.2919999999999998</v>
          </cell>
          <cell r="EH65">
            <v>11.7</v>
          </cell>
        </row>
        <row r="66">
          <cell r="BL66" t="str">
            <v>Estimated Division Breakdown</v>
          </cell>
          <cell r="BW66" t="str">
            <v>GAC Backlog</v>
          </cell>
          <cell r="BX66">
            <v>2800</v>
          </cell>
          <cell r="BY66">
            <v>3300</v>
          </cell>
          <cell r="CA66">
            <v>3.302</v>
          </cell>
          <cell r="CB66">
            <v>3200</v>
          </cell>
          <cell r="CC66">
            <v>3900</v>
          </cell>
          <cell r="CD66">
            <v>3500</v>
          </cell>
          <cell r="CE66">
            <v>2574</v>
          </cell>
          <cell r="CG66" t="str">
            <v>GAC Backlog, firm</v>
          </cell>
          <cell r="CQ66" t="str">
            <v>Other</v>
          </cell>
          <cell r="CT66">
            <v>0.20000000000000284</v>
          </cell>
          <cell r="CU66">
            <v>0.20200000000000173</v>
          </cell>
          <cell r="CV66">
            <v>0.221</v>
          </cell>
          <cell r="CW66">
            <v>0.19900000000000001</v>
          </cell>
          <cell r="CX66">
            <v>0.18</v>
          </cell>
          <cell r="CY66">
            <v>0.16300000000000001</v>
          </cell>
          <cell r="DA66" t="str">
            <v>Resources</v>
          </cell>
          <cell r="DB66">
            <v>0.14499999999999999</v>
          </cell>
          <cell r="DC66">
            <v>0.23499999999999999</v>
          </cell>
          <cell r="DD66">
            <v>0.216</v>
          </cell>
          <cell r="DE66">
            <v>0.2</v>
          </cell>
          <cell r="DG66" t="str">
            <v>% ch. y/y</v>
          </cell>
          <cell r="DH66">
            <v>0.14322212759654929</v>
          </cell>
          <cell r="DI66">
            <v>0.1325734625870949</v>
          </cell>
          <cell r="DJ66">
            <v>0.16737068621981344</v>
          </cell>
          <cell r="DK66">
            <v>-1.2048192771082489E-3</v>
          </cell>
          <cell r="DL66">
            <v>-4.8615384615384727E-2</v>
          </cell>
          <cell r="DM66">
            <v>2.0963589554983342E-2</v>
          </cell>
          <cell r="DN66">
            <v>8.2030449921485893E-2</v>
          </cell>
          <cell r="DO66">
            <v>0.16188888100475429</v>
          </cell>
          <cell r="EB66" t="str">
            <v>% ch. y/y</v>
          </cell>
          <cell r="EH66">
            <v>0.60449808008776729</v>
          </cell>
        </row>
        <row r="67">
          <cell r="BN67" t="str">
            <v>1996A</v>
          </cell>
          <cell r="BQ67" t="str">
            <v>Estimated Division Breakdown</v>
          </cell>
          <cell r="CQ67" t="str">
            <v>Total</v>
          </cell>
          <cell r="CR67">
            <v>20.7</v>
          </cell>
          <cell r="CS67">
            <v>20.5</v>
          </cell>
          <cell r="CT67">
            <v>21.6</v>
          </cell>
          <cell r="CU67">
            <v>21.3</v>
          </cell>
          <cell r="CV67">
            <v>23.867000000000001</v>
          </cell>
          <cell r="CW67">
            <v>23.498000000000001</v>
          </cell>
          <cell r="CX67">
            <v>24.321000000000002</v>
          </cell>
          <cell r="CY67">
            <v>24.840999999999998</v>
          </cell>
          <cell r="DA67" t="str">
            <v>Total</v>
          </cell>
          <cell r="DB67">
            <v>27.007000000000001</v>
          </cell>
          <cell r="DC67">
            <v>26.407999999999998</v>
          </cell>
          <cell r="DD67">
            <v>25.093999999999998</v>
          </cell>
          <cell r="DE67">
            <v>28.219999999999995</v>
          </cell>
          <cell r="DG67" t="str">
            <v>% ch. sequentially</v>
          </cell>
          <cell r="DH67">
            <v>9.4082211197732635E-2</v>
          </cell>
          <cell r="DI67">
            <v>-3.1287449392712663E-2</v>
          </cell>
          <cell r="DJ67">
            <v>-2.0562372530007922E-2</v>
          </cell>
          <cell r="DK67">
            <v>-3.7823445074076534E-2</v>
          </cell>
          <cell r="DL67">
            <v>4.2148584403604694E-2</v>
          </cell>
          <cell r="DM67">
            <v>3.9558793490842126E-2</v>
          </cell>
          <cell r="DN67">
            <v>3.8020696882368421E-2</v>
          </cell>
          <cell r="DO67">
            <v>3.3189260813326182E-2</v>
          </cell>
          <cell r="EB67" t="str">
            <v>% ch. sequentially</v>
          </cell>
          <cell r="EH67">
            <v>0.60449808008776729</v>
          </cell>
        </row>
        <row r="68">
          <cell r="BB68" t="str">
            <v>Marine</v>
          </cell>
          <cell r="BG68" t="str">
            <v>Marine</v>
          </cell>
          <cell r="BL68" t="str">
            <v>Marine</v>
          </cell>
          <cell r="BM68" t="str">
            <v>Q1</v>
          </cell>
          <cell r="BN68" t="str">
            <v>Q2</v>
          </cell>
          <cell r="BO68" t="str">
            <v>Q3</v>
          </cell>
          <cell r="BP68" t="str">
            <v>Q4</v>
          </cell>
          <cell r="BS68" t="str">
            <v>1997</v>
          </cell>
          <cell r="CG68" t="str">
            <v>Gulfstream Deliveries</v>
          </cell>
          <cell r="CQ68" t="str">
            <v>% ch. y/y</v>
          </cell>
          <cell r="CV68">
            <v>0.15299516908212563</v>
          </cell>
          <cell r="CW68">
            <v>0.14624390243902452</v>
          </cell>
          <cell r="CX68">
            <v>0.12597222222222215</v>
          </cell>
          <cell r="CY68">
            <v>0.16624413145539885</v>
          </cell>
          <cell r="DA68" t="str">
            <v>% ch. y/y</v>
          </cell>
          <cell r="DB68">
            <v>0.1315624083462521</v>
          </cell>
          <cell r="DC68">
            <v>0.1238403268363264</v>
          </cell>
          <cell r="DD68">
            <v>3.1783232597343725E-2</v>
          </cell>
          <cell r="DE68">
            <v>0.13602511976168419</v>
          </cell>
        </row>
        <row r="69">
          <cell r="BB69" t="str">
            <v>Elec. Boat</v>
          </cell>
          <cell r="BC69">
            <v>443</v>
          </cell>
          <cell r="BD69">
            <v>441</v>
          </cell>
          <cell r="BE69">
            <v>389</v>
          </cell>
          <cell r="BF69">
            <v>405</v>
          </cell>
          <cell r="BG69" t="str">
            <v>Elec. Boat</v>
          </cell>
          <cell r="BH69">
            <v>425</v>
          </cell>
          <cell r="BI69">
            <v>395</v>
          </cell>
          <cell r="BJ69">
            <v>370</v>
          </cell>
          <cell r="BK69">
            <v>310</v>
          </cell>
          <cell r="BL69" t="str">
            <v>Elec. Boat</v>
          </cell>
          <cell r="BM69">
            <v>390</v>
          </cell>
          <cell r="BN69">
            <v>385</v>
          </cell>
          <cell r="BO69">
            <v>325</v>
          </cell>
          <cell r="BP69">
            <v>342</v>
          </cell>
          <cell r="BQ69" t="str">
            <v>Marine</v>
          </cell>
          <cell r="BR69" t="str">
            <v>Q1</v>
          </cell>
          <cell r="BS69" t="str">
            <v>Q2</v>
          </cell>
          <cell r="BT69" t="str">
            <v>Q3</v>
          </cell>
          <cell r="BU69" t="str">
            <v>Q4</v>
          </cell>
          <cell r="CG69" t="str">
            <v>GIVSP/GVs</v>
          </cell>
          <cell r="CQ69" t="str">
            <v>% ch. sequentially</v>
          </cell>
          <cell r="CV69">
            <v>0.12051643192488259</v>
          </cell>
          <cell r="CW69">
            <v>-1.5460677923492705E-2</v>
          </cell>
          <cell r="CX69">
            <v>3.5024257383607038E-2</v>
          </cell>
          <cell r="CY69">
            <v>2.1380699806751169E-2</v>
          </cell>
          <cell r="DA69" t="str">
            <v>% ch. sequentially</v>
          </cell>
          <cell r="DB69">
            <v>8.7194557384968618E-2</v>
          </cell>
          <cell r="DC69">
            <v>-2.2179434961306477E-2</v>
          </cell>
          <cell r="DD69">
            <v>-4.9757649197212928E-2</v>
          </cell>
          <cell r="DE69">
            <v>0.1245716107436039</v>
          </cell>
          <cell r="DG69" t="str">
            <v>Total (Funded &amp; Unfunded) Backlog</v>
          </cell>
          <cell r="EB69" t="str">
            <v>Total (Funded &amp; Unfunded) Backlog</v>
          </cell>
        </row>
        <row r="70">
          <cell r="BB70" t="str">
            <v>Bath Iron</v>
          </cell>
          <cell r="BG70" t="str">
            <v>Bath Iron</v>
          </cell>
          <cell r="BJ70">
            <v>45</v>
          </cell>
          <cell r="BK70">
            <v>270</v>
          </cell>
          <cell r="BL70" t="str">
            <v>Bath Iron</v>
          </cell>
          <cell r="BM70">
            <v>209</v>
          </cell>
          <cell r="BN70">
            <v>212</v>
          </cell>
          <cell r="BO70">
            <v>190</v>
          </cell>
          <cell r="BP70">
            <v>194</v>
          </cell>
          <cell r="BQ70" t="str">
            <v>Elec. Boat</v>
          </cell>
          <cell r="BR70">
            <v>325</v>
          </cell>
          <cell r="BS70">
            <v>362</v>
          </cell>
          <cell r="BT70">
            <v>325</v>
          </cell>
          <cell r="BU70">
            <v>364</v>
          </cell>
          <cell r="CG70" t="str">
            <v>G100/G200s</v>
          </cell>
          <cell r="DG70" t="str">
            <v>Marine Systems</v>
          </cell>
          <cell r="DH70">
            <v>17.245000000000001</v>
          </cell>
          <cell r="DI70">
            <v>16.611000000000001</v>
          </cell>
          <cell r="DJ70">
            <v>15.536</v>
          </cell>
          <cell r="DK70">
            <v>15.433</v>
          </cell>
          <cell r="DL70">
            <v>14.984999999999999</v>
          </cell>
          <cell r="DM70">
            <v>13.965</v>
          </cell>
          <cell r="DN70">
            <v>14.391</v>
          </cell>
          <cell r="DO70">
            <v>14.025</v>
          </cell>
          <cell r="EB70" t="str">
            <v>Marine Systems</v>
          </cell>
          <cell r="ED70">
            <v>5.6859999999999999</v>
          </cell>
          <cell r="EE70">
            <v>7.5659999999999998</v>
          </cell>
          <cell r="EF70">
            <v>5.8639999999999999</v>
          </cell>
          <cell r="EG70">
            <v>11.728</v>
          </cell>
          <cell r="EH70">
            <v>11.608000000000001</v>
          </cell>
        </row>
        <row r="71">
          <cell r="BB71" t="str">
            <v>Other</v>
          </cell>
          <cell r="BC71">
            <v>13</v>
          </cell>
          <cell r="BD71">
            <v>14</v>
          </cell>
          <cell r="BE71">
            <v>14</v>
          </cell>
          <cell r="BF71">
            <v>14</v>
          </cell>
          <cell r="BG71" t="str">
            <v>Other</v>
          </cell>
          <cell r="BH71">
            <v>14</v>
          </cell>
          <cell r="BI71">
            <v>15</v>
          </cell>
          <cell r="BJ71">
            <v>15</v>
          </cell>
          <cell r="BK71">
            <v>24</v>
          </cell>
          <cell r="BL71" t="str">
            <v>Other</v>
          </cell>
          <cell r="BM71">
            <v>15</v>
          </cell>
          <cell r="BN71">
            <v>15</v>
          </cell>
          <cell r="BO71">
            <v>22</v>
          </cell>
          <cell r="BP71">
            <v>13</v>
          </cell>
          <cell r="BQ71" t="str">
            <v>Bath Iron</v>
          </cell>
          <cell r="BR71">
            <v>219</v>
          </cell>
          <cell r="BS71">
            <v>205</v>
          </cell>
          <cell r="BT71">
            <v>205</v>
          </cell>
          <cell r="BU71">
            <v>211</v>
          </cell>
          <cell r="CG71" t="str">
            <v>Total</v>
          </cell>
          <cell r="CQ71" t="str">
            <v>Total (Funded &amp; Unfunded) Backlog</v>
          </cell>
          <cell r="DA71" t="str">
            <v>Total (Funded &amp; Unfunded) Backlog</v>
          </cell>
          <cell r="DG71" t="str">
            <v>Combat Systems</v>
          </cell>
          <cell r="DH71">
            <v>10.159000000000001</v>
          </cell>
          <cell r="DI71">
            <v>10.295999999999999</v>
          </cell>
          <cell r="DJ71">
            <v>10.186999999999999</v>
          </cell>
          <cell r="DK71">
            <v>9.3279999999999994</v>
          </cell>
          <cell r="DL71">
            <v>9.7650000000000006</v>
          </cell>
          <cell r="DM71">
            <v>10.439</v>
          </cell>
          <cell r="DN71">
            <v>11.198</v>
          </cell>
          <cell r="DO71">
            <v>11.968999999999999</v>
          </cell>
          <cell r="EB71" t="str">
            <v>Combat Systems</v>
          </cell>
          <cell r="ED71">
            <v>1.103</v>
          </cell>
          <cell r="EE71">
            <v>2.0569999999999999</v>
          </cell>
          <cell r="EF71">
            <v>2.323</v>
          </cell>
          <cell r="EG71">
            <v>1.579</v>
          </cell>
          <cell r="EH71">
            <v>1.1160000000000001</v>
          </cell>
        </row>
        <row r="72">
          <cell r="BB72" t="str">
            <v>subtot Revs</v>
          </cell>
          <cell r="BC72">
            <v>456</v>
          </cell>
          <cell r="BD72">
            <v>455</v>
          </cell>
          <cell r="BE72">
            <v>403</v>
          </cell>
          <cell r="BF72">
            <v>419</v>
          </cell>
          <cell r="BG72" t="str">
            <v>subtot Revs</v>
          </cell>
          <cell r="BH72">
            <v>439</v>
          </cell>
          <cell r="BI72">
            <v>410</v>
          </cell>
          <cell r="BJ72">
            <v>430</v>
          </cell>
          <cell r="BK72">
            <v>604</v>
          </cell>
          <cell r="BL72" t="str">
            <v>subtot Revs</v>
          </cell>
          <cell r="BM72">
            <v>614</v>
          </cell>
          <cell r="BN72">
            <v>612</v>
          </cell>
          <cell r="BO72">
            <v>537</v>
          </cell>
          <cell r="BP72">
            <v>549</v>
          </cell>
          <cell r="BQ72" t="str">
            <v>Other</v>
          </cell>
          <cell r="BR72">
            <v>15</v>
          </cell>
          <cell r="BS72">
            <v>20</v>
          </cell>
          <cell r="BT72">
            <v>17</v>
          </cell>
          <cell r="BU72">
            <v>43</v>
          </cell>
          <cell r="CQ72" t="str">
            <v>Marine</v>
          </cell>
          <cell r="CR72">
            <v>9.4049999999999994</v>
          </cell>
          <cell r="CS72">
            <v>8.7579999999999991</v>
          </cell>
          <cell r="CT72">
            <v>12.164</v>
          </cell>
          <cell r="CU72">
            <v>11.6</v>
          </cell>
          <cell r="CV72">
            <v>11.404999999999999</v>
          </cell>
          <cell r="CW72">
            <v>10.919</v>
          </cell>
          <cell r="CX72">
            <v>18.584</v>
          </cell>
          <cell r="CY72">
            <v>18.163</v>
          </cell>
          <cell r="DA72" t="str">
            <v>Marine Systems</v>
          </cell>
          <cell r="DB72">
            <v>18.324999999999999</v>
          </cell>
          <cell r="DC72">
            <v>17.899000000000001</v>
          </cell>
          <cell r="DD72">
            <v>17.134</v>
          </cell>
          <cell r="DE72">
            <v>16.841999999999999</v>
          </cell>
          <cell r="DG72" t="str">
            <v>Info. Systems &amp; Tech.</v>
          </cell>
          <cell r="DH72">
            <v>10.064</v>
          </cell>
          <cell r="DI72">
            <v>9.2070000000000007</v>
          </cell>
          <cell r="DJ72">
            <v>10.058</v>
          </cell>
          <cell r="DK72">
            <v>9.375</v>
          </cell>
          <cell r="DL72">
            <v>8.8569999999999993</v>
          </cell>
          <cell r="DM72">
            <v>9.5549999999999997</v>
          </cell>
          <cell r="DN72">
            <v>9.9930000000000003</v>
          </cell>
          <cell r="DO72">
            <v>9.98</v>
          </cell>
          <cell r="EB72" t="str">
            <v>Info. Systems &amp; Tech.</v>
          </cell>
          <cell r="EF72">
            <v>0.80500000000000005</v>
          </cell>
          <cell r="EG72">
            <v>0.72899999999999998</v>
          </cell>
          <cell r="EH72">
            <v>1.952</v>
          </cell>
        </row>
        <row r="73">
          <cell r="BB73" t="str">
            <v>Op Pr</v>
          </cell>
          <cell r="BG73" t="str">
            <v>Op Pr</v>
          </cell>
          <cell r="BL73" t="str">
            <v>Op Pr</v>
          </cell>
          <cell r="BQ73" t="str">
            <v>subtot Revs</v>
          </cell>
          <cell r="BR73">
            <v>559</v>
          </cell>
          <cell r="BS73">
            <v>587</v>
          </cell>
          <cell r="BT73">
            <v>547</v>
          </cell>
          <cell r="BU73">
            <v>618</v>
          </cell>
          <cell r="BW73" t="str">
            <v>Revenue Growth</v>
          </cell>
          <cell r="CG73" t="str">
            <v>Revenue Growth</v>
          </cell>
          <cell r="CQ73" t="str">
            <v>Aerospace</v>
          </cell>
          <cell r="CR73">
            <v>6.41</v>
          </cell>
          <cell r="CS73">
            <v>6.16</v>
          </cell>
          <cell r="CT73">
            <v>6.907</v>
          </cell>
          <cell r="CU73">
            <v>6.7809999999999997</v>
          </cell>
          <cell r="CV73">
            <v>6.62</v>
          </cell>
          <cell r="CW73">
            <v>6.617</v>
          </cell>
          <cell r="CX73">
            <v>6.2679999999999998</v>
          </cell>
          <cell r="CY73">
            <v>8.2590000000000003</v>
          </cell>
          <cell r="DA73" t="str">
            <v>Combat Systems</v>
          </cell>
          <cell r="DB73">
            <v>8.69</v>
          </cell>
          <cell r="DC73">
            <v>9.141</v>
          </cell>
          <cell r="DD73">
            <v>8.6210000000000004</v>
          </cell>
          <cell r="DE73">
            <v>8.7159999999999993</v>
          </cell>
          <cell r="DG73" t="str">
            <v>Aerospace</v>
          </cell>
          <cell r="DH73">
            <v>6.9340000000000002</v>
          </cell>
          <cell r="DI73">
            <v>7.1760000000000002</v>
          </cell>
          <cell r="DJ73">
            <v>7.3440000000000003</v>
          </cell>
          <cell r="DK73">
            <v>6.6180000000000003</v>
          </cell>
          <cell r="DL73">
            <v>8</v>
          </cell>
          <cell r="DM73">
            <v>8.4760000000000009</v>
          </cell>
          <cell r="DN73">
            <v>7.08</v>
          </cell>
          <cell r="DO73">
            <v>7.6929999999999996</v>
          </cell>
          <cell r="EB73" t="str">
            <v>Aerospace</v>
          </cell>
          <cell r="EH73">
            <v>3.7530000000000001</v>
          </cell>
        </row>
        <row r="74">
          <cell r="BB74" t="str">
            <v>Elec. Boat</v>
          </cell>
          <cell r="BC74">
            <v>46</v>
          </cell>
          <cell r="BD74">
            <v>46</v>
          </cell>
          <cell r="BE74">
            <v>40</v>
          </cell>
          <cell r="BF74">
            <v>41</v>
          </cell>
          <cell r="BG74" t="str">
            <v>Elec. Boat</v>
          </cell>
          <cell r="BH74">
            <v>43</v>
          </cell>
          <cell r="BI74">
            <v>41</v>
          </cell>
          <cell r="BJ74">
            <v>39</v>
          </cell>
          <cell r="BK74">
            <v>32</v>
          </cell>
          <cell r="BL74" t="str">
            <v>Elec. Boat</v>
          </cell>
          <cell r="BM74">
            <v>39.5</v>
          </cell>
          <cell r="BN74">
            <v>38</v>
          </cell>
          <cell r="BO74">
            <v>35</v>
          </cell>
          <cell r="BP74">
            <v>37.5</v>
          </cell>
          <cell r="BQ74" t="str">
            <v>Op Pr</v>
          </cell>
          <cell r="BR74">
            <v>559</v>
          </cell>
          <cell r="BS74">
            <v>587</v>
          </cell>
          <cell r="BT74">
            <v>547</v>
          </cell>
          <cell r="BU74">
            <v>618</v>
          </cell>
          <cell r="BW74" t="str">
            <v>Marine Group</v>
          </cell>
          <cell r="BX74">
            <v>-7.1556350626118537E-3</v>
          </cell>
          <cell r="BY74">
            <v>5.2810902896081702E-2</v>
          </cell>
          <cell r="BZ74">
            <v>8.5923217550274211E-2</v>
          </cell>
          <cell r="CA74">
            <v>0.4546925566343043</v>
          </cell>
          <cell r="CB74">
            <v>0.45585585585585586</v>
          </cell>
          <cell r="CC74">
            <v>0.2362459546925566</v>
          </cell>
          <cell r="CD74">
            <v>0.32659932659932656</v>
          </cell>
          <cell r="CE74">
            <v>-0.19021134593993327</v>
          </cell>
          <cell r="CG74" t="str">
            <v>Marine Group</v>
          </cell>
          <cell r="CQ74" t="str">
            <v>Combat</v>
          </cell>
          <cell r="CR74">
            <v>5.5270000000000001</v>
          </cell>
          <cell r="CS74">
            <v>5.1710000000000003</v>
          </cell>
          <cell r="CT74">
            <v>5.0430000000000001</v>
          </cell>
          <cell r="CU74">
            <v>4.9000000000000004</v>
          </cell>
          <cell r="CV74">
            <v>5.4690000000000003</v>
          </cell>
          <cell r="CW74">
            <v>5.7789999999999999</v>
          </cell>
          <cell r="CX74">
            <v>7.34</v>
          </cell>
          <cell r="CY74">
            <v>7.4790000000000001</v>
          </cell>
          <cell r="DA74" t="str">
            <v>Info. Systems &amp; Tech.</v>
          </cell>
          <cell r="DB74">
            <v>7.9249999999999998</v>
          </cell>
          <cell r="DC74">
            <v>7.5780000000000003</v>
          </cell>
          <cell r="DD74">
            <v>7.5789999999999997</v>
          </cell>
          <cell r="DE74">
            <v>9.3469999999999995</v>
          </cell>
          <cell r="DG74" t="str">
            <v>Resources/Corporate</v>
          </cell>
          <cell r="DH74">
            <v>0.28599999999999998</v>
          </cell>
          <cell r="DI74">
            <v>0.26</v>
          </cell>
          <cell r="DJ74">
            <v>0</v>
          </cell>
          <cell r="DK74">
            <v>0</v>
          </cell>
          <cell r="DL74">
            <v>0.14599999999999999</v>
          </cell>
          <cell r="DM74">
            <v>0</v>
          </cell>
          <cell r="DN74">
            <v>0</v>
          </cell>
          <cell r="DO74">
            <v>0</v>
          </cell>
          <cell r="EB74" t="str">
            <v>Resources/Corporate</v>
          </cell>
          <cell r="ED74">
            <v>0.59699999999999998</v>
          </cell>
          <cell r="EE74">
            <v>0.72699999999999998</v>
          </cell>
          <cell r="EF74">
            <v>0.60699999999999998</v>
          </cell>
          <cell r="EG74">
            <v>0.56200000000000006</v>
          </cell>
          <cell r="EH74">
            <v>0.6</v>
          </cell>
        </row>
        <row r="75">
          <cell r="BB75" t="str">
            <v>Bath Iron</v>
          </cell>
          <cell r="BG75" t="str">
            <v>Bath Iron</v>
          </cell>
          <cell r="BH75" t="str">
            <v xml:space="preserve"> </v>
          </cell>
          <cell r="BI75" t="str">
            <v xml:space="preserve"> </v>
          </cell>
          <cell r="BJ75">
            <v>2</v>
          </cell>
          <cell r="BK75">
            <v>14</v>
          </cell>
          <cell r="BL75" t="str">
            <v>Bath Iron</v>
          </cell>
          <cell r="BM75">
            <v>10.5</v>
          </cell>
          <cell r="BN75">
            <v>10.5</v>
          </cell>
          <cell r="BO75">
            <v>12</v>
          </cell>
          <cell r="BP75">
            <v>10</v>
          </cell>
          <cell r="BQ75" t="str">
            <v>Elec. Boat</v>
          </cell>
          <cell r="BR75">
            <v>42</v>
          </cell>
          <cell r="BS75">
            <v>44</v>
          </cell>
          <cell r="BT75">
            <v>40</v>
          </cell>
          <cell r="BU75">
            <v>27</v>
          </cell>
          <cell r="BW75" t="str">
            <v>Combat Sys</v>
          </cell>
          <cell r="BX75">
            <v>-5.9347181008901906E-3</v>
          </cell>
          <cell r="BY75">
            <v>-0.21164021164021163</v>
          </cell>
          <cell r="BZ75">
            <v>-0.23655913978494625</v>
          </cell>
          <cell r="CA75">
            <v>-0.15876777251184837</v>
          </cell>
          <cell r="CB75">
            <v>-0.13432835820895528</v>
          </cell>
          <cell r="CC75">
            <v>2.6845637583892579E-2</v>
          </cell>
          <cell r="CD75">
            <v>4.2253521126760507E-2</v>
          </cell>
          <cell r="CE75">
            <v>0.12112676056338034</v>
          </cell>
          <cell r="CG75" t="str">
            <v>Combat Sys</v>
          </cell>
          <cell r="CQ75" t="str">
            <v>Info</v>
          </cell>
          <cell r="CR75">
            <v>4.9080000000000004</v>
          </cell>
          <cell r="CS75">
            <v>5.1349999999999998</v>
          </cell>
          <cell r="CT75">
            <v>5.1429999999999998</v>
          </cell>
          <cell r="CU75">
            <v>5.3</v>
          </cell>
          <cell r="CV75">
            <v>6.7030000000000003</v>
          </cell>
          <cell r="CW75">
            <v>6.5430000000000001</v>
          </cell>
          <cell r="CX75">
            <v>6.2619999999999996</v>
          </cell>
          <cell r="CY75">
            <v>6.524</v>
          </cell>
          <cell r="DA75" t="str">
            <v>Aerospace</v>
          </cell>
          <cell r="DB75">
            <v>6.48</v>
          </cell>
          <cell r="DC75">
            <v>6.2270000000000003</v>
          </cell>
          <cell r="DD75">
            <v>6.2670000000000003</v>
          </cell>
          <cell r="DE75">
            <v>6.8440000000000003</v>
          </cell>
          <cell r="DG75" t="str">
            <v>Total</v>
          </cell>
          <cell r="DH75">
            <v>44.688000000000002</v>
          </cell>
          <cell r="DI75">
            <v>43.550000000000004</v>
          </cell>
          <cell r="DJ75">
            <v>43.125</v>
          </cell>
          <cell r="DK75">
            <v>40.753999999999998</v>
          </cell>
          <cell r="DL75">
            <v>41.753</v>
          </cell>
          <cell r="DM75">
            <v>42.435000000000002</v>
          </cell>
          <cell r="DN75">
            <v>42.661999999999999</v>
          </cell>
          <cell r="DO75">
            <v>43.667000000000002</v>
          </cell>
          <cell r="EB75" t="str">
            <v>Total</v>
          </cell>
          <cell r="EC75">
            <v>6.0060000000000002</v>
          </cell>
          <cell r="ED75">
            <v>7.3859999999999992</v>
          </cell>
          <cell r="EE75">
            <v>10.35</v>
          </cell>
          <cell r="EF75">
            <v>9.5989999999999984</v>
          </cell>
          <cell r="EG75">
            <v>14.597999999999999</v>
          </cell>
          <cell r="EH75">
            <v>19.029000000000003</v>
          </cell>
        </row>
        <row r="76">
          <cell r="BB76" t="str">
            <v>Other</v>
          </cell>
          <cell r="BC76">
            <v>5</v>
          </cell>
          <cell r="BD76">
            <v>6</v>
          </cell>
          <cell r="BE76">
            <v>6</v>
          </cell>
          <cell r="BF76">
            <v>6</v>
          </cell>
          <cell r="BG76" t="str">
            <v>Other</v>
          </cell>
          <cell r="BH76">
            <v>6</v>
          </cell>
          <cell r="BI76">
            <v>6</v>
          </cell>
          <cell r="BJ76">
            <v>6</v>
          </cell>
          <cell r="BK76">
            <v>5</v>
          </cell>
          <cell r="BL76" t="str">
            <v>Other</v>
          </cell>
          <cell r="BM76">
            <v>4</v>
          </cell>
          <cell r="BN76">
            <v>6</v>
          </cell>
          <cell r="BO76">
            <v>5</v>
          </cell>
          <cell r="BP76">
            <v>8</v>
          </cell>
          <cell r="BQ76" t="str">
            <v>Bath Iron</v>
          </cell>
          <cell r="BR76">
            <v>11</v>
          </cell>
          <cell r="BS76">
            <v>10</v>
          </cell>
          <cell r="BT76">
            <v>11</v>
          </cell>
          <cell r="BU76">
            <v>18</v>
          </cell>
          <cell r="BW76" t="str">
            <v>Info Sys &amp; Tech</v>
          </cell>
          <cell r="CB76">
            <v>6.8807339449541205E-2</v>
          </cell>
          <cell r="CC76">
            <v>0.23979591836734704</v>
          </cell>
          <cell r="CD76">
            <v>0.5663716814159292</v>
          </cell>
          <cell r="CE76">
            <v>1.0204778156996586</v>
          </cell>
          <cell r="CG76" t="str">
            <v>Info Sys &amp; Tech</v>
          </cell>
          <cell r="CQ76" t="str">
            <v>Other</v>
          </cell>
          <cell r="CR76">
            <v>0.29499999999999998</v>
          </cell>
          <cell r="CS76">
            <v>0.29499999999999998</v>
          </cell>
          <cell r="CT76">
            <v>0.27600000000000002</v>
          </cell>
          <cell r="CU76">
            <v>0.3</v>
          </cell>
          <cell r="CV76">
            <v>0.28499999999999998</v>
          </cell>
          <cell r="CW76">
            <v>0.26300000000000001</v>
          </cell>
          <cell r="CX76">
            <v>0.24399999999999999</v>
          </cell>
          <cell r="CY76">
            <v>0.22</v>
          </cell>
          <cell r="DA76" t="str">
            <v>Resources</v>
          </cell>
          <cell r="DB76">
            <v>0.20200000000000001</v>
          </cell>
          <cell r="DC76">
            <v>0.29199999999999998</v>
          </cell>
          <cell r="DD76">
            <v>0.27300000000000002</v>
          </cell>
          <cell r="DE76">
            <v>0.25800000000000001</v>
          </cell>
          <cell r="DG76" t="str">
            <v>IDIQ contracts</v>
          </cell>
          <cell r="DH76">
            <v>5.8120000000000003</v>
          </cell>
          <cell r="DI76">
            <v>5.6820000000000004</v>
          </cell>
          <cell r="DJ76">
            <v>6.0570000000000004</v>
          </cell>
          <cell r="DK76">
            <v>12.919</v>
          </cell>
          <cell r="DL76">
            <v>6.31</v>
          </cell>
          <cell r="DM76">
            <v>8.8490000000000002</v>
          </cell>
          <cell r="DN76">
            <v>15.298</v>
          </cell>
          <cell r="DO76">
            <v>13.089</v>
          </cell>
          <cell r="EB76" t="str">
            <v>IDIQ contracts</v>
          </cell>
        </row>
        <row r="77">
          <cell r="BB77" t="str">
            <v xml:space="preserve">subtot </v>
          </cell>
          <cell r="BC77">
            <v>51</v>
          </cell>
          <cell r="BD77">
            <v>52</v>
          </cell>
          <cell r="BE77">
            <v>46</v>
          </cell>
          <cell r="BF77">
            <v>47</v>
          </cell>
          <cell r="BG77" t="str">
            <v xml:space="preserve">subtot </v>
          </cell>
          <cell r="BH77">
            <v>49</v>
          </cell>
          <cell r="BI77">
            <v>47</v>
          </cell>
          <cell r="BJ77">
            <v>47</v>
          </cell>
          <cell r="BK77">
            <v>51</v>
          </cell>
          <cell r="BL77" t="str">
            <v xml:space="preserve">subtot </v>
          </cell>
          <cell r="BM77">
            <v>54</v>
          </cell>
          <cell r="BN77">
            <v>54.5</v>
          </cell>
          <cell r="BO77">
            <v>52</v>
          </cell>
          <cell r="BP77">
            <v>55.5</v>
          </cell>
          <cell r="BQ77" t="str">
            <v>Other</v>
          </cell>
          <cell r="BR77">
            <v>6</v>
          </cell>
          <cell r="BS77">
            <v>7</v>
          </cell>
          <cell r="BT77">
            <v>7.5</v>
          </cell>
          <cell r="BU77">
            <v>10.5</v>
          </cell>
          <cell r="BW77" t="str">
            <v>Gulstream</v>
          </cell>
          <cell r="CB77">
            <v>0.24175605880015905</v>
          </cell>
          <cell r="CC77">
            <v>0.27073608617594247</v>
          </cell>
          <cell r="CD77">
            <v>0.12424145640370488</v>
          </cell>
          <cell r="CE77">
            <v>0.176288103587807</v>
          </cell>
          <cell r="CG77" t="str">
            <v>Gulfstream</v>
          </cell>
          <cell r="CQ77" t="str">
            <v>Total</v>
          </cell>
          <cell r="CR77">
            <v>26.545000000000002</v>
          </cell>
          <cell r="CS77">
            <v>25.518999999999998</v>
          </cell>
          <cell r="CT77">
            <v>29.532999999999998</v>
          </cell>
          <cell r="CU77">
            <v>28.881</v>
          </cell>
          <cell r="CV77">
            <v>30.481999999999999</v>
          </cell>
          <cell r="CW77">
            <v>30.121000000000002</v>
          </cell>
          <cell r="CX77">
            <v>38.698</v>
          </cell>
          <cell r="CY77">
            <v>40.645000000000003</v>
          </cell>
          <cell r="DA77" t="str">
            <v>Total</v>
          </cell>
          <cell r="DB77">
            <v>41.622</v>
          </cell>
          <cell r="DC77">
            <v>41.137</v>
          </cell>
          <cell r="DD77">
            <v>39.874000000000009</v>
          </cell>
          <cell r="DE77">
            <v>42.007000000000005</v>
          </cell>
          <cell r="DG77" t="str">
            <v>Total Backlog (incl IDIQ contracts)</v>
          </cell>
          <cell r="DH77">
            <v>50.5</v>
          </cell>
          <cell r="DI77">
            <v>49.232000000000006</v>
          </cell>
          <cell r="DJ77">
            <v>49.182000000000002</v>
          </cell>
          <cell r="DK77">
            <v>53.673000000000002</v>
          </cell>
          <cell r="DL77">
            <v>48.063000000000002</v>
          </cell>
          <cell r="DM77">
            <v>51.284000000000006</v>
          </cell>
          <cell r="DN77">
            <v>57.96</v>
          </cell>
          <cell r="DO77">
            <v>56.756</v>
          </cell>
          <cell r="EB77" t="str">
            <v>Total Backlog (incl IDIQ contracts)</v>
          </cell>
        </row>
        <row r="78">
          <cell r="BB78" t="str">
            <v>Margins</v>
          </cell>
          <cell r="BG78" t="str">
            <v>Margins</v>
          </cell>
          <cell r="BL78" t="str">
            <v>Margins</v>
          </cell>
          <cell r="BQ78" t="str">
            <v xml:space="preserve">subtot </v>
          </cell>
          <cell r="BR78">
            <v>59</v>
          </cell>
          <cell r="BS78">
            <v>61</v>
          </cell>
          <cell r="BT78">
            <v>58.5</v>
          </cell>
          <cell r="BU78">
            <v>55.5</v>
          </cell>
          <cell r="BW78" t="str">
            <v>Other</v>
          </cell>
          <cell r="BX78">
            <v>2.2222222222222143E-2</v>
          </cell>
          <cell r="BY78">
            <v>-1.4925373134328401E-2</v>
          </cell>
          <cell r="BZ78">
            <v>-1.4492753623188359E-2</v>
          </cell>
          <cell r="CA78">
            <v>-8.1967213114754078E-2</v>
          </cell>
          <cell r="CB78">
            <v>0</v>
          </cell>
          <cell r="CC78">
            <v>0</v>
          </cell>
          <cell r="CD78">
            <v>7.3529411764705843E-2</v>
          </cell>
          <cell r="CE78">
            <v>0.16071428571428581</v>
          </cell>
          <cell r="CG78" t="str">
            <v>Other</v>
          </cell>
          <cell r="CQ78" t="str">
            <v>IDIQ contracts</v>
          </cell>
          <cell r="CU78">
            <v>3.0030000000000001</v>
          </cell>
          <cell r="CW78">
            <v>5.9660000000000002</v>
          </cell>
          <cell r="CX78">
            <v>6.6660000000000004</v>
          </cell>
          <cell r="CY78">
            <v>6.6790000000000003</v>
          </cell>
          <cell r="DA78" t="str">
            <v>IDIQ contracts</v>
          </cell>
          <cell r="DB78">
            <v>6.117</v>
          </cell>
          <cell r="DC78">
            <v>5.9779999999999998</v>
          </cell>
          <cell r="DD78">
            <v>6.5439999999999996</v>
          </cell>
          <cell r="DE78">
            <v>6.3979999999999997</v>
          </cell>
        </row>
        <row r="79">
          <cell r="BB79" t="str">
            <v>Elec. Boat</v>
          </cell>
          <cell r="BC79">
            <v>0.103837471783296</v>
          </cell>
          <cell r="BD79">
            <v>0.104308390022676</v>
          </cell>
          <cell r="BE79">
            <v>0.102827763496144</v>
          </cell>
          <cell r="BF79">
            <v>0.101234567901235</v>
          </cell>
          <cell r="BG79" t="str">
            <v>Elec. Boat</v>
          </cell>
          <cell r="BH79">
            <v>0.10117647058823501</v>
          </cell>
          <cell r="BI79">
            <v>0.10379746835443</v>
          </cell>
          <cell r="BJ79">
            <v>0.10540540540540499</v>
          </cell>
          <cell r="BK79">
            <v>0.103225806451613</v>
          </cell>
          <cell r="BL79" t="str">
            <v>Elec. Boat</v>
          </cell>
          <cell r="BM79">
            <v>0.10128205128205101</v>
          </cell>
          <cell r="BN79">
            <v>9.8701298701298706E-2</v>
          </cell>
          <cell r="BO79">
            <v>0.107692307692308</v>
          </cell>
          <cell r="BP79">
            <v>0.109649122807018</v>
          </cell>
          <cell r="BQ79" t="str">
            <v>Margins</v>
          </cell>
          <cell r="BW79" t="str">
            <v xml:space="preserve"> Total Revs.</v>
          </cell>
          <cell r="CB79">
            <v>0.2079763484976469</v>
          </cell>
          <cell r="CC79">
            <v>0.20276657060518732</v>
          </cell>
          <cell r="CD79">
            <v>0.23178734289845404</v>
          </cell>
          <cell r="CE79">
            <v>0.13252857874082946</v>
          </cell>
          <cell r="CG79" t="str">
            <v xml:space="preserve"> Total Revs.</v>
          </cell>
          <cell r="CQ79" t="str">
            <v>Total Backlog (incl IDIQ contracts)</v>
          </cell>
          <cell r="CU79">
            <v>31.884</v>
          </cell>
          <cell r="CV79">
            <v>30.481999999999999</v>
          </cell>
          <cell r="CW79">
            <v>36.087000000000003</v>
          </cell>
          <cell r="CX79">
            <v>45.364000000000004</v>
          </cell>
          <cell r="CY79">
            <v>47.324000000000005</v>
          </cell>
          <cell r="DA79" t="str">
            <v>Total Backlog (incl IDIQ contracts)</v>
          </cell>
          <cell r="DB79">
            <v>47.738999999999997</v>
          </cell>
          <cell r="DC79">
            <v>47.115000000000002</v>
          </cell>
          <cell r="DD79">
            <v>46.418000000000006</v>
          </cell>
          <cell r="DE79">
            <v>48.405000000000001</v>
          </cell>
          <cell r="DG79" t="str">
            <v>GAC backlog ($B), Netjets, firm</v>
          </cell>
          <cell r="DH79">
            <v>1.8427499999999999</v>
          </cell>
          <cell r="DI79">
            <v>1.7419500000000001</v>
          </cell>
          <cell r="DJ79">
            <v>1.6499199999999998</v>
          </cell>
          <cell r="DK79">
            <v>1.6</v>
          </cell>
          <cell r="EB79" t="str">
            <v>GAC backlog ($B), Netjets, firm</v>
          </cell>
        </row>
        <row r="80">
          <cell r="BB80" t="str">
            <v>Bath Iron</v>
          </cell>
          <cell r="BG80" t="str">
            <v>Bath Iron</v>
          </cell>
          <cell r="BJ80">
            <v>4.4444444444444502E-2</v>
          </cell>
          <cell r="BK80">
            <v>5.1851851851851899E-2</v>
          </cell>
          <cell r="BL80" t="str">
            <v>Bath Iron</v>
          </cell>
          <cell r="BM80">
            <v>5.0239234449760799E-2</v>
          </cell>
          <cell r="BN80">
            <v>4.9528301886792497E-2</v>
          </cell>
          <cell r="BO80">
            <v>6.3157894736842093E-2</v>
          </cell>
          <cell r="BP80">
            <v>5.1546391752577303E-2</v>
          </cell>
          <cell r="BQ80" t="str">
            <v>Elec. Boat</v>
          </cell>
          <cell r="BR80">
            <v>0.1292307692307692</v>
          </cell>
          <cell r="BS80">
            <v>0.1215469613259668</v>
          </cell>
          <cell r="BT80">
            <v>0.1230769230769231</v>
          </cell>
          <cell r="BU80">
            <v>7.4175824175824176E-2</v>
          </cell>
        </row>
        <row r="81">
          <cell r="BB81" t="str">
            <v>Other</v>
          </cell>
          <cell r="BC81">
            <v>0.38461538461538503</v>
          </cell>
          <cell r="BD81">
            <v>0.42857142857142899</v>
          </cell>
          <cell r="BE81">
            <v>0.42857142857142899</v>
          </cell>
          <cell r="BF81">
            <v>0.42857142857142899</v>
          </cell>
          <cell r="BG81" t="str">
            <v>Other</v>
          </cell>
          <cell r="BH81">
            <v>0.42857142857142799</v>
          </cell>
          <cell r="BI81">
            <v>0.4</v>
          </cell>
          <cell r="BJ81">
            <v>0.4</v>
          </cell>
          <cell r="BK81">
            <v>0.20833333333333301</v>
          </cell>
          <cell r="BL81" t="str">
            <v>Other</v>
          </cell>
          <cell r="BM81">
            <v>0.266666666666667</v>
          </cell>
          <cell r="BN81">
            <v>0.4</v>
          </cell>
          <cell r="BO81">
            <v>0.22727272727272699</v>
          </cell>
          <cell r="BP81">
            <v>0.61538461538461497</v>
          </cell>
          <cell r="BQ81" t="str">
            <v>Bath Iron</v>
          </cell>
          <cell r="BR81">
            <v>5.0228310502283102E-2</v>
          </cell>
          <cell r="BS81">
            <v>4.878048780487805E-2</v>
          </cell>
          <cell r="BT81">
            <v>5.3658536585365853E-2</v>
          </cell>
          <cell r="BU81">
            <v>8.5308056872037921E-2</v>
          </cell>
          <cell r="BW81" t="str">
            <v>Estimated Division Breakdown</v>
          </cell>
          <cell r="CG81" t="str">
            <v>Working Capital</v>
          </cell>
          <cell r="CQ81" t="str">
            <v>GAC backlog, Netjets, firm</v>
          </cell>
          <cell r="CS81">
            <v>1.7629999999999999</v>
          </cell>
          <cell r="CT81">
            <v>2.3919999999999999</v>
          </cell>
          <cell r="CU81">
            <v>2.3839400000000004</v>
          </cell>
          <cell r="CV81">
            <v>2.3540000000000005</v>
          </cell>
          <cell r="CW81">
            <v>2.3128000000000002</v>
          </cell>
          <cell r="CX81">
            <v>2.2219799999999998</v>
          </cell>
          <cell r="CY81">
            <v>2.1</v>
          </cell>
          <cell r="DA81" t="str">
            <v>GAC backlog ($B), Netjets, firm</v>
          </cell>
          <cell r="DB81">
            <v>2.0879400000000001</v>
          </cell>
          <cell r="DC81">
            <v>2.0644</v>
          </cell>
          <cell r="DD81">
            <v>1.9923399999999998</v>
          </cell>
          <cell r="DE81">
            <v>1.9</v>
          </cell>
        </row>
        <row r="82">
          <cell r="BG82" t="str">
            <v>Armored Vehs</v>
          </cell>
          <cell r="BL82" t="str">
            <v>Combat Systems</v>
          </cell>
          <cell r="BQ82" t="str">
            <v>Other</v>
          </cell>
          <cell r="BR82">
            <v>0.4</v>
          </cell>
          <cell r="BS82">
            <v>0.35</v>
          </cell>
          <cell r="BT82">
            <v>0.44117647058823528</v>
          </cell>
          <cell r="BU82">
            <v>0.2441860465116279</v>
          </cell>
          <cell r="BW82" t="str">
            <v>GD-NINC</v>
          </cell>
          <cell r="BX82">
            <v>82.001199999999997</v>
          </cell>
          <cell r="BY82">
            <v>92.018000000000001</v>
          </cell>
          <cell r="BZ82">
            <v>93.341999999999999</v>
          </cell>
          <cell r="CA82">
            <v>96.625799999999998</v>
          </cell>
          <cell r="CB82">
            <v>100.0073</v>
          </cell>
          <cell r="CC82">
            <v>102.96</v>
          </cell>
          <cell r="CD82">
            <v>104.94</v>
          </cell>
          <cell r="CE82">
            <v>109.87269999999999</v>
          </cell>
          <cell r="CG82" t="str">
            <v>Inventory</v>
          </cell>
          <cell r="CH82">
            <v>991</v>
          </cell>
          <cell r="CI82">
            <v>925</v>
          </cell>
          <cell r="CJ82">
            <v>920</v>
          </cell>
          <cell r="CK82">
            <v>953</v>
          </cell>
          <cell r="CL82">
            <v>1006</v>
          </cell>
          <cell r="CM82">
            <v>1456</v>
          </cell>
          <cell r="CN82">
            <v>1286</v>
          </cell>
          <cell r="CO82">
            <v>1006</v>
          </cell>
          <cell r="DH82">
            <v>2005</v>
          </cell>
          <cell r="DL82">
            <v>2006</v>
          </cell>
        </row>
        <row r="83">
          <cell r="BG83" t="str">
            <v>GD</v>
          </cell>
          <cell r="BL83" t="str">
            <v>Land Vehs</v>
          </cell>
          <cell r="BM83">
            <v>246</v>
          </cell>
          <cell r="BN83">
            <v>250</v>
          </cell>
          <cell r="BO83">
            <v>245</v>
          </cell>
          <cell r="BP83">
            <v>230</v>
          </cell>
          <cell r="BQ83" t="str">
            <v>Combat Systems</v>
          </cell>
          <cell r="BW83" t="str">
            <v>GAC-NINC</v>
          </cell>
          <cell r="BX83">
            <v>40.435000000000009</v>
          </cell>
          <cell r="BY83">
            <v>55.60179999999999</v>
          </cell>
          <cell r="BZ83">
            <v>64.320999999999998</v>
          </cell>
          <cell r="CA83">
            <v>-27.621800000000007</v>
          </cell>
          <cell r="CB83">
            <v>58.526999999999894</v>
          </cell>
          <cell r="CC83">
            <v>69.849999999999994</v>
          </cell>
          <cell r="CD83">
            <v>74.930000000000007</v>
          </cell>
          <cell r="CE83">
            <v>84.983000000000089</v>
          </cell>
          <cell r="CG83" t="str">
            <v>Accounts Receivables</v>
          </cell>
          <cell r="CH83">
            <v>875</v>
          </cell>
          <cell r="CI83">
            <v>755</v>
          </cell>
          <cell r="CJ83">
            <v>383</v>
          </cell>
          <cell r="CK83">
            <v>798</v>
          </cell>
          <cell r="CL83">
            <v>871</v>
          </cell>
          <cell r="CM83">
            <v>921</v>
          </cell>
          <cell r="CN83">
            <v>798</v>
          </cell>
          <cell r="CO83">
            <v>871</v>
          </cell>
          <cell r="CQ83" t="str">
            <v>Gulfstream Deliveries (Green)</v>
          </cell>
          <cell r="DH83" t="str">
            <v xml:space="preserve">Q1 </v>
          </cell>
          <cell r="DI83" t="str">
            <v xml:space="preserve">Q2 </v>
          </cell>
          <cell r="DJ83" t="str">
            <v xml:space="preserve">Q3 </v>
          </cell>
          <cell r="DK83" t="str">
            <v xml:space="preserve">Q4 </v>
          </cell>
          <cell r="DL83" t="str">
            <v xml:space="preserve">Q1 </v>
          </cell>
          <cell r="DM83" t="str">
            <v>Q2</v>
          </cell>
          <cell r="DN83" t="str">
            <v xml:space="preserve">Q3 </v>
          </cell>
          <cell r="DO83" t="str">
            <v xml:space="preserve">Q4 </v>
          </cell>
          <cell r="EC83">
            <v>1994</v>
          </cell>
          <cell r="ED83">
            <v>1995</v>
          </cell>
          <cell r="EE83">
            <v>1996</v>
          </cell>
          <cell r="EF83">
            <v>1997</v>
          </cell>
          <cell r="EG83" t="str">
            <v>1998</v>
          </cell>
          <cell r="EH83">
            <v>1999</v>
          </cell>
        </row>
        <row r="84">
          <cell r="BG84" t="str">
            <v>TVS</v>
          </cell>
          <cell r="BL84" t="str">
            <v>Def/Arm sys</v>
          </cell>
          <cell r="BQ84" t="str">
            <v>Land Vehs</v>
          </cell>
          <cell r="BR84">
            <v>220</v>
          </cell>
          <cell r="BS84">
            <v>233</v>
          </cell>
          <cell r="BT84">
            <v>230</v>
          </cell>
          <cell r="BU84">
            <v>232</v>
          </cell>
          <cell r="BW84" t="str">
            <v>GD-GAC NINC</v>
          </cell>
          <cell r="BX84">
            <v>122.43620000000001</v>
          </cell>
          <cell r="BY84">
            <v>147.6198</v>
          </cell>
          <cell r="BZ84">
            <v>157.66300000000001</v>
          </cell>
          <cell r="CA84">
            <v>69.003999999999991</v>
          </cell>
          <cell r="CB84">
            <v>158.53429999999989</v>
          </cell>
          <cell r="CC84">
            <v>172.81</v>
          </cell>
          <cell r="CD84">
            <v>179.87</v>
          </cell>
          <cell r="CE84">
            <v>194.85570000000007</v>
          </cell>
          <cell r="CG84" t="str">
            <v>Accounts Payable</v>
          </cell>
          <cell r="CH84">
            <v>-624</v>
          </cell>
          <cell r="CI84">
            <v>-622</v>
          </cell>
          <cell r="CJ84">
            <v>-595</v>
          </cell>
          <cell r="CK84">
            <v>-717</v>
          </cell>
          <cell r="CL84">
            <v>-754</v>
          </cell>
          <cell r="CM84">
            <v>-754</v>
          </cell>
          <cell r="CN84">
            <v>-717</v>
          </cell>
          <cell r="CO84">
            <v>-754</v>
          </cell>
          <cell r="CQ84" t="str">
            <v>Large Cabin Aircraft</v>
          </cell>
          <cell r="CR84">
            <v>15</v>
          </cell>
          <cell r="CS84">
            <v>18</v>
          </cell>
          <cell r="CT84">
            <v>14</v>
          </cell>
          <cell r="CU84">
            <v>14</v>
          </cell>
          <cell r="CV84">
            <v>11</v>
          </cell>
          <cell r="CW84">
            <v>12</v>
          </cell>
          <cell r="CX84">
            <v>14</v>
          </cell>
          <cell r="CY84">
            <v>13</v>
          </cell>
          <cell r="DB84">
            <v>2004</v>
          </cell>
          <cell r="DG84" t="str">
            <v>Gulfstream Deliveries (Green)</v>
          </cell>
          <cell r="EB84" t="str">
            <v>Gulfstream Deliveries (Green)</v>
          </cell>
        </row>
        <row r="85">
          <cell r="BG85" t="str">
            <v>subtotal</v>
          </cell>
          <cell r="BL85" t="str">
            <v>TVS</v>
          </cell>
          <cell r="BN85">
            <v>27</v>
          </cell>
          <cell r="BO85">
            <v>11</v>
          </cell>
          <cell r="BP85">
            <v>17</v>
          </cell>
          <cell r="BQ85" t="str">
            <v>Def/Arm sys</v>
          </cell>
          <cell r="BR85">
            <v>102</v>
          </cell>
          <cell r="BS85">
            <v>130</v>
          </cell>
          <cell r="BT85">
            <v>130</v>
          </cell>
          <cell r="BU85">
            <v>172</v>
          </cell>
          <cell r="BW85" t="str">
            <v>Marine</v>
          </cell>
          <cell r="CG85" t="str">
            <v xml:space="preserve">  Working Capital</v>
          </cell>
          <cell r="CH85">
            <v>1242</v>
          </cell>
          <cell r="CI85">
            <v>1058</v>
          </cell>
          <cell r="CJ85">
            <v>708</v>
          </cell>
          <cell r="CK85">
            <v>1034</v>
          </cell>
          <cell r="CL85">
            <v>1123</v>
          </cell>
          <cell r="CM85">
            <v>1623</v>
          </cell>
          <cell r="CN85">
            <v>1367</v>
          </cell>
          <cell r="CO85">
            <v>1123</v>
          </cell>
          <cell r="CQ85" t="str">
            <v>Midsize Aircraft</v>
          </cell>
          <cell r="CR85">
            <v>12</v>
          </cell>
          <cell r="CS85">
            <v>6</v>
          </cell>
          <cell r="CT85">
            <v>3</v>
          </cell>
          <cell r="CU85">
            <v>3</v>
          </cell>
          <cell r="CV85">
            <v>4</v>
          </cell>
          <cell r="CW85">
            <v>7</v>
          </cell>
          <cell r="CX85">
            <v>5</v>
          </cell>
          <cell r="CY85">
            <v>8</v>
          </cell>
          <cell r="DB85" t="str">
            <v xml:space="preserve">Q1 </v>
          </cell>
          <cell r="DC85" t="str">
            <v xml:space="preserve">Q2 </v>
          </cell>
          <cell r="DD85" t="str">
            <v xml:space="preserve">Q3 </v>
          </cell>
          <cell r="DE85" t="str">
            <v xml:space="preserve">Q4 </v>
          </cell>
          <cell r="DG85" t="str">
            <v>Large Cabin Aircraft</v>
          </cell>
          <cell r="DH85">
            <v>14</v>
          </cell>
          <cell r="DI85">
            <v>15</v>
          </cell>
          <cell r="DJ85">
            <v>17</v>
          </cell>
          <cell r="DK85">
            <v>17</v>
          </cell>
          <cell r="DL85">
            <v>18</v>
          </cell>
          <cell r="DM85">
            <v>16</v>
          </cell>
          <cell r="DN85">
            <v>18</v>
          </cell>
          <cell r="DO85">
            <v>19</v>
          </cell>
          <cell r="EB85" t="str">
            <v>Large Cabin Aircraft</v>
          </cell>
          <cell r="ED85">
            <v>26</v>
          </cell>
          <cell r="EE85">
            <v>27</v>
          </cell>
          <cell r="EF85">
            <v>51</v>
          </cell>
          <cell r="EG85">
            <v>61</v>
          </cell>
          <cell r="EH85">
            <v>70</v>
          </cell>
        </row>
        <row r="86">
          <cell r="BG86" t="str">
            <v>Op Pr</v>
          </cell>
          <cell r="BL86" t="str">
            <v>subtotal Revs</v>
          </cell>
          <cell r="BM86">
            <v>246</v>
          </cell>
          <cell r="BN86">
            <v>277</v>
          </cell>
          <cell r="BO86">
            <v>256</v>
          </cell>
          <cell r="BP86">
            <v>247</v>
          </cell>
          <cell r="BQ86" t="str">
            <v>TVS</v>
          </cell>
          <cell r="BR86">
            <v>15</v>
          </cell>
          <cell r="BS86">
            <v>15</v>
          </cell>
          <cell r="BT86">
            <v>15</v>
          </cell>
          <cell r="BU86">
            <v>15</v>
          </cell>
          <cell r="BW86" t="str">
            <v>Elec. Boat</v>
          </cell>
          <cell r="CG86" t="str">
            <v>COGS</v>
          </cell>
          <cell r="CH86">
            <v>2240</v>
          </cell>
          <cell r="CI86">
            <v>2282</v>
          </cell>
          <cell r="CJ86">
            <v>2165</v>
          </cell>
          <cell r="CK86">
            <v>2343</v>
          </cell>
          <cell r="CL86">
            <v>2339</v>
          </cell>
          <cell r="CM86">
            <v>2591</v>
          </cell>
          <cell r="CN86">
            <v>2644</v>
          </cell>
          <cell r="CO86">
            <v>2339</v>
          </cell>
          <cell r="CQ86" t="str">
            <v>Total</v>
          </cell>
          <cell r="CR86">
            <v>27</v>
          </cell>
          <cell r="CS86">
            <v>24</v>
          </cell>
          <cell r="CT86">
            <v>17</v>
          </cell>
          <cell r="CU86">
            <v>17</v>
          </cell>
          <cell r="CV86">
            <v>15</v>
          </cell>
          <cell r="CW86">
            <v>19</v>
          </cell>
          <cell r="CX86">
            <v>19</v>
          </cell>
          <cell r="CY86">
            <v>21</v>
          </cell>
          <cell r="DA86" t="str">
            <v>Gulfstream Deliveries (Green)</v>
          </cell>
          <cell r="DG86" t="str">
            <v>Midsize Aircraft</v>
          </cell>
          <cell r="DH86">
            <v>6</v>
          </cell>
          <cell r="DI86">
            <v>6</v>
          </cell>
          <cell r="DJ86">
            <v>7</v>
          </cell>
          <cell r="DK86">
            <v>7</v>
          </cell>
          <cell r="DL86">
            <v>7</v>
          </cell>
          <cell r="DM86">
            <v>13</v>
          </cell>
          <cell r="DN86">
            <v>11</v>
          </cell>
          <cell r="DO86">
            <v>11</v>
          </cell>
          <cell r="EB86" t="str">
            <v>Midsize Aircraft</v>
          </cell>
          <cell r="ED86">
            <v>0</v>
          </cell>
          <cell r="EE86">
            <v>0</v>
          </cell>
          <cell r="EF86">
            <v>0</v>
          </cell>
          <cell r="EG86">
            <v>0</v>
          </cell>
          <cell r="EH86">
            <v>0</v>
          </cell>
        </row>
        <row r="87">
          <cell r="BG87" t="str">
            <v>GD</v>
          </cell>
          <cell r="BL87" t="str">
            <v>Op Pr</v>
          </cell>
          <cell r="BQ87" t="str">
            <v>subtotal Revs</v>
          </cell>
          <cell r="BR87">
            <v>337</v>
          </cell>
          <cell r="BS87">
            <v>378</v>
          </cell>
          <cell r="BT87">
            <v>375</v>
          </cell>
          <cell r="BU87">
            <v>419</v>
          </cell>
          <cell r="BW87" t="str">
            <v>Bath Iron</v>
          </cell>
          <cell r="CG87" t="str">
            <v>Inventory Turns</v>
          </cell>
          <cell r="CH87">
            <v>9.0413723511604438</v>
          </cell>
          <cell r="CI87">
            <v>9.8681081081081086</v>
          </cell>
          <cell r="CJ87">
            <v>9.4130434782608692</v>
          </cell>
          <cell r="CK87">
            <v>9.8342077649527813</v>
          </cell>
          <cell r="CL87">
            <v>9.3001988071570576</v>
          </cell>
          <cell r="CM87">
            <v>7.1181318681318677</v>
          </cell>
          <cell r="CN87">
            <v>8.2239502332814922</v>
          </cell>
          <cell r="CO87">
            <v>9.3001988071570576</v>
          </cell>
          <cell r="CQ87" t="str">
            <v>Gulfstream Deliveries (Completions)</v>
          </cell>
          <cell r="DA87" t="str">
            <v>Large Cabin Aircraft</v>
          </cell>
          <cell r="DB87">
            <v>13</v>
          </cell>
          <cell r="DC87">
            <v>14</v>
          </cell>
          <cell r="DD87">
            <v>14</v>
          </cell>
          <cell r="DE87">
            <v>15</v>
          </cell>
          <cell r="DG87" t="str">
            <v>Total</v>
          </cell>
          <cell r="DH87">
            <v>20</v>
          </cell>
          <cell r="DI87">
            <v>21</v>
          </cell>
          <cell r="DJ87">
            <v>24</v>
          </cell>
          <cell r="DK87">
            <v>24</v>
          </cell>
          <cell r="DL87">
            <v>25</v>
          </cell>
          <cell r="DM87">
            <v>29</v>
          </cell>
          <cell r="DN87">
            <v>29</v>
          </cell>
          <cell r="DO87">
            <v>30</v>
          </cell>
          <cell r="EB87" t="str">
            <v>Total</v>
          </cell>
          <cell r="ED87">
            <v>26</v>
          </cell>
          <cell r="EE87">
            <v>27</v>
          </cell>
          <cell r="EF87">
            <v>51</v>
          </cell>
          <cell r="EG87">
            <v>61</v>
          </cell>
          <cell r="EH87">
            <v>70</v>
          </cell>
        </row>
        <row r="88">
          <cell r="BG88" t="str">
            <v>TVS</v>
          </cell>
          <cell r="BL88" t="str">
            <v>Land Vehs</v>
          </cell>
          <cell r="BM88">
            <v>33</v>
          </cell>
          <cell r="BN88">
            <v>34</v>
          </cell>
          <cell r="BO88">
            <v>33</v>
          </cell>
          <cell r="BP88">
            <v>37.6</v>
          </cell>
          <cell r="BQ88" t="str">
            <v>Op Pr</v>
          </cell>
          <cell r="BW88" t="str">
            <v>Other</v>
          </cell>
          <cell r="CG88" t="str">
            <v>Receivables Turnover</v>
          </cell>
          <cell r="CH88">
            <v>11.638857142857143</v>
          </cell>
          <cell r="CI88">
            <v>13.864900662251655</v>
          </cell>
          <cell r="CJ88">
            <v>26.130548302872064</v>
          </cell>
          <cell r="CK88">
            <v>13.233082706766917</v>
          </cell>
          <cell r="CL88">
            <v>12.275545350172216</v>
          </cell>
          <cell r="CM88">
            <v>12.8642779587405</v>
          </cell>
          <cell r="CN88">
            <v>15.137844611528822</v>
          </cell>
          <cell r="CO88">
            <v>14.245694603903559</v>
          </cell>
          <cell r="CQ88" t="str">
            <v>Large Cabin Aircraft</v>
          </cell>
          <cell r="CR88">
            <v>15</v>
          </cell>
          <cell r="CS88">
            <v>21</v>
          </cell>
          <cell r="CT88">
            <v>17</v>
          </cell>
          <cell r="CU88">
            <v>15</v>
          </cell>
          <cell r="CV88">
            <v>14</v>
          </cell>
          <cell r="CW88">
            <v>11</v>
          </cell>
          <cell r="CX88">
            <v>12</v>
          </cell>
          <cell r="CY88">
            <v>12</v>
          </cell>
          <cell r="DA88" t="str">
            <v>Midsize Aircraft</v>
          </cell>
          <cell r="DB88">
            <v>4</v>
          </cell>
          <cell r="DC88">
            <v>6</v>
          </cell>
          <cell r="DD88">
            <v>6</v>
          </cell>
          <cell r="DE88">
            <v>6</v>
          </cell>
          <cell r="DG88" t="str">
            <v>Gulfstream Deliveries (Completions)</v>
          </cell>
          <cell r="EB88" t="str">
            <v>Gulfstream Deliveries (Completions)</v>
          </cell>
        </row>
        <row r="89">
          <cell r="BG89" t="str">
            <v>subtotal</v>
          </cell>
          <cell r="BL89" t="str">
            <v>Def/Arm sys</v>
          </cell>
          <cell r="BQ89" t="str">
            <v>Land Vehs</v>
          </cell>
          <cell r="BR89">
            <v>32</v>
          </cell>
          <cell r="BS89">
            <v>28</v>
          </cell>
          <cell r="BT89">
            <v>30</v>
          </cell>
          <cell r="BU89">
            <v>40</v>
          </cell>
          <cell r="BW89" t="str">
            <v>subtot Revs</v>
          </cell>
          <cell r="CG89" t="str">
            <v>Days Sales Outstanding</v>
          </cell>
          <cell r="CH89">
            <v>30.930871956009426</v>
          </cell>
          <cell r="CI89">
            <v>25.964845242644248</v>
          </cell>
          <cell r="CJ89">
            <v>13.776978417266188</v>
          </cell>
          <cell r="CK89">
            <v>27.204545454545457</v>
          </cell>
          <cell r="CL89">
            <v>29.326599326599329</v>
          </cell>
          <cell r="CM89">
            <v>27.984469952734639</v>
          </cell>
          <cell r="CN89">
            <v>23.781456953642383</v>
          </cell>
          <cell r="CO89">
            <v>25.270793036750483</v>
          </cell>
          <cell r="CQ89" t="str">
            <v>Midsize Aircraft</v>
          </cell>
          <cell r="CR89">
            <v>10</v>
          </cell>
          <cell r="CS89">
            <v>8</v>
          </cell>
          <cell r="CT89">
            <v>2</v>
          </cell>
          <cell r="CU89">
            <v>6</v>
          </cell>
          <cell r="CV89">
            <v>3</v>
          </cell>
          <cell r="CW89">
            <v>2</v>
          </cell>
          <cell r="CX89">
            <v>8</v>
          </cell>
          <cell r="CY89">
            <v>12</v>
          </cell>
          <cell r="DA89" t="str">
            <v>Total</v>
          </cell>
          <cell r="DB89">
            <v>17</v>
          </cell>
          <cell r="DC89">
            <v>20</v>
          </cell>
          <cell r="DD89">
            <v>20</v>
          </cell>
          <cell r="DE89">
            <v>21</v>
          </cell>
          <cell r="DG89" t="str">
            <v>Large Cabin Aircraft</v>
          </cell>
          <cell r="DH89">
            <v>12</v>
          </cell>
          <cell r="DI89">
            <v>14</v>
          </cell>
          <cell r="DJ89">
            <v>17</v>
          </cell>
          <cell r="DK89">
            <v>17</v>
          </cell>
          <cell r="DL89">
            <v>16</v>
          </cell>
          <cell r="DM89">
            <v>20</v>
          </cell>
          <cell r="DN89">
            <v>18</v>
          </cell>
          <cell r="DO89">
            <v>17</v>
          </cell>
          <cell r="EB89" t="str">
            <v>Large Cabin Aircraft</v>
          </cell>
          <cell r="ED89">
            <v>29</v>
          </cell>
          <cell r="EE89">
            <v>27</v>
          </cell>
          <cell r="EF89">
            <v>26</v>
          </cell>
          <cell r="EG89">
            <v>46</v>
          </cell>
          <cell r="EH89">
            <v>68</v>
          </cell>
        </row>
        <row r="90">
          <cell r="BG90" t="str">
            <v>Margins</v>
          </cell>
          <cell r="BL90" t="str">
            <v>TVS</v>
          </cell>
          <cell r="BN90">
            <v>1.4</v>
          </cell>
          <cell r="BO90">
            <v>1</v>
          </cell>
          <cell r="BP90">
            <v>2.6</v>
          </cell>
          <cell r="BQ90" t="str">
            <v>Def/Arm sys</v>
          </cell>
          <cell r="BR90">
            <v>12</v>
          </cell>
          <cell r="BS90">
            <v>12</v>
          </cell>
          <cell r="BT90">
            <v>12</v>
          </cell>
          <cell r="BU90">
            <v>17</v>
          </cell>
          <cell r="BW90" t="str">
            <v>Op Pr</v>
          </cell>
          <cell r="CG90" t="str">
            <v>Working Capital Turnover</v>
          </cell>
          <cell r="CH90">
            <v>8.1996779388083745</v>
          </cell>
          <cell r="CI90">
            <v>9.8941398865784507</v>
          </cell>
          <cell r="CJ90">
            <v>14.135593220338983</v>
          </cell>
          <cell r="CK90">
            <v>10.212765957446809</v>
          </cell>
          <cell r="CL90">
            <v>9.520926090828139</v>
          </cell>
          <cell r="CM90">
            <v>7.3000616142945161</v>
          </cell>
          <cell r="CN90">
            <v>8.8368690563277248</v>
          </cell>
          <cell r="CO90">
            <v>11.048975957257346</v>
          </cell>
          <cell r="CQ90" t="str">
            <v>Total</v>
          </cell>
          <cell r="CR90">
            <v>25</v>
          </cell>
          <cell r="CS90">
            <v>29</v>
          </cell>
          <cell r="CT90">
            <v>19</v>
          </cell>
          <cell r="CU90">
            <v>21</v>
          </cell>
          <cell r="CV90">
            <v>17</v>
          </cell>
          <cell r="CW90">
            <v>13</v>
          </cell>
          <cell r="CX90">
            <v>20</v>
          </cell>
          <cell r="CY90">
            <v>24</v>
          </cell>
          <cell r="DA90" t="str">
            <v>Gulfstream Deliveries (Completions)</v>
          </cell>
          <cell r="DG90" t="str">
            <v>Midsize Aircraft</v>
          </cell>
          <cell r="DH90">
            <v>3</v>
          </cell>
          <cell r="DI90">
            <v>8</v>
          </cell>
          <cell r="DJ90">
            <v>5</v>
          </cell>
          <cell r="DK90">
            <v>8</v>
          </cell>
          <cell r="DL90">
            <v>7</v>
          </cell>
          <cell r="DM90">
            <v>6</v>
          </cell>
          <cell r="DN90">
            <v>8</v>
          </cell>
          <cell r="DO90">
            <v>12</v>
          </cell>
          <cell r="EB90" t="str">
            <v>Midsize Aircraft</v>
          </cell>
          <cell r="ED90">
            <v>0</v>
          </cell>
          <cell r="EE90">
            <v>0</v>
          </cell>
          <cell r="EF90">
            <v>0</v>
          </cell>
          <cell r="EG90">
            <v>0</v>
          </cell>
          <cell r="EH90">
            <v>0</v>
          </cell>
        </row>
        <row r="91">
          <cell r="BG91" t="str">
            <v>GD</v>
          </cell>
          <cell r="BL91" t="str">
            <v>subtotal</v>
          </cell>
          <cell r="BM91">
            <v>33</v>
          </cell>
          <cell r="BN91">
            <v>35.4</v>
          </cell>
          <cell r="BO91">
            <v>34</v>
          </cell>
          <cell r="BP91">
            <v>40.200000000000003</v>
          </cell>
          <cell r="BQ91" t="str">
            <v>TVS</v>
          </cell>
          <cell r="BR91">
            <v>1</v>
          </cell>
          <cell r="BS91">
            <v>1</v>
          </cell>
          <cell r="BT91">
            <v>1</v>
          </cell>
          <cell r="BU91">
            <v>1</v>
          </cell>
          <cell r="BW91" t="str">
            <v>Elec. Boat</v>
          </cell>
          <cell r="DA91" t="str">
            <v>Large Cabin Aircraft</v>
          </cell>
          <cell r="DB91">
            <v>7</v>
          </cell>
          <cell r="DC91">
            <v>15</v>
          </cell>
          <cell r="DD91">
            <v>14</v>
          </cell>
          <cell r="DE91">
            <v>16</v>
          </cell>
          <cell r="DG91" t="str">
            <v>Total</v>
          </cell>
          <cell r="DH91">
            <v>15</v>
          </cell>
          <cell r="DI91">
            <v>22</v>
          </cell>
          <cell r="DJ91">
            <v>22</v>
          </cell>
          <cell r="DK91">
            <v>25</v>
          </cell>
          <cell r="DL91">
            <v>23</v>
          </cell>
          <cell r="DM91">
            <v>26</v>
          </cell>
          <cell r="DN91">
            <v>26</v>
          </cell>
          <cell r="DO91">
            <v>29</v>
          </cell>
          <cell r="EB91" t="str">
            <v>Total</v>
          </cell>
          <cell r="ED91">
            <v>29</v>
          </cell>
          <cell r="EE91">
            <v>27</v>
          </cell>
          <cell r="EF91">
            <v>26</v>
          </cell>
          <cell r="EG91">
            <v>46</v>
          </cell>
          <cell r="EH91">
            <v>68</v>
          </cell>
        </row>
        <row r="92">
          <cell r="BG92" t="str">
            <v>TVS</v>
          </cell>
          <cell r="BL92" t="str">
            <v>Margins</v>
          </cell>
          <cell r="BQ92" t="str">
            <v>subtotal</v>
          </cell>
          <cell r="BR92">
            <v>45</v>
          </cell>
          <cell r="BS92">
            <v>41</v>
          </cell>
          <cell r="BT92">
            <v>43</v>
          </cell>
          <cell r="BU92">
            <v>58</v>
          </cell>
          <cell r="BW92" t="str">
            <v>Bath Iron</v>
          </cell>
          <cell r="CG92" t="str">
            <v>G&amp;A</v>
          </cell>
          <cell r="CH92">
            <v>157</v>
          </cell>
          <cell r="CI92">
            <v>163</v>
          </cell>
          <cell r="CL92">
            <v>182</v>
          </cell>
          <cell r="CM92">
            <v>209</v>
          </cell>
          <cell r="CN92">
            <v>186</v>
          </cell>
          <cell r="CO92">
            <v>182</v>
          </cell>
          <cell r="CQ92" t="str">
            <v>Preowned Sales</v>
          </cell>
          <cell r="CR92">
            <v>2</v>
          </cell>
          <cell r="CS92">
            <v>4</v>
          </cell>
          <cell r="CT92">
            <v>9</v>
          </cell>
          <cell r="CU92">
            <v>21</v>
          </cell>
          <cell r="CV92">
            <v>4</v>
          </cell>
          <cell r="CW92">
            <v>11</v>
          </cell>
          <cell r="CX92">
            <v>9</v>
          </cell>
          <cell r="CY92">
            <v>7</v>
          </cell>
          <cell r="DA92" t="str">
            <v>Midsize Aircraft</v>
          </cell>
          <cell r="DB92">
            <v>5</v>
          </cell>
          <cell r="DC92">
            <v>3</v>
          </cell>
          <cell r="DD92">
            <v>7</v>
          </cell>
          <cell r="DE92">
            <v>10</v>
          </cell>
        </row>
        <row r="93">
          <cell r="BG93" t="str">
            <v>subtotal</v>
          </cell>
          <cell r="BL93" t="str">
            <v>Land Vehs</v>
          </cell>
          <cell r="BM93">
            <v>0.134146341463415</v>
          </cell>
          <cell r="BN93">
            <v>0.13600000000000001</v>
          </cell>
          <cell r="BO93">
            <v>0.13469387755102</v>
          </cell>
          <cell r="BP93">
            <v>0.16347826086956499</v>
          </cell>
          <cell r="BQ93" t="str">
            <v>Margins</v>
          </cell>
          <cell r="BW93" t="str">
            <v>Other</v>
          </cell>
          <cell r="CG93" t="str">
            <v>G&amp;A/Sales</v>
          </cell>
          <cell r="CH93">
            <v>6.166535742340927E-2</v>
          </cell>
          <cell r="CI93">
            <v>6.2285059228123808E-2</v>
          </cell>
          <cell r="CL93">
            <v>6.8088290310512528E-2</v>
          </cell>
          <cell r="CM93">
            <v>7.0560432140445647E-2</v>
          </cell>
          <cell r="CN93">
            <v>6.1589403973509933E-2</v>
          </cell>
          <cell r="CO93">
            <v>5.8671824629271438E-2</v>
          </cell>
          <cell r="DA93" t="str">
            <v>Total</v>
          </cell>
          <cell r="DB93">
            <v>12</v>
          </cell>
          <cell r="DC93">
            <v>18</v>
          </cell>
          <cell r="DD93">
            <v>21</v>
          </cell>
          <cell r="DE93">
            <v>26</v>
          </cell>
          <cell r="DG93" t="str">
            <v>Preowned Units</v>
          </cell>
          <cell r="DH93">
            <v>3</v>
          </cell>
          <cell r="DI93">
            <v>2</v>
          </cell>
          <cell r="DJ93">
            <v>3</v>
          </cell>
          <cell r="DK93">
            <v>4</v>
          </cell>
          <cell r="DL93">
            <v>3</v>
          </cell>
          <cell r="DM93">
            <v>5</v>
          </cell>
          <cell r="DN93">
            <v>2</v>
          </cell>
          <cell r="DO93">
            <v>1</v>
          </cell>
          <cell r="EB93" t="str">
            <v>Preowned Units</v>
          </cell>
          <cell r="ED93">
            <v>21</v>
          </cell>
          <cell r="EE93">
            <v>16</v>
          </cell>
          <cell r="EF93">
            <v>14</v>
          </cell>
          <cell r="EG93">
            <v>12</v>
          </cell>
          <cell r="EH93">
            <v>17</v>
          </cell>
        </row>
        <row r="94">
          <cell r="BL94" t="str">
            <v>Def/Arm sys</v>
          </cell>
          <cell r="BQ94" t="str">
            <v>Land Vehs</v>
          </cell>
          <cell r="BR94">
            <v>0.14545454545454539</v>
          </cell>
          <cell r="BS94">
            <v>0.1201716738197425</v>
          </cell>
          <cell r="BT94">
            <v>0.13043478260869559</v>
          </cell>
          <cell r="BU94">
            <v>0.17241379310344829</v>
          </cell>
          <cell r="BW94" t="str">
            <v xml:space="preserve">subtot </v>
          </cell>
          <cell r="CQ94" t="str">
            <v>Revenue Growth, Total</v>
          </cell>
        </row>
        <row r="95">
          <cell r="BL95" t="str">
            <v>TVS</v>
          </cell>
          <cell r="BN95">
            <v>5.1851851851851899E-2</v>
          </cell>
          <cell r="BO95">
            <v>9.0909090909090898E-2</v>
          </cell>
          <cell r="BP95">
            <v>0.152941176470588</v>
          </cell>
          <cell r="BQ95" t="str">
            <v>Def/Arm sys</v>
          </cell>
          <cell r="BR95">
            <v>0.1176470588235294</v>
          </cell>
          <cell r="BS95">
            <v>9.2307692307692313E-2</v>
          </cell>
          <cell r="BT95">
            <v>9.2307692307692313E-2</v>
          </cell>
          <cell r="BU95">
            <v>9.8837209302325577E-2</v>
          </cell>
          <cell r="BW95" t="str">
            <v>Margins</v>
          </cell>
          <cell r="CG95" t="str">
            <v>Quarterly Cash Flow</v>
          </cell>
          <cell r="CQ95" t="str">
            <v>Marine Group</v>
          </cell>
          <cell r="CR95">
            <v>2.3201856148491462E-3</v>
          </cell>
          <cell r="CS95">
            <v>-3.2734952481520585E-2</v>
          </cell>
          <cell r="CT95">
            <v>-5.3728070175438569E-2</v>
          </cell>
          <cell r="CU95">
            <v>0.1301907968574636</v>
          </cell>
          <cell r="CV95">
            <v>0.12962962962962954</v>
          </cell>
          <cell r="CW95">
            <v>7.3144104803493537E-2</v>
          </cell>
          <cell r="CX95">
            <v>0.37891077636152959</v>
          </cell>
          <cell r="CY95">
            <v>0.11420059582919562</v>
          </cell>
          <cell r="DA95" t="str">
            <v>Preowned Units</v>
          </cell>
          <cell r="DB95">
            <v>3</v>
          </cell>
          <cell r="DC95">
            <v>4</v>
          </cell>
          <cell r="DD95">
            <v>5</v>
          </cell>
          <cell r="DE95">
            <v>3</v>
          </cell>
          <cell r="DG95" t="str">
            <v>Revenue Growth, Total</v>
          </cell>
          <cell r="EB95" t="str">
            <v>Revenue Growth, Total</v>
          </cell>
        </row>
        <row r="96">
          <cell r="BL96" t="str">
            <v>subtotal</v>
          </cell>
          <cell r="BM96">
            <v>0.134146341463415</v>
          </cell>
          <cell r="BN96">
            <v>0.12779783393501801</v>
          </cell>
          <cell r="BO96">
            <v>0.1328125</v>
          </cell>
          <cell r="BP96">
            <v>0.16275303643724701</v>
          </cell>
          <cell r="BQ96" t="str">
            <v>TVS</v>
          </cell>
          <cell r="BR96">
            <v>6.6666666666666666E-2</v>
          </cell>
          <cell r="BS96">
            <v>6.6666666666666666E-2</v>
          </cell>
          <cell r="BT96">
            <v>6.6666666666666666E-2</v>
          </cell>
          <cell r="BU96">
            <v>6.6666666666666666E-2</v>
          </cell>
          <cell r="BW96" t="str">
            <v>Elec. Boat</v>
          </cell>
          <cell r="CQ96" t="str">
            <v>Combat Systems</v>
          </cell>
          <cell r="CR96">
            <v>0.30821917808219168</v>
          </cell>
          <cell r="CS96">
            <v>0.34705882352941186</v>
          </cell>
          <cell r="CT96">
            <v>0.29724770642201825</v>
          </cell>
          <cell r="CU96">
            <v>0.14225941422594146</v>
          </cell>
          <cell r="CV96">
            <v>0.36649214659685869</v>
          </cell>
          <cell r="CW96">
            <v>0.42503639010189231</v>
          </cell>
          <cell r="CX96">
            <v>0.4214992927864214</v>
          </cell>
          <cell r="CY96">
            <v>0.51404151404151399</v>
          </cell>
          <cell r="DG96" t="str">
            <v>Marine Systems</v>
          </cell>
          <cell r="DH96">
            <v>-5.46875E-2</v>
          </cell>
          <cell r="DI96">
            <v>8.4961767204760896E-4</v>
          </cell>
          <cell r="DJ96">
            <v>1.4731369150779994E-2</v>
          </cell>
          <cell r="DK96">
            <v>1.883408071748871E-2</v>
          </cell>
          <cell r="DL96">
            <v>5.3719008264462742E-2</v>
          </cell>
          <cell r="DM96">
            <v>7.4702886247877798E-2</v>
          </cell>
          <cell r="DN96">
            <v>4.2698548249359591E-2</v>
          </cell>
          <cell r="DO96">
            <v>3.6971830985915499E-2</v>
          </cell>
          <cell r="EB96" t="str">
            <v>Marine Systems</v>
          </cell>
          <cell r="ED96">
            <v>8.7132140796307045E-2</v>
          </cell>
          <cell r="EE96">
            <v>0.23779193205944793</v>
          </cell>
          <cell r="EF96">
            <v>-9.0051457975985905E-3</v>
          </cell>
          <cell r="EG96">
            <v>0.15361315447858059</v>
          </cell>
          <cell r="EH96">
            <v>0.15828957239309838</v>
          </cell>
        </row>
        <row r="97">
          <cell r="BQ97" t="str">
            <v>subtotal</v>
          </cell>
          <cell r="BR97">
            <v>0.1335311572700297</v>
          </cell>
          <cell r="BS97">
            <v>0.1084656084656085</v>
          </cell>
          <cell r="BT97">
            <v>0.11466666666666669</v>
          </cell>
          <cell r="BU97">
            <v>0.13842482100238659</v>
          </cell>
          <cell r="BW97" t="str">
            <v>Bath Iron</v>
          </cell>
          <cell r="CG97" t="str">
            <v>Cash Flows from Operating Activities:</v>
          </cell>
          <cell r="CQ97" t="str">
            <v>Info. Systems &amp; Tech.</v>
          </cell>
          <cell r="CR97">
            <v>0.39215686274509798</v>
          </cell>
          <cell r="CS97">
            <v>0.41194029850746272</v>
          </cell>
          <cell r="CT97">
            <v>0.37557959814528585</v>
          </cell>
          <cell r="CU97">
            <v>0.28740157480314954</v>
          </cell>
          <cell r="CV97">
            <v>0.16549295774647876</v>
          </cell>
          <cell r="CW97">
            <v>0.21564482029598309</v>
          </cell>
          <cell r="CX97">
            <v>0.43146067415730327</v>
          </cell>
          <cell r="CY97">
            <v>0.50050968399592244</v>
          </cell>
          <cell r="DA97" t="str">
            <v>Revenue Growth, Total</v>
          </cell>
          <cell r="DG97" t="str">
            <v>Combat Systems</v>
          </cell>
          <cell r="DH97">
            <v>-1.2149532710280408E-2</v>
          </cell>
          <cell r="DI97">
            <v>0.12024048096192375</v>
          </cell>
          <cell r="DJ97">
            <v>0.20271580989330751</v>
          </cell>
          <cell r="DK97">
            <v>0.22782874617737003</v>
          </cell>
          <cell r="DL97">
            <v>0.29517502365184489</v>
          </cell>
          <cell r="DM97">
            <v>0.29159212880143115</v>
          </cell>
          <cell r="DN97">
            <v>0.10080645161290325</v>
          </cell>
          <cell r="DO97">
            <v>0.12391033623910341</v>
          </cell>
          <cell r="EB97" t="str">
            <v>Combat Systems</v>
          </cell>
          <cell r="ED97">
            <v>-0.11317567567567566</v>
          </cell>
          <cell r="EE97">
            <v>-2.2857142857142909E-2</v>
          </cell>
          <cell r="EF97">
            <v>0.35185185185185186</v>
          </cell>
          <cell r="EG97">
            <v>-8.2912761355443454E-2</v>
          </cell>
          <cell r="EH97">
            <v>1.4150943396226356E-2</v>
          </cell>
        </row>
        <row r="98">
          <cell r="BQ98" t="str">
            <v>Info Tech</v>
          </cell>
          <cell r="BW98" t="str">
            <v>Other</v>
          </cell>
          <cell r="CG98" t="str">
            <v>Net earnings</v>
          </cell>
          <cell r="CH98">
            <v>184</v>
          </cell>
          <cell r="CI98">
            <v>204</v>
          </cell>
          <cell r="CJ98">
            <v>294</v>
          </cell>
          <cell r="CK98">
            <v>219</v>
          </cell>
          <cell r="CL98">
            <v>240</v>
          </cell>
          <cell r="CM98">
            <v>227</v>
          </cell>
          <cell r="CN98">
            <v>230</v>
          </cell>
          <cell r="CO98">
            <v>246</v>
          </cell>
          <cell r="CQ98" t="str">
            <v>Aerospace</v>
          </cell>
          <cell r="CR98">
            <v>7.1629213483145993E-2</v>
          </cell>
          <cell r="CS98">
            <v>0.15032679738562083</v>
          </cell>
          <cell r="CT98">
            <v>-0.11813842482100234</v>
          </cell>
          <cell r="CU98">
            <v>-4.5263157894736894E-2</v>
          </cell>
          <cell r="CV98">
            <v>-0.22149410222804722</v>
          </cell>
          <cell r="CW98">
            <v>-0.1875</v>
          </cell>
          <cell r="CX98">
            <v>9.3369418132611681E-2</v>
          </cell>
          <cell r="CY98">
            <v>-8.5997794928335147E-2</v>
          </cell>
          <cell r="DA98" t="str">
            <v>Marine Systems</v>
          </cell>
          <cell r="DB98">
            <v>0.31147540983606548</v>
          </cell>
          <cell r="DC98">
            <v>0.19735503560529</v>
          </cell>
          <cell r="DD98">
            <v>-3.0252100840336138E-2</v>
          </cell>
          <cell r="DE98">
            <v>-6.2388591800356386E-3</v>
          </cell>
          <cell r="DG98" t="str">
            <v>Info. Systems &amp; Tech.</v>
          </cell>
          <cell r="DH98">
            <v>6.6342057212416261E-2</v>
          </cell>
          <cell r="DI98">
            <v>0.2266910420475321</v>
          </cell>
          <cell r="DJ98">
            <v>0.2484276729559749</v>
          </cell>
          <cell r="DK98">
            <v>0.12337662337662336</v>
          </cell>
          <cell r="DL98">
            <v>0.12614155251141557</v>
          </cell>
          <cell r="DM98">
            <v>7.1535022354694444E-2</v>
          </cell>
          <cell r="DN98">
            <v>0.2070528967254408</v>
          </cell>
          <cell r="DO98">
            <v>0.2032755298651252</v>
          </cell>
          <cell r="EB98" t="str">
            <v>Info. Systems &amp; Tech.</v>
          </cell>
          <cell r="EG98">
            <v>4.0432432432432428</v>
          </cell>
          <cell r="EH98">
            <v>0.52411575562700974</v>
          </cell>
        </row>
        <row r="99">
          <cell r="BQ99" t="str">
            <v>ATS</v>
          </cell>
          <cell r="BW99" t="str">
            <v>Combat Systems</v>
          </cell>
          <cell r="CG99" t="str">
            <v>Adjustments to reconcile net earnings</v>
          </cell>
          <cell r="CQ99" t="str">
            <v>Resources</v>
          </cell>
          <cell r="CR99">
            <v>2.0408163265306145E-2</v>
          </cell>
          <cell r="CS99">
            <v>0.10000000000000009</v>
          </cell>
          <cell r="CT99">
            <v>8.9743589743589647E-2</v>
          </cell>
          <cell r="CU99">
            <v>-6.3291139240506333E-2</v>
          </cell>
          <cell r="CV99">
            <v>-0.18000000000000005</v>
          </cell>
          <cell r="CW99">
            <v>-0.10389610389610393</v>
          </cell>
          <cell r="CX99">
            <v>-8.2352941176470629E-2</v>
          </cell>
          <cell r="CY99">
            <v>-8.108108108108103E-2</v>
          </cell>
          <cell r="DA99" t="str">
            <v>Combat Systems</v>
          </cell>
          <cell r="DB99">
            <v>0.36653895274584936</v>
          </cell>
          <cell r="DC99">
            <v>1.9407558733401498E-2</v>
          </cell>
          <cell r="DD99">
            <v>2.5870646766169125E-2</v>
          </cell>
          <cell r="DE99">
            <v>5.4838709677419439E-2</v>
          </cell>
          <cell r="DG99" t="str">
            <v>Aerospace</v>
          </cell>
          <cell r="DH99">
            <v>0.24257425742574257</v>
          </cell>
          <cell r="DI99">
            <v>7.3929961089494123E-2</v>
          </cell>
          <cell r="DJ99">
            <v>0.13533834586466176</v>
          </cell>
          <cell r="DK99">
            <v>0.13022700119474306</v>
          </cell>
          <cell r="DL99">
            <v>0.23373173970783534</v>
          </cell>
          <cell r="DM99">
            <v>0.28864734299516903</v>
          </cell>
          <cell r="DN99">
            <v>0.19977924944812364</v>
          </cell>
          <cell r="DO99">
            <v>9.1966173361522241E-2</v>
          </cell>
          <cell r="EB99" t="str">
            <v>Aerospace</v>
          </cell>
          <cell r="EG99">
            <v>0.27521008403361336</v>
          </cell>
          <cell r="EH99">
            <v>0.19810543657331148</v>
          </cell>
        </row>
        <row r="100">
          <cell r="BQ100" t="str">
            <v>CDI</v>
          </cell>
          <cell r="BW100" t="str">
            <v>Land Vehs</v>
          </cell>
          <cell r="CG100" t="str">
            <v xml:space="preserve">    Depreciation, depletion and amortization - PPE</v>
          </cell>
          <cell r="CH100">
            <v>56</v>
          </cell>
          <cell r="CI100">
            <v>55</v>
          </cell>
          <cell r="CJ100">
            <v>60</v>
          </cell>
          <cell r="CK100">
            <v>-26</v>
          </cell>
          <cell r="CL100">
            <v>36</v>
          </cell>
          <cell r="CM100">
            <v>44</v>
          </cell>
          <cell r="CN100">
            <v>47</v>
          </cell>
          <cell r="CO100">
            <v>44</v>
          </cell>
          <cell r="CQ100" t="str">
            <v>Total</v>
          </cell>
          <cell r="CR100">
            <v>0.16049382716049387</v>
          </cell>
          <cell r="CS100">
            <v>0.18365968939905475</v>
          </cell>
          <cell r="CT100">
            <v>8.7417218543046404E-2</v>
          </cell>
          <cell r="CU100">
            <v>0.11444542512503686</v>
          </cell>
          <cell r="CV100">
            <v>9.1876208897485601E-2</v>
          </cell>
          <cell r="CW100">
            <v>0.11123787792355966</v>
          </cell>
          <cell r="CX100">
            <v>0.32612667478684521</v>
          </cell>
          <cell r="CY100">
            <v>0.24894403379091878</v>
          </cell>
          <cell r="DA100" t="str">
            <v>Info. Systems &amp; Tech.</v>
          </cell>
          <cell r="DB100">
            <v>0.65458207452165151</v>
          </cell>
          <cell r="DC100">
            <v>0.42695652173913046</v>
          </cell>
          <cell r="DD100">
            <v>0.24803767660910525</v>
          </cell>
          <cell r="DE100">
            <v>0.25543478260869557</v>
          </cell>
          <cell r="DG100" t="str">
            <v>Resources/Corporate</v>
          </cell>
          <cell r="DH100" t="str">
            <v>NM</v>
          </cell>
          <cell r="DI100" t="str">
            <v>NM</v>
          </cell>
          <cell r="DJ100" t="str">
            <v>NM</v>
          </cell>
          <cell r="DK100" t="str">
            <v>NM</v>
          </cell>
          <cell r="DL100" t="str">
            <v>NM</v>
          </cell>
          <cell r="DM100" t="str">
            <v>NM</v>
          </cell>
          <cell r="DN100" t="str">
            <v>NM</v>
          </cell>
          <cell r="DO100" t="str">
            <v>NM</v>
          </cell>
          <cell r="EB100" t="str">
            <v>Resources/Corporate</v>
          </cell>
          <cell r="ED100">
            <v>-5.673758865248224E-2</v>
          </cell>
          <cell r="EE100">
            <v>0.67669172932330834</v>
          </cell>
          <cell r="EF100">
            <v>8.5201793721973118E-2</v>
          </cell>
          <cell r="EG100">
            <v>-2.4793388429752095E-2</v>
          </cell>
          <cell r="EH100">
            <v>5.9322033898305149E-2</v>
          </cell>
        </row>
        <row r="101">
          <cell r="BQ101" t="str">
            <v>subtotal</v>
          </cell>
          <cell r="BW101" t="str">
            <v>Def/Arm sys</v>
          </cell>
          <cell r="CG101" t="str">
            <v xml:space="preserve">    Amortization of intangible assets &amp; goodwill </v>
          </cell>
          <cell r="CH101">
            <v>0</v>
          </cell>
          <cell r="CI101">
            <v>0</v>
          </cell>
          <cell r="CJ101">
            <v>0</v>
          </cell>
          <cell r="CK101">
            <v>81</v>
          </cell>
          <cell r="CL101">
            <v>24</v>
          </cell>
          <cell r="CM101">
            <v>23</v>
          </cell>
          <cell r="CN101">
            <v>21</v>
          </cell>
          <cell r="CO101">
            <v>32</v>
          </cell>
          <cell r="CQ101" t="str">
            <v>Revenue Growth, Organic</v>
          </cell>
          <cell r="DA101" t="str">
            <v>Aerospace</v>
          </cell>
          <cell r="DB101">
            <v>2.020202020202011E-2</v>
          </cell>
          <cell r="DC101">
            <v>7.8321678321678245E-2</v>
          </cell>
          <cell r="DD101">
            <v>-1.2376237623762387E-2</v>
          </cell>
          <cell r="DE101">
            <v>9.6501809408926498E-3</v>
          </cell>
          <cell r="DG101" t="str">
            <v>Total</v>
          </cell>
          <cell r="DH101">
            <v>2.7120103314679289E-2</v>
          </cell>
          <cell r="DI101">
            <v>0.10425623387790206</v>
          </cell>
          <cell r="DJ101">
            <v>0.14095115128039604</v>
          </cell>
          <cell r="DK101">
            <v>0.17083079423115977</v>
          </cell>
          <cell r="DL101">
            <v>0.16219614417435047</v>
          </cell>
          <cell r="DM101">
            <v>0.15514891960288102</v>
          </cell>
          <cell r="DN101">
            <v>0.14466239155035843</v>
          </cell>
          <cell r="DO101">
            <v>0.13011797362942401</v>
          </cell>
          <cell r="EB101" t="str">
            <v>Total</v>
          </cell>
          <cell r="ED101">
            <v>2.9431000654023265E-3</v>
          </cell>
          <cell r="EE101">
            <v>0.16759047929572879</v>
          </cell>
          <cell r="EF101">
            <v>0.68360793074560178</v>
          </cell>
          <cell r="EG101">
            <v>0.24979266876762307</v>
          </cell>
          <cell r="EH101">
            <v>0.18898473788984749</v>
          </cell>
        </row>
        <row r="102">
          <cell r="BQ102" t="str">
            <v>Op Pr</v>
          </cell>
          <cell r="BW102" t="str">
            <v>TVS</v>
          </cell>
          <cell r="CG102" t="str">
            <v xml:space="preserve">    Recognition of pension gains previously deferred</v>
          </cell>
          <cell r="CH102">
            <v>0</v>
          </cell>
          <cell r="CI102">
            <v>0</v>
          </cell>
          <cell r="CJ102">
            <v>0</v>
          </cell>
          <cell r="CK102">
            <v>0</v>
          </cell>
          <cell r="CL102">
            <v>0</v>
          </cell>
          <cell r="CM102">
            <v>0</v>
          </cell>
          <cell r="CN102">
            <v>0</v>
          </cell>
          <cell r="CO102">
            <v>0</v>
          </cell>
          <cell r="CQ102" t="str">
            <v>Marine Group</v>
          </cell>
          <cell r="CR102">
            <v>2.3201856148491462E-3</v>
          </cell>
          <cell r="CS102">
            <v>-3.2734952481520585E-2</v>
          </cell>
          <cell r="CT102">
            <v>-5.3728070175438569E-2</v>
          </cell>
          <cell r="CU102">
            <v>0.1301907968574636</v>
          </cell>
          <cell r="CV102">
            <v>0.12962962962962954</v>
          </cell>
          <cell r="CW102">
            <v>7.3144104803493537E-2</v>
          </cell>
          <cell r="CX102">
            <v>0.37891077636152959</v>
          </cell>
          <cell r="CY102">
            <v>0.11420059582919562</v>
          </cell>
          <cell r="DA102" t="str">
            <v>Resources</v>
          </cell>
          <cell r="DB102">
            <v>0.14634146341463405</v>
          </cell>
          <cell r="DC102">
            <v>-5.7971014492753659E-2</v>
          </cell>
          <cell r="DD102">
            <v>-5.1282051282051322E-2</v>
          </cell>
          <cell r="DE102">
            <v>-3.7205882352941178</v>
          </cell>
          <cell r="DG102" t="str">
            <v>Revenue Growth, Organic</v>
          </cell>
          <cell r="EB102" t="str">
            <v>Revenue Growth, Organic</v>
          </cell>
        </row>
        <row r="103">
          <cell r="BQ103" t="str">
            <v>ATS</v>
          </cell>
          <cell r="BW103" t="str">
            <v>subtotal Revs</v>
          </cell>
          <cell r="CG103" t="str">
            <v xml:space="preserve">    Amortization of debt issuance costs</v>
          </cell>
          <cell r="CH103">
            <v>0</v>
          </cell>
          <cell r="CI103">
            <v>0</v>
          </cell>
          <cell r="CJ103">
            <v>0</v>
          </cell>
          <cell r="CK103">
            <v>0</v>
          </cell>
          <cell r="CL103">
            <v>0</v>
          </cell>
          <cell r="CM103">
            <v>0</v>
          </cell>
          <cell r="CN103">
            <v>0</v>
          </cell>
          <cell r="CO103">
            <v>0</v>
          </cell>
          <cell r="CQ103" t="str">
            <v>Combat Systems</v>
          </cell>
          <cell r="CT103">
            <v>0.17</v>
          </cell>
          <cell r="CV103">
            <v>0.17</v>
          </cell>
          <cell r="CW103">
            <v>7.0000000000000007E-2</v>
          </cell>
          <cell r="CX103">
            <v>0.1</v>
          </cell>
          <cell r="CY103">
            <v>-1.7000000000000001E-2</v>
          </cell>
          <cell r="DA103" t="str">
            <v>Total</v>
          </cell>
          <cell r="DB103">
            <v>0.37171538234425738</v>
          </cell>
          <cell r="DC103">
            <v>0.19404517453798764</v>
          </cell>
          <cell r="DD103">
            <v>6.7049368541905796E-2</v>
          </cell>
          <cell r="DE103">
            <v>4.0583386176284098E-2</v>
          </cell>
          <cell r="DG103" t="str">
            <v>Marine Systems</v>
          </cell>
          <cell r="EB103" t="str">
            <v>Marine Systems</v>
          </cell>
          <cell r="EF103">
            <v>-9.0051457975985905E-3</v>
          </cell>
        </row>
        <row r="104">
          <cell r="BQ104" t="str">
            <v>CDI</v>
          </cell>
          <cell r="BW104" t="str">
            <v>Op Pr</v>
          </cell>
          <cell r="CG104" t="str">
            <v>Decrease (increase) in assets, net of effect of business acq.</v>
          </cell>
          <cell r="CQ104" t="str">
            <v>Info. Systems &amp; Tech.</v>
          </cell>
          <cell r="CT104">
            <v>0.11</v>
          </cell>
          <cell r="CV104">
            <v>0.16549295774647876</v>
          </cell>
          <cell r="CW104">
            <v>0.21564482029598309</v>
          </cell>
          <cell r="CX104">
            <v>0.28000000000000003</v>
          </cell>
          <cell r="CY104">
            <v>0.19700000000000001</v>
          </cell>
          <cell r="DA104" t="str">
            <v>Revenue Growth, Organic</v>
          </cell>
          <cell r="DG104" t="str">
            <v>Combat Systems</v>
          </cell>
          <cell r="EB104" t="str">
            <v>Combat Systems</v>
          </cell>
          <cell r="EH104">
            <v>1.4150943396226356E-2</v>
          </cell>
        </row>
        <row r="105">
          <cell r="BQ105" t="str">
            <v>subtotal</v>
          </cell>
          <cell r="BW105" t="str">
            <v>Land Vehs</v>
          </cell>
          <cell r="CG105" t="str">
            <v xml:space="preserve">    Marketable securities</v>
          </cell>
          <cell r="CH105">
            <v>-124</v>
          </cell>
          <cell r="CI105">
            <v>124</v>
          </cell>
          <cell r="CJ105">
            <v>-16</v>
          </cell>
          <cell r="CK105">
            <v>0</v>
          </cell>
          <cell r="CL105">
            <v>0</v>
          </cell>
          <cell r="CM105">
            <v>0</v>
          </cell>
          <cell r="CN105">
            <v>0</v>
          </cell>
          <cell r="CO105">
            <v>0</v>
          </cell>
          <cell r="CQ105" t="str">
            <v>Aerospace</v>
          </cell>
          <cell r="CR105">
            <v>7.1629213483145993E-2</v>
          </cell>
          <cell r="CS105">
            <v>0.15032679738562083</v>
          </cell>
          <cell r="CT105">
            <v>-0.11813842482100234</v>
          </cell>
          <cell r="CU105">
            <v>-4.5263157894736894E-2</v>
          </cell>
          <cell r="CV105">
            <v>-0.22149410222804722</v>
          </cell>
          <cell r="CW105">
            <v>-0.1875</v>
          </cell>
          <cell r="CX105">
            <v>9.3369418132611681E-2</v>
          </cell>
          <cell r="CY105">
            <v>-8.5997794928335147E-2</v>
          </cell>
          <cell r="DA105" t="str">
            <v>Marine Systems</v>
          </cell>
          <cell r="DB105">
            <v>0.31147540983606548</v>
          </cell>
          <cell r="DC105">
            <v>0.19735503560529</v>
          </cell>
          <cell r="DD105">
            <v>-3.0252100840336138E-2</v>
          </cell>
          <cell r="DG105" t="str">
            <v>Info. Systems &amp; Tech.</v>
          </cell>
          <cell r="EB105" t="str">
            <v>Info. Systems &amp; Tech.</v>
          </cell>
        </row>
        <row r="106">
          <cell r="BQ106" t="str">
            <v>Margins</v>
          </cell>
          <cell r="BW106" t="str">
            <v>Def/Arm sys</v>
          </cell>
          <cell r="CG106" t="str">
            <v xml:space="preserve">    Accounts receivable</v>
          </cell>
          <cell r="CH106">
            <v>0</v>
          </cell>
          <cell r="CI106">
            <v>4</v>
          </cell>
          <cell r="CJ106">
            <v>-82</v>
          </cell>
          <cell r="CK106">
            <v>39</v>
          </cell>
          <cell r="CL106">
            <v>-8</v>
          </cell>
          <cell r="CM106">
            <v>-43</v>
          </cell>
          <cell r="CN106">
            <v>-28</v>
          </cell>
          <cell r="CO106">
            <v>41</v>
          </cell>
          <cell r="CQ106" t="str">
            <v>Resources</v>
          </cell>
          <cell r="CR106">
            <v>2.0408163265306145E-2</v>
          </cell>
          <cell r="CS106">
            <v>0.10000000000000009</v>
          </cell>
          <cell r="CT106">
            <v>8.9743589743589647E-2</v>
          </cell>
          <cell r="CU106">
            <v>-6.3291139240506333E-2</v>
          </cell>
          <cell r="CV106">
            <v>-0.18000000000000005</v>
          </cell>
          <cell r="CW106">
            <v>-0.10389610389610393</v>
          </cell>
          <cell r="CX106">
            <v>-8.2352941176470629E-2</v>
          </cell>
          <cell r="CY106">
            <v>-8.108108108108103E-2</v>
          </cell>
          <cell r="DA106" t="str">
            <v>Combat Systems</v>
          </cell>
          <cell r="DB106">
            <v>4.3999999999999997E-2</v>
          </cell>
          <cell r="DG106" t="str">
            <v>Aerospace</v>
          </cell>
          <cell r="EB106" t="str">
            <v>Aerospace</v>
          </cell>
        </row>
        <row r="107">
          <cell r="BQ107" t="str">
            <v>ATS</v>
          </cell>
          <cell r="BW107" t="str">
            <v>TVS</v>
          </cell>
          <cell r="CG107" t="str">
            <v xml:space="preserve">    Contracts in process</v>
          </cell>
          <cell r="CH107">
            <v>-209</v>
          </cell>
          <cell r="CI107">
            <v>62</v>
          </cell>
          <cell r="CJ107">
            <v>48</v>
          </cell>
          <cell r="CK107">
            <v>17</v>
          </cell>
          <cell r="CL107">
            <v>-118</v>
          </cell>
          <cell r="CM107">
            <v>15</v>
          </cell>
          <cell r="CN107">
            <v>-17</v>
          </cell>
          <cell r="CO107">
            <v>-103</v>
          </cell>
          <cell r="CQ107" t="str">
            <v>Total</v>
          </cell>
          <cell r="CV107">
            <v>5.5580270793036624E-2</v>
          </cell>
          <cell r="CW107">
            <v>4.1668568168853337E-2</v>
          </cell>
          <cell r="CX107">
            <v>0.21586479902557865</v>
          </cell>
          <cell r="CY107">
            <v>3.4000000000000002E-2</v>
          </cell>
          <cell r="DA107" t="str">
            <v>Info. Systems &amp; Tech.</v>
          </cell>
          <cell r="DB107">
            <v>0.28299999999999997</v>
          </cell>
          <cell r="DG107" t="str">
            <v>Resources/Corporate</v>
          </cell>
          <cell r="EB107" t="str">
            <v>Resources/Corporate</v>
          </cell>
          <cell r="EH107">
            <v>5.9322033898305149E-2</v>
          </cell>
        </row>
        <row r="108">
          <cell r="BQ108" t="str">
            <v>CDI</v>
          </cell>
          <cell r="BW108" t="str">
            <v>subtotal</v>
          </cell>
          <cell r="CG108" t="str">
            <v xml:space="preserve">    Inventories</v>
          </cell>
          <cell r="CH108">
            <v>-30</v>
          </cell>
          <cell r="CI108">
            <v>71</v>
          </cell>
          <cell r="CJ108">
            <v>5</v>
          </cell>
          <cell r="CK108">
            <v>-35</v>
          </cell>
          <cell r="CL108">
            <v>-56</v>
          </cell>
          <cell r="CM108">
            <v>-26</v>
          </cell>
          <cell r="CN108">
            <v>-98</v>
          </cell>
          <cell r="CO108">
            <v>-43</v>
          </cell>
          <cell r="CQ108" t="str">
            <v>EPS, Qtrly as % of Total</v>
          </cell>
          <cell r="CR108">
            <v>0.4462382190429206</v>
          </cell>
          <cell r="CS108">
            <v>0.52110315996074585</v>
          </cell>
          <cell r="CT108">
            <v>0.53491470443623845</v>
          </cell>
          <cell r="CU108">
            <v>0.49940710039564801</v>
          </cell>
          <cell r="CV108">
            <v>0.44406918283451741</v>
          </cell>
          <cell r="CW108">
            <v>0.49137217643010783</v>
          </cell>
          <cell r="CX108">
            <v>0.50869774073667628</v>
          </cell>
          <cell r="CY108">
            <v>0.56066718434591345</v>
          </cell>
          <cell r="DA108" t="str">
            <v>Aerospace</v>
          </cell>
          <cell r="DB108">
            <v>2.020202020202011E-2</v>
          </cell>
          <cell r="DG108" t="str">
            <v>Total</v>
          </cell>
          <cell r="EB108" t="str">
            <v>Total</v>
          </cell>
        </row>
        <row r="109">
          <cell r="BQ109" t="str">
            <v>subtotal</v>
          </cell>
          <cell r="BW109" t="str">
            <v>Margins</v>
          </cell>
          <cell r="CG109" t="str">
            <v xml:space="preserve">    Other current assets</v>
          </cell>
          <cell r="CH109">
            <v>-7</v>
          </cell>
          <cell r="CI109">
            <v>-7</v>
          </cell>
          <cell r="CJ109">
            <v>24</v>
          </cell>
          <cell r="CK109">
            <v>-16</v>
          </cell>
          <cell r="CL109">
            <v>2</v>
          </cell>
          <cell r="CM109">
            <v>-6</v>
          </cell>
          <cell r="CN109">
            <v>1</v>
          </cell>
          <cell r="DA109" t="str">
            <v>Resources</v>
          </cell>
          <cell r="DB109">
            <v>0.14634146341463405</v>
          </cell>
          <cell r="DG109" t="str">
            <v>EPS, Qtrly as % of Total</v>
          </cell>
          <cell r="DH109">
            <v>0.24426748793934286</v>
          </cell>
          <cell r="DI109">
            <v>0.23368540819855696</v>
          </cell>
          <cell r="DJ109">
            <v>0.25091097059919715</v>
          </cell>
          <cell r="DK109">
            <v>0.27455370540064478</v>
          </cell>
          <cell r="DL109">
            <v>0.22760262832606853</v>
          </cell>
          <cell r="DM109">
            <v>0.24551891220120722</v>
          </cell>
          <cell r="DN109">
            <v>0.25707165290772571</v>
          </cell>
          <cell r="DO109">
            <v>0.26950150026399494</v>
          </cell>
          <cell r="EB109" t="str">
            <v>EPS, Qtrly as % of Total</v>
          </cell>
        </row>
        <row r="110">
          <cell r="BW110" t="str">
            <v>Land Vehs</v>
          </cell>
          <cell r="CG110" t="str">
            <v>Increase (decrease) in liabilities, net of effects</v>
          </cell>
          <cell r="CQ110" t="str">
            <v>Working Capital</v>
          </cell>
          <cell r="DA110" t="str">
            <v>Total</v>
          </cell>
          <cell r="DB110">
            <v>0.19</v>
          </cell>
        </row>
        <row r="111">
          <cell r="BW111" t="str">
            <v>Def/Arm sys</v>
          </cell>
          <cell r="CG111" t="str">
            <v xml:space="preserve">    Accounts payable and other current liabilities</v>
          </cell>
          <cell r="CH111">
            <v>35</v>
          </cell>
          <cell r="CI111">
            <v>23</v>
          </cell>
          <cell r="CJ111">
            <v>-27</v>
          </cell>
          <cell r="CK111">
            <v>70</v>
          </cell>
          <cell r="CL111">
            <v>-70</v>
          </cell>
          <cell r="CM111">
            <v>88</v>
          </cell>
          <cell r="CN111">
            <v>-15</v>
          </cell>
          <cell r="CO111">
            <v>45</v>
          </cell>
          <cell r="CQ111" t="str">
            <v>Inventory</v>
          </cell>
          <cell r="CR111">
            <v>1456</v>
          </cell>
          <cell r="CS111">
            <v>1370</v>
          </cell>
          <cell r="CT111">
            <v>1554</v>
          </cell>
          <cell r="CU111">
            <v>1405</v>
          </cell>
          <cell r="CV111">
            <v>1456</v>
          </cell>
          <cell r="CW111">
            <v>1375</v>
          </cell>
          <cell r="CX111">
            <v>1223</v>
          </cell>
          <cell r="CY111">
            <v>1160</v>
          </cell>
          <cell r="DA111" t="str">
            <v>EPS, Qtrly as % of Total</v>
          </cell>
          <cell r="DB111">
            <v>0.22323049433846309</v>
          </cell>
          <cell r="DC111">
            <v>0.24344537780111175</v>
          </cell>
          <cell r="DD111">
            <v>0.26749509937580496</v>
          </cell>
          <cell r="DE111">
            <v>0.26707681158747937</v>
          </cell>
          <cell r="DG111" t="str">
            <v>Working Capital</v>
          </cell>
          <cell r="EB111" t="str">
            <v>Working Capital</v>
          </cell>
        </row>
        <row r="112">
          <cell r="BW112" t="str">
            <v>TVS</v>
          </cell>
          <cell r="CG112" t="str">
            <v xml:space="preserve">    Customer deposits</v>
          </cell>
          <cell r="CH112">
            <v>40</v>
          </cell>
          <cell r="CI112">
            <v>-25</v>
          </cell>
          <cell r="CJ112">
            <v>-6</v>
          </cell>
          <cell r="CK112">
            <v>-64</v>
          </cell>
          <cell r="CL112">
            <v>7</v>
          </cell>
          <cell r="CM112">
            <v>41</v>
          </cell>
          <cell r="CN112">
            <v>-48</v>
          </cell>
          <cell r="CO112">
            <v>-112</v>
          </cell>
          <cell r="CQ112" t="str">
            <v>Accounts Receivables</v>
          </cell>
          <cell r="CR112">
            <v>921</v>
          </cell>
          <cell r="CS112">
            <v>1320</v>
          </cell>
          <cell r="CT112">
            <v>1156</v>
          </cell>
          <cell r="CU112">
            <v>1074</v>
          </cell>
          <cell r="CV112">
            <v>1263</v>
          </cell>
          <cell r="CW112">
            <v>1237</v>
          </cell>
          <cell r="CX112">
            <v>1502</v>
          </cell>
          <cell r="CY112">
            <v>1378</v>
          </cell>
          <cell r="DG112" t="str">
            <v>Inventory</v>
          </cell>
          <cell r="DH112">
            <v>1210</v>
          </cell>
          <cell r="DI112">
            <v>1189</v>
          </cell>
          <cell r="DJ112">
            <v>1350</v>
          </cell>
          <cell r="DK112">
            <v>1293</v>
          </cell>
          <cell r="DL112">
            <v>1437</v>
          </cell>
          <cell r="DM112">
            <v>1487</v>
          </cell>
          <cell r="DN112">
            <v>1409</v>
          </cell>
          <cell r="DO112">
            <v>1484</v>
          </cell>
          <cell r="EB112" t="str">
            <v>Inventory</v>
          </cell>
          <cell r="EG112">
            <v>804</v>
          </cell>
          <cell r="EH112">
            <v>961</v>
          </cell>
        </row>
        <row r="113">
          <cell r="BW113" t="str">
            <v>subtotal</v>
          </cell>
          <cell r="CG113" t="str">
            <v xml:space="preserve">    Current income taxes</v>
          </cell>
          <cell r="CH113">
            <v>54</v>
          </cell>
          <cell r="CI113">
            <v>-50</v>
          </cell>
          <cell r="CJ113">
            <v>-57</v>
          </cell>
          <cell r="CK113">
            <v>18</v>
          </cell>
          <cell r="CL113">
            <v>96</v>
          </cell>
          <cell r="CM113">
            <v>-96</v>
          </cell>
          <cell r="CN113">
            <v>93</v>
          </cell>
          <cell r="CQ113" t="str">
            <v>Accounts Payable</v>
          </cell>
          <cell r="CR113">
            <v>-754</v>
          </cell>
          <cell r="CS113">
            <v>-935</v>
          </cell>
          <cell r="CT113">
            <v>-1041</v>
          </cell>
          <cell r="CU113">
            <v>-1056</v>
          </cell>
          <cell r="CV113">
            <v>-1212</v>
          </cell>
          <cell r="CW113">
            <v>-1195</v>
          </cell>
          <cell r="CX113">
            <v>-1353</v>
          </cell>
          <cell r="CY113">
            <v>-1317</v>
          </cell>
          <cell r="DA113" t="str">
            <v>Working Capital</v>
          </cell>
          <cell r="DG113" t="str">
            <v>Accounts Receivables</v>
          </cell>
          <cell r="DH113">
            <v>1511</v>
          </cell>
          <cell r="DI113">
            <v>1677</v>
          </cell>
          <cell r="DJ113">
            <v>1720</v>
          </cell>
          <cell r="DK113">
            <v>2004</v>
          </cell>
          <cell r="DL113">
            <v>1743</v>
          </cell>
          <cell r="DM113">
            <v>1978</v>
          </cell>
          <cell r="DN113">
            <v>2144</v>
          </cell>
          <cell r="DO113">
            <v>2341</v>
          </cell>
          <cell r="EB113" t="str">
            <v>Accounts Receivables</v>
          </cell>
          <cell r="EG113">
            <v>580</v>
          </cell>
          <cell r="EH113">
            <v>746</v>
          </cell>
        </row>
        <row r="114">
          <cell r="BW114" t="str">
            <v>Info Tech</v>
          </cell>
          <cell r="CG114" t="str">
            <v>Deferred income taxes</v>
          </cell>
          <cell r="CH114">
            <v>14</v>
          </cell>
          <cell r="CI114">
            <v>-2</v>
          </cell>
          <cell r="CJ114">
            <v>101</v>
          </cell>
          <cell r="CK114">
            <v>15</v>
          </cell>
          <cell r="CL114">
            <v>-15</v>
          </cell>
          <cell r="CM114">
            <v>15</v>
          </cell>
          <cell r="CN114">
            <v>0</v>
          </cell>
          <cell r="CO114">
            <v>117</v>
          </cell>
          <cell r="CQ114" t="str">
            <v>Working Capital</v>
          </cell>
          <cell r="CR114">
            <v>1623</v>
          </cell>
          <cell r="CS114">
            <v>1755</v>
          </cell>
          <cell r="CT114">
            <v>1669</v>
          </cell>
          <cell r="CU114">
            <v>1423</v>
          </cell>
          <cell r="CV114">
            <v>1507</v>
          </cell>
          <cell r="CW114">
            <v>1417</v>
          </cell>
          <cell r="CX114">
            <v>1372</v>
          </cell>
          <cell r="CY114">
            <v>1221</v>
          </cell>
          <cell r="DA114" t="str">
            <v>Inventory</v>
          </cell>
          <cell r="DB114">
            <v>1268</v>
          </cell>
          <cell r="DC114">
            <v>1236</v>
          </cell>
          <cell r="DD114">
            <v>1287</v>
          </cell>
          <cell r="DE114">
            <v>1195</v>
          </cell>
          <cell r="DG114" t="str">
            <v>Accounts Payable</v>
          </cell>
          <cell r="DH114">
            <v>-1446</v>
          </cell>
          <cell r="DI114">
            <v>-1462</v>
          </cell>
          <cell r="DJ114">
            <v>-1592</v>
          </cell>
          <cell r="DK114">
            <v>-1686</v>
          </cell>
          <cell r="DL114">
            <v>-1721</v>
          </cell>
          <cell r="DM114">
            <v>-1741</v>
          </cell>
          <cell r="DN114">
            <v>-1625</v>
          </cell>
          <cell r="DO114">
            <v>-1956</v>
          </cell>
          <cell r="EB114" t="str">
            <v>Accounts Payable</v>
          </cell>
          <cell r="EG114">
            <v>-522</v>
          </cell>
          <cell r="EH114">
            <v>-631</v>
          </cell>
        </row>
        <row r="115">
          <cell r="BW115" t="str">
            <v>ATS</v>
          </cell>
          <cell r="CG115" t="str">
            <v>Other, net</v>
          </cell>
          <cell r="CH115">
            <v>-10</v>
          </cell>
          <cell r="CI115">
            <v>-8</v>
          </cell>
          <cell r="CJ115">
            <v>-97</v>
          </cell>
          <cell r="CK115">
            <v>36</v>
          </cell>
          <cell r="CL115">
            <v>-59</v>
          </cell>
          <cell r="CM115">
            <v>8</v>
          </cell>
          <cell r="CN115">
            <v>108</v>
          </cell>
          <cell r="CO115">
            <v>173</v>
          </cell>
          <cell r="CQ115" t="str">
            <v>Inventory Turns</v>
          </cell>
          <cell r="CR115">
            <v>7.1181318681318677</v>
          </cell>
          <cell r="CS115">
            <v>10.251094890510949</v>
          </cell>
          <cell r="CT115">
            <v>6.9189189189189193</v>
          </cell>
          <cell r="CU115">
            <v>6.9209964412811384</v>
          </cell>
          <cell r="CV115">
            <v>7.8763736263736268</v>
          </cell>
          <cell r="CW115">
            <v>9.5970909090909089</v>
          </cell>
          <cell r="CX115">
            <v>12.418642681929681</v>
          </cell>
          <cell r="CY115">
            <v>13.286206896551723</v>
          </cell>
          <cell r="DA115" t="str">
            <v>Accounts Receivables</v>
          </cell>
          <cell r="DB115">
            <v>1525</v>
          </cell>
          <cell r="DC115">
            <v>1376</v>
          </cell>
          <cell r="DD115">
            <v>1438</v>
          </cell>
          <cell r="DE115">
            <v>1450</v>
          </cell>
          <cell r="DG115" t="str">
            <v>Working Capital</v>
          </cell>
          <cell r="DH115">
            <v>1275</v>
          </cell>
          <cell r="DI115">
            <v>1404</v>
          </cell>
          <cell r="DJ115">
            <v>1478</v>
          </cell>
          <cell r="DK115">
            <v>1611</v>
          </cell>
          <cell r="DL115">
            <v>1459</v>
          </cell>
          <cell r="DM115">
            <v>1724</v>
          </cell>
          <cell r="DN115">
            <v>1928</v>
          </cell>
          <cell r="DO115">
            <v>1869</v>
          </cell>
          <cell r="EB115" t="str">
            <v>Working Capital</v>
          </cell>
          <cell r="EG115">
            <v>862</v>
          </cell>
          <cell r="EH115">
            <v>1076</v>
          </cell>
        </row>
        <row r="116">
          <cell r="BW116" t="str">
            <v>CDI</v>
          </cell>
          <cell r="CG116" t="str">
            <v>Net cash provided by operating activities</v>
          </cell>
          <cell r="CH116">
            <v>3</v>
          </cell>
          <cell r="CI116">
            <v>451</v>
          </cell>
          <cell r="CJ116">
            <v>247</v>
          </cell>
          <cell r="CK116">
            <v>354</v>
          </cell>
          <cell r="CL116">
            <v>79</v>
          </cell>
          <cell r="CM116">
            <v>290</v>
          </cell>
          <cell r="CN116">
            <v>294</v>
          </cell>
          <cell r="CO116">
            <v>440</v>
          </cell>
          <cell r="CQ116" t="str">
            <v>Receivables Turnover</v>
          </cell>
          <cell r="CR116">
            <v>15.226927252985885</v>
          </cell>
          <cell r="CS116">
            <v>9.9515151515151512</v>
          </cell>
          <cell r="CT116">
            <v>13.107266435986158</v>
          </cell>
          <cell r="CU116">
            <v>12.614525139664805</v>
          </cell>
          <cell r="CV116">
            <v>12.338875692794932</v>
          </cell>
          <cell r="CW116">
            <v>14.082457558609539</v>
          </cell>
          <cell r="CX116">
            <v>12.599201065246339</v>
          </cell>
          <cell r="CY116">
            <v>13.486211901306241</v>
          </cell>
          <cell r="DA116" t="str">
            <v>Accounts Payable</v>
          </cell>
          <cell r="DB116">
            <v>-1370</v>
          </cell>
          <cell r="DC116">
            <v>-1257</v>
          </cell>
          <cell r="DD116">
            <v>-1296</v>
          </cell>
          <cell r="DE116">
            <v>-1505</v>
          </cell>
          <cell r="DG116" t="str">
            <v>Inventory Turns</v>
          </cell>
          <cell r="DH116">
            <v>12.393388429752067</v>
          </cell>
          <cell r="DI116">
            <v>14.4053826745164</v>
          </cell>
          <cell r="DJ116">
            <v>13.247407407407408</v>
          </cell>
          <cell r="DK116">
            <v>15.433874709976799</v>
          </cell>
          <cell r="DL116">
            <v>12.768267223382045</v>
          </cell>
          <cell r="DM116">
            <v>13.180901143241426</v>
          </cell>
          <cell r="DN116">
            <v>15.307310149041873</v>
          </cell>
          <cell r="DO116">
            <v>14.533692722371967</v>
          </cell>
          <cell r="EB116" t="str">
            <v>Inventory Turns</v>
          </cell>
          <cell r="EG116">
            <v>7.4266169154228852</v>
          </cell>
          <cell r="EH116">
            <v>7.4776274713839754</v>
          </cell>
        </row>
        <row r="117">
          <cell r="BW117" t="str">
            <v>subtotal</v>
          </cell>
          <cell r="CG117" t="str">
            <v>Net cash used by discontinued operations</v>
          </cell>
          <cell r="CH117">
            <v>-1</v>
          </cell>
          <cell r="CI117">
            <v>-4</v>
          </cell>
          <cell r="CJ117">
            <v>-1</v>
          </cell>
          <cell r="CK117">
            <v>22</v>
          </cell>
          <cell r="CL117">
            <v>0</v>
          </cell>
          <cell r="CM117">
            <v>0</v>
          </cell>
          <cell r="CN117">
            <v>0</v>
          </cell>
          <cell r="CO117">
            <v>0</v>
          </cell>
          <cell r="CQ117" t="str">
            <v>Days Sales Outstanding</v>
          </cell>
          <cell r="CR117">
            <v>23.642327438676553</v>
          </cell>
          <cell r="CS117">
            <v>36.175395858708896</v>
          </cell>
          <cell r="CT117">
            <v>27.465681098204858</v>
          </cell>
          <cell r="CU117">
            <v>28.538529672276351</v>
          </cell>
          <cell r="CV117">
            <v>29.176078028747433</v>
          </cell>
          <cell r="CW117">
            <v>25.563719862227327</v>
          </cell>
          <cell r="CX117">
            <v>28.57324032974001</v>
          </cell>
          <cell r="CY117">
            <v>26.693930262591479</v>
          </cell>
          <cell r="DA117" t="str">
            <v>Working Capital</v>
          </cell>
          <cell r="DB117">
            <v>1423</v>
          </cell>
          <cell r="DC117">
            <v>1355</v>
          </cell>
          <cell r="DD117">
            <v>1429</v>
          </cell>
          <cell r="DE117">
            <v>1140</v>
          </cell>
          <cell r="DG117" t="str">
            <v>Receivables Turnover</v>
          </cell>
          <cell r="DH117">
            <v>12.632693580410324</v>
          </cell>
          <cell r="DI117">
            <v>12.252832438878951</v>
          </cell>
          <cell r="DJ117">
            <v>12.330232558139535</v>
          </cell>
          <cell r="DK117">
            <v>11.504990019960079</v>
          </cell>
          <cell r="DL117">
            <v>12.727481353987377</v>
          </cell>
          <cell r="DM117">
            <v>12</v>
          </cell>
          <cell r="DN117">
            <v>11.322761194029852</v>
          </cell>
          <cell r="DO117">
            <v>11.130286202477574</v>
          </cell>
          <cell r="EB117" t="str">
            <v>Receivables Turnover</v>
          </cell>
          <cell r="EG117">
            <v>12.991379310344827</v>
          </cell>
          <cell r="EH117">
            <v>12.009383378016086</v>
          </cell>
        </row>
        <row r="118">
          <cell r="BW118" t="str">
            <v>Op Pr</v>
          </cell>
          <cell r="CG118" t="str">
            <v>Net cash provided by operating activities</v>
          </cell>
          <cell r="CH118">
            <v>2</v>
          </cell>
          <cell r="CI118">
            <v>447</v>
          </cell>
          <cell r="CJ118">
            <v>246</v>
          </cell>
          <cell r="CK118">
            <v>376</v>
          </cell>
          <cell r="CL118">
            <v>79</v>
          </cell>
          <cell r="CM118">
            <v>290</v>
          </cell>
          <cell r="CN118">
            <v>294</v>
          </cell>
          <cell r="CO118">
            <v>440</v>
          </cell>
          <cell r="CQ118" t="str">
            <v>Working Capital Turnover</v>
          </cell>
          <cell r="CR118">
            <v>8.6407886629698094</v>
          </cell>
          <cell r="CS118">
            <v>7.4849002849002852</v>
          </cell>
          <cell r="CT118">
            <v>9.0784901138406227</v>
          </cell>
          <cell r="CU118">
            <v>9.5207308503162338</v>
          </cell>
          <cell r="CV118">
            <v>10.341074983410749</v>
          </cell>
          <cell r="CW118">
            <v>12.293577981651376</v>
          </cell>
          <cell r="CX118">
            <v>13.793002915451895</v>
          </cell>
          <cell r="CY118">
            <v>15.220311220311221</v>
          </cell>
          <cell r="DA118" t="str">
            <v>Inventory Turns</v>
          </cell>
          <cell r="DB118">
            <v>12.681388012618296</v>
          </cell>
          <cell r="DC118">
            <v>12.601941747572816</v>
          </cell>
          <cell r="DD118">
            <v>12.03108003108003</v>
          </cell>
          <cell r="DE118">
            <v>13.375732217573221</v>
          </cell>
          <cell r="DG118" t="str">
            <v>Days Sales Outstanding</v>
          </cell>
          <cell r="DH118">
            <v>28.497485331098069</v>
          </cell>
          <cell r="DI118">
            <v>29.380961650768931</v>
          </cell>
          <cell r="DJ118">
            <v>29.196529611467369</v>
          </cell>
          <cell r="DK118">
            <v>31.290770298403881</v>
          </cell>
          <cell r="DL118">
            <v>28.285250631085468</v>
          </cell>
          <cell r="DM118">
            <v>30</v>
          </cell>
          <cell r="DN118">
            <v>31.794364804745427</v>
          </cell>
          <cell r="DO118">
            <v>32.344181762357998</v>
          </cell>
          <cell r="EB118" t="str">
            <v>Days Sales Outstanding</v>
          </cell>
          <cell r="EG118">
            <v>27.710683477106834</v>
          </cell>
          <cell r="EH118">
            <v>29.976559883915613</v>
          </cell>
        </row>
        <row r="119">
          <cell r="BW119" t="str">
            <v>ATS</v>
          </cell>
          <cell r="DA119" t="str">
            <v>Receivables Turnover</v>
          </cell>
          <cell r="DB119">
            <v>12.186229508196721</v>
          </cell>
          <cell r="DC119">
            <v>13.523255813953488</v>
          </cell>
          <cell r="DD119">
            <v>12.926286509040334</v>
          </cell>
          <cell r="DE119">
            <v>13.580689655172414</v>
          </cell>
          <cell r="DG119" t="str">
            <v>Working Capital Turnover</v>
          </cell>
          <cell r="DH119">
            <v>14.970980392156862</v>
          </cell>
          <cell r="DI119">
            <v>14.635327635327636</v>
          </cell>
          <cell r="DJ119">
            <v>14.349120433017591</v>
          </cell>
          <cell r="DK119">
            <v>14.311607697082557</v>
          </cell>
          <cell r="DL119">
            <v>15.204934886908841</v>
          </cell>
          <cell r="DM119">
            <v>13.767981438515081</v>
          </cell>
          <cell r="DN119">
            <v>12.591286307053942</v>
          </cell>
          <cell r="DO119">
            <v>13.941144997324773</v>
          </cell>
          <cell r="EB119" t="str">
            <v>Working Capital Turnover</v>
          </cell>
          <cell r="EG119">
            <v>8.7412993039443148</v>
          </cell>
          <cell r="EH119">
            <v>8.3262081784386623</v>
          </cell>
        </row>
        <row r="120">
          <cell r="BW120" t="str">
            <v>CDI</v>
          </cell>
          <cell r="CG120" t="str">
            <v>Cash Flows from Investing Activities:</v>
          </cell>
          <cell r="CQ120" t="str">
            <v>COGS</v>
          </cell>
          <cell r="CR120">
            <v>2591</v>
          </cell>
          <cell r="CS120">
            <v>3511</v>
          </cell>
          <cell r="CT120">
            <v>2688</v>
          </cell>
          <cell r="CU120">
            <v>2431</v>
          </cell>
          <cell r="CV120">
            <v>2867</v>
          </cell>
          <cell r="CW120">
            <v>3299</v>
          </cell>
          <cell r="CX120">
            <v>3797</v>
          </cell>
          <cell r="CY120">
            <v>3853</v>
          </cell>
          <cell r="DA120" t="str">
            <v>Days Sales Outstanding</v>
          </cell>
          <cell r="DB120">
            <v>29.541541110632803</v>
          </cell>
          <cell r="DC120">
            <v>26.620808254514188</v>
          </cell>
          <cell r="DD120">
            <v>27.850225952227245</v>
          </cell>
          <cell r="DE120">
            <v>26.508226691042047</v>
          </cell>
        </row>
        <row r="121">
          <cell r="BW121" t="str">
            <v>subtotal</v>
          </cell>
          <cell r="CG121" t="str">
            <v>Business acquisitions, net of cash acquired</v>
          </cell>
          <cell r="CH121">
            <v>-8</v>
          </cell>
          <cell r="CI121">
            <v>-33</v>
          </cell>
          <cell r="CJ121">
            <v>0</v>
          </cell>
          <cell r="CK121">
            <v>-30</v>
          </cell>
          <cell r="CL121">
            <v>-355</v>
          </cell>
          <cell r="CM121">
            <v>-356</v>
          </cell>
          <cell r="CN121">
            <v>-741</v>
          </cell>
          <cell r="CO121">
            <v>1</v>
          </cell>
          <cell r="CQ121" t="str">
            <v>COGS/Sales</v>
          </cell>
          <cell r="CR121">
            <v>0.83526756931012247</v>
          </cell>
          <cell r="CS121">
            <v>1.0014261266400457</v>
          </cell>
          <cell r="CT121">
            <v>0.81851400730816082</v>
          </cell>
          <cell r="CU121">
            <v>0.6417634635691658</v>
          </cell>
          <cell r="CV121">
            <v>0.8464718039563035</v>
          </cell>
          <cell r="CW121">
            <v>0.84676591375770016</v>
          </cell>
          <cell r="CX121">
            <v>0.87187141216991959</v>
          </cell>
          <cell r="CY121">
            <v>0.81441555696470092</v>
          </cell>
          <cell r="DA121" t="str">
            <v>Working Capital Turnover</v>
          </cell>
          <cell r="DB121">
            <v>13.0597329585383</v>
          </cell>
          <cell r="DC121">
            <v>13.732841328413285</v>
          </cell>
          <cell r="DD121">
            <v>13.007697690692792</v>
          </cell>
          <cell r="DE121">
            <v>17.273684210526316</v>
          </cell>
          <cell r="DG121" t="str">
            <v>COGS</v>
          </cell>
          <cell r="DH121">
            <v>3749</v>
          </cell>
          <cell r="DI121">
            <v>4282</v>
          </cell>
          <cell r="DJ121">
            <v>4471</v>
          </cell>
          <cell r="DK121">
            <v>4989</v>
          </cell>
          <cell r="DL121">
            <v>4587</v>
          </cell>
          <cell r="DM121">
            <v>4900</v>
          </cell>
          <cell r="DN121">
            <v>5392</v>
          </cell>
          <cell r="DO121">
            <v>5392</v>
          </cell>
          <cell r="EB121" t="str">
            <v>COGS</v>
          </cell>
          <cell r="EG121">
            <v>5971</v>
          </cell>
          <cell r="EH121">
            <v>7186</v>
          </cell>
        </row>
        <row r="122">
          <cell r="BW122" t="str">
            <v>Margins</v>
          </cell>
          <cell r="CG122" t="str">
            <v>Purchases of available-for-sale securities</v>
          </cell>
          <cell r="CH122">
            <v>0</v>
          </cell>
          <cell r="CI122">
            <v>-11</v>
          </cell>
          <cell r="CJ122">
            <v>-5</v>
          </cell>
          <cell r="CK122">
            <v>-7</v>
          </cell>
          <cell r="CL122">
            <v>0</v>
          </cell>
          <cell r="CM122">
            <v>0</v>
          </cell>
          <cell r="CN122">
            <v>0</v>
          </cell>
          <cell r="CO122">
            <v>-45</v>
          </cell>
          <cell r="CQ122" t="str">
            <v>G&amp;A</v>
          </cell>
          <cell r="CR122">
            <v>209</v>
          </cell>
          <cell r="CS122">
            <v>224</v>
          </cell>
          <cell r="CT122">
            <v>193</v>
          </cell>
          <cell r="CU122">
            <v>266</v>
          </cell>
          <cell r="CV122">
            <v>236</v>
          </cell>
          <cell r="CW122">
            <v>258</v>
          </cell>
          <cell r="CX122">
            <v>273</v>
          </cell>
          <cell r="CY122">
            <v>303</v>
          </cell>
          <cell r="DG122" t="str">
            <v>COGS/Sales</v>
          </cell>
          <cell r="DH122">
            <v>0.78562447611064545</v>
          </cell>
          <cell r="DI122">
            <v>0.83356044383881644</v>
          </cell>
          <cell r="DJ122">
            <v>0.84326669181440961</v>
          </cell>
          <cell r="DK122">
            <v>0.86554476058292851</v>
          </cell>
          <cell r="DL122">
            <v>0.82708258204111074</v>
          </cell>
          <cell r="DM122">
            <v>0.8257499157398045</v>
          </cell>
          <cell r="DN122">
            <v>0.88844949744603718</v>
          </cell>
          <cell r="DO122">
            <v>0.8277556033159349</v>
          </cell>
          <cell r="EB122" t="str">
            <v>COGS/Sales</v>
          </cell>
          <cell r="EG122">
            <v>0.79243530192435296</v>
          </cell>
          <cell r="EH122">
            <v>0.80209844848755441</v>
          </cell>
        </row>
        <row r="123">
          <cell r="BW123" t="str">
            <v>ATS</v>
          </cell>
          <cell r="CG123" t="str">
            <v>Sales/maturities of available-for-sale securities</v>
          </cell>
          <cell r="CH123">
            <v>0</v>
          </cell>
          <cell r="CI123">
            <v>16</v>
          </cell>
          <cell r="CJ123">
            <v>6</v>
          </cell>
          <cell r="CK123">
            <v>7</v>
          </cell>
          <cell r="CL123">
            <v>70</v>
          </cell>
          <cell r="CM123">
            <v>0</v>
          </cell>
          <cell r="CN123">
            <v>-70</v>
          </cell>
          <cell r="CO123">
            <v>42</v>
          </cell>
          <cell r="CQ123" t="str">
            <v>G&amp;A/Sales</v>
          </cell>
          <cell r="CR123">
            <v>6.7375886524822695E-2</v>
          </cell>
          <cell r="CS123">
            <v>6.3890473474044501E-2</v>
          </cell>
          <cell r="CT123">
            <v>5.8769792935444577E-2</v>
          </cell>
          <cell r="CU123">
            <v>7.0221752903907073E-2</v>
          </cell>
          <cell r="CV123">
            <v>6.9678181281369947E-2</v>
          </cell>
          <cell r="CW123">
            <v>6.6221765913757696E-2</v>
          </cell>
          <cell r="CX123">
            <v>6.2686567164179099E-2</v>
          </cell>
          <cell r="CY123">
            <v>6.4045656309448321E-2</v>
          </cell>
          <cell r="DA123" t="str">
            <v>COGS</v>
          </cell>
          <cell r="DB123">
            <v>4020</v>
          </cell>
          <cell r="DC123">
            <v>3894</v>
          </cell>
          <cell r="DD123">
            <v>3871</v>
          </cell>
          <cell r="DE123">
            <v>3996</v>
          </cell>
          <cell r="DG123" t="str">
            <v>G&amp;A</v>
          </cell>
          <cell r="DH123">
            <v>309</v>
          </cell>
          <cell r="DI123">
            <v>316</v>
          </cell>
          <cell r="DJ123">
            <v>317</v>
          </cell>
          <cell r="DK123">
            <v>363</v>
          </cell>
          <cell r="DL123">
            <v>363</v>
          </cell>
          <cell r="DM123">
            <v>385</v>
          </cell>
          <cell r="DN123">
            <v>371</v>
          </cell>
          <cell r="DO123">
            <v>371</v>
          </cell>
          <cell r="EB123" t="str">
            <v>G&amp;A</v>
          </cell>
          <cell r="EG123">
            <v>509</v>
          </cell>
          <cell r="EH123">
            <v>570</v>
          </cell>
        </row>
        <row r="124">
          <cell r="BW124" t="str">
            <v>CDI</v>
          </cell>
          <cell r="CG124" t="str">
            <v>Capital expenditures</v>
          </cell>
          <cell r="CH124">
            <v>-79</v>
          </cell>
          <cell r="CI124">
            <v>-99</v>
          </cell>
          <cell r="CJ124">
            <v>-41</v>
          </cell>
          <cell r="CK124">
            <v>-69</v>
          </cell>
          <cell r="CL124">
            <v>-53</v>
          </cell>
          <cell r="CM124">
            <v>-57</v>
          </cell>
          <cell r="CN124">
            <v>-127</v>
          </cell>
          <cell r="CO124">
            <v>-119</v>
          </cell>
          <cell r="CQ124" t="str">
            <v>Employees (K)</v>
          </cell>
          <cell r="CR124">
            <v>51.9</v>
          </cell>
          <cell r="CS124">
            <v>53.6</v>
          </cell>
          <cell r="CT124">
            <v>53.4</v>
          </cell>
          <cell r="CU124">
            <v>53400</v>
          </cell>
          <cell r="CV124">
            <v>56800</v>
          </cell>
          <cell r="CW124">
            <v>57300</v>
          </cell>
          <cell r="CX124">
            <v>66900</v>
          </cell>
          <cell r="CY124">
            <v>65600</v>
          </cell>
          <cell r="DA124" t="str">
            <v>COGS/Sales</v>
          </cell>
          <cell r="DB124">
            <v>0.86526043908738703</v>
          </cell>
          <cell r="DC124">
            <v>0.83705932932072225</v>
          </cell>
          <cell r="DD124">
            <v>0.83301054443727141</v>
          </cell>
          <cell r="DE124">
            <v>0.8117001828153565</v>
          </cell>
          <cell r="DG124" t="str">
            <v>G&amp;A/Sales</v>
          </cell>
          <cell r="DH124">
            <v>6.475272422464376E-2</v>
          </cell>
          <cell r="DI124">
            <v>6.151450262799299E-2</v>
          </cell>
          <cell r="DJ124">
            <v>5.9788758958883442E-2</v>
          </cell>
          <cell r="DK124">
            <v>6.2977099236641215E-2</v>
          </cell>
          <cell r="DL124">
            <v>6.5452578434908038E-2</v>
          </cell>
          <cell r="DM124">
            <v>6.4880350522413213E-2</v>
          </cell>
          <cell r="DN124">
            <v>6.1130334486735868E-2</v>
          </cell>
          <cell r="DO124">
            <v>5.6954252379490332E-2</v>
          </cell>
          <cell r="EB124" t="str">
            <v>G&amp;A/Sales</v>
          </cell>
          <cell r="EG124">
            <v>6.7551426675514267E-2</v>
          </cell>
          <cell r="EH124">
            <v>6.3623172229043415E-2</v>
          </cell>
        </row>
        <row r="125">
          <cell r="BW125" t="str">
            <v>subtotal</v>
          </cell>
          <cell r="CG125" t="str">
            <v>Proceeds from sale of assets</v>
          </cell>
          <cell r="CH125">
            <v>1</v>
          </cell>
          <cell r="CI125">
            <v>5</v>
          </cell>
          <cell r="CJ125">
            <v>-6</v>
          </cell>
          <cell r="CK125">
            <v>33</v>
          </cell>
          <cell r="CL125">
            <v>0</v>
          </cell>
          <cell r="CM125">
            <v>0</v>
          </cell>
          <cell r="CN125">
            <v>81</v>
          </cell>
          <cell r="CO125">
            <v>15</v>
          </cell>
          <cell r="CQ125" t="str">
            <v>Sales/Employee ($K)</v>
          </cell>
          <cell r="CR125">
            <v>239.07514450867052</v>
          </cell>
          <cell r="CS125">
            <v>261.64179104477608</v>
          </cell>
          <cell r="CT125">
            <v>245.99250936329588</v>
          </cell>
          <cell r="CU125">
            <v>0.28374531835205991</v>
          </cell>
          <cell r="CV125">
            <v>238.52112676056339</v>
          </cell>
          <cell r="CW125">
            <v>271.97207678883075</v>
          </cell>
          <cell r="CX125">
            <v>260.38863976083707</v>
          </cell>
          <cell r="CY125">
            <v>288.47560975609758</v>
          </cell>
          <cell r="DA125" t="str">
            <v>G&amp;A</v>
          </cell>
          <cell r="DB125">
            <v>298</v>
          </cell>
          <cell r="DC125">
            <v>273</v>
          </cell>
          <cell r="DD125">
            <v>283</v>
          </cell>
          <cell r="DE125">
            <v>302</v>
          </cell>
          <cell r="DG125" t="str">
            <v>Employees</v>
          </cell>
          <cell r="DH125">
            <v>69400</v>
          </cell>
          <cell r="DI125">
            <v>69600</v>
          </cell>
          <cell r="DJ125">
            <v>70600</v>
          </cell>
          <cell r="DK125">
            <v>70900</v>
          </cell>
          <cell r="DL125">
            <v>72700</v>
          </cell>
          <cell r="DM125">
            <v>81900</v>
          </cell>
          <cell r="DN125">
            <v>81100</v>
          </cell>
          <cell r="DO125">
            <v>81000</v>
          </cell>
          <cell r="EB125" t="str">
            <v>Employees</v>
          </cell>
          <cell r="EG125">
            <v>38440</v>
          </cell>
          <cell r="EH125">
            <v>43400</v>
          </cell>
        </row>
        <row r="126">
          <cell r="BW126" t="str">
            <v>Estimated GD "Free" Cash Position ($MM)</v>
          </cell>
          <cell r="CG126" t="str">
            <v>Other</v>
          </cell>
          <cell r="CH126">
            <v>-2</v>
          </cell>
          <cell r="CI126">
            <v>-3</v>
          </cell>
          <cell r="CJ126">
            <v>7</v>
          </cell>
          <cell r="CK126">
            <v>-11</v>
          </cell>
          <cell r="CL126">
            <v>-2</v>
          </cell>
          <cell r="CM126">
            <v>-1</v>
          </cell>
          <cell r="CN126">
            <v>-14</v>
          </cell>
          <cell r="CO126">
            <v>-15</v>
          </cell>
          <cell r="CQ126" t="str">
            <v>R&amp;D (included in Overhead)</v>
          </cell>
          <cell r="CR126">
            <v>51</v>
          </cell>
          <cell r="CS126">
            <v>75</v>
          </cell>
          <cell r="CT126">
            <v>63</v>
          </cell>
          <cell r="CU126">
            <v>62</v>
          </cell>
          <cell r="CV126">
            <v>68</v>
          </cell>
          <cell r="CW126">
            <v>65</v>
          </cell>
          <cell r="CX126">
            <v>74</v>
          </cell>
          <cell r="CY126">
            <v>75</v>
          </cell>
          <cell r="DA126" t="str">
            <v>G&amp;A/Sales</v>
          </cell>
          <cell r="DB126">
            <v>6.4141196728368488E-2</v>
          </cell>
          <cell r="DC126">
            <v>5.868443680137575E-2</v>
          </cell>
          <cell r="DD126">
            <v>6.0899505057026036E-2</v>
          </cell>
          <cell r="DE126">
            <v>6.1344708511070482E-2</v>
          </cell>
          <cell r="DG126" t="str">
            <v>Sales/Employee ($K)</v>
          </cell>
          <cell r="DH126">
            <v>275.04322766570601</v>
          </cell>
          <cell r="DI126">
            <v>295.22988505747128</v>
          </cell>
          <cell r="DJ126">
            <v>300.39660056657226</v>
          </cell>
          <cell r="DK126">
            <v>325.19040902679831</v>
          </cell>
          <cell r="DL126">
            <v>305.14442916093532</v>
          </cell>
          <cell r="DM126">
            <v>289.81684981684981</v>
          </cell>
          <cell r="DN126">
            <v>299.33415536374849</v>
          </cell>
          <cell r="DO126">
            <v>321.67901234567898</v>
          </cell>
          <cell r="EB126" t="str">
            <v>Sales/Employee ($K)</v>
          </cell>
          <cell r="EG126">
            <v>196.01977107180022</v>
          </cell>
          <cell r="EH126">
            <v>206.42857142857144</v>
          </cell>
        </row>
        <row r="127">
          <cell r="CG127" t="str">
            <v>Net cash (used) provided by investing activities</v>
          </cell>
          <cell r="CH127">
            <v>-88</v>
          </cell>
          <cell r="CI127">
            <v>-125</v>
          </cell>
          <cell r="CJ127">
            <v>-39</v>
          </cell>
          <cell r="CK127">
            <v>-77</v>
          </cell>
          <cell r="CL127">
            <v>-340</v>
          </cell>
          <cell r="CM127">
            <v>-414</v>
          </cell>
          <cell r="CN127">
            <v>-871</v>
          </cell>
          <cell r="CO127">
            <v>-121</v>
          </cell>
          <cell r="CQ127" t="str">
            <v>R&amp;D/Sales</v>
          </cell>
          <cell r="CR127">
            <v>1.6441005802707929E-2</v>
          </cell>
          <cell r="CS127">
            <v>2.1391899600684539E-2</v>
          </cell>
          <cell r="CT127">
            <v>1.9183922046285017E-2</v>
          </cell>
          <cell r="CU127">
            <v>1.6367476240760296E-2</v>
          </cell>
          <cell r="CV127">
            <v>2.0076764098021848E-2</v>
          </cell>
          <cell r="CW127">
            <v>1.6683778234086243E-2</v>
          </cell>
          <cell r="CX127">
            <v>1.6991963260619976E-2</v>
          </cell>
          <cell r="CY127">
            <v>1.5852885225110969E-2</v>
          </cell>
          <cell r="DA127" t="str">
            <v>Employees</v>
          </cell>
          <cell r="DB127">
            <v>68400</v>
          </cell>
          <cell r="DC127">
            <v>69400</v>
          </cell>
          <cell r="DD127">
            <v>69300</v>
          </cell>
          <cell r="DE127">
            <v>70000</v>
          </cell>
          <cell r="DG127" t="str">
            <v>R&amp;D (included in Overhead)</v>
          </cell>
          <cell r="DH127">
            <v>80</v>
          </cell>
          <cell r="DI127">
            <v>87</v>
          </cell>
          <cell r="DJ127">
            <v>86</v>
          </cell>
          <cell r="DK127">
            <v>91</v>
          </cell>
          <cell r="DL127">
            <v>83</v>
          </cell>
          <cell r="DM127">
            <v>93</v>
          </cell>
          <cell r="DN127">
            <v>100</v>
          </cell>
          <cell r="DO127">
            <v>101</v>
          </cell>
          <cell r="EB127" t="str">
            <v>R&amp;D (included in Overhead)</v>
          </cell>
          <cell r="EC127">
            <v>30</v>
          </cell>
          <cell r="EE127">
            <v>38</v>
          </cell>
          <cell r="EF127">
            <v>55</v>
          </cell>
          <cell r="EG127">
            <v>93</v>
          </cell>
          <cell r="EH127">
            <v>103</v>
          </cell>
        </row>
        <row r="128">
          <cell r="DA128" t="str">
            <v>Sales/Employee ($K)</v>
          </cell>
          <cell r="DB128">
            <v>271.69590643274853</v>
          </cell>
          <cell r="DC128">
            <v>268.12680115273776</v>
          </cell>
          <cell r="DD128">
            <v>268.22510822510822</v>
          </cell>
          <cell r="DE128">
            <v>281.31428571428569</v>
          </cell>
          <cell r="DG128" t="str">
            <v>R&amp;D/Sales</v>
          </cell>
          <cell r="DH128">
            <v>1.6764459346186086E-2</v>
          </cell>
          <cell r="DI128">
            <v>1.6935954837453766E-2</v>
          </cell>
          <cell r="DJ128">
            <v>1.6220294228592985E-2</v>
          </cell>
          <cell r="DK128">
            <v>1.5787647467036779E-2</v>
          </cell>
          <cell r="DL128">
            <v>1.4965741074648395E-2</v>
          </cell>
          <cell r="DM128">
            <v>1.5672396359959553E-2</v>
          </cell>
          <cell r="DN128">
            <v>1.6477179106936891E-2</v>
          </cell>
          <cell r="DO128">
            <v>1.5505066011667179E-2</v>
          </cell>
          <cell r="EB128" t="str">
            <v>R&amp;D/Sales</v>
          </cell>
          <cell r="EC128">
            <v>9.8103335513407448E-3</v>
          </cell>
          <cell r="ED128">
            <v>0</v>
          </cell>
          <cell r="EE128">
            <v>1.0611561016475845E-2</v>
          </cell>
          <cell r="EF128">
            <v>9.1225742245811901E-3</v>
          </cell>
          <cell r="EG128">
            <v>1.2342402123424022E-2</v>
          </cell>
          <cell r="EH128">
            <v>1.1496818841388548E-2</v>
          </cell>
        </row>
        <row r="129">
          <cell r="BW129" t="str">
            <v>Operations</v>
          </cell>
          <cell r="CG129" t="str">
            <v>Cash Flows from Financing Activities:</v>
          </cell>
          <cell r="CQ129" t="str">
            <v>Customers by Revenues</v>
          </cell>
          <cell r="DA129" t="str">
            <v>R&amp;D (included in Overhead)</v>
          </cell>
          <cell r="DB129">
            <v>93</v>
          </cell>
          <cell r="DC129">
            <v>91</v>
          </cell>
          <cell r="DD129">
            <v>65</v>
          </cell>
          <cell r="DE129">
            <v>77</v>
          </cell>
        </row>
        <row r="130">
          <cell r="BW130" t="str">
            <v>Net Income</v>
          </cell>
          <cell r="CG130" t="str">
            <v>Net (repayments) proceeds from commercial paper</v>
          </cell>
          <cell r="CH130">
            <v>144</v>
          </cell>
          <cell r="CI130">
            <v>-99</v>
          </cell>
          <cell r="CJ130">
            <v>-64</v>
          </cell>
          <cell r="CK130">
            <v>-489</v>
          </cell>
          <cell r="CL130">
            <v>565</v>
          </cell>
          <cell r="CM130">
            <v>46</v>
          </cell>
          <cell r="CN130">
            <v>1036</v>
          </cell>
          <cell r="CO130">
            <v>-822</v>
          </cell>
          <cell r="CQ130" t="str">
            <v>US Government (Defense)</v>
          </cell>
          <cell r="DA130" t="str">
            <v>R&amp;D/Sales</v>
          </cell>
          <cell r="DB130">
            <v>2.0017219113215669E-2</v>
          </cell>
          <cell r="DC130">
            <v>1.9561478933791919E-2</v>
          </cell>
          <cell r="DD130">
            <v>1.398751882935227E-2</v>
          </cell>
          <cell r="DE130">
            <v>1.5640869388584198E-2</v>
          </cell>
          <cell r="DG130" t="str">
            <v>Customers by Revenues</v>
          </cell>
          <cell r="EB130" t="str">
            <v>Customers by Revenues</v>
          </cell>
        </row>
        <row r="131">
          <cell r="BW131" t="str">
            <v>Depn/Depletion</v>
          </cell>
          <cell r="CG131" t="str">
            <v>Repayment of finance operations debt</v>
          </cell>
          <cell r="CH131">
            <v>-3</v>
          </cell>
          <cell r="CI131">
            <v>0</v>
          </cell>
          <cell r="CJ131">
            <v>-9</v>
          </cell>
          <cell r="CK131">
            <v>-6</v>
          </cell>
          <cell r="CL131">
            <v>-146</v>
          </cell>
          <cell r="CM131">
            <v>-11</v>
          </cell>
          <cell r="CN131">
            <v>-1</v>
          </cell>
          <cell r="CO131">
            <v>138</v>
          </cell>
          <cell r="CQ131" t="str">
            <v>Direct</v>
          </cell>
          <cell r="DG131" t="str">
            <v>US Government (Defense)</v>
          </cell>
          <cell r="EB131" t="str">
            <v>US Government (Defense)</v>
          </cell>
        </row>
        <row r="132">
          <cell r="BW132" t="str">
            <v>Goodwill Amort</v>
          </cell>
          <cell r="CG132" t="str">
            <v>Net repayments of other debt</v>
          </cell>
          <cell r="CH132">
            <v>0</v>
          </cell>
          <cell r="CI132">
            <v>-9</v>
          </cell>
          <cell r="CJ132">
            <v>6</v>
          </cell>
          <cell r="CK132">
            <v>-7</v>
          </cell>
          <cell r="CL132">
            <v>-4</v>
          </cell>
          <cell r="CM132">
            <v>4</v>
          </cell>
          <cell r="CN132">
            <v>0</v>
          </cell>
          <cell r="CO132">
            <v>-133</v>
          </cell>
          <cell r="CQ132" t="str">
            <v>Foreign Military Sales</v>
          </cell>
          <cell r="DA132" t="str">
            <v>Customers by Revenues</v>
          </cell>
          <cell r="DG132" t="str">
            <v>Direct</v>
          </cell>
          <cell r="EB132" t="str">
            <v>Direct</v>
          </cell>
          <cell r="EH132">
            <v>5104</v>
          </cell>
        </row>
        <row r="133">
          <cell r="BW133" t="str">
            <v>Capex</v>
          </cell>
          <cell r="CG133" t="str">
            <v>Dividends paid</v>
          </cell>
          <cell r="CH133">
            <v>-48</v>
          </cell>
          <cell r="CI133">
            <v>-52</v>
          </cell>
          <cell r="CJ133">
            <v>-51</v>
          </cell>
          <cell r="CK133">
            <v>-51</v>
          </cell>
          <cell r="CL133">
            <v>-52</v>
          </cell>
          <cell r="CM133">
            <v>-56</v>
          </cell>
          <cell r="CN133">
            <v>-55</v>
          </cell>
          <cell r="CO133">
            <v>-56</v>
          </cell>
          <cell r="CQ133" t="str">
            <v>Subtotal US Gov</v>
          </cell>
          <cell r="DA133" t="str">
            <v>US Government (Defense)</v>
          </cell>
          <cell r="DG133" t="str">
            <v>Foreign Military Sales</v>
          </cell>
          <cell r="EB133" t="str">
            <v>Foreign Military Sales</v>
          </cell>
          <cell r="EH133">
            <v>99</v>
          </cell>
        </row>
        <row r="134">
          <cell r="BW134" t="str">
            <v>Defd. Taxes</v>
          </cell>
          <cell r="CG134" t="str">
            <v>Purchases of common stock</v>
          </cell>
          <cell r="CH134">
            <v>-43</v>
          </cell>
          <cell r="CI134">
            <v>-146</v>
          </cell>
          <cell r="CJ134">
            <v>-19</v>
          </cell>
          <cell r="CK134">
            <v>0</v>
          </cell>
          <cell r="CL134">
            <v>-20</v>
          </cell>
          <cell r="CM134">
            <v>0</v>
          </cell>
          <cell r="CN134">
            <v>0</v>
          </cell>
          <cell r="CO134">
            <v>-93</v>
          </cell>
          <cell r="CQ134" t="str">
            <v>US Commercial</v>
          </cell>
          <cell r="DA134" t="str">
            <v>Direct</v>
          </cell>
          <cell r="DG134" t="str">
            <v>Subtotal US Gov</v>
          </cell>
          <cell r="EB134" t="str">
            <v>Subtotal US Gov</v>
          </cell>
          <cell r="EH134">
            <v>5203</v>
          </cell>
        </row>
        <row r="135">
          <cell r="BW135" t="str">
            <v>Dividends</v>
          </cell>
          <cell r="CG135" t="str">
            <v>Proceeds from option exercises</v>
          </cell>
          <cell r="CH135">
            <v>2</v>
          </cell>
          <cell r="CI135">
            <v>23</v>
          </cell>
          <cell r="CJ135">
            <v>22</v>
          </cell>
          <cell r="CK135">
            <v>64</v>
          </cell>
          <cell r="CL135">
            <v>14</v>
          </cell>
          <cell r="CM135">
            <v>24</v>
          </cell>
          <cell r="CN135">
            <v>20</v>
          </cell>
          <cell r="CO135">
            <v>10</v>
          </cell>
          <cell r="CQ135" t="str">
            <v>Int'l Defense</v>
          </cell>
          <cell r="DA135" t="str">
            <v>Foreign Military Sales</v>
          </cell>
          <cell r="DG135" t="str">
            <v>US Commercial</v>
          </cell>
          <cell r="EB135" t="str">
            <v>US Commercial</v>
          </cell>
          <cell r="EH135">
            <v>2790</v>
          </cell>
        </row>
        <row r="136">
          <cell r="BW136" t="str">
            <v>W.C./Other</v>
          </cell>
          <cell r="CG136" t="str">
            <v>Other</v>
          </cell>
          <cell r="CH136">
            <v>0</v>
          </cell>
          <cell r="CI136">
            <v>0</v>
          </cell>
          <cell r="CJ136">
            <v>0</v>
          </cell>
          <cell r="CK136">
            <v>0</v>
          </cell>
          <cell r="CL136">
            <v>7</v>
          </cell>
          <cell r="CM136">
            <v>0</v>
          </cell>
          <cell r="CN136">
            <v>-7</v>
          </cell>
          <cell r="CO136">
            <v>500</v>
          </cell>
          <cell r="CQ136" t="str">
            <v>Int'l Commercial</v>
          </cell>
          <cell r="DA136" t="str">
            <v>Subtotal US Gov</v>
          </cell>
          <cell r="DG136" t="str">
            <v>Int'l Defense</v>
          </cell>
          <cell r="EB136" t="str">
            <v>Int'l Defense</v>
          </cell>
        </row>
        <row r="137">
          <cell r="BW137" t="str">
            <v>- subtotal</v>
          </cell>
          <cell r="CG137" t="str">
            <v>Net cash (used) provided by financing activities</v>
          </cell>
          <cell r="CH137">
            <v>52</v>
          </cell>
          <cell r="CI137">
            <v>-283</v>
          </cell>
          <cell r="CJ137">
            <v>-115</v>
          </cell>
          <cell r="CK137">
            <v>-489</v>
          </cell>
          <cell r="CL137">
            <v>364</v>
          </cell>
          <cell r="CM137">
            <v>7</v>
          </cell>
          <cell r="CN137">
            <v>993</v>
          </cell>
          <cell r="CO137">
            <v>-456</v>
          </cell>
          <cell r="CQ137" t="str">
            <v>Total</v>
          </cell>
          <cell r="DA137" t="str">
            <v>US Commercial</v>
          </cell>
          <cell r="DG137" t="str">
            <v>Int'l Commercial</v>
          </cell>
          <cell r="EB137" t="str">
            <v>Int'l Commercial</v>
          </cell>
        </row>
        <row r="138">
          <cell r="BW138" t="str">
            <v>Non-Opns/Discretionary</v>
          </cell>
          <cell r="CQ138" t="str">
            <v>Customers as % of Revenues</v>
          </cell>
          <cell r="DA138" t="str">
            <v>Int'l Defense</v>
          </cell>
          <cell r="DG138" t="str">
            <v>Total</v>
          </cell>
          <cell r="EB138" t="str">
            <v>Total</v>
          </cell>
        </row>
        <row r="139">
          <cell r="BW139" t="str">
            <v>Real Estate &amp; Asset Sales</v>
          </cell>
          <cell r="CG139" t="str">
            <v>Net (decrease) increase in cash and equivalents</v>
          </cell>
          <cell r="CH139">
            <v>-34</v>
          </cell>
          <cell r="CI139">
            <v>39</v>
          </cell>
          <cell r="CJ139">
            <v>92</v>
          </cell>
          <cell r="CK139">
            <v>-190</v>
          </cell>
          <cell r="CL139">
            <v>103</v>
          </cell>
          <cell r="CM139">
            <v>-117</v>
          </cell>
          <cell r="CN139">
            <v>416</v>
          </cell>
          <cell r="CO139">
            <v>-137</v>
          </cell>
          <cell r="CQ139" t="str">
            <v>US Government (Defense)</v>
          </cell>
          <cell r="DA139" t="str">
            <v>Int'l Commercial</v>
          </cell>
          <cell r="DG139" t="str">
            <v>Customers as % of Revenues</v>
          </cell>
          <cell r="EB139" t="str">
            <v>Customers as % of Revenues</v>
          </cell>
        </row>
        <row r="140">
          <cell r="BW140" t="str">
            <v>R&amp;D Tax refund</v>
          </cell>
          <cell r="CG140" t="str">
            <v>Cash and equivalents at beginning of period</v>
          </cell>
          <cell r="CH140">
            <v>270</v>
          </cell>
          <cell r="CI140">
            <v>236</v>
          </cell>
          <cell r="CJ140">
            <v>275</v>
          </cell>
          <cell r="CK140">
            <v>367</v>
          </cell>
          <cell r="CL140">
            <v>177</v>
          </cell>
          <cell r="CM140">
            <v>280</v>
          </cell>
          <cell r="CN140">
            <v>163</v>
          </cell>
          <cell r="CO140">
            <v>579</v>
          </cell>
          <cell r="CQ140" t="str">
            <v>Direct</v>
          </cell>
          <cell r="DA140" t="str">
            <v>Total</v>
          </cell>
          <cell r="DG140" t="str">
            <v>US Government (Defense)</v>
          </cell>
          <cell r="EB140" t="str">
            <v>US Government (Defense)</v>
          </cell>
        </row>
        <row r="141">
          <cell r="CG141" t="str">
            <v>Cash and equivalents at end of period</v>
          </cell>
          <cell r="CH141">
            <v>236</v>
          </cell>
          <cell r="CI141">
            <v>275</v>
          </cell>
          <cell r="CJ141">
            <v>367</v>
          </cell>
          <cell r="CK141">
            <v>177</v>
          </cell>
          <cell r="CL141">
            <v>280</v>
          </cell>
          <cell r="CM141">
            <v>163</v>
          </cell>
          <cell r="CN141">
            <v>579</v>
          </cell>
          <cell r="CO141">
            <v>442</v>
          </cell>
          <cell r="CQ141" t="str">
            <v>Foreign Military Sales</v>
          </cell>
          <cell r="DA141" t="str">
            <v>Customers as % of Revenues</v>
          </cell>
          <cell r="DG141" t="str">
            <v>Direct</v>
          </cell>
          <cell r="EB141" t="str">
            <v>Direct</v>
          </cell>
          <cell r="EH141">
            <v>0.56970644045094321</v>
          </cell>
        </row>
        <row r="142">
          <cell r="BW142" t="str">
            <v>Acquis./Divests</v>
          </cell>
          <cell r="CQ142" t="str">
            <v>Subtotal US Gov</v>
          </cell>
          <cell r="DA142" t="str">
            <v>US Government (Defense)</v>
          </cell>
          <cell r="DG142" t="str">
            <v>Foreign Military Sales</v>
          </cell>
          <cell r="EB142" t="str">
            <v>Foreign Military Sales</v>
          </cell>
          <cell r="EH142">
            <v>1.1050340439781226E-2</v>
          </cell>
        </row>
        <row r="143">
          <cell r="BW143" t="str">
            <v>Stock Repurchase</v>
          </cell>
          <cell r="CQ143" t="str">
            <v>US Commercial</v>
          </cell>
          <cell r="DA143" t="str">
            <v>Direct</v>
          </cell>
          <cell r="DG143" t="str">
            <v>Subtotal US Gov</v>
          </cell>
          <cell r="EB143" t="str">
            <v>Subtotal US Gov</v>
          </cell>
          <cell r="EH143">
            <v>0.58075678089072447</v>
          </cell>
        </row>
        <row r="144">
          <cell r="BW144" t="str">
            <v>Securities sales (purchases)</v>
          </cell>
          <cell r="CQ144" t="str">
            <v>Int'l Defense</v>
          </cell>
          <cell r="DA144" t="str">
            <v>Foreign Military Sales</v>
          </cell>
          <cell r="DG144" t="str">
            <v>US Commercial</v>
          </cell>
          <cell r="EB144" t="str">
            <v>US Commercial</v>
          </cell>
          <cell r="EH144">
            <v>0.31141868512110726</v>
          </cell>
        </row>
        <row r="145">
          <cell r="BW145" t="str">
            <v>A-12/Restruct.</v>
          </cell>
          <cell r="CQ145" t="str">
            <v>Int'l Commercial</v>
          </cell>
          <cell r="DA145" t="str">
            <v>Subtotal US Gov</v>
          </cell>
          <cell r="DG145" t="str">
            <v>Int'l Defense</v>
          </cell>
          <cell r="EB145" t="str">
            <v>Int'l Defense</v>
          </cell>
        </row>
        <row r="146">
          <cell r="BW146" t="str">
            <v>Finance operations leases</v>
          </cell>
          <cell r="CQ146" t="str">
            <v>Total</v>
          </cell>
          <cell r="DA146" t="str">
            <v>US Commercial</v>
          </cell>
          <cell r="DG146" t="str">
            <v>Int'l Commercial</v>
          </cell>
          <cell r="EB146" t="str">
            <v>Int'l Commercial</v>
          </cell>
        </row>
        <row r="147">
          <cell r="BW147" t="str">
            <v>Other</v>
          </cell>
          <cell r="CQ147" t="str">
            <v xml:space="preserve">Government Contracts </v>
          </cell>
          <cell r="DA147" t="str">
            <v>Int'l Defense</v>
          </cell>
          <cell r="DG147" t="str">
            <v>Total</v>
          </cell>
          <cell r="EB147" t="str">
            <v>Total</v>
          </cell>
        </row>
        <row r="148">
          <cell r="BW148" t="str">
            <v>- subtotal</v>
          </cell>
          <cell r="CQ148" t="str">
            <v>Cost-reimburesable</v>
          </cell>
          <cell r="DA148" t="str">
            <v>Int'l Commercial</v>
          </cell>
          <cell r="DG148" t="str">
            <v xml:space="preserve">Government Contracts </v>
          </cell>
          <cell r="EB148" t="str">
            <v xml:space="preserve">Government Contracts </v>
          </cell>
        </row>
        <row r="149">
          <cell r="BW149" t="str">
            <v>Cash Throwoff</v>
          </cell>
          <cell r="CQ149" t="str">
            <v>Fixed-price</v>
          </cell>
          <cell r="DA149" t="str">
            <v>Total</v>
          </cell>
          <cell r="DG149" t="str">
            <v>Cost-reimburesable</v>
          </cell>
          <cell r="EB149" t="str">
            <v>Cost-reimburesable</v>
          </cell>
        </row>
        <row r="150">
          <cell r="DA150" t="str">
            <v xml:space="preserve">Government Contracts </v>
          </cell>
          <cell r="DG150" t="str">
            <v>Fixed-price</v>
          </cell>
          <cell r="EB150" t="str">
            <v>Fixed-price</v>
          </cell>
        </row>
        <row r="151">
          <cell r="BW151" t="str">
            <v>Debt issuance (repayment)</v>
          </cell>
          <cell r="DA151" t="str">
            <v>Cost-reimburesable</v>
          </cell>
        </row>
        <row r="152">
          <cell r="BW152" t="str">
            <v>Finance operations debt</v>
          </cell>
          <cell r="DA152" t="str">
            <v>Fixed-price</v>
          </cell>
        </row>
        <row r="154">
          <cell r="BW154" t="str">
            <v>Increase (decrease) in Cash and Equivalents</v>
          </cell>
          <cell r="CQ154" t="str">
            <v>General Dynamics</v>
          </cell>
          <cell r="DG154" t="str">
            <v>General Dynamics</v>
          </cell>
          <cell r="EB154" t="str">
            <v>General Dynamics</v>
          </cell>
        </row>
        <row r="155">
          <cell r="CQ155" t="str">
            <v>Cash Flow Model</v>
          </cell>
          <cell r="DG155" t="str">
            <v>Cash Flow Model</v>
          </cell>
          <cell r="EB155" t="str">
            <v>Cash Flow Model</v>
          </cell>
        </row>
        <row r="156">
          <cell r="BW156" t="str">
            <v>CASH FLOW/NINC</v>
          </cell>
          <cell r="CQ156" t="str">
            <v>Cash Flows from Operating Activities:</v>
          </cell>
          <cell r="DA156" t="str">
            <v>General Dynamics</v>
          </cell>
          <cell r="DG156" t="str">
            <v>($USD in Millions, Except EPS)</v>
          </cell>
          <cell r="DH156">
            <v>2005</v>
          </cell>
          <cell r="DL156">
            <v>2006</v>
          </cell>
          <cell r="EB156" t="str">
            <v>($USD in Millions, Except EPS)</v>
          </cell>
        </row>
        <row r="157">
          <cell r="CQ157" t="str">
            <v>Net earnings</v>
          </cell>
          <cell r="CR157">
            <v>231.87</v>
          </cell>
          <cell r="CS157">
            <v>272.24</v>
          </cell>
          <cell r="CT157">
            <v>278.49571000000003</v>
          </cell>
          <cell r="CU157">
            <v>258.85700000000003</v>
          </cell>
          <cell r="CV157">
            <v>217.97</v>
          </cell>
          <cell r="CW157">
            <v>239.85999999999999</v>
          </cell>
          <cell r="CX157">
            <v>248.845</v>
          </cell>
          <cell r="CY157">
            <v>275</v>
          </cell>
          <cell r="DA157" t="str">
            <v>Cash Flow Model</v>
          </cell>
          <cell r="DH157" t="str">
            <v xml:space="preserve">Q1 </v>
          </cell>
          <cell r="DI157" t="str">
            <v xml:space="preserve">Q2 </v>
          </cell>
          <cell r="DJ157" t="str">
            <v xml:space="preserve">Q3 </v>
          </cell>
          <cell r="DK157" t="str">
            <v xml:space="preserve">Q4 </v>
          </cell>
          <cell r="DL157" t="str">
            <v xml:space="preserve">Q1 </v>
          </cell>
          <cell r="DM157" t="str">
            <v>Q2</v>
          </cell>
          <cell r="DN157" t="str">
            <v xml:space="preserve">Q3 </v>
          </cell>
          <cell r="DO157" t="str">
            <v xml:space="preserve">Q4 </v>
          </cell>
          <cell r="EC157">
            <v>1994</v>
          </cell>
          <cell r="ED157">
            <v>1995</v>
          </cell>
          <cell r="EE157">
            <v>1996</v>
          </cell>
          <cell r="EF157">
            <v>1997</v>
          </cell>
          <cell r="EG157" t="str">
            <v>1998</v>
          </cell>
          <cell r="EH157">
            <v>1999</v>
          </cell>
        </row>
        <row r="158">
          <cell r="BW158" t="str">
            <v>Cash - Begin'g</v>
          </cell>
          <cell r="CQ158" t="str">
            <v>Adjustments to reconcile net earnings</v>
          </cell>
          <cell r="DA158" t="str">
            <v>($USD in Millions, Except EPS)</v>
          </cell>
          <cell r="DB158">
            <v>2004</v>
          </cell>
          <cell r="DG158" t="str">
            <v>Cash Flows from Operating Activities:</v>
          </cell>
          <cell r="EB158" t="str">
            <v>Cash Flows from Operating Activities:</v>
          </cell>
        </row>
        <row r="159">
          <cell r="BW159" t="str">
            <v>Cash - Endin'g</v>
          </cell>
          <cell r="CQ159" t="str">
            <v xml:space="preserve">    Depreciation, depletion and amortization - PPE</v>
          </cell>
          <cell r="CR159">
            <v>45</v>
          </cell>
          <cell r="CS159">
            <v>49</v>
          </cell>
          <cell r="CT159">
            <v>50</v>
          </cell>
          <cell r="CU159">
            <v>33</v>
          </cell>
          <cell r="CV159">
            <v>47</v>
          </cell>
          <cell r="CW159">
            <v>46</v>
          </cell>
          <cell r="CX159">
            <v>52</v>
          </cell>
          <cell r="CY159">
            <v>59</v>
          </cell>
          <cell r="DB159" t="str">
            <v xml:space="preserve">Q1 </v>
          </cell>
          <cell r="DC159" t="str">
            <v xml:space="preserve">Q2 </v>
          </cell>
          <cell r="DD159" t="str">
            <v xml:space="preserve">Q3 </v>
          </cell>
          <cell r="DE159" t="str">
            <v xml:space="preserve">Q4 </v>
          </cell>
          <cell r="DG159" t="str">
            <v>Net earnings</v>
          </cell>
          <cell r="DH159">
            <v>336</v>
          </cell>
          <cell r="DI159">
            <v>345</v>
          </cell>
          <cell r="DJ159">
            <v>374</v>
          </cell>
          <cell r="DK159">
            <v>406</v>
          </cell>
          <cell r="DL159">
            <v>374</v>
          </cell>
          <cell r="DM159">
            <v>636</v>
          </cell>
          <cell r="DN159">
            <v>438</v>
          </cell>
          <cell r="DO159">
            <v>408</v>
          </cell>
          <cell r="EB159" t="str">
            <v>Net earnings</v>
          </cell>
          <cell r="EH159">
            <v>880.73199999999997</v>
          </cell>
        </row>
        <row r="160">
          <cell r="BW160" t="str">
            <v>Ending Marketable Securities</v>
          </cell>
          <cell r="CQ160" t="str">
            <v xml:space="preserve">    Amortization of intangible assets &amp; goodwill </v>
          </cell>
          <cell r="CR160">
            <v>7</v>
          </cell>
          <cell r="CS160">
            <v>10</v>
          </cell>
          <cell r="CT160">
            <v>8</v>
          </cell>
          <cell r="CU160">
            <v>6</v>
          </cell>
          <cell r="CV160">
            <v>10</v>
          </cell>
          <cell r="CW160">
            <v>10</v>
          </cell>
          <cell r="CX160">
            <v>28</v>
          </cell>
          <cell r="CY160">
            <v>18</v>
          </cell>
          <cell r="DA160" t="str">
            <v>Cash Flows from Operating Activities:</v>
          </cell>
          <cell r="DG160" t="str">
            <v>Adjustments to reconcile net earnings</v>
          </cell>
          <cell r="EB160" t="str">
            <v>Adjustments to reconcile net earnings</v>
          </cell>
        </row>
        <row r="161">
          <cell r="BW161" t="str">
            <v>Ending Cash &amp; Marketable Securities</v>
          </cell>
          <cell r="CQ161" t="str">
            <v xml:space="preserve">    Recognition of pension gains previously deferred</v>
          </cell>
          <cell r="CR161">
            <v>0</v>
          </cell>
          <cell r="CS161">
            <v>0</v>
          </cell>
          <cell r="CT161">
            <v>0</v>
          </cell>
          <cell r="CU161">
            <v>0</v>
          </cell>
          <cell r="CV161">
            <v>0</v>
          </cell>
          <cell r="CW161">
            <v>0</v>
          </cell>
          <cell r="CX161">
            <v>0</v>
          </cell>
          <cell r="CY161">
            <v>0</v>
          </cell>
          <cell r="DA161" t="str">
            <v>Net earnings</v>
          </cell>
          <cell r="DB161">
            <v>264.9975</v>
          </cell>
          <cell r="DC161">
            <v>290</v>
          </cell>
          <cell r="DD161">
            <v>320.00000000000006</v>
          </cell>
          <cell r="DE161">
            <v>352.00250000000005</v>
          </cell>
          <cell r="DG161" t="str">
            <v>Depreciation, depletion and amortization - PPE</v>
          </cell>
          <cell r="DH161">
            <v>58</v>
          </cell>
          <cell r="DI161">
            <v>54</v>
          </cell>
          <cell r="DJ161">
            <v>56</v>
          </cell>
          <cell r="DK161">
            <v>58</v>
          </cell>
          <cell r="DL161">
            <v>55</v>
          </cell>
          <cell r="DM161">
            <v>65</v>
          </cell>
          <cell r="DN161">
            <v>59</v>
          </cell>
          <cell r="DO161">
            <v>72</v>
          </cell>
          <cell r="EB161" t="str">
            <v>Depreciation, depletion and amortization - PPE</v>
          </cell>
          <cell r="EH161">
            <v>129</v>
          </cell>
        </row>
        <row r="162">
          <cell r="CQ162" t="str">
            <v xml:space="preserve">    Amortization of debt issuance costs</v>
          </cell>
          <cell r="CR162">
            <v>0</v>
          </cell>
          <cell r="CS162">
            <v>0</v>
          </cell>
          <cell r="CT162">
            <v>0</v>
          </cell>
          <cell r="CU162">
            <v>0</v>
          </cell>
          <cell r="CV162">
            <v>0</v>
          </cell>
          <cell r="CW162">
            <v>0</v>
          </cell>
          <cell r="CX162">
            <v>0</v>
          </cell>
          <cell r="CY162">
            <v>0</v>
          </cell>
          <cell r="DA162" t="str">
            <v>Adjustments to reconcile net earnings</v>
          </cell>
          <cell r="DG162" t="str">
            <v xml:space="preserve">Amortization of intangible assets &amp; goodwill </v>
          </cell>
          <cell r="DH162">
            <v>26</v>
          </cell>
          <cell r="DI162">
            <v>25</v>
          </cell>
          <cell r="DJ162">
            <v>25</v>
          </cell>
          <cell r="DK162">
            <v>25</v>
          </cell>
          <cell r="DL162">
            <v>27</v>
          </cell>
          <cell r="DM162">
            <v>30</v>
          </cell>
          <cell r="DN162">
            <v>38</v>
          </cell>
          <cell r="DO162">
            <v>38</v>
          </cell>
          <cell r="EB162" t="str">
            <v xml:space="preserve">Amortization of intangible assets &amp; goodwill </v>
          </cell>
          <cell r="EH162">
            <v>64</v>
          </cell>
        </row>
        <row r="163">
          <cell r="BW163" t="str">
            <v>Debt</v>
          </cell>
          <cell r="CQ163" t="str">
            <v>Decrease (increase) in assets, net of effect of business acq.</v>
          </cell>
          <cell r="DA163" t="str">
            <v xml:space="preserve">    Depreciation, depletion and amortization - PPE</v>
          </cell>
          <cell r="DB163">
            <v>54</v>
          </cell>
          <cell r="DC163">
            <v>61</v>
          </cell>
          <cell r="DD163">
            <v>61</v>
          </cell>
          <cell r="DE163">
            <v>37</v>
          </cell>
          <cell r="DG163" t="str">
            <v>Recognition of pension gains previously deferred</v>
          </cell>
          <cell r="DH163">
            <v>0</v>
          </cell>
          <cell r="DI163">
            <v>0</v>
          </cell>
          <cell r="DJ163">
            <v>0</v>
          </cell>
          <cell r="DK163">
            <v>0</v>
          </cell>
          <cell r="DL163">
            <v>0</v>
          </cell>
          <cell r="DM163">
            <v>0</v>
          </cell>
          <cell r="DN163">
            <v>0</v>
          </cell>
          <cell r="DO163">
            <v>0</v>
          </cell>
          <cell r="EB163" t="str">
            <v>Recognition of pension gains previously deferred</v>
          </cell>
          <cell r="EH163">
            <v>-126</v>
          </cell>
        </row>
        <row r="164">
          <cell r="BW164" t="str">
            <v>Net Cash (Debt)</v>
          </cell>
          <cell r="CQ164" t="str">
            <v xml:space="preserve">    Marketable securities</v>
          </cell>
          <cell r="CR164">
            <v>0</v>
          </cell>
          <cell r="CS164">
            <v>0</v>
          </cell>
          <cell r="CT164">
            <v>0</v>
          </cell>
          <cell r="CU164">
            <v>0</v>
          </cell>
          <cell r="CV164">
            <v>0</v>
          </cell>
          <cell r="CW164">
            <v>0</v>
          </cell>
          <cell r="CX164">
            <v>0</v>
          </cell>
          <cell r="DA164" t="str">
            <v xml:space="preserve">    Amortization of intangible assets &amp; goodwill </v>
          </cell>
          <cell r="DB164">
            <v>23</v>
          </cell>
          <cell r="DC164">
            <v>25</v>
          </cell>
          <cell r="DD164">
            <v>24</v>
          </cell>
          <cell r="DE164">
            <v>21</v>
          </cell>
          <cell r="DG164" t="str">
            <v>Amortization of debt issuance costs</v>
          </cell>
          <cell r="DH164">
            <v>0</v>
          </cell>
          <cell r="DI164">
            <v>0</v>
          </cell>
          <cell r="DJ164">
            <v>0</v>
          </cell>
          <cell r="DK164">
            <v>0</v>
          </cell>
          <cell r="DL164">
            <v>0</v>
          </cell>
          <cell r="DM164">
            <v>0</v>
          </cell>
          <cell r="DN164">
            <v>0</v>
          </cell>
          <cell r="DO164">
            <v>0</v>
          </cell>
          <cell r="EB164" t="str">
            <v>Amortization of debt issuance costs</v>
          </cell>
          <cell r="EH164">
            <v>7</v>
          </cell>
        </row>
        <row r="165">
          <cell r="BW165" t="str">
            <v xml:space="preserve">  -- Per Share</v>
          </cell>
          <cell r="CQ165" t="str">
            <v xml:space="preserve">    Accounts receivable</v>
          </cell>
          <cell r="CR165">
            <v>-214</v>
          </cell>
          <cell r="CS165">
            <v>-89</v>
          </cell>
          <cell r="CT165">
            <v>164</v>
          </cell>
          <cell r="CU165">
            <v>44</v>
          </cell>
          <cell r="CV165">
            <v>-41</v>
          </cell>
          <cell r="CW165">
            <v>33</v>
          </cell>
          <cell r="CX165">
            <v>34</v>
          </cell>
          <cell r="CY165">
            <v>35</v>
          </cell>
          <cell r="DA165" t="str">
            <v xml:space="preserve">    Recognition of pension gains previously deferred</v>
          </cell>
          <cell r="DB165">
            <v>0</v>
          </cell>
          <cell r="DC165">
            <v>0</v>
          </cell>
          <cell r="DD165">
            <v>0</v>
          </cell>
          <cell r="DE165">
            <v>0</v>
          </cell>
          <cell r="DG165" t="str">
            <v>Stock-based compensation expense</v>
          </cell>
          <cell r="DH165">
            <v>0</v>
          </cell>
          <cell r="DI165">
            <v>0</v>
          </cell>
          <cell r="DJ165">
            <v>30</v>
          </cell>
          <cell r="DK165">
            <v>9</v>
          </cell>
          <cell r="DL165">
            <v>16</v>
          </cell>
          <cell r="DM165">
            <v>16</v>
          </cell>
          <cell r="DN165">
            <v>14</v>
          </cell>
          <cell r="DO165">
            <v>15</v>
          </cell>
          <cell r="EB165" t="str">
            <v>Stock-based compensation expense</v>
          </cell>
        </row>
        <row r="166">
          <cell r="BW166" t="str">
            <v>Avg Net Cash</v>
          </cell>
          <cell r="CQ166" t="str">
            <v xml:space="preserve">    Contracts in process</v>
          </cell>
          <cell r="CR166">
            <v>20</v>
          </cell>
          <cell r="CS166">
            <v>-18</v>
          </cell>
          <cell r="CT166">
            <v>-140</v>
          </cell>
          <cell r="CU166">
            <v>-40</v>
          </cell>
          <cell r="CV166">
            <v>-124</v>
          </cell>
          <cell r="CW166">
            <v>-199</v>
          </cell>
          <cell r="CX166">
            <v>-168</v>
          </cell>
          <cell r="CY166">
            <v>39</v>
          </cell>
          <cell r="DA166" t="str">
            <v xml:space="preserve">    Amortization of debt issuance costs</v>
          </cell>
          <cell r="DB166">
            <v>0</v>
          </cell>
          <cell r="DC166">
            <v>0</v>
          </cell>
          <cell r="DD166">
            <v>0</v>
          </cell>
          <cell r="DE166">
            <v>0</v>
          </cell>
          <cell r="DG166" t="str">
            <v>Excess tax benefit from stock-based comp</v>
          </cell>
          <cell r="DH166">
            <v>0</v>
          </cell>
          <cell r="DI166">
            <v>0</v>
          </cell>
          <cell r="DJ166">
            <v>-2</v>
          </cell>
          <cell r="DK166">
            <v>0</v>
          </cell>
          <cell r="DL166">
            <v>-18</v>
          </cell>
          <cell r="DM166">
            <v>-8</v>
          </cell>
          <cell r="DN166">
            <v>-9</v>
          </cell>
          <cell r="DO166">
            <v>-12</v>
          </cell>
          <cell r="EB166" t="str">
            <v>Excess tax benefit from stock-based comp</v>
          </cell>
        </row>
        <row r="167">
          <cell r="BW167" t="str">
            <v>Int. rate assump</v>
          </cell>
          <cell r="CQ167" t="str">
            <v xml:space="preserve">    Inventories</v>
          </cell>
          <cell r="CR167">
            <v>-74</v>
          </cell>
          <cell r="CS167">
            <v>-22</v>
          </cell>
          <cell r="CT167">
            <v>-184</v>
          </cell>
          <cell r="CU167">
            <v>139</v>
          </cell>
          <cell r="CV167">
            <v>-80</v>
          </cell>
          <cell r="CW167">
            <v>78</v>
          </cell>
          <cell r="CX167">
            <v>152</v>
          </cell>
          <cell r="CY167">
            <v>39</v>
          </cell>
          <cell r="DA167" t="str">
            <v>Decrease (increase) in assets, net of effect of bus. acq.</v>
          </cell>
          <cell r="DG167" t="str">
            <v>Deferred income tax provision</v>
          </cell>
          <cell r="DH167">
            <v>12</v>
          </cell>
          <cell r="DI167">
            <v>32</v>
          </cell>
          <cell r="DJ167">
            <v>56</v>
          </cell>
          <cell r="DK167">
            <v>41</v>
          </cell>
          <cell r="DL167">
            <v>-18</v>
          </cell>
          <cell r="DM167">
            <v>29</v>
          </cell>
          <cell r="DN167">
            <v>19</v>
          </cell>
          <cell r="DO167">
            <v>15</v>
          </cell>
          <cell r="EB167" t="str">
            <v>Deferred income tax provision</v>
          </cell>
          <cell r="EH167">
            <v>41</v>
          </cell>
        </row>
        <row r="168">
          <cell r="BW168" t="str">
            <v>Int. income est. ($ X int. rate)</v>
          </cell>
          <cell r="CQ168" t="str">
            <v xml:space="preserve">    Other current assets</v>
          </cell>
          <cell r="CR168">
            <v>0</v>
          </cell>
          <cell r="CS168">
            <v>0</v>
          </cell>
          <cell r="CT168">
            <v>0</v>
          </cell>
          <cell r="CU168">
            <v>0</v>
          </cell>
          <cell r="CV168">
            <v>0</v>
          </cell>
          <cell r="CW168">
            <v>0</v>
          </cell>
          <cell r="CX168">
            <v>0</v>
          </cell>
          <cell r="CY168">
            <v>0</v>
          </cell>
          <cell r="DA168" t="str">
            <v xml:space="preserve">    Marketable securities</v>
          </cell>
          <cell r="DB168">
            <v>0</v>
          </cell>
          <cell r="DC168">
            <v>0</v>
          </cell>
          <cell r="DD168">
            <v>0</v>
          </cell>
          <cell r="DG168" t="str">
            <v>Discontinued ops, net of tax</v>
          </cell>
          <cell r="DH168">
            <v>0</v>
          </cell>
          <cell r="DI168">
            <v>5</v>
          </cell>
          <cell r="DJ168">
            <v>-10</v>
          </cell>
          <cell r="DK168">
            <v>-8</v>
          </cell>
          <cell r="DL168">
            <v>13</v>
          </cell>
          <cell r="DM168">
            <v>-216</v>
          </cell>
          <cell r="DN168">
            <v>2</v>
          </cell>
          <cell r="DO168">
            <v>55</v>
          </cell>
          <cell r="EB168" t="str">
            <v>Discontinued ops, net of tax</v>
          </cell>
        </row>
        <row r="169">
          <cell r="BW169" t="str">
            <v>Int. inc actual/per P&amp;L</v>
          </cell>
          <cell r="CQ169" t="str">
            <v>Increase (decrease) in liabilities, net of effects</v>
          </cell>
          <cell r="DA169" t="str">
            <v xml:space="preserve">    Accounts receivable</v>
          </cell>
          <cell r="DB169">
            <v>-147</v>
          </cell>
          <cell r="DC169">
            <v>149</v>
          </cell>
          <cell r="DD169">
            <v>-19</v>
          </cell>
          <cell r="DE169">
            <v>-48</v>
          </cell>
          <cell r="DG169" t="str">
            <v>Decrease (increase) in assets, net of effect of bus. acq.</v>
          </cell>
          <cell r="EB169" t="str">
            <v>Decrease (increase) in assets, net of effect of bus. acq.</v>
          </cell>
        </row>
        <row r="170">
          <cell r="BW170" t="str">
            <v>Equity</v>
          </cell>
          <cell r="CQ170" t="str">
            <v xml:space="preserve">    Accounts payable and other current liabilities</v>
          </cell>
          <cell r="CR170">
            <v>-45</v>
          </cell>
          <cell r="CS170">
            <v>46</v>
          </cell>
          <cell r="CT170">
            <v>106</v>
          </cell>
          <cell r="CU170">
            <v>134</v>
          </cell>
          <cell r="CV170">
            <v>-53</v>
          </cell>
          <cell r="CW170">
            <v>186</v>
          </cell>
          <cell r="CX170">
            <v>12</v>
          </cell>
          <cell r="CY170">
            <v>179</v>
          </cell>
          <cell r="DA170" t="str">
            <v xml:space="preserve">    Contracts in process</v>
          </cell>
          <cell r="DB170">
            <v>-8</v>
          </cell>
          <cell r="DC170">
            <v>2</v>
          </cell>
          <cell r="DD170">
            <v>-271</v>
          </cell>
          <cell r="DE170">
            <v>-4</v>
          </cell>
          <cell r="DG170" t="str">
            <v>Accounts receivable</v>
          </cell>
          <cell r="DH170">
            <v>-69</v>
          </cell>
          <cell r="DI170">
            <v>-150</v>
          </cell>
          <cell r="DJ170">
            <v>-13</v>
          </cell>
          <cell r="DK170">
            <v>-323</v>
          </cell>
          <cell r="DL170">
            <v>309</v>
          </cell>
          <cell r="DM170">
            <v>-112</v>
          </cell>
          <cell r="DN170">
            <v>-166</v>
          </cell>
          <cell r="DO170">
            <v>-191</v>
          </cell>
          <cell r="EB170" t="str">
            <v>Accounts receivable</v>
          </cell>
          <cell r="EH170">
            <v>36</v>
          </cell>
        </row>
        <row r="171">
          <cell r="BW171" t="str">
            <v>Shares out</v>
          </cell>
          <cell r="CQ171" t="str">
            <v xml:space="preserve">    Customer deposits</v>
          </cell>
          <cell r="CR171">
            <v>-115</v>
          </cell>
          <cell r="CS171">
            <v>56</v>
          </cell>
          <cell r="CT171">
            <v>-77</v>
          </cell>
          <cell r="CU171">
            <v>138</v>
          </cell>
          <cell r="CV171">
            <v>-53</v>
          </cell>
          <cell r="CW171">
            <v>3</v>
          </cell>
          <cell r="CX171">
            <v>-6</v>
          </cell>
          <cell r="CY171">
            <v>46</v>
          </cell>
          <cell r="DA171" t="str">
            <v xml:space="preserve">    Inventories</v>
          </cell>
          <cell r="DB171">
            <v>-108</v>
          </cell>
          <cell r="DC171">
            <v>29</v>
          </cell>
          <cell r="DD171">
            <v>-51</v>
          </cell>
          <cell r="DE171">
            <v>68</v>
          </cell>
          <cell r="DG171" t="str">
            <v>Contracts in process</v>
          </cell>
          <cell r="DH171">
            <v>-134</v>
          </cell>
          <cell r="DI171">
            <v>-42</v>
          </cell>
          <cell r="DJ171">
            <v>-37</v>
          </cell>
          <cell r="DK171">
            <v>17</v>
          </cell>
          <cell r="DL171">
            <v>-229</v>
          </cell>
          <cell r="DM171">
            <v>-57</v>
          </cell>
          <cell r="DN171">
            <v>41</v>
          </cell>
          <cell r="DO171">
            <v>-145</v>
          </cell>
          <cell r="EB171" t="str">
            <v>Contracts in process</v>
          </cell>
          <cell r="EH171">
            <v>105</v>
          </cell>
        </row>
        <row r="172">
          <cell r="BW172" t="str">
            <v>BVPS</v>
          </cell>
          <cell r="CQ172" t="str">
            <v xml:space="preserve">    Current income taxes</v>
          </cell>
          <cell r="CR172">
            <v>0</v>
          </cell>
          <cell r="CS172">
            <v>0</v>
          </cell>
          <cell r="CT172">
            <v>8</v>
          </cell>
          <cell r="CU172">
            <v>-8</v>
          </cell>
          <cell r="CV172">
            <v>83</v>
          </cell>
          <cell r="CW172">
            <v>-31</v>
          </cell>
          <cell r="CX172">
            <v>15</v>
          </cell>
          <cell r="CY172">
            <v>-67</v>
          </cell>
          <cell r="DA172" t="str">
            <v xml:space="preserve">    Other current assets</v>
          </cell>
          <cell r="DB172">
            <v>0</v>
          </cell>
          <cell r="DC172">
            <v>0</v>
          </cell>
          <cell r="DD172">
            <v>0</v>
          </cell>
          <cell r="DE172">
            <v>0</v>
          </cell>
          <cell r="DG172" t="str">
            <v>Inventories</v>
          </cell>
          <cell r="DH172">
            <v>-16</v>
          </cell>
          <cell r="DI172">
            <v>21</v>
          </cell>
          <cell r="DJ172">
            <v>-142</v>
          </cell>
          <cell r="DK172">
            <v>15</v>
          </cell>
          <cell r="DL172">
            <v>-143</v>
          </cell>
          <cell r="DM172">
            <v>-71</v>
          </cell>
          <cell r="DN172">
            <v>61</v>
          </cell>
          <cell r="DO172">
            <v>-84</v>
          </cell>
          <cell r="EB172" t="str">
            <v>Inventories</v>
          </cell>
          <cell r="EH172">
            <v>-189</v>
          </cell>
        </row>
        <row r="173">
          <cell r="BW173" t="str">
            <v>Net debt/cap</v>
          </cell>
          <cell r="CQ173" t="str">
            <v>Other current liabilities</v>
          </cell>
          <cell r="CV173">
            <v>0</v>
          </cell>
          <cell r="CW173">
            <v>0</v>
          </cell>
          <cell r="CX173">
            <v>0</v>
          </cell>
          <cell r="CY173">
            <v>108</v>
          </cell>
          <cell r="DA173" t="str">
            <v>Increase (decrease) in liabilities, net of effects</v>
          </cell>
          <cell r="DG173" t="str">
            <v>Other current assets</v>
          </cell>
          <cell r="DH173">
            <v>0</v>
          </cell>
          <cell r="DI173">
            <v>-121</v>
          </cell>
          <cell r="DJ173">
            <v>121</v>
          </cell>
          <cell r="DK173">
            <v>0</v>
          </cell>
          <cell r="DL173">
            <v>0</v>
          </cell>
          <cell r="DM173">
            <v>-23</v>
          </cell>
          <cell r="DN173">
            <v>23</v>
          </cell>
          <cell r="DO173">
            <v>0</v>
          </cell>
          <cell r="EB173" t="str">
            <v>Other current assets</v>
          </cell>
        </row>
        <row r="174">
          <cell r="BW174" t="str">
            <v xml:space="preserve">   vs. peer avg (need to update)</v>
          </cell>
          <cell r="CQ174" t="str">
            <v>Deferred income tax provision</v>
          </cell>
          <cell r="CR174">
            <v>57</v>
          </cell>
          <cell r="CS174">
            <v>35</v>
          </cell>
          <cell r="CT174">
            <v>33</v>
          </cell>
          <cell r="CU174">
            <v>52</v>
          </cell>
          <cell r="CV174">
            <v>33</v>
          </cell>
          <cell r="CW174">
            <v>8</v>
          </cell>
          <cell r="CX174">
            <v>43</v>
          </cell>
          <cell r="CY174">
            <v>53</v>
          </cell>
          <cell r="DA174" t="str">
            <v xml:space="preserve">    Accounts payable</v>
          </cell>
          <cell r="DB174">
            <v>160</v>
          </cell>
          <cell r="DC174">
            <v>-304</v>
          </cell>
          <cell r="DD174">
            <v>159</v>
          </cell>
          <cell r="DE174">
            <v>149</v>
          </cell>
          <cell r="DG174" t="str">
            <v>Increase (decrease) in liabilities, net of effects</v>
          </cell>
          <cell r="EB174" t="str">
            <v>Increase (decrease) in liabilities, net of effects</v>
          </cell>
        </row>
        <row r="175">
          <cell r="BW175" t="str">
            <v>Cash EPS ((NI+Dep+Amort)/Shares)</v>
          </cell>
          <cell r="CQ175" t="str">
            <v>Other, net</v>
          </cell>
          <cell r="CR175">
            <v>4</v>
          </cell>
          <cell r="CS175">
            <v>94</v>
          </cell>
          <cell r="CT175">
            <v>18</v>
          </cell>
          <cell r="CU175">
            <v>-205</v>
          </cell>
          <cell r="CV175">
            <v>170</v>
          </cell>
          <cell r="CW175">
            <v>-120</v>
          </cell>
          <cell r="CX175">
            <v>-52</v>
          </cell>
          <cell r="CY175">
            <v>66</v>
          </cell>
          <cell r="DA175" t="str">
            <v xml:space="preserve">    Customer deposits</v>
          </cell>
          <cell r="DB175">
            <v>0</v>
          </cell>
          <cell r="DC175">
            <v>0</v>
          </cell>
          <cell r="DD175">
            <v>0</v>
          </cell>
          <cell r="DE175">
            <v>391</v>
          </cell>
          <cell r="DG175" t="str">
            <v>Accounts payable</v>
          </cell>
          <cell r="DH175">
            <v>-52</v>
          </cell>
          <cell r="DI175">
            <v>52</v>
          </cell>
          <cell r="DJ175">
            <v>75</v>
          </cell>
          <cell r="DK175">
            <v>112</v>
          </cell>
          <cell r="DL175">
            <v>14</v>
          </cell>
          <cell r="DM175">
            <v>-14</v>
          </cell>
          <cell r="DN175">
            <v>-145</v>
          </cell>
          <cell r="DO175">
            <v>325</v>
          </cell>
          <cell r="EB175" t="str">
            <v>Accounts payable</v>
          </cell>
          <cell r="EH175">
            <v>79</v>
          </cell>
        </row>
        <row r="176">
          <cell r="BW176" t="str">
            <v>Dividends Per Share</v>
          </cell>
          <cell r="CQ176" t="str">
            <v>Net cash provided by operating activities</v>
          </cell>
          <cell r="CR176">
            <v>-83.13</v>
          </cell>
          <cell r="CS176">
            <v>433.24</v>
          </cell>
          <cell r="CT176">
            <v>264.49571000000003</v>
          </cell>
          <cell r="CU176">
            <v>551.85699999999997</v>
          </cell>
          <cell r="CV176">
            <v>209.97000000000003</v>
          </cell>
          <cell r="CW176">
            <v>253.86</v>
          </cell>
          <cell r="CX176">
            <v>358.84500000000003</v>
          </cell>
          <cell r="CY176">
            <v>850</v>
          </cell>
          <cell r="DA176" t="str">
            <v xml:space="preserve">    Current income taxes</v>
          </cell>
          <cell r="DB176">
            <v>-2</v>
          </cell>
          <cell r="DC176">
            <v>43</v>
          </cell>
          <cell r="DD176">
            <v>-20</v>
          </cell>
          <cell r="DE176">
            <v>-21</v>
          </cell>
          <cell r="DG176" t="str">
            <v>Customer deposits</v>
          </cell>
          <cell r="DH176">
            <v>208</v>
          </cell>
          <cell r="DI176">
            <v>54</v>
          </cell>
          <cell r="DJ176">
            <v>139</v>
          </cell>
          <cell r="DK176">
            <v>553</v>
          </cell>
          <cell r="DL176">
            <v>-101</v>
          </cell>
          <cell r="DM176">
            <v>179</v>
          </cell>
          <cell r="DN176">
            <v>133</v>
          </cell>
          <cell r="DO176">
            <v>188</v>
          </cell>
          <cell r="EB176" t="str">
            <v>Customer deposits</v>
          </cell>
          <cell r="EH176">
            <v>-60</v>
          </cell>
        </row>
        <row r="177">
          <cell r="BW177" t="str">
            <v>Return on Average Equity</v>
          </cell>
          <cell r="CQ177" t="str">
            <v>Net cash used by discontinued operations</v>
          </cell>
          <cell r="CR177">
            <v>0</v>
          </cell>
          <cell r="CS177">
            <v>0</v>
          </cell>
          <cell r="CT177">
            <v>0</v>
          </cell>
          <cell r="CU177">
            <v>-1</v>
          </cell>
          <cell r="CV177">
            <v>-12</v>
          </cell>
          <cell r="CW177">
            <v>1</v>
          </cell>
          <cell r="CX177">
            <v>3</v>
          </cell>
          <cell r="CY177">
            <v>34</v>
          </cell>
          <cell r="DA177" t="str">
            <v xml:space="preserve">    Other current liabilities</v>
          </cell>
          <cell r="DB177">
            <v>0</v>
          </cell>
          <cell r="DC177">
            <v>0</v>
          </cell>
          <cell r="DD177">
            <v>0</v>
          </cell>
          <cell r="DE177">
            <v>-183</v>
          </cell>
          <cell r="DG177" t="str">
            <v>Current income taxes</v>
          </cell>
          <cell r="DH177">
            <v>107</v>
          </cell>
          <cell r="DI177">
            <v>-107</v>
          </cell>
          <cell r="DJ177">
            <v>0</v>
          </cell>
          <cell r="DK177">
            <v>0</v>
          </cell>
          <cell r="DL177">
            <v>166</v>
          </cell>
          <cell r="DM177">
            <v>-166</v>
          </cell>
          <cell r="DN177">
            <v>0</v>
          </cell>
          <cell r="DO177">
            <v>0</v>
          </cell>
          <cell r="EB177" t="str">
            <v>Current income taxes</v>
          </cell>
        </row>
        <row r="178">
          <cell r="BW178" t="str">
            <v>ROA</v>
          </cell>
          <cell r="CQ178" t="str">
            <v>Net cash provided by operating activities</v>
          </cell>
          <cell r="CR178">
            <v>-83.13</v>
          </cell>
          <cell r="CS178">
            <v>433.24</v>
          </cell>
          <cell r="CT178">
            <v>264.49571000000003</v>
          </cell>
          <cell r="CU178">
            <v>550.85699999999997</v>
          </cell>
          <cell r="CV178">
            <v>197.97000000000003</v>
          </cell>
          <cell r="CW178">
            <v>254.86</v>
          </cell>
          <cell r="CX178">
            <v>361.84500000000003</v>
          </cell>
          <cell r="CY178">
            <v>884</v>
          </cell>
          <cell r="DA178" t="str">
            <v>Deferred income tax provision</v>
          </cell>
          <cell r="DB178">
            <v>111</v>
          </cell>
          <cell r="DC178">
            <v>117</v>
          </cell>
          <cell r="DD178">
            <v>7</v>
          </cell>
          <cell r="DE178">
            <v>44</v>
          </cell>
          <cell r="DG178" t="str">
            <v>Other current/noncurrent liabilities</v>
          </cell>
          <cell r="DH178">
            <v>-39</v>
          </cell>
          <cell r="DI178">
            <v>-83</v>
          </cell>
          <cell r="DJ178">
            <v>-6</v>
          </cell>
          <cell r="DK178">
            <v>-1</v>
          </cell>
          <cell r="DL178">
            <v>27</v>
          </cell>
          <cell r="DM178">
            <v>-15</v>
          </cell>
          <cell r="DN178">
            <v>4</v>
          </cell>
          <cell r="DO178">
            <v>100</v>
          </cell>
          <cell r="EB178" t="str">
            <v>Other current/noncurrent liabilities</v>
          </cell>
          <cell r="EH178">
            <v>0</v>
          </cell>
        </row>
        <row r="179">
          <cell r="BW179" t="str">
            <v>Asset Turnover</v>
          </cell>
          <cell r="DA179" t="str">
            <v>Other, net</v>
          </cell>
          <cell r="DB179">
            <v>-15</v>
          </cell>
          <cell r="DC179">
            <v>-49</v>
          </cell>
          <cell r="DD179">
            <v>100</v>
          </cell>
          <cell r="DE179">
            <v>-68</v>
          </cell>
          <cell r="DG179" t="str">
            <v>Other, net</v>
          </cell>
          <cell r="DH179">
            <v>-75</v>
          </cell>
          <cell r="DI179">
            <v>114</v>
          </cell>
          <cell r="DJ179">
            <v>-89</v>
          </cell>
          <cell r="DK179">
            <v>-9</v>
          </cell>
          <cell r="DL179">
            <v>-22</v>
          </cell>
          <cell r="DM179">
            <v>69</v>
          </cell>
          <cell r="DN179">
            <v>8</v>
          </cell>
          <cell r="DO179">
            <v>40</v>
          </cell>
          <cell r="EB179" t="str">
            <v>Other, net</v>
          </cell>
          <cell r="EH179">
            <v>50</v>
          </cell>
        </row>
        <row r="180">
          <cell r="BW180" t="str">
            <v>Asset Leverage</v>
          </cell>
          <cell r="CQ180" t="str">
            <v>Cash Flows from Investing Activities:</v>
          </cell>
          <cell r="DA180" t="str">
            <v>Net cash provided by operating activities</v>
          </cell>
          <cell r="DB180">
            <v>332.9975</v>
          </cell>
          <cell r="DC180">
            <v>363</v>
          </cell>
          <cell r="DD180">
            <v>310.00000000000006</v>
          </cell>
          <cell r="DE180">
            <v>738.00250000000005</v>
          </cell>
          <cell r="DG180" t="str">
            <v>Net cash provided by operating activities</v>
          </cell>
          <cell r="DH180">
            <v>362</v>
          </cell>
          <cell r="DI180">
            <v>199</v>
          </cell>
          <cell r="DJ180">
            <v>577</v>
          </cell>
          <cell r="DK180">
            <v>895</v>
          </cell>
          <cell r="DL180">
            <v>470</v>
          </cell>
          <cell r="DM180">
            <v>342</v>
          </cell>
          <cell r="DN180">
            <v>520</v>
          </cell>
          <cell r="DO180">
            <v>824</v>
          </cell>
          <cell r="EB180" t="str">
            <v>Net cash provided by operating activities</v>
          </cell>
          <cell r="EH180">
            <v>1016.732</v>
          </cell>
        </row>
        <row r="181">
          <cell r="BW181" t="str">
            <v>CF per share</v>
          </cell>
          <cell r="CQ181" t="str">
            <v>Business acquisitions, net of cash acquired</v>
          </cell>
          <cell r="CR181">
            <v>0</v>
          </cell>
          <cell r="CS181">
            <v>-213</v>
          </cell>
          <cell r="CT181">
            <v>-68</v>
          </cell>
          <cell r="CU181">
            <v>6</v>
          </cell>
          <cell r="CV181">
            <v>-1075</v>
          </cell>
          <cell r="CW181">
            <v>-53</v>
          </cell>
          <cell r="CX181">
            <v>-1859</v>
          </cell>
          <cell r="CY181">
            <v>-57</v>
          </cell>
          <cell r="DA181" t="str">
            <v>Net cash used by discontinued operations</v>
          </cell>
          <cell r="DB181">
            <v>-8</v>
          </cell>
          <cell r="DC181">
            <v>-8</v>
          </cell>
          <cell r="DD181">
            <v>-3</v>
          </cell>
          <cell r="DE181">
            <v>62</v>
          </cell>
          <cell r="DG181" t="str">
            <v>Net cash used by discontinued operations</v>
          </cell>
          <cell r="DH181">
            <v>-4</v>
          </cell>
          <cell r="DI181">
            <v>0</v>
          </cell>
          <cell r="DJ181">
            <v>22</v>
          </cell>
          <cell r="DK181">
            <v>5</v>
          </cell>
          <cell r="DL181">
            <v>-5</v>
          </cell>
          <cell r="DM181">
            <v>-14</v>
          </cell>
          <cell r="DN181">
            <v>14</v>
          </cell>
          <cell r="DO181">
            <v>-23</v>
          </cell>
          <cell r="EB181" t="str">
            <v>Net cash used by discontinued operations</v>
          </cell>
        </row>
        <row r="182">
          <cell r="CQ182" t="str">
            <v>Purchases of available-for-sale securities</v>
          </cell>
          <cell r="CR182">
            <v>0</v>
          </cell>
          <cell r="CS182">
            <v>0</v>
          </cell>
          <cell r="CT182">
            <v>0</v>
          </cell>
          <cell r="CU182">
            <v>-41</v>
          </cell>
          <cell r="CV182">
            <v>0</v>
          </cell>
          <cell r="CW182">
            <v>0</v>
          </cell>
          <cell r="CX182">
            <v>0</v>
          </cell>
          <cell r="CY182">
            <v>-30</v>
          </cell>
          <cell r="DA182" t="str">
            <v>Net cash provided by operating activities</v>
          </cell>
          <cell r="DB182">
            <v>324.9975</v>
          </cell>
          <cell r="DC182">
            <v>355</v>
          </cell>
          <cell r="DD182">
            <v>307.00000000000006</v>
          </cell>
          <cell r="DE182">
            <v>800.00250000000005</v>
          </cell>
          <cell r="DG182" t="str">
            <v>Net cash provided by operating activities</v>
          </cell>
          <cell r="DH182">
            <v>358</v>
          </cell>
          <cell r="DI182">
            <v>199</v>
          </cell>
          <cell r="DJ182">
            <v>599</v>
          </cell>
          <cell r="DK182">
            <v>900</v>
          </cell>
          <cell r="DL182">
            <v>465</v>
          </cell>
          <cell r="DM182">
            <v>328</v>
          </cell>
          <cell r="DN182">
            <v>534</v>
          </cell>
          <cell r="DO182">
            <v>801</v>
          </cell>
          <cell r="EB182" t="str">
            <v>Net cash provided by operating activities</v>
          </cell>
          <cell r="EH182">
            <v>1016.732</v>
          </cell>
        </row>
        <row r="183">
          <cell r="CQ183" t="str">
            <v>Sales/maturities of available-for-sale securities</v>
          </cell>
          <cell r="CR183">
            <v>0</v>
          </cell>
          <cell r="CS183">
            <v>0</v>
          </cell>
          <cell r="CT183">
            <v>0</v>
          </cell>
          <cell r="CU183">
            <v>39</v>
          </cell>
          <cell r="CV183">
            <v>0</v>
          </cell>
          <cell r="CW183">
            <v>0</v>
          </cell>
          <cell r="CX183">
            <v>0</v>
          </cell>
          <cell r="CY183">
            <v>31</v>
          </cell>
        </row>
        <row r="184">
          <cell r="CQ184" t="str">
            <v>Capital expenditures</v>
          </cell>
          <cell r="CR184">
            <v>-44</v>
          </cell>
          <cell r="CS184">
            <v>-56</v>
          </cell>
          <cell r="CT184">
            <v>-46</v>
          </cell>
          <cell r="CU184">
            <v>-116</v>
          </cell>
          <cell r="CV184">
            <v>-31</v>
          </cell>
          <cell r="CW184">
            <v>-36</v>
          </cell>
          <cell r="CX184">
            <v>-48</v>
          </cell>
          <cell r="CY184">
            <v>-105</v>
          </cell>
          <cell r="DA184" t="str">
            <v>Cash Flows from Investing Activities:</v>
          </cell>
          <cell r="DG184" t="str">
            <v>Cash Flows from Investing Activities:</v>
          </cell>
          <cell r="EB184" t="str">
            <v>Cash Flows from Investing Activities:</v>
          </cell>
        </row>
        <row r="185">
          <cell r="CQ185" t="str">
            <v>Proceeds from sale of assets</v>
          </cell>
          <cell r="CR185">
            <v>18</v>
          </cell>
          <cell r="CS185">
            <v>7</v>
          </cell>
          <cell r="CT185">
            <v>10</v>
          </cell>
          <cell r="CU185">
            <v>98</v>
          </cell>
          <cell r="CV185">
            <v>1</v>
          </cell>
          <cell r="CW185">
            <v>0</v>
          </cell>
          <cell r="CX185">
            <v>0</v>
          </cell>
          <cell r="CY185">
            <v>33</v>
          </cell>
          <cell r="DA185" t="str">
            <v>Business acquisitions, net of cash acquired</v>
          </cell>
          <cell r="DB185">
            <v>-31</v>
          </cell>
          <cell r="DC185">
            <v>-5</v>
          </cell>
          <cell r="DD185">
            <v>-490</v>
          </cell>
          <cell r="DE185">
            <v>-17</v>
          </cell>
          <cell r="DG185" t="str">
            <v>Business acquisitions, net of cash acquired</v>
          </cell>
          <cell r="DH185">
            <v>-37</v>
          </cell>
          <cell r="DI185">
            <v>0</v>
          </cell>
          <cell r="DJ185">
            <v>-240</v>
          </cell>
          <cell r="DK185">
            <v>0</v>
          </cell>
          <cell r="DL185">
            <v>-153</v>
          </cell>
          <cell r="DM185">
            <v>-2001</v>
          </cell>
          <cell r="DN185">
            <v>-164</v>
          </cell>
          <cell r="DO185">
            <v>-24</v>
          </cell>
          <cell r="EB185" t="str">
            <v>Business acquisitions, net of cash acquired</v>
          </cell>
          <cell r="EH185">
            <v>-1090</v>
          </cell>
        </row>
        <row r="186">
          <cell r="CQ186" t="str">
            <v>Other</v>
          </cell>
          <cell r="CR186">
            <v>11</v>
          </cell>
          <cell r="CS186">
            <v>-4</v>
          </cell>
          <cell r="CT186">
            <v>2</v>
          </cell>
          <cell r="CU186">
            <v>-1</v>
          </cell>
          <cell r="CV186">
            <v>-7</v>
          </cell>
          <cell r="CW186">
            <v>14</v>
          </cell>
          <cell r="CX186">
            <v>3</v>
          </cell>
          <cell r="CY186">
            <v>-9</v>
          </cell>
          <cell r="DA186" t="str">
            <v>Purchases of available-for-sale securities</v>
          </cell>
          <cell r="DB186">
            <v>0</v>
          </cell>
          <cell r="DC186">
            <v>0</v>
          </cell>
          <cell r="DD186">
            <v>0</v>
          </cell>
          <cell r="DE186">
            <v>0</v>
          </cell>
          <cell r="DG186" t="str">
            <v>Purchases of available-for-sale securities</v>
          </cell>
          <cell r="DH186">
            <v>0</v>
          </cell>
          <cell r="DI186">
            <v>0</v>
          </cell>
          <cell r="DJ186">
            <v>0</v>
          </cell>
          <cell r="DK186">
            <v>0</v>
          </cell>
          <cell r="DL186">
            <v>0</v>
          </cell>
          <cell r="DM186">
            <v>0</v>
          </cell>
          <cell r="DN186">
            <v>0</v>
          </cell>
          <cell r="DO186">
            <v>0</v>
          </cell>
          <cell r="EB186" t="str">
            <v>Purchases of available-for-sale securities</v>
          </cell>
          <cell r="EH186">
            <v>-37</v>
          </cell>
        </row>
        <row r="187">
          <cell r="CQ187" t="str">
            <v>Net cash (used) provided by investing activities</v>
          </cell>
          <cell r="CR187">
            <v>-15</v>
          </cell>
          <cell r="CS187">
            <v>-266</v>
          </cell>
          <cell r="CT187">
            <v>-102</v>
          </cell>
          <cell r="CU187">
            <v>-15</v>
          </cell>
          <cell r="CV187">
            <v>-1112</v>
          </cell>
          <cell r="CW187">
            <v>-75</v>
          </cell>
          <cell r="CX187">
            <v>-1904</v>
          </cell>
          <cell r="CY187">
            <v>-137</v>
          </cell>
          <cell r="DA187" t="str">
            <v>Sales/maturities of available-for-sale securities</v>
          </cell>
          <cell r="DB187">
            <v>0</v>
          </cell>
          <cell r="DC187">
            <v>0</v>
          </cell>
          <cell r="DD187">
            <v>0</v>
          </cell>
          <cell r="DE187">
            <v>0</v>
          </cell>
          <cell r="DG187" t="str">
            <v>Sales/maturities of available-for-sale securities</v>
          </cell>
          <cell r="DH187">
            <v>0</v>
          </cell>
          <cell r="DI187">
            <v>0</v>
          </cell>
          <cell r="DJ187">
            <v>0</v>
          </cell>
          <cell r="DK187">
            <v>0</v>
          </cell>
          <cell r="DL187">
            <v>0</v>
          </cell>
          <cell r="DM187">
            <v>0</v>
          </cell>
          <cell r="DN187">
            <v>0</v>
          </cell>
          <cell r="DO187">
            <v>0</v>
          </cell>
          <cell r="EB187" t="str">
            <v>Sales/maturities of available-for-sale securities</v>
          </cell>
          <cell r="EH187">
            <v>91</v>
          </cell>
        </row>
        <row r="188">
          <cell r="DA188" t="str">
            <v>Capital expenditures</v>
          </cell>
          <cell r="DB188">
            <v>-53</v>
          </cell>
          <cell r="DC188">
            <v>-65</v>
          </cell>
          <cell r="DD188">
            <v>-60</v>
          </cell>
          <cell r="DE188">
            <v>-75</v>
          </cell>
          <cell r="DG188" t="str">
            <v>Capital expenditures</v>
          </cell>
          <cell r="DH188">
            <v>-38</v>
          </cell>
          <cell r="DI188">
            <v>-51</v>
          </cell>
          <cell r="DJ188">
            <v>-78</v>
          </cell>
          <cell r="DK188">
            <v>-95</v>
          </cell>
          <cell r="DL188">
            <v>-53</v>
          </cell>
          <cell r="DM188">
            <v>-64</v>
          </cell>
          <cell r="DN188">
            <v>-94</v>
          </cell>
          <cell r="DO188">
            <v>-123</v>
          </cell>
          <cell r="EB188" t="str">
            <v>Capital expenditures</v>
          </cell>
          <cell r="EH188">
            <v>-197</v>
          </cell>
        </row>
        <row r="189">
          <cell r="CQ189" t="str">
            <v>Cash Flows from Financing Activities:</v>
          </cell>
          <cell r="DA189" t="str">
            <v>Proceeds from sale of assets</v>
          </cell>
          <cell r="DB189">
            <v>0</v>
          </cell>
          <cell r="DC189">
            <v>0</v>
          </cell>
          <cell r="DD189">
            <v>23</v>
          </cell>
          <cell r="DE189">
            <v>1</v>
          </cell>
          <cell r="DG189" t="str">
            <v>Proceeds from sale of assets</v>
          </cell>
          <cell r="DH189">
            <v>373</v>
          </cell>
          <cell r="DI189">
            <v>-24</v>
          </cell>
          <cell r="DJ189">
            <v>13</v>
          </cell>
          <cell r="DK189">
            <v>-1</v>
          </cell>
          <cell r="DL189">
            <v>0</v>
          </cell>
          <cell r="DM189">
            <v>299</v>
          </cell>
          <cell r="DN189">
            <v>28</v>
          </cell>
          <cell r="DO189">
            <v>53</v>
          </cell>
          <cell r="EB189" t="str">
            <v>Proceeds from sale of assets</v>
          </cell>
          <cell r="EH189">
            <v>18</v>
          </cell>
        </row>
        <row r="190">
          <cell r="CQ190" t="str">
            <v>Net (repayments) proceeds from commercial paper</v>
          </cell>
          <cell r="CR190">
            <v>75</v>
          </cell>
          <cell r="CS190">
            <v>-48</v>
          </cell>
          <cell r="CT190">
            <v>83</v>
          </cell>
          <cell r="CU190">
            <v>-561</v>
          </cell>
          <cell r="CV190">
            <v>1654</v>
          </cell>
          <cell r="CW190">
            <v>-2018</v>
          </cell>
          <cell r="CX190">
            <v>371</v>
          </cell>
          <cell r="CY190">
            <v>-536</v>
          </cell>
          <cell r="DA190" t="str">
            <v>Other</v>
          </cell>
          <cell r="DB190">
            <v>16</v>
          </cell>
          <cell r="DC190">
            <v>0</v>
          </cell>
          <cell r="DD190">
            <v>-13</v>
          </cell>
          <cell r="DE190">
            <v>-17</v>
          </cell>
          <cell r="DG190" t="str">
            <v>Other</v>
          </cell>
          <cell r="DH190">
            <v>-1</v>
          </cell>
          <cell r="DI190">
            <v>-61</v>
          </cell>
          <cell r="DJ190">
            <v>72</v>
          </cell>
          <cell r="DK190">
            <v>-13</v>
          </cell>
          <cell r="DL190">
            <v>-7</v>
          </cell>
          <cell r="DM190">
            <v>-13</v>
          </cell>
          <cell r="DN190">
            <v>-166</v>
          </cell>
          <cell r="DO190">
            <v>166</v>
          </cell>
          <cell r="EB190" t="str">
            <v>Other</v>
          </cell>
          <cell r="EH190">
            <v>-8</v>
          </cell>
        </row>
        <row r="191">
          <cell r="CQ191" t="str">
            <v>Proceeds from issuance of fixed-rate notes</v>
          </cell>
          <cell r="CR191">
            <v>0</v>
          </cell>
          <cell r="CS191">
            <v>0</v>
          </cell>
          <cell r="CT191">
            <v>0</v>
          </cell>
          <cell r="CU191">
            <v>0</v>
          </cell>
          <cell r="CV191">
            <v>0</v>
          </cell>
          <cell r="CW191">
            <v>0</v>
          </cell>
          <cell r="CX191">
            <v>0</v>
          </cell>
          <cell r="CY191">
            <v>3094</v>
          </cell>
          <cell r="DA191" t="str">
            <v>Net cash (used) provided by investing activities</v>
          </cell>
          <cell r="DB191">
            <v>-68</v>
          </cell>
          <cell r="DC191">
            <v>-70</v>
          </cell>
          <cell r="DD191">
            <v>-540</v>
          </cell>
          <cell r="DE191">
            <v>-108</v>
          </cell>
          <cell r="DG191" t="str">
            <v>Net cash (used) provided by investing activities</v>
          </cell>
          <cell r="DH191">
            <v>297</v>
          </cell>
          <cell r="DI191">
            <v>-136</v>
          </cell>
          <cell r="DJ191">
            <v>-233</v>
          </cell>
          <cell r="DK191">
            <v>-109</v>
          </cell>
          <cell r="DL191">
            <v>-213</v>
          </cell>
          <cell r="DM191">
            <v>-1779</v>
          </cell>
          <cell r="DN191">
            <v>-396</v>
          </cell>
          <cell r="DO191">
            <v>72</v>
          </cell>
          <cell r="EB191" t="str">
            <v>Net cash (used) provided by investing activities</v>
          </cell>
          <cell r="EH191">
            <v>-1223</v>
          </cell>
        </row>
        <row r="192">
          <cell r="CQ192" t="str">
            <v>Repayment of finance operations debt</v>
          </cell>
          <cell r="CR192">
            <v>0</v>
          </cell>
          <cell r="CS192">
            <v>0</v>
          </cell>
          <cell r="CT192">
            <v>0</v>
          </cell>
          <cell r="CU192">
            <v>0</v>
          </cell>
          <cell r="CV192">
            <v>0</v>
          </cell>
          <cell r="CW192">
            <v>0</v>
          </cell>
          <cell r="CX192">
            <v>0</v>
          </cell>
          <cell r="CY192">
            <v>0</v>
          </cell>
        </row>
        <row r="193">
          <cell r="CQ193" t="str">
            <v>Net repayments of other debt</v>
          </cell>
          <cell r="CR193">
            <v>2</v>
          </cell>
          <cell r="CS193">
            <v>-70</v>
          </cell>
          <cell r="CT193">
            <v>-14</v>
          </cell>
          <cell r="CU193">
            <v>-16</v>
          </cell>
          <cell r="CV193">
            <v>-10</v>
          </cell>
          <cell r="CW193">
            <v>1986</v>
          </cell>
          <cell r="CX193">
            <v>1093</v>
          </cell>
          <cell r="CY193">
            <v>-3109</v>
          </cell>
          <cell r="DA193" t="str">
            <v>Cash Flows from Financing Activities:</v>
          </cell>
          <cell r="DG193" t="str">
            <v>Cash Flows from Financing Activities:</v>
          </cell>
          <cell r="EB193" t="str">
            <v>Cash Flows from Financing Activities:</v>
          </cell>
        </row>
        <row r="194">
          <cell r="CQ194" t="str">
            <v>Dividends paid</v>
          </cell>
          <cell r="CR194">
            <v>-56</v>
          </cell>
          <cell r="CS194">
            <v>-60</v>
          </cell>
          <cell r="CT194">
            <v>-60</v>
          </cell>
          <cell r="CU194">
            <v>-60</v>
          </cell>
          <cell r="CV194">
            <v>-60</v>
          </cell>
          <cell r="CW194">
            <v>-63</v>
          </cell>
          <cell r="CX194">
            <v>-63</v>
          </cell>
          <cell r="CY194">
            <v>-63</v>
          </cell>
          <cell r="DA194" t="str">
            <v>Net (repayments) proceeds from commercial paper</v>
          </cell>
          <cell r="DB194">
            <v>-183</v>
          </cell>
          <cell r="DC194">
            <v>1</v>
          </cell>
          <cell r="DD194">
            <v>372</v>
          </cell>
          <cell r="DE194">
            <v>-372</v>
          </cell>
          <cell r="DG194" t="str">
            <v>Net repayments from commercial paper</v>
          </cell>
          <cell r="DH194">
            <v>0</v>
          </cell>
          <cell r="DI194">
            <v>0</v>
          </cell>
          <cell r="DJ194">
            <v>0</v>
          </cell>
          <cell r="DK194">
            <v>0</v>
          </cell>
          <cell r="DL194">
            <v>0</v>
          </cell>
          <cell r="DM194">
            <v>862</v>
          </cell>
          <cell r="DN194">
            <v>-543</v>
          </cell>
          <cell r="DO194">
            <v>-319</v>
          </cell>
          <cell r="EB194" t="str">
            <v>Net repayments from commercial paper</v>
          </cell>
          <cell r="EH194">
            <v>844</v>
          </cell>
        </row>
        <row r="195">
          <cell r="CQ195" t="str">
            <v>Purchases of common stock</v>
          </cell>
          <cell r="CR195">
            <v>-10</v>
          </cell>
          <cell r="CS195">
            <v>0</v>
          </cell>
          <cell r="CT195">
            <v>-71</v>
          </cell>
          <cell r="CU195">
            <v>-19</v>
          </cell>
          <cell r="CV195">
            <v>-274</v>
          </cell>
          <cell r="CW195">
            <v>-26</v>
          </cell>
          <cell r="CX195">
            <v>0</v>
          </cell>
          <cell r="CY195">
            <v>0</v>
          </cell>
          <cell r="DA195" t="str">
            <v>Proceeds from issuance of fixed-rate notes</v>
          </cell>
          <cell r="DB195">
            <v>0</v>
          </cell>
          <cell r="DC195">
            <v>0</v>
          </cell>
          <cell r="DD195">
            <v>0</v>
          </cell>
          <cell r="DE195">
            <v>0</v>
          </cell>
          <cell r="DG195" t="str">
            <v>Proceeds from issuance of fixed-rate notes</v>
          </cell>
          <cell r="DH195">
            <v>0</v>
          </cell>
          <cell r="DI195">
            <v>0</v>
          </cell>
          <cell r="DJ195">
            <v>0</v>
          </cell>
          <cell r="DK195">
            <v>0</v>
          </cell>
          <cell r="DL195">
            <v>0</v>
          </cell>
          <cell r="DM195">
            <v>0</v>
          </cell>
          <cell r="DN195">
            <v>0</v>
          </cell>
          <cell r="DO195">
            <v>0</v>
          </cell>
          <cell r="EB195" t="str">
            <v>Proceeds from issuance of fixed-rate notes</v>
          </cell>
        </row>
        <row r="196">
          <cell r="CQ196" t="str">
            <v>Proceeds from option exercises</v>
          </cell>
          <cell r="CR196">
            <v>31</v>
          </cell>
          <cell r="CS196">
            <v>22</v>
          </cell>
          <cell r="CT196">
            <v>2</v>
          </cell>
          <cell r="CU196">
            <v>-6</v>
          </cell>
          <cell r="CV196">
            <v>21</v>
          </cell>
          <cell r="CW196">
            <v>3</v>
          </cell>
          <cell r="CX196">
            <v>21</v>
          </cell>
          <cell r="CY196">
            <v>20</v>
          </cell>
          <cell r="DA196" t="str">
            <v>Repayment of finance operations debt</v>
          </cell>
          <cell r="DB196">
            <v>0</v>
          </cell>
          <cell r="DC196">
            <v>0</v>
          </cell>
          <cell r="DD196">
            <v>0</v>
          </cell>
          <cell r="DE196">
            <v>-500</v>
          </cell>
          <cell r="DG196" t="str">
            <v>Repayment of finance operations debt</v>
          </cell>
          <cell r="DH196">
            <v>0</v>
          </cell>
          <cell r="DI196">
            <v>0</v>
          </cell>
          <cell r="DJ196">
            <v>0</v>
          </cell>
          <cell r="DK196">
            <v>0</v>
          </cell>
          <cell r="DL196">
            <v>0</v>
          </cell>
          <cell r="DM196">
            <v>-500</v>
          </cell>
          <cell r="DN196">
            <v>0</v>
          </cell>
          <cell r="DO196">
            <v>0</v>
          </cell>
          <cell r="EB196" t="str">
            <v>Repayment of finance operations debt</v>
          </cell>
          <cell r="EH196">
            <v>-59</v>
          </cell>
        </row>
        <row r="197">
          <cell r="CQ197" t="str">
            <v>Other</v>
          </cell>
          <cell r="CR197">
            <v>-6</v>
          </cell>
          <cell r="CS197">
            <v>-3</v>
          </cell>
          <cell r="CT197">
            <v>0</v>
          </cell>
          <cell r="CU197">
            <v>9</v>
          </cell>
          <cell r="CV197">
            <v>0</v>
          </cell>
          <cell r="CW197">
            <v>0</v>
          </cell>
          <cell r="CX197">
            <v>0</v>
          </cell>
          <cell r="CY197">
            <v>0</v>
          </cell>
          <cell r="DA197" t="str">
            <v>Net repayments of other debt</v>
          </cell>
          <cell r="DB197">
            <v>-3</v>
          </cell>
          <cell r="DC197">
            <v>-42</v>
          </cell>
          <cell r="DD197">
            <v>-501</v>
          </cell>
          <cell r="DE197">
            <v>481</v>
          </cell>
          <cell r="DG197" t="str">
            <v>Net repayments of other debt</v>
          </cell>
          <cell r="DH197">
            <v>0</v>
          </cell>
          <cell r="DI197">
            <v>0</v>
          </cell>
          <cell r="DJ197">
            <v>0</v>
          </cell>
          <cell r="DK197">
            <v>0</v>
          </cell>
          <cell r="DL197">
            <v>0</v>
          </cell>
          <cell r="DM197">
            <v>0</v>
          </cell>
          <cell r="DN197">
            <v>0</v>
          </cell>
          <cell r="DO197">
            <v>0</v>
          </cell>
          <cell r="EB197" t="str">
            <v>Net repayments of other debt</v>
          </cell>
          <cell r="EH197">
            <v>-374</v>
          </cell>
        </row>
        <row r="198">
          <cell r="CQ198" t="str">
            <v>Net cash (used) provided by financing activities</v>
          </cell>
          <cell r="CR198">
            <v>36</v>
          </cell>
          <cell r="CS198">
            <v>-159</v>
          </cell>
          <cell r="CT198">
            <v>-60</v>
          </cell>
          <cell r="CU198">
            <v>-653</v>
          </cell>
          <cell r="CV198">
            <v>1331</v>
          </cell>
          <cell r="CW198">
            <v>-118</v>
          </cell>
          <cell r="CX198">
            <v>1422</v>
          </cell>
          <cell r="CY198">
            <v>-594</v>
          </cell>
          <cell r="DA198" t="str">
            <v>Dividends paid</v>
          </cell>
          <cell r="DB198">
            <v>-63</v>
          </cell>
          <cell r="DC198">
            <v>-71</v>
          </cell>
          <cell r="DD198">
            <v>-72</v>
          </cell>
          <cell r="DE198">
            <v>-72</v>
          </cell>
          <cell r="DG198" t="str">
            <v>Dividends paid</v>
          </cell>
          <cell r="DH198">
            <v>-72</v>
          </cell>
          <cell r="DI198">
            <v>-80</v>
          </cell>
          <cell r="DJ198">
            <v>-80</v>
          </cell>
          <cell r="DK198">
            <v>-82</v>
          </cell>
          <cell r="DL198">
            <v>-80</v>
          </cell>
          <cell r="DM198">
            <v>-93</v>
          </cell>
          <cell r="DN198">
            <v>-93</v>
          </cell>
          <cell r="DO198">
            <v>-93</v>
          </cell>
          <cell r="EB198" t="str">
            <v>Dividends paid</v>
          </cell>
          <cell r="EH198">
            <v>-136</v>
          </cell>
        </row>
        <row r="199">
          <cell r="DA199" t="str">
            <v>Purchases of common stock</v>
          </cell>
          <cell r="DB199">
            <v>0</v>
          </cell>
          <cell r="DC199">
            <v>0</v>
          </cell>
          <cell r="DD199">
            <v>0</v>
          </cell>
          <cell r="DE199">
            <v>0</v>
          </cell>
          <cell r="DG199" t="str">
            <v>Purchases of common stock</v>
          </cell>
          <cell r="DH199">
            <v>-100</v>
          </cell>
          <cell r="DI199">
            <v>-100</v>
          </cell>
          <cell r="DJ199">
            <v>0</v>
          </cell>
          <cell r="DK199">
            <v>-148</v>
          </cell>
          <cell r="DL199">
            <v>-18</v>
          </cell>
          <cell r="DM199">
            <v>-67</v>
          </cell>
          <cell r="DN199">
            <v>0</v>
          </cell>
          <cell r="DO199">
            <v>0</v>
          </cell>
          <cell r="EB199" t="str">
            <v>Purchases of common stock</v>
          </cell>
          <cell r="EH199">
            <v>-59</v>
          </cell>
        </row>
        <row r="200">
          <cell r="CQ200" t="str">
            <v>Net (decrease) increase in cash and equivalents</v>
          </cell>
          <cell r="CR200">
            <v>-62.129999999999995</v>
          </cell>
          <cell r="CS200">
            <v>8.2400000000000091</v>
          </cell>
          <cell r="CT200">
            <v>102.49571000000003</v>
          </cell>
          <cell r="CU200">
            <v>-117.14300000000003</v>
          </cell>
          <cell r="CV200">
            <v>416.97</v>
          </cell>
          <cell r="CW200">
            <v>61.860000000000014</v>
          </cell>
          <cell r="CX200">
            <v>-120.15499999999997</v>
          </cell>
          <cell r="CY200">
            <v>153</v>
          </cell>
          <cell r="DA200" t="str">
            <v>Proceeds from option exercises</v>
          </cell>
          <cell r="DB200">
            <v>0</v>
          </cell>
          <cell r="DC200">
            <v>0</v>
          </cell>
          <cell r="DD200">
            <v>0</v>
          </cell>
          <cell r="DE200">
            <v>169</v>
          </cell>
          <cell r="DG200" t="str">
            <v>Proceeds from option exercises</v>
          </cell>
          <cell r="DH200">
            <v>52</v>
          </cell>
          <cell r="DI200">
            <v>44</v>
          </cell>
          <cell r="DJ200">
            <v>31</v>
          </cell>
          <cell r="DK200">
            <v>21</v>
          </cell>
          <cell r="DL200">
            <v>101</v>
          </cell>
          <cell r="DM200">
            <v>36</v>
          </cell>
          <cell r="DN200">
            <v>55</v>
          </cell>
          <cell r="DO200">
            <v>61</v>
          </cell>
          <cell r="EB200" t="str">
            <v>Proceeds from option exercises</v>
          </cell>
          <cell r="EH200">
            <v>51</v>
          </cell>
        </row>
        <row r="201">
          <cell r="CQ201" t="str">
            <v>Cash and equivalents at beginning of period</v>
          </cell>
          <cell r="CR201">
            <v>439</v>
          </cell>
          <cell r="CS201">
            <v>376.87</v>
          </cell>
          <cell r="CT201">
            <v>385.11</v>
          </cell>
          <cell r="CU201">
            <v>487.60571000000004</v>
          </cell>
          <cell r="CV201">
            <v>370.46271000000002</v>
          </cell>
          <cell r="CW201">
            <v>787.43271000000004</v>
          </cell>
          <cell r="CX201">
            <v>849.29271000000006</v>
          </cell>
          <cell r="CY201">
            <v>729.13771000000008</v>
          </cell>
          <cell r="DA201" t="str">
            <v>Other</v>
          </cell>
          <cell r="DB201">
            <v>-3</v>
          </cell>
          <cell r="DC201">
            <v>52</v>
          </cell>
          <cell r="DD201">
            <v>17</v>
          </cell>
          <cell r="DE201">
            <v>-112</v>
          </cell>
          <cell r="DG201" t="str">
            <v>Other</v>
          </cell>
          <cell r="DH201">
            <v>0</v>
          </cell>
          <cell r="DI201">
            <v>0</v>
          </cell>
          <cell r="DJ201">
            <v>-1</v>
          </cell>
          <cell r="DK201">
            <v>-5</v>
          </cell>
          <cell r="DL201">
            <v>13</v>
          </cell>
          <cell r="DM201">
            <v>13</v>
          </cell>
          <cell r="DN201">
            <v>7</v>
          </cell>
          <cell r="DO201">
            <v>119</v>
          </cell>
          <cell r="EB201" t="str">
            <v>Other</v>
          </cell>
          <cell r="EH201">
            <v>0</v>
          </cell>
        </row>
        <row r="202">
          <cell r="CQ202" t="str">
            <v>Cash and equivalents at end of period</v>
          </cell>
          <cell r="CR202">
            <v>376.87</v>
          </cell>
          <cell r="CS202">
            <v>385.11</v>
          </cell>
          <cell r="CT202">
            <v>487.60571000000004</v>
          </cell>
          <cell r="CU202">
            <v>370.46271000000002</v>
          </cell>
          <cell r="CV202">
            <v>787.43271000000004</v>
          </cell>
          <cell r="CW202">
            <v>849.29271000000006</v>
          </cell>
          <cell r="CX202">
            <v>729.13771000000008</v>
          </cell>
          <cell r="CY202">
            <v>882.13771000000008</v>
          </cell>
          <cell r="DA202" t="str">
            <v>Net cash (used) provided by financing activities</v>
          </cell>
          <cell r="DB202">
            <v>-252</v>
          </cell>
          <cell r="DC202">
            <v>-60</v>
          </cell>
          <cell r="DD202">
            <v>-184</v>
          </cell>
          <cell r="DE202">
            <v>-406</v>
          </cell>
          <cell r="DG202" t="str">
            <v>Net cash (used) provided by financing activities</v>
          </cell>
          <cell r="DH202">
            <v>-120</v>
          </cell>
          <cell r="DI202">
            <v>-136</v>
          </cell>
          <cell r="DJ202">
            <v>-50</v>
          </cell>
          <cell r="DK202">
            <v>-214</v>
          </cell>
          <cell r="DL202">
            <v>16</v>
          </cell>
          <cell r="DM202">
            <v>251</v>
          </cell>
          <cell r="DN202">
            <v>-574</v>
          </cell>
          <cell r="DO202">
            <v>-232</v>
          </cell>
          <cell r="EB202" t="str">
            <v>Net cash (used) provided by financing activities</v>
          </cell>
          <cell r="EH202">
            <v>267</v>
          </cell>
        </row>
        <row r="204">
          <cell r="CQ204" t="str">
            <v>FCF (OpCash -Capex)</v>
          </cell>
          <cell r="CR204">
            <v>-127.13</v>
          </cell>
          <cell r="CS204">
            <v>377.24</v>
          </cell>
          <cell r="CT204">
            <v>218.49571000000003</v>
          </cell>
          <cell r="CU204">
            <v>435.85699999999997</v>
          </cell>
          <cell r="CV204">
            <v>166.97000000000003</v>
          </cell>
          <cell r="CW204">
            <v>218.86</v>
          </cell>
          <cell r="CX204">
            <v>313.84500000000003</v>
          </cell>
          <cell r="CY204">
            <v>779</v>
          </cell>
          <cell r="DA204" t="str">
            <v>Net (decrease) increase in cash and equivalents</v>
          </cell>
          <cell r="DB204">
            <v>4.9975000000000023</v>
          </cell>
          <cell r="DC204">
            <v>225</v>
          </cell>
          <cell r="DD204">
            <v>-416.99999999999994</v>
          </cell>
          <cell r="DE204">
            <v>286.00250000000005</v>
          </cell>
          <cell r="DG204" t="str">
            <v>Net (decrease) increase in cash and equivalents</v>
          </cell>
          <cell r="DH204">
            <v>535</v>
          </cell>
          <cell r="DI204">
            <v>-73</v>
          </cell>
          <cell r="DJ204">
            <v>316</v>
          </cell>
          <cell r="DK204">
            <v>577</v>
          </cell>
          <cell r="DL204">
            <v>268</v>
          </cell>
          <cell r="DM204">
            <v>-1200</v>
          </cell>
          <cell r="DN204">
            <v>-436</v>
          </cell>
          <cell r="DO204">
            <v>641</v>
          </cell>
          <cell r="EB204" t="str">
            <v>Net (decrease) increase in cash and equivalents</v>
          </cell>
          <cell r="EH204">
            <v>60.731999999999971</v>
          </cell>
        </row>
        <row r="205">
          <cell r="DA205" t="str">
            <v>Cash and equivalents at beginning of period</v>
          </cell>
          <cell r="DB205">
            <v>882.13771000000008</v>
          </cell>
          <cell r="DC205">
            <v>887.13521000000014</v>
          </cell>
          <cell r="DD205">
            <v>1112.1352100000001</v>
          </cell>
          <cell r="DE205">
            <v>695.13521000000014</v>
          </cell>
          <cell r="DG205" t="str">
            <v>Cash and equivalents at beginning of period</v>
          </cell>
          <cell r="DH205">
            <v>976</v>
          </cell>
          <cell r="DI205">
            <v>1511</v>
          </cell>
          <cell r="DJ205">
            <v>1438</v>
          </cell>
          <cell r="DK205">
            <v>1754</v>
          </cell>
          <cell r="DL205">
            <v>2331</v>
          </cell>
          <cell r="DM205">
            <v>2599</v>
          </cell>
          <cell r="DN205">
            <v>1399</v>
          </cell>
          <cell r="DO205">
            <v>963</v>
          </cell>
          <cell r="EB205" t="str">
            <v>Cash and equivalents at beginning of period</v>
          </cell>
          <cell r="EH205">
            <v>208</v>
          </cell>
        </row>
        <row r="206">
          <cell r="DA206" t="str">
            <v>Cash and equivalents at end of period</v>
          </cell>
          <cell r="DB206">
            <v>887.13521000000014</v>
          </cell>
          <cell r="DC206">
            <v>1112.1352100000001</v>
          </cell>
          <cell r="DD206">
            <v>695.13521000000014</v>
          </cell>
          <cell r="DE206">
            <v>981.1377100000002</v>
          </cell>
          <cell r="DG206" t="str">
            <v>Cash and equivalents at end of period</v>
          </cell>
          <cell r="DH206">
            <v>1511</v>
          </cell>
          <cell r="DI206">
            <v>1438</v>
          </cell>
          <cell r="DJ206">
            <v>1754</v>
          </cell>
          <cell r="DK206">
            <v>2331</v>
          </cell>
          <cell r="DL206">
            <v>2599</v>
          </cell>
          <cell r="DM206">
            <v>1399</v>
          </cell>
          <cell r="DN206">
            <v>963</v>
          </cell>
          <cell r="DO206">
            <v>1604</v>
          </cell>
          <cell r="EB206" t="str">
            <v>Cash and equivalents at end of period</v>
          </cell>
          <cell r="EG206">
            <v>208</v>
          </cell>
          <cell r="EH206">
            <v>268.73199999999997</v>
          </cell>
        </row>
        <row r="207">
          <cell r="CQ207" t="str">
            <v>General Dynamics</v>
          </cell>
        </row>
        <row r="208">
          <cell r="CQ208" t="str">
            <v>Cash Flow Model</v>
          </cell>
          <cell r="DA208" t="str">
            <v>FCF (OpCash -Capex)</v>
          </cell>
          <cell r="DB208">
            <v>271.9975</v>
          </cell>
          <cell r="DC208">
            <v>290</v>
          </cell>
          <cell r="DD208">
            <v>247.00000000000006</v>
          </cell>
          <cell r="DE208">
            <v>725.00250000000005</v>
          </cell>
          <cell r="DG208" t="str">
            <v>FCF (OpCash -Capex)</v>
          </cell>
          <cell r="DH208">
            <v>320</v>
          </cell>
          <cell r="DI208">
            <v>148</v>
          </cell>
          <cell r="DJ208">
            <v>521</v>
          </cell>
          <cell r="DK208">
            <v>805</v>
          </cell>
          <cell r="DL208">
            <v>417</v>
          </cell>
          <cell r="DM208">
            <v>278</v>
          </cell>
          <cell r="DN208">
            <v>426</v>
          </cell>
          <cell r="DO208">
            <v>701</v>
          </cell>
          <cell r="EB208" t="str">
            <v>FCF (OpCash -Capex)</v>
          </cell>
          <cell r="EH208">
            <v>819.73199999999997</v>
          </cell>
        </row>
        <row r="209">
          <cell r="CR209">
            <v>2002</v>
          </cell>
          <cell r="CV209" t="str">
            <v>2003A</v>
          </cell>
          <cell r="DA209" t="str">
            <v>FCF Conversion</v>
          </cell>
          <cell r="DB209">
            <v>1.0264153435409769</v>
          </cell>
          <cell r="DC209">
            <v>1</v>
          </cell>
          <cell r="DD209">
            <v>0.77187500000000009</v>
          </cell>
          <cell r="DE209">
            <v>2.2610557765151515</v>
          </cell>
          <cell r="DG209" t="str">
            <v>FCF Conversion</v>
          </cell>
          <cell r="DH209">
            <v>0.90651558073654392</v>
          </cell>
          <cell r="DI209">
            <v>0.43786982248520701</v>
          </cell>
          <cell r="DJ209">
            <v>1.4313186813186811</v>
          </cell>
          <cell r="DK209">
            <v>2.0226130653266332</v>
          </cell>
          <cell r="DL209">
            <v>1.0775193798449614</v>
          </cell>
          <cell r="DM209">
            <v>0.66190476190476177</v>
          </cell>
          <cell r="DN209">
            <v>0.96818181818181814</v>
          </cell>
          <cell r="DO209">
            <v>1.5140388768898487</v>
          </cell>
          <cell r="EB209" t="str">
            <v>FCF Conversion</v>
          </cell>
          <cell r="EH209">
            <v>1.146462287240738</v>
          </cell>
        </row>
        <row r="210">
          <cell r="CQ210" t="str">
            <v>Operations</v>
          </cell>
          <cell r="CR210" t="str">
            <v>Q1</v>
          </cell>
          <cell r="CS210" t="str">
            <v>Q2</v>
          </cell>
          <cell r="CT210" t="str">
            <v>Q3</v>
          </cell>
          <cell r="CU210" t="str">
            <v>Q4</v>
          </cell>
          <cell r="CV210" t="str">
            <v xml:space="preserve">Q1 </v>
          </cell>
          <cell r="CW210" t="str">
            <v xml:space="preserve">Q2 </v>
          </cell>
          <cell r="CX210" t="str">
            <v xml:space="preserve">Q3 </v>
          </cell>
          <cell r="CY210" t="str">
            <v xml:space="preserve">Q4 </v>
          </cell>
        </row>
        <row r="211">
          <cell r="CQ211" t="str">
            <v>Net Income</v>
          </cell>
          <cell r="CR211">
            <v>231.87</v>
          </cell>
          <cell r="CS211">
            <v>272.24</v>
          </cell>
          <cell r="CT211">
            <v>278.49571000000003</v>
          </cell>
          <cell r="CU211">
            <v>258.85700000000003</v>
          </cell>
          <cell r="CV211">
            <v>217.97</v>
          </cell>
          <cell r="CW211">
            <v>239.85999999999999</v>
          </cell>
          <cell r="CX211">
            <v>248.845</v>
          </cell>
          <cell r="CY211">
            <v>275</v>
          </cell>
          <cell r="DG211" t="str">
            <v>Income taxes</v>
          </cell>
          <cell r="DH211">
            <v>33</v>
          </cell>
          <cell r="DI211">
            <v>235</v>
          </cell>
          <cell r="DJ211">
            <v>101</v>
          </cell>
          <cell r="DK211">
            <v>153</v>
          </cell>
          <cell r="DL211">
            <v>29</v>
          </cell>
          <cell r="DM211">
            <v>278</v>
          </cell>
          <cell r="DN211">
            <v>241</v>
          </cell>
          <cell r="DO211">
            <v>195</v>
          </cell>
          <cell r="EB211" t="str">
            <v>Income taxes</v>
          </cell>
        </row>
        <row r="212">
          <cell r="CQ212" t="str">
            <v>Depreciation/Depletion</v>
          </cell>
          <cell r="CR212">
            <v>45</v>
          </cell>
          <cell r="CS212">
            <v>49</v>
          </cell>
          <cell r="CT212">
            <v>50</v>
          </cell>
          <cell r="CU212">
            <v>35</v>
          </cell>
          <cell r="CV212">
            <v>47</v>
          </cell>
          <cell r="CW212">
            <v>46</v>
          </cell>
          <cell r="CX212">
            <v>52</v>
          </cell>
          <cell r="CY212">
            <v>59</v>
          </cell>
          <cell r="DA212" t="str">
            <v>General Dynamics</v>
          </cell>
          <cell r="DG212" t="str">
            <v>Interest</v>
          </cell>
          <cell r="DH212">
            <v>35</v>
          </cell>
          <cell r="DI212">
            <v>37</v>
          </cell>
          <cell r="DJ212">
            <v>24</v>
          </cell>
          <cell r="DK212">
            <v>58</v>
          </cell>
          <cell r="DL212">
            <v>33</v>
          </cell>
          <cell r="DM212">
            <v>40</v>
          </cell>
          <cell r="DN212">
            <v>43</v>
          </cell>
          <cell r="DO212">
            <v>40</v>
          </cell>
          <cell r="EB212" t="str">
            <v>Interest</v>
          </cell>
          <cell r="EH212">
            <v>53</v>
          </cell>
        </row>
        <row r="213">
          <cell r="CQ213" t="str">
            <v>Intang/Goodwill Amort</v>
          </cell>
          <cell r="CR213">
            <v>7</v>
          </cell>
          <cell r="CS213">
            <v>10</v>
          </cell>
          <cell r="CT213">
            <v>8</v>
          </cell>
          <cell r="CU213">
            <v>9</v>
          </cell>
          <cell r="CV213">
            <v>10</v>
          </cell>
          <cell r="CW213">
            <v>10</v>
          </cell>
          <cell r="CX213">
            <v>28</v>
          </cell>
          <cell r="CY213">
            <v>18</v>
          </cell>
          <cell r="DA213" t="str">
            <v>Cash Flow Model</v>
          </cell>
        </row>
        <row r="214">
          <cell r="CQ214" t="str">
            <v>Pension and OPEB</v>
          </cell>
          <cell r="DA214" t="str">
            <v>($USD in Millions, Except EPS)</v>
          </cell>
          <cell r="DB214">
            <v>2004</v>
          </cell>
          <cell r="DG214" t="str">
            <v>General Dynamics</v>
          </cell>
          <cell r="EB214" t="str">
            <v>General Dynamics</v>
          </cell>
        </row>
        <row r="215">
          <cell r="CQ215" t="str">
            <v>Capex</v>
          </cell>
          <cell r="CR215">
            <v>-44</v>
          </cell>
          <cell r="CS215">
            <v>-56</v>
          </cell>
          <cell r="CT215">
            <v>-46</v>
          </cell>
          <cell r="CU215">
            <v>-118</v>
          </cell>
          <cell r="CV215">
            <v>-31</v>
          </cell>
          <cell r="CW215">
            <v>-36</v>
          </cell>
          <cell r="CX215">
            <v>-48</v>
          </cell>
          <cell r="CY215">
            <v>-105</v>
          </cell>
          <cell r="DB215" t="str">
            <v xml:space="preserve">Q1 </v>
          </cell>
          <cell r="DC215" t="str">
            <v xml:space="preserve">Q2 </v>
          </cell>
          <cell r="DD215" t="str">
            <v xml:space="preserve">Q3 </v>
          </cell>
          <cell r="DE215" t="str">
            <v xml:space="preserve">Q4 </v>
          </cell>
          <cell r="DG215" t="str">
            <v>Cash Flow Model</v>
          </cell>
          <cell r="EB215" t="str">
            <v>Cash Flow Model</v>
          </cell>
        </row>
        <row r="216">
          <cell r="CQ216" t="str">
            <v>Deferred Taxes</v>
          </cell>
          <cell r="CR216">
            <v>57</v>
          </cell>
          <cell r="CS216">
            <v>35</v>
          </cell>
          <cell r="CT216">
            <v>33</v>
          </cell>
          <cell r="CU216">
            <v>54</v>
          </cell>
          <cell r="CV216">
            <v>33</v>
          </cell>
          <cell r="CW216">
            <v>8</v>
          </cell>
          <cell r="CX216">
            <v>43</v>
          </cell>
          <cell r="CY216">
            <v>53</v>
          </cell>
          <cell r="DA216" t="str">
            <v>Operations</v>
          </cell>
          <cell r="DG216" t="str">
            <v>($USD in Millions, Except EPS)</v>
          </cell>
          <cell r="DH216">
            <v>2005</v>
          </cell>
          <cell r="DL216">
            <v>2006</v>
          </cell>
          <cell r="EB216" t="str">
            <v>($USD in Millions, Except EPS)</v>
          </cell>
          <cell r="EF216" t="str">
            <v>Pro Forma for GAC</v>
          </cell>
        </row>
        <row r="217">
          <cell r="CQ217" t="str">
            <v>Dividends</v>
          </cell>
          <cell r="CR217">
            <v>-56</v>
          </cell>
          <cell r="CS217">
            <v>-60</v>
          </cell>
          <cell r="CT217">
            <v>-60</v>
          </cell>
          <cell r="CU217">
            <v>-60</v>
          </cell>
          <cell r="CV217">
            <v>-60</v>
          </cell>
          <cell r="CW217">
            <v>-63</v>
          </cell>
          <cell r="CX217">
            <v>-63</v>
          </cell>
          <cell r="CY217">
            <v>-63</v>
          </cell>
          <cell r="DA217" t="str">
            <v>Net Income</v>
          </cell>
          <cell r="DB217">
            <v>264.9975</v>
          </cell>
          <cell r="DC217">
            <v>290</v>
          </cell>
          <cell r="DD217">
            <v>320.00000000000006</v>
          </cell>
          <cell r="DE217">
            <v>320.64777327935224</v>
          </cell>
          <cell r="DH217" t="str">
            <v xml:space="preserve">Q1 </v>
          </cell>
          <cell r="DI217" t="str">
            <v xml:space="preserve">Q2 </v>
          </cell>
          <cell r="DJ217" t="str">
            <v xml:space="preserve">Q3 </v>
          </cell>
          <cell r="DK217" t="str">
            <v xml:space="preserve">Q4 </v>
          </cell>
          <cell r="DL217" t="str">
            <v xml:space="preserve">Q1 </v>
          </cell>
          <cell r="DM217" t="str">
            <v>Q2</v>
          </cell>
          <cell r="DN217" t="str">
            <v xml:space="preserve">Q3 </v>
          </cell>
          <cell r="DO217" t="str">
            <v xml:space="preserve">Q4 </v>
          </cell>
          <cell r="EC217">
            <v>1994</v>
          </cell>
          <cell r="ED217">
            <v>1995</v>
          </cell>
          <cell r="EE217">
            <v>1996</v>
          </cell>
          <cell r="EF217">
            <v>1997</v>
          </cell>
          <cell r="EG217" t="str">
            <v>1998</v>
          </cell>
          <cell r="EH217">
            <v>1999</v>
          </cell>
        </row>
        <row r="218">
          <cell r="CQ218" t="str">
            <v>Receivables</v>
          </cell>
          <cell r="DA218" t="str">
            <v>Depreciation/Depletion</v>
          </cell>
          <cell r="DB218">
            <v>54</v>
          </cell>
          <cell r="DC218">
            <v>61</v>
          </cell>
          <cell r="DD218">
            <v>61</v>
          </cell>
          <cell r="DE218">
            <v>37</v>
          </cell>
          <cell r="DG218" t="str">
            <v>Operations</v>
          </cell>
          <cell r="EB218" t="str">
            <v>Operations</v>
          </cell>
        </row>
        <row r="219">
          <cell r="CQ219" t="str">
            <v>Contracts in Progress</v>
          </cell>
          <cell r="DA219" t="str">
            <v>Intang/Goodwill Amort</v>
          </cell>
          <cell r="DB219">
            <v>23</v>
          </cell>
          <cell r="DC219">
            <v>25</v>
          </cell>
          <cell r="DD219">
            <v>24</v>
          </cell>
          <cell r="DE219">
            <v>21</v>
          </cell>
          <cell r="DG219" t="str">
            <v>Net Income</v>
          </cell>
          <cell r="DH219">
            <v>353</v>
          </cell>
          <cell r="DI219">
            <v>338.00000000000006</v>
          </cell>
          <cell r="DJ219">
            <v>364.00000000000006</v>
          </cell>
          <cell r="DK219">
            <v>398</v>
          </cell>
          <cell r="DL219">
            <v>374</v>
          </cell>
          <cell r="DM219">
            <v>636</v>
          </cell>
          <cell r="DN219">
            <v>438</v>
          </cell>
          <cell r="DO219">
            <v>408</v>
          </cell>
          <cell r="EB219" t="str">
            <v>Net Income</v>
          </cell>
          <cell r="EC219">
            <v>222.95</v>
          </cell>
          <cell r="ED219">
            <v>246.7955</v>
          </cell>
          <cell r="EE219">
            <v>269.93999999999994</v>
          </cell>
          <cell r="EF219">
            <v>559.47499999999991</v>
          </cell>
          <cell r="EG219">
            <v>495.86079999999998</v>
          </cell>
          <cell r="EH219">
            <v>715.01</v>
          </cell>
        </row>
        <row r="220">
          <cell r="CQ220" t="str">
            <v>Inventories</v>
          </cell>
          <cell r="DA220" t="str">
            <v>Pension and OPEB</v>
          </cell>
          <cell r="DG220" t="str">
            <v>Depreciation/Depletion</v>
          </cell>
          <cell r="DH220">
            <v>58</v>
          </cell>
          <cell r="DI220">
            <v>54</v>
          </cell>
          <cell r="DJ220">
            <v>56</v>
          </cell>
          <cell r="DK220">
            <v>58</v>
          </cell>
          <cell r="DL220">
            <v>55</v>
          </cell>
          <cell r="DM220">
            <v>65</v>
          </cell>
          <cell r="DN220">
            <v>59</v>
          </cell>
          <cell r="DO220">
            <v>72</v>
          </cell>
          <cell r="EB220" t="str">
            <v>Depreciation/Depletion</v>
          </cell>
          <cell r="EC220">
            <v>39</v>
          </cell>
          <cell r="ED220">
            <v>38</v>
          </cell>
          <cell r="EE220">
            <v>57</v>
          </cell>
          <cell r="EF220">
            <v>96</v>
          </cell>
          <cell r="EG220">
            <v>109</v>
          </cell>
          <cell r="EH220">
            <v>129</v>
          </cell>
        </row>
        <row r="221">
          <cell r="CQ221" t="str">
            <v>Other Current Assets</v>
          </cell>
          <cell r="DA221" t="str">
            <v>Capex</v>
          </cell>
          <cell r="DB221">
            <v>-53</v>
          </cell>
          <cell r="DC221">
            <v>-65</v>
          </cell>
          <cell r="DD221">
            <v>-60</v>
          </cell>
          <cell r="DE221">
            <v>-75</v>
          </cell>
          <cell r="DG221" t="str">
            <v>Intang/Goodwill Amort</v>
          </cell>
          <cell r="DH221">
            <v>26</v>
          </cell>
          <cell r="DI221">
            <v>25</v>
          </cell>
          <cell r="DJ221">
            <v>25</v>
          </cell>
          <cell r="DK221">
            <v>25</v>
          </cell>
          <cell r="DL221">
            <v>27</v>
          </cell>
          <cell r="DM221">
            <v>30</v>
          </cell>
          <cell r="DN221">
            <v>38</v>
          </cell>
          <cell r="DO221">
            <v>38</v>
          </cell>
          <cell r="EB221" t="str">
            <v>Intang/Goodwill Amort</v>
          </cell>
          <cell r="EE221">
            <v>10</v>
          </cell>
          <cell r="EF221">
            <v>28</v>
          </cell>
          <cell r="EG221">
            <v>52</v>
          </cell>
          <cell r="EH221">
            <v>64</v>
          </cell>
        </row>
        <row r="222">
          <cell r="CQ222" t="str">
            <v>Accounts Payable</v>
          </cell>
          <cell r="DA222" t="str">
            <v>Deferred Taxes</v>
          </cell>
          <cell r="DB222">
            <v>111</v>
          </cell>
          <cell r="DC222">
            <v>117</v>
          </cell>
          <cell r="DD222">
            <v>7</v>
          </cell>
          <cell r="DE222">
            <v>44</v>
          </cell>
          <cell r="DG222" t="str">
            <v>Pension and OPEB</v>
          </cell>
          <cell r="EB222" t="str">
            <v>Pension and OPEB</v>
          </cell>
          <cell r="EH222">
            <v>-126</v>
          </cell>
        </row>
        <row r="223">
          <cell r="CQ223" t="str">
            <v>Other Current Liabilities</v>
          </cell>
          <cell r="DA223" t="str">
            <v>Dividends</v>
          </cell>
          <cell r="DB223">
            <v>-63</v>
          </cell>
          <cell r="DC223">
            <v>-71</v>
          </cell>
          <cell r="DD223">
            <v>-72</v>
          </cell>
          <cell r="DE223">
            <v>-72</v>
          </cell>
          <cell r="DG223" t="str">
            <v>Capex</v>
          </cell>
          <cell r="DH223">
            <v>-38</v>
          </cell>
          <cell r="DI223">
            <v>-51</v>
          </cell>
          <cell r="DJ223">
            <v>-78</v>
          </cell>
          <cell r="DK223">
            <v>-95</v>
          </cell>
          <cell r="DL223">
            <v>-53</v>
          </cell>
          <cell r="DM223">
            <v>-64</v>
          </cell>
          <cell r="DN223">
            <v>-94</v>
          </cell>
          <cell r="DO223">
            <v>-123</v>
          </cell>
          <cell r="EB223" t="str">
            <v>Capex</v>
          </cell>
          <cell r="EC223">
            <v>-23</v>
          </cell>
          <cell r="ED223">
            <v>-32</v>
          </cell>
          <cell r="EE223">
            <v>-75</v>
          </cell>
          <cell r="EF223">
            <v>-113</v>
          </cell>
          <cell r="EG223">
            <v>-186</v>
          </cell>
          <cell r="EH223">
            <v>-197</v>
          </cell>
        </row>
        <row r="224">
          <cell r="CQ224" t="str">
            <v>Total W.C.</v>
          </cell>
          <cell r="CR224">
            <v>-424</v>
          </cell>
          <cell r="CS224">
            <v>67</v>
          </cell>
          <cell r="CT224">
            <v>-105</v>
          </cell>
          <cell r="CU224">
            <v>145</v>
          </cell>
          <cell r="CV224">
            <v>-98</v>
          </cell>
          <cell r="CW224">
            <v>-50</v>
          </cell>
          <cell r="CX224">
            <v>-21</v>
          </cell>
          <cell r="CY224">
            <v>493.5</v>
          </cell>
          <cell r="DA224" t="str">
            <v>Receivables</v>
          </cell>
          <cell r="DG224" t="str">
            <v>Deferred Taxes</v>
          </cell>
          <cell r="DH224">
            <v>12</v>
          </cell>
          <cell r="DI224">
            <v>32</v>
          </cell>
          <cell r="DJ224">
            <v>56</v>
          </cell>
          <cell r="DK224">
            <v>41</v>
          </cell>
          <cell r="DL224">
            <v>-18</v>
          </cell>
          <cell r="DM224">
            <v>29</v>
          </cell>
          <cell r="DN224">
            <v>19</v>
          </cell>
          <cell r="DO224">
            <v>15</v>
          </cell>
          <cell r="EB224" t="str">
            <v>Deferred Taxes</v>
          </cell>
          <cell r="EC224">
            <v>4</v>
          </cell>
          <cell r="ED224">
            <v>36</v>
          </cell>
          <cell r="EE224">
            <v>-61</v>
          </cell>
          <cell r="EF224">
            <v>-53</v>
          </cell>
          <cell r="EG224">
            <v>61</v>
          </cell>
          <cell r="EH224">
            <v>41</v>
          </cell>
        </row>
        <row r="225">
          <cell r="CQ225" t="str">
            <v>- subtotal</v>
          </cell>
          <cell r="CR225">
            <v>-183.13</v>
          </cell>
          <cell r="CS225">
            <v>317.24</v>
          </cell>
          <cell r="CT225">
            <v>158.49571000000003</v>
          </cell>
          <cell r="CU225">
            <v>323.85700000000003</v>
          </cell>
          <cell r="CV225">
            <v>118.97000000000003</v>
          </cell>
          <cell r="CW225">
            <v>154.86000000000001</v>
          </cell>
          <cell r="CX225">
            <v>239.84500000000003</v>
          </cell>
          <cell r="CY225">
            <v>730.5</v>
          </cell>
          <cell r="DA225" t="str">
            <v>Contracts in Progress</v>
          </cell>
          <cell r="DG225" t="str">
            <v>Dividends</v>
          </cell>
          <cell r="DH225">
            <v>-72</v>
          </cell>
          <cell r="DI225">
            <v>-80</v>
          </cell>
          <cell r="DJ225">
            <v>-80</v>
          </cell>
          <cell r="DK225">
            <v>-82</v>
          </cell>
          <cell r="DL225">
            <v>-80</v>
          </cell>
          <cell r="DM225">
            <v>-93</v>
          </cell>
          <cell r="DN225">
            <v>-93</v>
          </cell>
          <cell r="DO225">
            <v>-93</v>
          </cell>
          <cell r="EB225" t="str">
            <v>Dividends</v>
          </cell>
          <cell r="EC225">
            <v>-84</v>
          </cell>
          <cell r="ED225">
            <v>-92</v>
          </cell>
          <cell r="EE225">
            <v>-101</v>
          </cell>
          <cell r="EF225">
            <v>-102</v>
          </cell>
          <cell r="EG225">
            <v>-108</v>
          </cell>
          <cell r="EH225">
            <v>-136</v>
          </cell>
        </row>
        <row r="226">
          <cell r="CQ226" t="str">
            <v>Non-Opns/Discretionary</v>
          </cell>
          <cell r="DA226" t="str">
            <v>Inventories</v>
          </cell>
          <cell r="DG226" t="str">
            <v>Receivables</v>
          </cell>
          <cell r="DL226">
            <v>309</v>
          </cell>
          <cell r="DM226">
            <v>-112</v>
          </cell>
          <cell r="DN226">
            <v>-166</v>
          </cell>
          <cell r="DO226">
            <v>-191</v>
          </cell>
          <cell r="EB226" t="str">
            <v>Receivables</v>
          </cell>
        </row>
        <row r="227">
          <cell r="CQ227" t="str">
            <v>Real Estate &amp; Asset Sales</v>
          </cell>
          <cell r="CR227">
            <v>18</v>
          </cell>
          <cell r="CS227">
            <v>7</v>
          </cell>
          <cell r="CT227">
            <v>10</v>
          </cell>
          <cell r="CU227">
            <v>98</v>
          </cell>
          <cell r="CV227">
            <v>0</v>
          </cell>
          <cell r="CW227">
            <v>0</v>
          </cell>
          <cell r="CX227">
            <v>0</v>
          </cell>
          <cell r="CY227">
            <v>34</v>
          </cell>
          <cell r="DA227" t="str">
            <v>Other Current Assets</v>
          </cell>
          <cell r="DG227" t="str">
            <v>Contracts in Progress</v>
          </cell>
          <cell r="DL227">
            <v>-229</v>
          </cell>
          <cell r="DM227">
            <v>-57</v>
          </cell>
          <cell r="DN227">
            <v>41</v>
          </cell>
          <cell r="DO227">
            <v>-145</v>
          </cell>
          <cell r="EB227" t="str">
            <v>Contracts in Progress</v>
          </cell>
        </row>
        <row r="228">
          <cell r="CQ228" t="str">
            <v>R&amp;D Tax refund</v>
          </cell>
          <cell r="CR228">
            <v>0</v>
          </cell>
          <cell r="CS228">
            <v>0</v>
          </cell>
          <cell r="CT228">
            <v>0</v>
          </cell>
          <cell r="CU228">
            <v>0</v>
          </cell>
          <cell r="CV228">
            <v>0</v>
          </cell>
          <cell r="CW228">
            <v>0</v>
          </cell>
          <cell r="CX228">
            <v>0</v>
          </cell>
          <cell r="CY228">
            <v>0</v>
          </cell>
          <cell r="DA228" t="str">
            <v>Accounts Payable</v>
          </cell>
          <cell r="DG228" t="str">
            <v>Inventories</v>
          </cell>
          <cell r="DL228">
            <v>-143</v>
          </cell>
          <cell r="DM228">
            <v>-71</v>
          </cell>
          <cell r="DN228">
            <v>61</v>
          </cell>
          <cell r="DO228">
            <v>-84</v>
          </cell>
          <cell r="EB228" t="str">
            <v>Inventories</v>
          </cell>
        </row>
        <row r="229">
          <cell r="CQ229" t="str">
            <v>Acquis./Divests</v>
          </cell>
          <cell r="CR229">
            <v>0</v>
          </cell>
          <cell r="CS229">
            <v>-213</v>
          </cell>
          <cell r="CT229">
            <v>-68</v>
          </cell>
          <cell r="CU229">
            <v>6</v>
          </cell>
          <cell r="CV229">
            <v>-1075</v>
          </cell>
          <cell r="CW229">
            <v>-53</v>
          </cell>
          <cell r="CX229">
            <v>-1859</v>
          </cell>
          <cell r="CY229">
            <v>-57</v>
          </cell>
          <cell r="DA229" t="str">
            <v>Other Current Liabilities</v>
          </cell>
          <cell r="DG229" t="str">
            <v>Other Current Assets</v>
          </cell>
          <cell r="DL229">
            <v>0</v>
          </cell>
          <cell r="DM229">
            <v>-23</v>
          </cell>
          <cell r="DN229">
            <v>23</v>
          </cell>
          <cell r="DO229">
            <v>0</v>
          </cell>
          <cell r="EB229" t="str">
            <v>Other Current Assets</v>
          </cell>
        </row>
        <row r="230">
          <cell r="CQ230" t="str">
            <v>Stock Repurchase</v>
          </cell>
          <cell r="CR230">
            <v>-10</v>
          </cell>
          <cell r="CS230">
            <v>0</v>
          </cell>
          <cell r="CT230">
            <v>-71</v>
          </cell>
          <cell r="CU230">
            <v>-19</v>
          </cell>
          <cell r="CV230">
            <v>-274</v>
          </cell>
          <cell r="CW230">
            <v>-26</v>
          </cell>
          <cell r="CX230">
            <v>45</v>
          </cell>
          <cell r="CY230">
            <v>20</v>
          </cell>
          <cell r="DA230" t="str">
            <v>Total W.C.</v>
          </cell>
          <cell r="DB230">
            <v>-128</v>
          </cell>
          <cell r="DC230">
            <v>-138</v>
          </cell>
          <cell r="DD230">
            <v>-105</v>
          </cell>
          <cell r="DE230">
            <v>529</v>
          </cell>
          <cell r="DG230" t="str">
            <v>Accounts Payable</v>
          </cell>
          <cell r="DL230">
            <v>14</v>
          </cell>
          <cell r="DM230">
            <v>-14</v>
          </cell>
          <cell r="DN230">
            <v>-145</v>
          </cell>
          <cell r="DO230">
            <v>325</v>
          </cell>
          <cell r="EB230" t="str">
            <v>Accounts Payable</v>
          </cell>
        </row>
        <row r="231">
          <cell r="CQ231" t="str">
            <v>Securities sales (purchases)</v>
          </cell>
          <cell r="CR231">
            <v>0</v>
          </cell>
          <cell r="CS231">
            <v>0</v>
          </cell>
          <cell r="CT231">
            <v>0</v>
          </cell>
          <cell r="CU231">
            <v>-2</v>
          </cell>
          <cell r="CV231">
            <v>0</v>
          </cell>
          <cell r="CW231">
            <v>0</v>
          </cell>
          <cell r="CX231">
            <v>0</v>
          </cell>
          <cell r="CY231">
            <v>1</v>
          </cell>
          <cell r="DA231" t="str">
            <v>- subtotal</v>
          </cell>
          <cell r="DB231">
            <v>208.9975</v>
          </cell>
          <cell r="DC231">
            <v>219</v>
          </cell>
          <cell r="DD231">
            <v>175.00000000000006</v>
          </cell>
          <cell r="DE231">
            <v>804.64777327935224</v>
          </cell>
          <cell r="DG231" t="str">
            <v>Other Current Liabilities</v>
          </cell>
          <cell r="DL231">
            <v>76</v>
          </cell>
          <cell r="DM231">
            <v>-155</v>
          </cell>
          <cell r="DN231">
            <v>166</v>
          </cell>
          <cell r="DO231">
            <v>363</v>
          </cell>
          <cell r="EB231" t="str">
            <v>Other Current Liabilities</v>
          </cell>
        </row>
        <row r="232">
          <cell r="CQ232" t="str">
            <v>A-12/Restruct.</v>
          </cell>
          <cell r="CR232">
            <v>0</v>
          </cell>
          <cell r="CS232">
            <v>0</v>
          </cell>
          <cell r="CT232">
            <v>0</v>
          </cell>
          <cell r="CU232">
            <v>0</v>
          </cell>
          <cell r="CV232">
            <v>0</v>
          </cell>
          <cell r="CW232">
            <v>0</v>
          </cell>
          <cell r="CX232">
            <v>0</v>
          </cell>
          <cell r="CY232">
            <v>0</v>
          </cell>
          <cell r="DA232" t="str">
            <v>Non-Opns/Discretionary</v>
          </cell>
          <cell r="DG232" t="str">
            <v>Total W.C.</v>
          </cell>
          <cell r="DH232">
            <v>-74</v>
          </cell>
          <cell r="DI232">
            <v>-262</v>
          </cell>
          <cell r="DJ232">
            <v>70</v>
          </cell>
          <cell r="DK232">
            <v>369</v>
          </cell>
          <cell r="DL232">
            <v>27</v>
          </cell>
          <cell r="DM232">
            <v>-432</v>
          </cell>
          <cell r="DN232">
            <v>-20</v>
          </cell>
          <cell r="DO232">
            <v>268</v>
          </cell>
          <cell r="EB232" t="str">
            <v>Total W.C.</v>
          </cell>
          <cell r="EC232">
            <v>38</v>
          </cell>
          <cell r="ED232">
            <v>109</v>
          </cell>
          <cell r="EE232">
            <v>-258</v>
          </cell>
          <cell r="EF232">
            <v>66</v>
          </cell>
          <cell r="EG232">
            <v>-210</v>
          </cell>
          <cell r="EH232">
            <v>202</v>
          </cell>
        </row>
        <row r="233">
          <cell r="CQ233" t="str">
            <v>Finance operations leases</v>
          </cell>
          <cell r="CY233">
            <v>0</v>
          </cell>
          <cell r="DA233" t="str">
            <v>Real Estate &amp; Asset Sales</v>
          </cell>
          <cell r="DB233">
            <v>0</v>
          </cell>
          <cell r="DC233">
            <v>0</v>
          </cell>
          <cell r="DD233">
            <v>23</v>
          </cell>
          <cell r="DE233">
            <v>1</v>
          </cell>
          <cell r="DG233" t="str">
            <v>- subtotal</v>
          </cell>
          <cell r="DH233">
            <v>265</v>
          </cell>
          <cell r="DI233">
            <v>56.000000000000057</v>
          </cell>
          <cell r="DJ233">
            <v>413.00000000000006</v>
          </cell>
          <cell r="DK233">
            <v>714</v>
          </cell>
          <cell r="DL233">
            <v>332</v>
          </cell>
          <cell r="DM233">
            <v>171</v>
          </cell>
          <cell r="DN233">
            <v>347</v>
          </cell>
          <cell r="DO233">
            <v>585</v>
          </cell>
          <cell r="EB233" t="str">
            <v>- subtotal</v>
          </cell>
          <cell r="EC233">
            <v>196.95</v>
          </cell>
          <cell r="ED233">
            <v>305.7955</v>
          </cell>
          <cell r="EE233">
            <v>-158.06000000000006</v>
          </cell>
          <cell r="EF233">
            <v>481.47499999999991</v>
          </cell>
          <cell r="EG233">
            <v>213.86079999999993</v>
          </cell>
          <cell r="EH233">
            <v>692.01</v>
          </cell>
        </row>
        <row r="234">
          <cell r="CQ234" t="str">
            <v>Other</v>
          </cell>
          <cell r="CR234">
            <v>36</v>
          </cell>
          <cell r="CS234">
            <v>15</v>
          </cell>
          <cell r="CT234">
            <v>4</v>
          </cell>
          <cell r="CU234">
            <v>1</v>
          </cell>
          <cell r="CV234">
            <v>2</v>
          </cell>
          <cell r="CW234">
            <v>18</v>
          </cell>
          <cell r="CX234">
            <v>-10</v>
          </cell>
          <cell r="CY234">
            <v>-9</v>
          </cell>
          <cell r="DA234" t="str">
            <v>R&amp;D Tax refund</v>
          </cell>
          <cell r="DB234">
            <v>0</v>
          </cell>
          <cell r="DC234">
            <v>0</v>
          </cell>
          <cell r="DD234">
            <v>0</v>
          </cell>
          <cell r="DE234">
            <v>1</v>
          </cell>
          <cell r="DG234" t="str">
            <v>Non-Opns/Discretionary</v>
          </cell>
          <cell r="EB234" t="str">
            <v>Non-Opns/Discretionary</v>
          </cell>
        </row>
        <row r="235">
          <cell r="CQ235" t="str">
            <v>- subtotal</v>
          </cell>
          <cell r="CR235">
            <v>44</v>
          </cell>
          <cell r="CS235">
            <v>-191</v>
          </cell>
          <cell r="CT235">
            <v>-125</v>
          </cell>
          <cell r="CU235">
            <v>84</v>
          </cell>
          <cell r="CV235">
            <v>-1347</v>
          </cell>
          <cell r="CW235">
            <v>-61</v>
          </cell>
          <cell r="CX235">
            <v>-1824</v>
          </cell>
          <cell r="CY235">
            <v>-11</v>
          </cell>
          <cell r="DA235" t="str">
            <v>Acquis./Divests</v>
          </cell>
          <cell r="DB235">
            <v>-31</v>
          </cell>
          <cell r="DC235">
            <v>-5</v>
          </cell>
          <cell r="DD235">
            <v>-490</v>
          </cell>
          <cell r="DE235">
            <v>-17</v>
          </cell>
          <cell r="DG235" t="str">
            <v>Real Estate &amp; Asset Sales</v>
          </cell>
          <cell r="DH235">
            <v>373</v>
          </cell>
          <cell r="DI235">
            <v>-24</v>
          </cell>
          <cell r="DJ235">
            <v>13</v>
          </cell>
          <cell r="DK235">
            <v>-1</v>
          </cell>
          <cell r="DL235">
            <v>0</v>
          </cell>
          <cell r="DM235">
            <v>299</v>
          </cell>
          <cell r="DN235">
            <v>28</v>
          </cell>
          <cell r="DO235">
            <v>53</v>
          </cell>
          <cell r="EB235" t="str">
            <v>Real Estate &amp; Asset Sales</v>
          </cell>
          <cell r="EE235">
            <v>41</v>
          </cell>
          <cell r="EF235">
            <v>34</v>
          </cell>
          <cell r="EG235">
            <v>99</v>
          </cell>
          <cell r="EH235">
            <v>18</v>
          </cell>
        </row>
        <row r="236">
          <cell r="CQ236" t="str">
            <v>Cash Throwoff</v>
          </cell>
          <cell r="CR236">
            <v>-139.13</v>
          </cell>
          <cell r="CS236">
            <v>126.24000000000001</v>
          </cell>
          <cell r="CT236">
            <v>33.495710000000031</v>
          </cell>
          <cell r="CU236">
            <v>407.85700000000003</v>
          </cell>
          <cell r="CV236">
            <v>-1228.03</v>
          </cell>
          <cell r="CW236">
            <v>93.860000000000014</v>
          </cell>
          <cell r="CX236">
            <v>-1584.155</v>
          </cell>
          <cell r="CY236">
            <v>719.5</v>
          </cell>
          <cell r="DA236" t="str">
            <v>Stock Repurchase</v>
          </cell>
          <cell r="DB236">
            <v>0</v>
          </cell>
          <cell r="DC236">
            <v>0</v>
          </cell>
          <cell r="DD236">
            <v>0</v>
          </cell>
          <cell r="DE236">
            <v>0</v>
          </cell>
          <cell r="DG236" t="str">
            <v>R&amp;D Tax refund</v>
          </cell>
          <cell r="DH236">
            <v>0</v>
          </cell>
          <cell r="DI236">
            <v>0</v>
          </cell>
          <cell r="DJ236">
            <v>0</v>
          </cell>
          <cell r="DK236">
            <v>0</v>
          </cell>
          <cell r="DL236">
            <v>0</v>
          </cell>
          <cell r="DM236">
            <v>0</v>
          </cell>
          <cell r="DN236">
            <v>0</v>
          </cell>
          <cell r="DO236">
            <v>0</v>
          </cell>
          <cell r="EB236" t="str">
            <v>R&amp;D Tax refund</v>
          </cell>
          <cell r="EF236">
            <v>0</v>
          </cell>
          <cell r="EG236">
            <v>0</v>
          </cell>
          <cell r="EH236">
            <v>0</v>
          </cell>
        </row>
        <row r="237">
          <cell r="CV237" t="str">
            <v xml:space="preserve">                                                           </v>
          </cell>
          <cell r="DA237" t="str">
            <v>Securities sales (purchases)</v>
          </cell>
          <cell r="DB237">
            <v>0</v>
          </cell>
          <cell r="DC237">
            <v>0</v>
          </cell>
          <cell r="DD237">
            <v>0</v>
          </cell>
          <cell r="DE237">
            <v>0</v>
          </cell>
          <cell r="DG237" t="str">
            <v>Acquis./Divests</v>
          </cell>
          <cell r="DH237">
            <v>-37</v>
          </cell>
          <cell r="DI237">
            <v>0</v>
          </cell>
          <cell r="DJ237">
            <v>-240</v>
          </cell>
          <cell r="DK237">
            <v>0</v>
          </cell>
          <cell r="DL237">
            <v>-153</v>
          </cell>
          <cell r="DM237">
            <v>-2001</v>
          </cell>
          <cell r="DN237">
            <v>-164</v>
          </cell>
          <cell r="DO237">
            <v>-24</v>
          </cell>
          <cell r="EB237" t="str">
            <v>Acquis./Divests</v>
          </cell>
          <cell r="EC237">
            <v>276</v>
          </cell>
          <cell r="ED237">
            <v>-255</v>
          </cell>
          <cell r="EE237">
            <v>-59</v>
          </cell>
          <cell r="EF237">
            <v>-1230</v>
          </cell>
          <cell r="EG237">
            <v>-481</v>
          </cell>
          <cell r="EH237">
            <v>-1090</v>
          </cell>
        </row>
        <row r="238">
          <cell r="CQ238" t="str">
            <v>Debt issuance (repayment)</v>
          </cell>
          <cell r="CR238">
            <v>77</v>
          </cell>
          <cell r="CS238">
            <v>-118</v>
          </cell>
          <cell r="CT238">
            <v>69</v>
          </cell>
          <cell r="CU238">
            <v>-555</v>
          </cell>
          <cell r="CV238">
            <v>1644</v>
          </cell>
          <cell r="CW238">
            <v>-32</v>
          </cell>
          <cell r="CX238">
            <v>1464</v>
          </cell>
          <cell r="CY238">
            <v>-511</v>
          </cell>
          <cell r="DA238" t="str">
            <v>A-12/Restruct.</v>
          </cell>
          <cell r="DB238">
            <v>0</v>
          </cell>
          <cell r="DC238">
            <v>0</v>
          </cell>
          <cell r="DD238">
            <v>0</v>
          </cell>
          <cell r="DE238">
            <v>0</v>
          </cell>
          <cell r="DG238" t="str">
            <v>Stock Repurchase</v>
          </cell>
          <cell r="DH238">
            <v>-48</v>
          </cell>
          <cell r="DI238">
            <v>-56</v>
          </cell>
          <cell r="DJ238">
            <v>31</v>
          </cell>
          <cell r="DK238">
            <v>-127</v>
          </cell>
          <cell r="DL238">
            <v>83</v>
          </cell>
          <cell r="DM238">
            <v>-31</v>
          </cell>
          <cell r="DN238">
            <v>55</v>
          </cell>
          <cell r="DO238">
            <v>61</v>
          </cell>
          <cell r="EB238" t="str">
            <v>Stock Repurchase</v>
          </cell>
          <cell r="EC238">
            <v>-22</v>
          </cell>
          <cell r="ED238">
            <v>4</v>
          </cell>
          <cell r="EE238">
            <v>-15</v>
          </cell>
          <cell r="EF238">
            <v>-27</v>
          </cell>
          <cell r="EG238">
            <v>-172</v>
          </cell>
          <cell r="EH238">
            <v>-8</v>
          </cell>
        </row>
        <row r="239">
          <cell r="CQ239" t="str">
            <v>Finance operations debt</v>
          </cell>
          <cell r="CR239">
            <v>0</v>
          </cell>
          <cell r="CS239">
            <v>0</v>
          </cell>
          <cell r="CT239">
            <v>0</v>
          </cell>
          <cell r="CU239">
            <v>-22</v>
          </cell>
          <cell r="CV239">
            <v>0</v>
          </cell>
          <cell r="CW239">
            <v>0</v>
          </cell>
          <cell r="CX239">
            <v>0</v>
          </cell>
          <cell r="CY239">
            <v>-40</v>
          </cell>
          <cell r="DA239" t="str">
            <v>Finance operations leases</v>
          </cell>
          <cell r="DB239">
            <v>0</v>
          </cell>
          <cell r="DC239">
            <v>0</v>
          </cell>
          <cell r="DD239">
            <v>0</v>
          </cell>
          <cell r="DE239">
            <v>-500</v>
          </cell>
          <cell r="DG239" t="str">
            <v>Securities sales (purchases)</v>
          </cell>
          <cell r="DH239">
            <v>0</v>
          </cell>
          <cell r="DI239">
            <v>0</v>
          </cell>
          <cell r="DJ239">
            <v>0</v>
          </cell>
          <cell r="DK239">
            <v>0</v>
          </cell>
          <cell r="DL239">
            <v>0</v>
          </cell>
          <cell r="DM239">
            <v>0</v>
          </cell>
          <cell r="DN239">
            <v>0</v>
          </cell>
          <cell r="DO239">
            <v>0</v>
          </cell>
          <cell r="EB239" t="str">
            <v>Securities sales (purchases)</v>
          </cell>
          <cell r="EF239">
            <v>476</v>
          </cell>
          <cell r="EG239">
            <v>50</v>
          </cell>
          <cell r="EH239">
            <v>54</v>
          </cell>
        </row>
        <row r="240">
          <cell r="DA240" t="str">
            <v>Other</v>
          </cell>
          <cell r="DB240">
            <v>13</v>
          </cell>
          <cell r="DC240">
            <v>52</v>
          </cell>
          <cell r="DD240">
            <v>4</v>
          </cell>
          <cell r="DE240">
            <v>-129</v>
          </cell>
          <cell r="DG240" t="str">
            <v>A-12/Restruct.</v>
          </cell>
          <cell r="DH240">
            <v>0</v>
          </cell>
          <cell r="DI240">
            <v>0</v>
          </cell>
          <cell r="DJ240">
            <v>0</v>
          </cell>
          <cell r="DK240">
            <v>0</v>
          </cell>
          <cell r="DL240">
            <v>0</v>
          </cell>
          <cell r="DM240">
            <v>0</v>
          </cell>
          <cell r="DN240">
            <v>0</v>
          </cell>
          <cell r="DO240">
            <v>0</v>
          </cell>
          <cell r="EB240" t="str">
            <v>A-12/Restruct.</v>
          </cell>
          <cell r="EC240">
            <v>-16</v>
          </cell>
          <cell r="ED240">
            <v>-19</v>
          </cell>
          <cell r="EE240">
            <v>-10</v>
          </cell>
          <cell r="EF240">
            <v>-5</v>
          </cell>
          <cell r="EG240">
            <v>-4</v>
          </cell>
          <cell r="EH240">
            <v>-11</v>
          </cell>
        </row>
        <row r="241">
          <cell r="CQ241" t="str">
            <v>Increase (decrease) in Cash and Equivalents</v>
          </cell>
          <cell r="CR241">
            <v>-62.129999999999995</v>
          </cell>
          <cell r="CS241">
            <v>8.2400000000000091</v>
          </cell>
          <cell r="CT241">
            <v>102.49571000000003</v>
          </cell>
          <cell r="CU241">
            <v>-169.14299999999997</v>
          </cell>
          <cell r="CV241">
            <v>415.97</v>
          </cell>
          <cell r="CW241">
            <v>61.860000000000014</v>
          </cell>
          <cell r="CX241">
            <v>-120.15499999999997</v>
          </cell>
          <cell r="CY241">
            <v>168.5</v>
          </cell>
          <cell r="DA241" t="str">
            <v>- subtotal</v>
          </cell>
          <cell r="DB241">
            <v>-18</v>
          </cell>
          <cell r="DC241">
            <v>47</v>
          </cell>
          <cell r="DD241">
            <v>-463</v>
          </cell>
          <cell r="DE241">
            <v>-644</v>
          </cell>
          <cell r="DG241" t="str">
            <v>Finance operations leases</v>
          </cell>
          <cell r="DH241">
            <v>0</v>
          </cell>
          <cell r="DI241">
            <v>0</v>
          </cell>
          <cell r="DJ241">
            <v>0</v>
          </cell>
          <cell r="DK241">
            <v>0</v>
          </cell>
          <cell r="DL241">
            <v>0</v>
          </cell>
          <cell r="DM241">
            <v>0</v>
          </cell>
          <cell r="DN241">
            <v>0</v>
          </cell>
          <cell r="DO241">
            <v>0</v>
          </cell>
          <cell r="EB241" t="str">
            <v>Finance operations leases</v>
          </cell>
          <cell r="EH241">
            <v>2</v>
          </cell>
        </row>
        <row r="242">
          <cell r="DA242" t="str">
            <v>Cash Throwoff</v>
          </cell>
          <cell r="DB242">
            <v>190.9975</v>
          </cell>
          <cell r="DC242">
            <v>266</v>
          </cell>
          <cell r="DD242">
            <v>-287.99999999999994</v>
          </cell>
          <cell r="DE242">
            <v>160.64777327935224</v>
          </cell>
          <cell r="DG242" t="str">
            <v>Other</v>
          </cell>
          <cell r="DH242">
            <v>-1</v>
          </cell>
          <cell r="DI242">
            <v>-61</v>
          </cell>
          <cell r="DJ242">
            <v>71</v>
          </cell>
          <cell r="DK242">
            <v>-18</v>
          </cell>
          <cell r="DL242">
            <v>6</v>
          </cell>
          <cell r="DM242">
            <v>0</v>
          </cell>
          <cell r="DN242">
            <v>-159</v>
          </cell>
          <cell r="DO242">
            <v>285</v>
          </cell>
          <cell r="EB242" t="str">
            <v>Other</v>
          </cell>
          <cell r="EF242">
            <v>-27</v>
          </cell>
          <cell r="EG242">
            <v>-44</v>
          </cell>
          <cell r="EH242">
            <v>-9</v>
          </cell>
        </row>
        <row r="243">
          <cell r="CQ243" t="str">
            <v>CASH FLOW/NINC</v>
          </cell>
          <cell r="CR243">
            <v>-0.54828136455772625</v>
          </cell>
          <cell r="CS243">
            <v>1.385689097854834</v>
          </cell>
          <cell r="CT243">
            <v>0.78455682495073265</v>
          </cell>
          <cell r="CU243">
            <v>1.4828920987263237</v>
          </cell>
          <cell r="CV243">
            <v>0.82107629490296841</v>
          </cell>
          <cell r="CW243">
            <v>0.9082798299007756</v>
          </cell>
          <cell r="CX243">
            <v>1.2170025517892664</v>
          </cell>
          <cell r="CY243">
            <v>2.8854545454545453</v>
          </cell>
          <cell r="DG243" t="str">
            <v>- subtotal</v>
          </cell>
          <cell r="DH243">
            <v>287</v>
          </cell>
          <cell r="DI243">
            <v>-141</v>
          </cell>
          <cell r="DJ243">
            <v>-125</v>
          </cell>
          <cell r="DK243">
            <v>-146</v>
          </cell>
          <cell r="DL243">
            <v>-64</v>
          </cell>
          <cell r="DM243">
            <v>-1733</v>
          </cell>
          <cell r="DN243">
            <v>-240</v>
          </cell>
          <cell r="DO243">
            <v>375</v>
          </cell>
          <cell r="EB243" t="str">
            <v>- subtotal</v>
          </cell>
          <cell r="EC243">
            <v>238</v>
          </cell>
          <cell r="ED243">
            <v>-270</v>
          </cell>
          <cell r="EE243">
            <v>-43</v>
          </cell>
          <cell r="EF243">
            <v>-779</v>
          </cell>
          <cell r="EG243">
            <v>-552</v>
          </cell>
          <cell r="EH243">
            <v>-1044</v>
          </cell>
        </row>
        <row r="244">
          <cell r="DA244" t="str">
            <v>Debt issuance (repayment)</v>
          </cell>
          <cell r="DB244">
            <v>-186</v>
          </cell>
          <cell r="DC244">
            <v>-41</v>
          </cell>
          <cell r="DD244">
            <v>-129</v>
          </cell>
          <cell r="DE244">
            <v>109</v>
          </cell>
          <cell r="DG244" t="str">
            <v>Cash Throwoff</v>
          </cell>
          <cell r="DH244">
            <v>552</v>
          </cell>
          <cell r="DI244">
            <v>-84.999999999999943</v>
          </cell>
          <cell r="DJ244">
            <v>288.00000000000006</v>
          </cell>
          <cell r="DK244">
            <v>568</v>
          </cell>
          <cell r="DL244">
            <v>268</v>
          </cell>
          <cell r="DM244">
            <v>-1562</v>
          </cell>
          <cell r="DN244">
            <v>107</v>
          </cell>
          <cell r="DO244">
            <v>960</v>
          </cell>
          <cell r="EB244" t="str">
            <v>Cash Throwoff</v>
          </cell>
          <cell r="EC244">
            <v>434.95</v>
          </cell>
          <cell r="ED244">
            <v>35.795500000000004</v>
          </cell>
          <cell r="EE244">
            <v>-201.06000000000006</v>
          </cell>
          <cell r="EF244">
            <v>-297.52500000000009</v>
          </cell>
          <cell r="EG244">
            <v>-338.13920000000007</v>
          </cell>
          <cell r="EH244">
            <v>-351.99</v>
          </cell>
        </row>
        <row r="245">
          <cell r="CQ245" t="str">
            <v>Cash at Beginning of Period</v>
          </cell>
          <cell r="CR245">
            <v>440</v>
          </cell>
          <cell r="CS245">
            <v>377.87</v>
          </cell>
          <cell r="CT245">
            <v>386.11</v>
          </cell>
          <cell r="CU245">
            <v>488.60571000000004</v>
          </cell>
          <cell r="CV245">
            <v>319.46271000000007</v>
          </cell>
          <cell r="CW245">
            <v>735.43271000000004</v>
          </cell>
          <cell r="CX245">
            <v>797.29271000000006</v>
          </cell>
          <cell r="CY245">
            <v>677.13771000000008</v>
          </cell>
          <cell r="DA245" t="str">
            <v>Finance operations debt</v>
          </cell>
          <cell r="DB245">
            <v>0</v>
          </cell>
          <cell r="DC245">
            <v>0</v>
          </cell>
          <cell r="DD245">
            <v>0</v>
          </cell>
          <cell r="DE245">
            <v>-500</v>
          </cell>
        </row>
        <row r="246">
          <cell r="CQ246" t="str">
            <v>Cash at End of Period</v>
          </cell>
          <cell r="CR246">
            <v>377.87</v>
          </cell>
          <cell r="CS246">
            <v>386.11</v>
          </cell>
          <cell r="CT246">
            <v>488.60571000000004</v>
          </cell>
          <cell r="CU246">
            <v>319.46271000000007</v>
          </cell>
          <cell r="CV246">
            <v>735.43271000000004</v>
          </cell>
          <cell r="CW246">
            <v>797.29271000000006</v>
          </cell>
          <cell r="CX246">
            <v>677.13771000000008</v>
          </cell>
          <cell r="CY246">
            <v>845.13771000000008</v>
          </cell>
          <cell r="DG246" t="str">
            <v>Debt issuance (repayment)</v>
          </cell>
          <cell r="DH246">
            <v>0</v>
          </cell>
          <cell r="DI246">
            <v>0</v>
          </cell>
          <cell r="DJ246">
            <v>0</v>
          </cell>
          <cell r="DK246">
            <v>0</v>
          </cell>
          <cell r="DL246">
            <v>0</v>
          </cell>
          <cell r="DM246">
            <v>362</v>
          </cell>
          <cell r="DN246">
            <v>-543</v>
          </cell>
          <cell r="DO246">
            <v>-319</v>
          </cell>
          <cell r="EB246" t="str">
            <v>Debt issuance (repayment)</v>
          </cell>
          <cell r="EF246">
            <v>200</v>
          </cell>
          <cell r="EG246">
            <v>-176</v>
          </cell>
          <cell r="EH246">
            <v>470</v>
          </cell>
        </row>
        <row r="247">
          <cell r="CQ247" t="str">
            <v>Ending Marketable Securities</v>
          </cell>
          <cell r="CR247">
            <v>0</v>
          </cell>
          <cell r="CS247">
            <v>0</v>
          </cell>
          <cell r="CT247">
            <v>0</v>
          </cell>
          <cell r="CU247">
            <v>0</v>
          </cell>
          <cell r="CV247">
            <v>0</v>
          </cell>
          <cell r="CW247">
            <v>0</v>
          </cell>
          <cell r="CX247">
            <v>0</v>
          </cell>
          <cell r="CY247">
            <v>0</v>
          </cell>
          <cell r="DA247" t="str">
            <v>Increase (decrease) in Cash and Equivalents</v>
          </cell>
          <cell r="DB247">
            <v>4.9975000000000023</v>
          </cell>
          <cell r="DC247">
            <v>225</v>
          </cell>
          <cell r="DD247">
            <v>-416.99999999999994</v>
          </cell>
          <cell r="DE247">
            <v>-230.35222672064776</v>
          </cell>
          <cell r="DG247" t="str">
            <v>Finance operations debt</v>
          </cell>
          <cell r="DH247">
            <v>0</v>
          </cell>
          <cell r="DI247">
            <v>0</v>
          </cell>
          <cell r="DJ247">
            <v>0</v>
          </cell>
          <cell r="DK247">
            <v>0</v>
          </cell>
          <cell r="DL247">
            <v>0</v>
          </cell>
          <cell r="DM247">
            <v>0</v>
          </cell>
          <cell r="DN247">
            <v>0</v>
          </cell>
          <cell r="DO247">
            <v>0</v>
          </cell>
          <cell r="EB247" t="str">
            <v>Finance operations debt</v>
          </cell>
          <cell r="EF247">
            <v>-17</v>
          </cell>
          <cell r="EG247">
            <v>-38</v>
          </cell>
          <cell r="EH247">
            <v>-59</v>
          </cell>
        </row>
        <row r="248">
          <cell r="CQ248" t="str">
            <v>Ending Cash &amp; Marketable Securities</v>
          </cell>
          <cell r="CR248">
            <v>377.87</v>
          </cell>
          <cell r="CS248">
            <v>386.11</v>
          </cell>
          <cell r="CT248">
            <v>488.60571000000004</v>
          </cell>
          <cell r="CU248">
            <v>319.46271000000007</v>
          </cell>
          <cell r="CV248">
            <v>735.43271000000004</v>
          </cell>
          <cell r="CW248">
            <v>797.29271000000006</v>
          </cell>
          <cell r="CX248">
            <v>677.13771000000008</v>
          </cell>
          <cell r="CY248">
            <v>845.13771000000008</v>
          </cell>
        </row>
        <row r="249">
          <cell r="DA249" t="str">
            <v>CASH FLOW/NINC</v>
          </cell>
          <cell r="DB249">
            <v>1.0264153435409769</v>
          </cell>
          <cell r="DC249">
            <v>1</v>
          </cell>
          <cell r="DD249">
            <v>0.77187500000000009</v>
          </cell>
          <cell r="DE249">
            <v>2.7339898989898987</v>
          </cell>
          <cell r="DG249" t="str">
            <v>Increase (decrease) in Cash and Equivalents</v>
          </cell>
          <cell r="DH249">
            <v>552</v>
          </cell>
          <cell r="DI249">
            <v>-84.999999999999943</v>
          </cell>
          <cell r="DJ249">
            <v>288.00000000000006</v>
          </cell>
          <cell r="DK249">
            <v>568</v>
          </cell>
          <cell r="DL249">
            <v>268</v>
          </cell>
          <cell r="DM249">
            <v>-1200</v>
          </cell>
          <cell r="DN249">
            <v>-436</v>
          </cell>
          <cell r="DO249">
            <v>641</v>
          </cell>
          <cell r="EB249" t="str">
            <v>Increase (decrease) in Cash and Equivalents</v>
          </cell>
          <cell r="EF249">
            <v>-114.52500000000009</v>
          </cell>
          <cell r="EG249">
            <v>-552.13920000000007</v>
          </cell>
          <cell r="EH249">
            <v>59.009999999999991</v>
          </cell>
        </row>
        <row r="250">
          <cell r="CQ250" t="str">
            <v>FCF (OpCash -Capex)</v>
          </cell>
          <cell r="CV250">
            <v>166.97000000000003</v>
          </cell>
          <cell r="CW250">
            <v>218.86</v>
          </cell>
          <cell r="CX250">
            <v>313.84500000000003</v>
          </cell>
          <cell r="CY250">
            <v>779</v>
          </cell>
        </row>
        <row r="251">
          <cell r="CQ251" t="str">
            <v>FCF/NINC</v>
          </cell>
          <cell r="CV251">
            <v>0.76602284718080482</v>
          </cell>
          <cell r="CW251">
            <v>0.91244892854164938</v>
          </cell>
          <cell r="CX251">
            <v>1.261206775301895</v>
          </cell>
          <cell r="CY251">
            <v>2.8327272727272725</v>
          </cell>
          <cell r="DA251" t="str">
            <v>Cash at Beginning of Period</v>
          </cell>
          <cell r="DB251">
            <v>845.13771000000008</v>
          </cell>
          <cell r="DC251">
            <v>850.13521000000014</v>
          </cell>
          <cell r="DD251">
            <v>1075.1352100000001</v>
          </cell>
          <cell r="DE251">
            <v>658.13521000000014</v>
          </cell>
          <cell r="DG251" t="str">
            <v>CASH FLOW/NINC</v>
          </cell>
          <cell r="DH251">
            <v>0.95467422096317278</v>
          </cell>
          <cell r="DI251">
            <v>0.40236686390532556</v>
          </cell>
          <cell r="DJ251">
            <v>1.3543956043956042</v>
          </cell>
          <cell r="DK251">
            <v>2</v>
          </cell>
          <cell r="DL251">
            <v>1.1016042780748663</v>
          </cell>
          <cell r="DM251">
            <v>0.41509433962264153</v>
          </cell>
          <cell r="DN251">
            <v>1.004566210045662</v>
          </cell>
          <cell r="DO251">
            <v>1.661764705882353</v>
          </cell>
          <cell r="EB251" t="str">
            <v>CASH FLOW/NINC</v>
          </cell>
          <cell r="EG251">
            <v>0.64909506861603083</v>
          </cell>
          <cell r="EH251">
            <v>1.1580397476958364</v>
          </cell>
        </row>
        <row r="252">
          <cell r="DA252" t="str">
            <v>Cash at End of Period</v>
          </cell>
          <cell r="DB252">
            <v>850.13521000000014</v>
          </cell>
          <cell r="DC252">
            <v>1075.1352100000001</v>
          </cell>
          <cell r="DD252">
            <v>658.13521000000014</v>
          </cell>
          <cell r="DE252">
            <v>427.78298327935238</v>
          </cell>
        </row>
        <row r="253">
          <cell r="CQ253" t="str">
            <v>Debt</v>
          </cell>
          <cell r="CR253">
            <v>2016</v>
          </cell>
          <cell r="CS253">
            <v>1948</v>
          </cell>
          <cell r="CT253">
            <v>2021</v>
          </cell>
          <cell r="CU253">
            <v>1471</v>
          </cell>
          <cell r="CV253">
            <v>3100</v>
          </cell>
          <cell r="CW253">
            <v>3084</v>
          </cell>
          <cell r="CX253">
            <v>4544</v>
          </cell>
          <cell r="CY253">
            <v>4043</v>
          </cell>
          <cell r="DA253" t="str">
            <v>Ending Marketable Securities</v>
          </cell>
          <cell r="DB253">
            <v>0</v>
          </cell>
          <cell r="DC253">
            <v>0</v>
          </cell>
          <cell r="DD253">
            <v>0</v>
          </cell>
          <cell r="DE253">
            <v>0</v>
          </cell>
          <cell r="DG253" t="str">
            <v>Cash at Beginning of Period</v>
          </cell>
          <cell r="DH253">
            <v>976</v>
          </cell>
          <cell r="DI253">
            <v>1528</v>
          </cell>
          <cell r="DJ253">
            <v>1443</v>
          </cell>
          <cell r="DK253">
            <v>1731</v>
          </cell>
          <cell r="DL253">
            <v>2331</v>
          </cell>
          <cell r="DM253">
            <v>2599</v>
          </cell>
          <cell r="DN253">
            <v>1399</v>
          </cell>
          <cell r="DO253">
            <v>963</v>
          </cell>
          <cell r="EB253" t="str">
            <v>Cash at Beginning of Period</v>
          </cell>
          <cell r="EC253">
            <v>624</v>
          </cell>
          <cell r="ED253">
            <v>1058.95</v>
          </cell>
          <cell r="EE253">
            <v>1094.7455</v>
          </cell>
          <cell r="EF253">
            <v>784</v>
          </cell>
          <cell r="EG253">
            <v>669.47499999999991</v>
          </cell>
          <cell r="EH253">
            <v>117.33579999999984</v>
          </cell>
        </row>
        <row r="254">
          <cell r="CQ254" t="str">
            <v>Net Cash (Debt)</v>
          </cell>
          <cell r="CR254">
            <v>-1638.13</v>
          </cell>
          <cell r="CS254">
            <v>-1561.8899999999999</v>
          </cell>
          <cell r="CT254">
            <v>-1532.39429</v>
          </cell>
          <cell r="CU254">
            <v>-1151.53729</v>
          </cell>
          <cell r="CV254">
            <v>-2364.56729</v>
          </cell>
          <cell r="CW254">
            <v>-2286.7072899999998</v>
          </cell>
          <cell r="CX254">
            <v>-3866.86229</v>
          </cell>
          <cell r="CY254">
            <v>-3197.86229</v>
          </cell>
          <cell r="DA254" t="str">
            <v>Ending Cash &amp; Marketable Securities</v>
          </cell>
          <cell r="DB254">
            <v>850.13521000000014</v>
          </cell>
          <cell r="DC254">
            <v>1075.1352100000001</v>
          </cell>
          <cell r="DD254">
            <v>658.13521000000014</v>
          </cell>
          <cell r="DE254">
            <v>427.78298327935238</v>
          </cell>
          <cell r="DG254" t="str">
            <v>Cash at End of Period</v>
          </cell>
          <cell r="DH254">
            <v>1528</v>
          </cell>
          <cell r="DI254">
            <v>1443</v>
          </cell>
          <cell r="DJ254">
            <v>1731</v>
          </cell>
          <cell r="DK254">
            <v>2299</v>
          </cell>
          <cell r="DL254">
            <v>2599</v>
          </cell>
          <cell r="DM254">
            <v>1399</v>
          </cell>
          <cell r="DN254">
            <v>963</v>
          </cell>
          <cell r="DO254">
            <v>1604</v>
          </cell>
          <cell r="EB254" t="str">
            <v>Cash at End of Period</v>
          </cell>
          <cell r="EC254">
            <v>1058.95</v>
          </cell>
          <cell r="ED254">
            <v>1094.7455</v>
          </cell>
          <cell r="EE254">
            <v>893.68549999999993</v>
          </cell>
          <cell r="EF254">
            <v>669.47499999999991</v>
          </cell>
          <cell r="EG254">
            <v>117.33579999999984</v>
          </cell>
          <cell r="EH254">
            <v>176.34579999999983</v>
          </cell>
        </row>
        <row r="255">
          <cell r="CQ255" t="str">
            <v>Net Cash (Debt) per Share</v>
          </cell>
          <cell r="CR255">
            <v>-8.0815490873211644</v>
          </cell>
          <cell r="CS255">
            <v>-7.6638370951913632</v>
          </cell>
          <cell r="CT255">
            <v>-7.5450235844411617</v>
          </cell>
          <cell r="CU255">
            <v>-5.6950409990108808</v>
          </cell>
          <cell r="CV255">
            <v>-11.840597346019029</v>
          </cell>
          <cell r="CW255">
            <v>-11.514135397784491</v>
          </cell>
          <cell r="CX255">
            <v>-19.429320828853093</v>
          </cell>
          <cell r="CY255">
            <v>-16.02508071215599</v>
          </cell>
          <cell r="DG255" t="str">
            <v>Ending Marketable Securities</v>
          </cell>
          <cell r="DH255">
            <v>0</v>
          </cell>
          <cell r="DI255">
            <v>0</v>
          </cell>
          <cell r="DJ255">
            <v>0</v>
          </cell>
          <cell r="DK255">
            <v>0</v>
          </cell>
          <cell r="DL255">
            <v>0</v>
          </cell>
          <cell r="DM255">
            <v>0</v>
          </cell>
          <cell r="DN255">
            <v>0</v>
          </cell>
          <cell r="DO255">
            <v>0</v>
          </cell>
          <cell r="EB255" t="str">
            <v>Ending Marketable Securities</v>
          </cell>
          <cell r="EF255">
            <v>105</v>
          </cell>
          <cell r="EG255">
            <v>93</v>
          </cell>
          <cell r="EH255">
            <v>0</v>
          </cell>
        </row>
        <row r="256">
          <cell r="CQ256" t="str">
            <v>Avg Net Cash (Debt)</v>
          </cell>
          <cell r="CR256">
            <v>-819.06500000000005</v>
          </cell>
          <cell r="CS256">
            <v>-1600.01</v>
          </cell>
          <cell r="CT256">
            <v>-1547.1421449999998</v>
          </cell>
          <cell r="CU256">
            <v>-1341.96579</v>
          </cell>
          <cell r="CV256">
            <v>-1758.0522900000001</v>
          </cell>
          <cell r="CW256">
            <v>-2325.6372899999997</v>
          </cell>
          <cell r="CX256">
            <v>-3076.7847899999997</v>
          </cell>
          <cell r="CY256">
            <v>-3532.36229</v>
          </cell>
          <cell r="DA256" t="str">
            <v>FCF (OpCash -Capex)</v>
          </cell>
          <cell r="DB256">
            <v>271.9975</v>
          </cell>
          <cell r="DC256">
            <v>290</v>
          </cell>
          <cell r="DD256">
            <v>247.00000000000006</v>
          </cell>
          <cell r="DE256">
            <v>725.00250000000005</v>
          </cell>
          <cell r="DG256" t="str">
            <v>Ending Cash &amp; Marketable Securities</v>
          </cell>
          <cell r="DH256">
            <v>1528</v>
          </cell>
          <cell r="DI256">
            <v>1443</v>
          </cell>
          <cell r="DJ256">
            <v>1731</v>
          </cell>
          <cell r="DK256">
            <v>2299</v>
          </cell>
          <cell r="DL256">
            <v>2599</v>
          </cell>
          <cell r="DM256">
            <v>1399</v>
          </cell>
          <cell r="DN256">
            <v>963</v>
          </cell>
          <cell r="DO256">
            <v>1604</v>
          </cell>
          <cell r="EB256" t="str">
            <v>Ending Cash &amp; Marketable Securities</v>
          </cell>
          <cell r="EF256">
            <v>774.47499999999991</v>
          </cell>
          <cell r="EG256">
            <v>210.33579999999984</v>
          </cell>
          <cell r="EH256">
            <v>176.34579999999983</v>
          </cell>
        </row>
        <row r="257">
          <cell r="DA257" t="str">
            <v>FCF/NINC</v>
          </cell>
          <cell r="DB257">
            <v>1.0264153435409769</v>
          </cell>
          <cell r="DC257">
            <v>1</v>
          </cell>
          <cell r="DD257">
            <v>0.77187500000000009</v>
          </cell>
          <cell r="DE257">
            <v>2.2610557765151515</v>
          </cell>
        </row>
        <row r="258">
          <cell r="CQ258" t="str">
            <v>DO NOT PUBLISH:</v>
          </cell>
          <cell r="DG258" t="str">
            <v>Debt</v>
          </cell>
          <cell r="DH258">
            <v>3297</v>
          </cell>
          <cell r="DI258">
            <v>3298</v>
          </cell>
          <cell r="DJ258">
            <v>3297</v>
          </cell>
          <cell r="DK258">
            <v>3287</v>
          </cell>
          <cell r="DL258">
            <v>3285</v>
          </cell>
          <cell r="DM258">
            <v>3649</v>
          </cell>
          <cell r="DN258">
            <v>3107</v>
          </cell>
          <cell r="DO258">
            <v>2781</v>
          </cell>
          <cell r="EB258" t="str">
            <v>Debt</v>
          </cell>
          <cell r="EC258">
            <v>39</v>
          </cell>
          <cell r="ED258">
            <v>38</v>
          </cell>
          <cell r="EE258">
            <v>38</v>
          </cell>
          <cell r="EF258">
            <v>645</v>
          </cell>
          <cell r="EG258">
            <v>530</v>
          </cell>
          <cell r="EH258">
            <v>1022</v>
          </cell>
        </row>
        <row r="259">
          <cell r="CQ259" t="str">
            <v>Int. rate assump</v>
          </cell>
          <cell r="CR259">
            <v>0.04</v>
          </cell>
          <cell r="CS259">
            <v>0.04</v>
          </cell>
          <cell r="CT259">
            <v>0.04</v>
          </cell>
          <cell r="CU259">
            <v>0.04</v>
          </cell>
          <cell r="CV259">
            <v>0.04</v>
          </cell>
          <cell r="CW259">
            <v>0.04</v>
          </cell>
          <cell r="CX259">
            <v>4.2999999999999997E-2</v>
          </cell>
          <cell r="CY259">
            <v>4.8000000000000001E-2</v>
          </cell>
          <cell r="DA259" t="str">
            <v>Debt</v>
          </cell>
          <cell r="DB259">
            <v>3858</v>
          </cell>
          <cell r="DC259">
            <v>3816</v>
          </cell>
          <cell r="DD259">
            <v>3687</v>
          </cell>
          <cell r="DE259">
            <v>3297</v>
          </cell>
          <cell r="DG259" t="str">
            <v>Net Cash (Debt)</v>
          </cell>
          <cell r="DH259">
            <v>-1769</v>
          </cell>
          <cell r="DI259">
            <v>-1855</v>
          </cell>
          <cell r="DJ259">
            <v>-1566</v>
          </cell>
          <cell r="DK259">
            <v>-988</v>
          </cell>
          <cell r="DL259">
            <v>-686</v>
          </cell>
          <cell r="DM259">
            <v>-2250</v>
          </cell>
          <cell r="DN259">
            <v>-2144</v>
          </cell>
          <cell r="DO259">
            <v>-1177</v>
          </cell>
          <cell r="EB259" t="str">
            <v>Net Cash (Debt)</v>
          </cell>
          <cell r="EC259">
            <v>1019.95</v>
          </cell>
          <cell r="ED259">
            <v>1056.7455</v>
          </cell>
          <cell r="EE259">
            <v>855.68549999999993</v>
          </cell>
          <cell r="EF259">
            <v>129.47499999999991</v>
          </cell>
          <cell r="EG259">
            <v>-319.66420000000016</v>
          </cell>
          <cell r="EH259">
            <v>-845.65420000000017</v>
          </cell>
        </row>
        <row r="260">
          <cell r="CQ260" t="str">
            <v>Int. income est. ($ X int. rate)</v>
          </cell>
          <cell r="CR260">
            <v>-8.1906500000000015</v>
          </cell>
          <cell r="CS260">
            <v>-12.095374999999999</v>
          </cell>
          <cell r="CT260">
            <v>-15.735760725</v>
          </cell>
          <cell r="CU260">
            <v>-14.445539675000001</v>
          </cell>
          <cell r="CV260">
            <v>-15.500090399999999</v>
          </cell>
          <cell r="CW260">
            <v>-20.4184479</v>
          </cell>
          <cell r="CX260">
            <v>-29.038018679999993</v>
          </cell>
          <cell r="CY260">
            <v>-39.654882479999998</v>
          </cell>
          <cell r="DA260" t="str">
            <v>Net Cash (Debt)</v>
          </cell>
          <cell r="DB260">
            <v>-3007.8647899999996</v>
          </cell>
          <cell r="DC260">
            <v>-2740.8647899999996</v>
          </cell>
          <cell r="DD260">
            <v>-3028.8647899999996</v>
          </cell>
          <cell r="DE260">
            <v>-2869.2170167206477</v>
          </cell>
          <cell r="DG260" t="str">
            <v>Net Cash (Debt) per Share</v>
          </cell>
          <cell r="DH260">
            <v>-4.3781975877749915</v>
          </cell>
          <cell r="DI260">
            <v>-4.5870700500295287</v>
          </cell>
          <cell r="DJ260">
            <v>-3.8608825307851267</v>
          </cell>
          <cell r="DK260">
            <v>-2.4376859016154611</v>
          </cell>
          <cell r="DL260">
            <v>-1.695920889987639</v>
          </cell>
          <cell r="DM260">
            <v>-5.5288313825335065</v>
          </cell>
          <cell r="DN260">
            <v>-5.2655223515934813</v>
          </cell>
          <cell r="DO260">
            <v>-2.8798629801810618</v>
          </cell>
          <cell r="EB260" t="str">
            <v>Net Cash (Debt) per Share</v>
          </cell>
          <cell r="EG260">
            <v>-0.79046538081107864</v>
          </cell>
          <cell r="EH260">
            <v>-2.0921677387431967</v>
          </cell>
        </row>
        <row r="261">
          <cell r="CQ261" t="str">
            <v>Int. inc actual/per P&amp;L</v>
          </cell>
          <cell r="CR261">
            <v>-12</v>
          </cell>
          <cell r="CS261">
            <v>-11</v>
          </cell>
          <cell r="CT261">
            <v>-11</v>
          </cell>
          <cell r="CU261">
            <v>-11</v>
          </cell>
          <cell r="CV261">
            <v>-11</v>
          </cell>
          <cell r="CW261">
            <v>-19</v>
          </cell>
          <cell r="CX261">
            <v>-29</v>
          </cell>
          <cell r="CY261">
            <v>-39</v>
          </cell>
          <cell r="DA261" t="str">
            <v>Net Cash (Debt) per Share</v>
          </cell>
          <cell r="DB261">
            <v>-7.5082800981164635</v>
          </cell>
          <cell r="DC261">
            <v>-6.8180716169154216</v>
          </cell>
          <cell r="DD261">
            <v>-7.5026752727209196</v>
          </cell>
          <cell r="DE261">
            <v>-7.0817691250248904</v>
          </cell>
          <cell r="DG261" t="str">
            <v>Avg Net Cash (Debt)</v>
          </cell>
          <cell r="DH261">
            <v>-2319.1085083603239</v>
          </cell>
          <cell r="DI261">
            <v>-1812</v>
          </cell>
          <cell r="DJ261">
            <v>-1710.5</v>
          </cell>
          <cell r="DK261">
            <v>-1277</v>
          </cell>
          <cell r="DL261">
            <v>-343</v>
          </cell>
          <cell r="DM261">
            <v>-1468</v>
          </cell>
          <cell r="DN261">
            <v>-2197</v>
          </cell>
          <cell r="DO261">
            <v>-1660.5</v>
          </cell>
          <cell r="EB261" t="str">
            <v>Avg Net Cash (Debt)</v>
          </cell>
          <cell r="EF261">
            <v>492.58024999999992</v>
          </cell>
          <cell r="EG261">
            <v>-95.094600000000128</v>
          </cell>
          <cell r="EH261">
            <v>-582.65920000000017</v>
          </cell>
        </row>
        <row r="262">
          <cell r="CQ262" t="str">
            <v>Equity</v>
          </cell>
          <cell r="CR262">
            <v>4741</v>
          </cell>
          <cell r="CS262">
            <v>4989</v>
          </cell>
          <cell r="CT262">
            <v>5121</v>
          </cell>
          <cell r="CU262">
            <v>5199</v>
          </cell>
          <cell r="CV262">
            <v>5108</v>
          </cell>
          <cell r="CW262">
            <v>5407</v>
          </cell>
          <cell r="CX262">
            <v>5586</v>
          </cell>
          <cell r="CY262">
            <v>5921</v>
          </cell>
          <cell r="DA262" t="str">
            <v>Avg Net Cash (Debt)</v>
          </cell>
          <cell r="DB262">
            <v>-3102.8635399999998</v>
          </cell>
          <cell r="DC262">
            <v>-2874.3647899999996</v>
          </cell>
          <cell r="DD262">
            <v>-2884.8647899999996</v>
          </cell>
          <cell r="DE262">
            <v>-2949.0409033603237</v>
          </cell>
        </row>
        <row r="263">
          <cell r="CQ263" t="str">
            <v>Shares out</v>
          </cell>
          <cell r="CR263">
            <v>202.7</v>
          </cell>
          <cell r="CS263">
            <v>203.8</v>
          </cell>
          <cell r="CT263">
            <v>203.1</v>
          </cell>
          <cell r="CU263">
            <v>202.2</v>
          </cell>
          <cell r="CV263">
            <v>199.7</v>
          </cell>
          <cell r="CW263">
            <v>198.6</v>
          </cell>
          <cell r="CX263">
            <v>199.02199999999999</v>
          </cell>
          <cell r="CY263">
            <v>199.553584</v>
          </cell>
          <cell r="DG263" t="str">
            <v>DO NOT PUBLISH:</v>
          </cell>
          <cell r="EB263" t="str">
            <v>DO NOT PUBLISH:</v>
          </cell>
        </row>
        <row r="264">
          <cell r="CQ264" t="str">
            <v>Book Value per Share</v>
          </cell>
          <cell r="CR264">
            <v>23.389245189935867</v>
          </cell>
          <cell r="CS264">
            <v>24.479882237487733</v>
          </cell>
          <cell r="CT264">
            <v>25.214180206794683</v>
          </cell>
          <cell r="CU264">
            <v>25.712166172106826</v>
          </cell>
          <cell r="CV264">
            <v>25.578367551326991</v>
          </cell>
          <cell r="CW264">
            <v>27.225579053373615</v>
          </cell>
          <cell r="CX264">
            <v>28.067248846861151</v>
          </cell>
          <cell r="CY264">
            <v>29.671228555834908</v>
          </cell>
          <cell r="DA264" t="str">
            <v>DO NOT PUBLISH:</v>
          </cell>
          <cell r="DG264" t="str">
            <v>Int. rate assump</v>
          </cell>
          <cell r="DH264">
            <v>4.8000000000000001E-2</v>
          </cell>
          <cell r="DI264">
            <v>4.8000000000000001E-2</v>
          </cell>
          <cell r="DJ264">
            <v>4.8000000000000001E-2</v>
          </cell>
          <cell r="DK264">
            <v>4.8000000000000001E-2</v>
          </cell>
          <cell r="DL264">
            <v>4.8000000000000001E-2</v>
          </cell>
          <cell r="DM264">
            <v>4.8000000000000001E-2</v>
          </cell>
          <cell r="DN264">
            <v>4.8000000000000001E-2</v>
          </cell>
          <cell r="DO264">
            <v>4.8000000000000001E-2</v>
          </cell>
          <cell r="EB264" t="str">
            <v>Int. rate assump</v>
          </cell>
          <cell r="EF264">
            <v>5.1999999999999998E-2</v>
          </cell>
          <cell r="EG264">
            <v>0.04</v>
          </cell>
          <cell r="EH264">
            <v>7.0000000000000007E-2</v>
          </cell>
        </row>
        <row r="265">
          <cell r="CQ265" t="str">
            <v>Net debt/cap</v>
          </cell>
          <cell r="CR265">
            <v>0.25679520561581282</v>
          </cell>
          <cell r="CS265">
            <v>0.23842409199360698</v>
          </cell>
          <cell r="CT265">
            <v>0.23031767293622996</v>
          </cell>
          <cell r="CU265">
            <v>0.1813291123907407</v>
          </cell>
          <cell r="CV265">
            <v>0.31643305416122924</v>
          </cell>
          <cell r="CW265">
            <v>0.29721786959222873</v>
          </cell>
          <cell r="CX265">
            <v>0.40906787503830228</v>
          </cell>
          <cell r="CY265">
            <v>0.35068654271781963</v>
          </cell>
          <cell r="DA265" t="str">
            <v>Int. rate assump</v>
          </cell>
          <cell r="DB265">
            <v>4.8000000000000001E-2</v>
          </cell>
          <cell r="DC265">
            <v>4.8000000000000001E-2</v>
          </cell>
          <cell r="DD265">
            <v>4.8000000000000001E-2</v>
          </cell>
          <cell r="DE265">
            <v>4.8000000000000001E-2</v>
          </cell>
          <cell r="DG265" t="str">
            <v>Int. income est. ($ X int. rate)</v>
          </cell>
          <cell r="DH265">
            <v>-31.608896470323884</v>
          </cell>
          <cell r="DI265">
            <v>-24.786651050161943</v>
          </cell>
          <cell r="DJ265">
            <v>-21.135000000000002</v>
          </cell>
          <cell r="DK265">
            <v>-17.925000000000001</v>
          </cell>
          <cell r="DL265">
            <v>-9.7200000000000006</v>
          </cell>
          <cell r="DM265">
            <v>-17.616</v>
          </cell>
          <cell r="DN265">
            <v>-26.364000000000001</v>
          </cell>
          <cell r="DO265">
            <v>-19.926000000000002</v>
          </cell>
          <cell r="EB265" t="str">
            <v>Int. income est. ($ X int. rate)</v>
          </cell>
          <cell r="EF265">
            <v>25.614172999999994</v>
          </cell>
          <cell r="EG265">
            <v>-3.8037840000000052</v>
          </cell>
          <cell r="EH265">
            <v>-40.786144000000014</v>
          </cell>
        </row>
        <row r="266">
          <cell r="CQ266" t="str">
            <v xml:space="preserve">   vs. peer avg (need to update)</v>
          </cell>
          <cell r="DA266" t="str">
            <v>Int. income est. ($ X int. rate)</v>
          </cell>
          <cell r="DB266">
            <v>-39.811354979999997</v>
          </cell>
          <cell r="DC266">
            <v>-35.863369980000002</v>
          </cell>
          <cell r="DD266">
            <v>-34.555377479999997</v>
          </cell>
          <cell r="DE266">
            <v>-35.003434160161937</v>
          </cell>
          <cell r="DG266" t="str">
            <v>Int. inc actual/per P&amp;L</v>
          </cell>
          <cell r="DH266">
            <v>-34</v>
          </cell>
          <cell r="DI266">
            <v>-29</v>
          </cell>
          <cell r="DJ266">
            <v>-30</v>
          </cell>
          <cell r="DK266">
            <v>-25</v>
          </cell>
          <cell r="DL266">
            <v>-17</v>
          </cell>
          <cell r="DM266">
            <v>-23</v>
          </cell>
          <cell r="DN266">
            <v>-34</v>
          </cell>
          <cell r="DO266">
            <v>-27</v>
          </cell>
          <cell r="EB266" t="str">
            <v>Int. inc actual/per P&amp;L</v>
          </cell>
          <cell r="EF266">
            <v>16</v>
          </cell>
          <cell r="EG266">
            <v>-17</v>
          </cell>
          <cell r="EH266">
            <v>-34</v>
          </cell>
        </row>
        <row r="267">
          <cell r="DA267" t="str">
            <v>Int. inc actual/per P&amp;L</v>
          </cell>
          <cell r="DB267">
            <v>-39</v>
          </cell>
          <cell r="DC267">
            <v>-39</v>
          </cell>
          <cell r="DD267">
            <v>-33</v>
          </cell>
          <cell r="DE267">
            <v>-37</v>
          </cell>
          <cell r="DG267" t="str">
            <v>Equity</v>
          </cell>
          <cell r="DH267">
            <v>7396</v>
          </cell>
          <cell r="DI267">
            <v>7576</v>
          </cell>
          <cell r="DJ267">
            <v>7973</v>
          </cell>
          <cell r="DK267">
            <v>8145</v>
          </cell>
          <cell r="DL267">
            <v>8467</v>
          </cell>
          <cell r="DM267">
            <v>9081</v>
          </cell>
          <cell r="DN267">
            <v>9472</v>
          </cell>
          <cell r="DO267">
            <v>9827</v>
          </cell>
          <cell r="EB267" t="str">
            <v>Equity</v>
          </cell>
          <cell r="EC267">
            <v>1316</v>
          </cell>
          <cell r="ED267">
            <v>1567</v>
          </cell>
          <cell r="EE267">
            <v>1714</v>
          </cell>
          <cell r="EF267">
            <v>2008</v>
          </cell>
          <cell r="EG267">
            <v>2415</v>
          </cell>
          <cell r="EH267">
            <v>3171</v>
          </cell>
        </row>
        <row r="268">
          <cell r="CQ268" t="str">
            <v>Cash EPS ((NI+Dep+Amort)/Shares)</v>
          </cell>
          <cell r="CR268">
            <v>1.4004440059200791</v>
          </cell>
          <cell r="CS268">
            <v>1.6253189401373895</v>
          </cell>
          <cell r="CT268">
            <v>1.6567981782373218</v>
          </cell>
          <cell r="CU268">
            <v>1.4978090999010882</v>
          </cell>
          <cell r="CV268">
            <v>1.3769153730595896</v>
          </cell>
          <cell r="CW268">
            <v>1.4897280966767372</v>
          </cell>
          <cell r="CX268">
            <v>1.6523047703268987</v>
          </cell>
          <cell r="CY268">
            <v>1.7639372490548704</v>
          </cell>
          <cell r="DA268" t="str">
            <v>Equity</v>
          </cell>
          <cell r="DB268">
            <v>6217</v>
          </cell>
          <cell r="DC268">
            <v>6458</v>
          </cell>
          <cell r="DD268">
            <v>6777</v>
          </cell>
          <cell r="DE268">
            <v>7189</v>
          </cell>
          <cell r="DG268" t="str">
            <v>Shares out</v>
          </cell>
          <cell r="DH268">
            <v>404.04754800000001</v>
          </cell>
          <cell r="DI268">
            <v>404.39757400000002</v>
          </cell>
          <cell r="DJ268">
            <v>405.60674599999999</v>
          </cell>
          <cell r="DK268">
            <v>405.30242199999998</v>
          </cell>
          <cell r="DL268">
            <v>404.5</v>
          </cell>
          <cell r="DM268">
            <v>406.95760899999999</v>
          </cell>
          <cell r="DN268">
            <v>407.177077</v>
          </cell>
          <cell r="DO268">
            <v>408.7</v>
          </cell>
          <cell r="EB268" t="str">
            <v>Shares out</v>
          </cell>
          <cell r="EC268">
            <v>253.6</v>
          </cell>
          <cell r="ED268">
            <v>252</v>
          </cell>
          <cell r="EE268">
            <v>254</v>
          </cell>
          <cell r="EF268">
            <v>409.4</v>
          </cell>
          <cell r="EG268">
            <v>404.4</v>
          </cell>
          <cell r="EH268">
            <v>404.2</v>
          </cell>
        </row>
        <row r="269">
          <cell r="CQ269" t="str">
            <v>Dividends Per Share</v>
          </cell>
          <cell r="CR269">
            <v>0.27627035027133695</v>
          </cell>
          <cell r="CS269">
            <v>0.29440628066732089</v>
          </cell>
          <cell r="CT269">
            <v>0.29542097488921715</v>
          </cell>
          <cell r="CU269">
            <v>0.29673590504451042</v>
          </cell>
          <cell r="CV269">
            <v>0.30045067601402103</v>
          </cell>
          <cell r="CW269">
            <v>0.31722054380664655</v>
          </cell>
          <cell r="CX269">
            <v>0.31654791932550169</v>
          </cell>
          <cell r="CY269">
            <v>0.31570467809788871</v>
          </cell>
          <cell r="DA269" t="str">
            <v>Shares out</v>
          </cell>
          <cell r="DB269">
            <v>400.60636399999999</v>
          </cell>
          <cell r="DC269">
            <v>402</v>
          </cell>
          <cell r="DD269">
            <v>403.70463599999999</v>
          </cell>
          <cell r="DE269">
            <v>405.15540199999998</v>
          </cell>
          <cell r="DG269" t="str">
            <v>Book Value per Share</v>
          </cell>
          <cell r="DH269">
            <v>18.304776347757961</v>
          </cell>
          <cell r="DI269">
            <v>18.73403919084836</v>
          </cell>
          <cell r="DJ269">
            <v>19.65697089268826</v>
          </cell>
          <cell r="DK269">
            <v>20.096104927791426</v>
          </cell>
          <cell r="DL269">
            <v>20.932014833127319</v>
          </cell>
          <cell r="DM269">
            <v>22.314363459905231</v>
          </cell>
          <cell r="DN269">
            <v>23.262606210024931</v>
          </cell>
          <cell r="DO269">
            <v>24.044531441154881</v>
          </cell>
          <cell r="EB269" t="str">
            <v>Book Value per Share</v>
          </cell>
          <cell r="EG269">
            <v>5.9718100890207717</v>
          </cell>
          <cell r="EH269">
            <v>7.8451261751608117</v>
          </cell>
        </row>
        <row r="270">
          <cell r="CQ270" t="str">
            <v>Return on Average Equity</v>
          </cell>
          <cell r="CR270">
            <v>0.19562961400548409</v>
          </cell>
          <cell r="CS270">
            <v>0.21827219883744239</v>
          </cell>
          <cell r="CT270">
            <v>0.2175322866627612</v>
          </cell>
          <cell r="CU270">
            <v>0.19915906905174074</v>
          </cell>
          <cell r="CV270">
            <v>0.17068911511354737</v>
          </cell>
          <cell r="CW270">
            <v>0.17744405400406879</v>
          </cell>
          <cell r="CX270">
            <v>0.17819190834228429</v>
          </cell>
          <cell r="CY270">
            <v>0.18577942915048135</v>
          </cell>
          <cell r="DA270" t="str">
            <v>Book Value per Share</v>
          </cell>
          <cell r="DB270">
            <v>15.518974631166868</v>
          </cell>
          <cell r="DC270">
            <v>16.064676616915424</v>
          </cell>
          <cell r="DD270">
            <v>16.78702545293535</v>
          </cell>
          <cell r="DE270">
            <v>17.743808831160543</v>
          </cell>
          <cell r="DG270" t="str">
            <v>Net debt/cap</v>
          </cell>
          <cell r="DH270">
            <v>0.19301691216584835</v>
          </cell>
          <cell r="DI270">
            <v>0.1966917612130209</v>
          </cell>
          <cell r="DJ270">
            <v>0.16416815179788238</v>
          </cell>
          <cell r="DK270">
            <v>0.1081791306252053</v>
          </cell>
          <cell r="DL270">
            <v>7.4948104446629527E-2</v>
          </cell>
          <cell r="DM270">
            <v>0.19857029388403494</v>
          </cell>
          <cell r="DN270">
            <v>0.18457300275482094</v>
          </cell>
          <cell r="DO270">
            <v>0.1069611050527081</v>
          </cell>
          <cell r="EB270" t="str">
            <v>Net debt/cap</v>
          </cell>
          <cell r="EC270">
            <v>-3.4451950684006087</v>
          </cell>
          <cell r="ED270">
            <v>-2.0710165221472812</v>
          </cell>
          <cell r="EE270">
            <v>-0.99693702017151042</v>
          </cell>
          <cell r="EF270">
            <v>-6.8923756670792188E-2</v>
          </cell>
          <cell r="EG270">
            <v>0.11689340139092769</v>
          </cell>
          <cell r="EH270">
            <v>0.21053696880353809</v>
          </cell>
        </row>
        <row r="271">
          <cell r="CQ271" t="str">
            <v>ROA</v>
          </cell>
          <cell r="CR271">
            <v>0.1304463102076889</v>
          </cell>
          <cell r="CS271">
            <v>0.1430382957139234</v>
          </cell>
          <cell r="CT271">
            <v>0.14028122415219191</v>
          </cell>
          <cell r="CU271">
            <v>0.11968289148410195</v>
          </cell>
          <cell r="CV271">
            <v>9.1658760855287166E-2</v>
          </cell>
          <cell r="CW271">
            <v>0.10719645537054241</v>
          </cell>
          <cell r="CX271">
            <v>8.7909319899244331E-2</v>
          </cell>
          <cell r="CY271">
            <v>0.10059939442624977</v>
          </cell>
          <cell r="DA271" t="str">
            <v>Net debt/cap</v>
          </cell>
          <cell r="DB271">
            <v>0.32606058283484063</v>
          </cell>
          <cell r="DC271">
            <v>0.29795685147797457</v>
          </cell>
          <cell r="DD271">
            <v>0.30888298532209313</v>
          </cell>
          <cell r="DE271">
            <v>0.28526099724741466</v>
          </cell>
          <cell r="DG271" t="str">
            <v xml:space="preserve">   vs. peer avg (need to update)</v>
          </cell>
          <cell r="EB271" t="str">
            <v xml:space="preserve">   vs. peer avg (need to update)</v>
          </cell>
          <cell r="EG271">
            <v>0.52333333333333332</v>
          </cell>
          <cell r="EH271">
            <v>0.47</v>
          </cell>
        </row>
        <row r="272">
          <cell r="CQ272" t="str">
            <v>Asset Turnover</v>
          </cell>
          <cell r="CR272">
            <v>1.0965974370304905</v>
          </cell>
          <cell r="CS272">
            <v>1.1855609096288782</v>
          </cell>
          <cell r="CT272">
            <v>1.0865177832919768</v>
          </cell>
          <cell r="CU272">
            <v>1.2916204927116188</v>
          </cell>
          <cell r="CV272">
            <v>0.98868860833394145</v>
          </cell>
          <cell r="CW272">
            <v>1.1136997069963552</v>
          </cell>
          <cell r="CX272">
            <v>1.0969773299748111</v>
          </cell>
          <cell r="CY272">
            <v>1.1693752703454241</v>
          </cell>
          <cell r="DA272" t="str">
            <v xml:space="preserve">   vs. peer avg (need to update)</v>
          </cell>
        </row>
        <row r="273">
          <cell r="CQ273" t="str">
            <v>Asset Leverage</v>
          </cell>
          <cell r="CR273">
            <v>2.3866272938198692</v>
          </cell>
          <cell r="CS273">
            <v>2.3710162357185807</v>
          </cell>
          <cell r="CT273">
            <v>2.3608670181605156</v>
          </cell>
          <cell r="CU273">
            <v>2.2563954606655128</v>
          </cell>
          <cell r="CV273">
            <v>2.68265465935787</v>
          </cell>
          <cell r="CW273">
            <v>2.5879415572406139</v>
          </cell>
          <cell r="CX273">
            <v>2.8428213390619406</v>
          </cell>
          <cell r="CY273">
            <v>2.7331531835838541</v>
          </cell>
          <cell r="DG273" t="str">
            <v>Cash EPS ((NI+Dep+Amort)/Shares)</v>
          </cell>
          <cell r="DH273">
            <v>1.0815558766860776</v>
          </cell>
          <cell r="DI273">
            <v>1.0311634559904657</v>
          </cell>
          <cell r="DJ273">
            <v>1.097121791953628</v>
          </cell>
          <cell r="DK273">
            <v>1.1867681363127902</v>
          </cell>
          <cell r="DL273">
            <v>1.127317676143387</v>
          </cell>
          <cell r="DM273">
            <v>1.7962558847253303</v>
          </cell>
          <cell r="DN273">
            <v>1.3139246539657241</v>
          </cell>
          <cell r="DO273">
            <v>1.2674333251773917</v>
          </cell>
          <cell r="EB273" t="str">
            <v>Cash EPS ((NI+Dep+Amort)/Shares)</v>
          </cell>
          <cell r="EF273">
            <v>1.6694553004396677</v>
          </cell>
          <cell r="EG273">
            <v>1.6242848664688427</v>
          </cell>
          <cell r="EH273">
            <v>2.2464374072241466</v>
          </cell>
        </row>
        <row r="274">
          <cell r="CQ274" t="str">
            <v>CF per share</v>
          </cell>
          <cell r="CR274">
            <v>-0.90345337937839176</v>
          </cell>
          <cell r="CS274">
            <v>1.5566241413150146</v>
          </cell>
          <cell r="CT274">
            <v>0.78038261939931086</v>
          </cell>
          <cell r="CU274">
            <v>1.6016666666666668</v>
          </cell>
          <cell r="CV274">
            <v>0.59574361542313492</v>
          </cell>
          <cell r="CW274">
            <v>0.77975830815709979</v>
          </cell>
          <cell r="CX274">
            <v>1.2051180271527773</v>
          </cell>
          <cell r="CY274">
            <v>3.6606709103255195</v>
          </cell>
          <cell r="DA274" t="str">
            <v>Cash EPS ((NI+Dep+Amort)/Shares)</v>
          </cell>
          <cell r="DB274">
            <v>0.85369961821175666</v>
          </cell>
          <cell r="DC274">
            <v>0.93532338308457708</v>
          </cell>
          <cell r="DD274">
            <v>1.0032086924064951</v>
          </cell>
          <cell r="DE274">
            <v>0.93457416934392068</v>
          </cell>
          <cell r="DG274" t="str">
            <v>Dividends Per Share</v>
          </cell>
          <cell r="DH274">
            <v>0.17819684924804938</v>
          </cell>
          <cell r="DI274">
            <v>0.19782512345140824</v>
          </cell>
          <cell r="DJ274">
            <v>0.19723537832874211</v>
          </cell>
          <cell r="DK274">
            <v>0.20231806066039251</v>
          </cell>
          <cell r="DL274">
            <v>0.19777503090234858</v>
          </cell>
          <cell r="DM274">
            <v>0.22852503047805159</v>
          </cell>
          <cell r="DN274">
            <v>0.22840185573609784</v>
          </cell>
          <cell r="DO274">
            <v>0.22755077073648153</v>
          </cell>
          <cell r="EB274" t="str">
            <v>Dividends Per Share</v>
          </cell>
          <cell r="EF274">
            <v>0.24914509037616026</v>
          </cell>
          <cell r="EG274">
            <v>0.26706231454005935</v>
          </cell>
          <cell r="EH274">
            <v>0.3364670954972786</v>
          </cell>
        </row>
        <row r="275">
          <cell r="DA275" t="str">
            <v>Dividends Per Share</v>
          </cell>
          <cell r="DB275">
            <v>0.15726160555951629</v>
          </cell>
          <cell r="DC275">
            <v>0.17661691542288557</v>
          </cell>
          <cell r="DD275">
            <v>0.17834821198337689</v>
          </cell>
          <cell r="DE275">
            <v>0.17770958907268872</v>
          </cell>
          <cell r="DG275" t="str">
            <v>Return on Average Equity</v>
          </cell>
          <cell r="DH275">
            <v>0.19091400757166035</v>
          </cell>
          <cell r="DI275">
            <v>0.17845828933474131</v>
          </cell>
          <cell r="DJ275">
            <v>0.18261633011413522</v>
          </cell>
          <cell r="DK275">
            <v>0.19545733578882751</v>
          </cell>
          <cell r="DL275">
            <v>0.17668595724577774</v>
          </cell>
          <cell r="DM275">
            <v>0.28014535844070038</v>
          </cell>
          <cell r="DN275">
            <v>0.18496621621621623</v>
          </cell>
          <cell r="DO275">
            <v>0.16607306400732674</v>
          </cell>
          <cell r="EB275" t="str">
            <v>Return on Average Equity</v>
          </cell>
          <cell r="EF275">
            <v>0.30063138097796877</v>
          </cell>
          <cell r="EG275">
            <v>0.22421921772552567</v>
          </cell>
          <cell r="EH275">
            <v>0.25600071607590402</v>
          </cell>
        </row>
        <row r="276">
          <cell r="CQ276" t="str">
            <v>Capital Deployment</v>
          </cell>
          <cell r="DA276" t="str">
            <v>Return on Average Equity</v>
          </cell>
          <cell r="DB276">
            <v>0.17049863278108413</v>
          </cell>
          <cell r="DC276">
            <v>0.17962217404769279</v>
          </cell>
          <cell r="DD276">
            <v>0.18887413309724069</v>
          </cell>
          <cell r="DE276">
            <v>0.17841022299588385</v>
          </cell>
          <cell r="DG276" t="str">
            <v>ROA</v>
          </cell>
          <cell r="DH276">
            <v>0.10276459089639765</v>
          </cell>
          <cell r="DI276">
            <v>0.12019847243128728</v>
          </cell>
          <cell r="DJ276">
            <v>0.12266666666666666</v>
          </cell>
          <cell r="DK276">
            <v>0.12426395939086295</v>
          </cell>
          <cell r="DL276">
            <v>0.1175020947311351</v>
          </cell>
          <cell r="DM276">
            <v>0.11945518129946622</v>
          </cell>
          <cell r="DN276">
            <v>0.12550400889836399</v>
          </cell>
          <cell r="DO276">
            <v>0.12567036110117982</v>
          </cell>
          <cell r="EB276" t="str">
            <v>ROA</v>
          </cell>
          <cell r="EF276">
            <v>0.12214615450055744</v>
          </cell>
          <cell r="EG276">
            <v>0.13355226046784294</v>
          </cell>
          <cell r="EH276">
            <v>0.16512279273775449</v>
          </cell>
        </row>
        <row r="277">
          <cell r="CQ277" t="str">
            <v xml:space="preserve">Cash Repo </v>
          </cell>
          <cell r="DA277" t="str">
            <v>ROA</v>
          </cell>
          <cell r="DB277">
            <v>0.10463162946964243</v>
          </cell>
          <cell r="DC277">
            <v>0.1159593544530783</v>
          </cell>
          <cell r="DD277">
            <v>0.11488494028546462</v>
          </cell>
          <cell r="DE277">
            <v>0.11787505699954401</v>
          </cell>
          <cell r="DG277" t="str">
            <v>Asset Turnover</v>
          </cell>
          <cell r="DH277">
            <v>1.066070929907847</v>
          </cell>
          <cell r="DI277">
            <v>1.1455650331716563</v>
          </cell>
          <cell r="DJ277">
            <v>1.1310933333333333</v>
          </cell>
          <cell r="DK277">
            <v>1.1703553299492386</v>
          </cell>
          <cell r="DL277">
            <v>1.0934003647296564</v>
          </cell>
          <cell r="DM277">
            <v>1.0922142462727775</v>
          </cell>
          <cell r="DN277">
            <v>1.1250868980859248</v>
          </cell>
          <cell r="DO277">
            <v>1.1644619234894529</v>
          </cell>
          <cell r="EB277" t="str">
            <v>Asset Turnover</v>
          </cell>
          <cell r="EF277">
            <v>1.0797934977769219</v>
          </cell>
          <cell r="EG277">
            <v>1.2894878044915385</v>
          </cell>
          <cell r="EH277">
            <v>1.2999429702438861</v>
          </cell>
        </row>
        <row r="278">
          <cell r="CQ278" t="str">
            <v>Number shares (MM)</v>
          </cell>
          <cell r="CR278">
            <v>0.13</v>
          </cell>
          <cell r="CS278">
            <v>0</v>
          </cell>
          <cell r="CT278">
            <v>0.87</v>
          </cell>
          <cell r="CU278">
            <v>0.30000000000000004</v>
          </cell>
          <cell r="CV278">
            <v>4.4000000000000004</v>
          </cell>
          <cell r="CW278">
            <v>0.438</v>
          </cell>
          <cell r="CX278">
            <v>0</v>
          </cell>
          <cell r="CY278">
            <v>0</v>
          </cell>
          <cell r="DA278" t="str">
            <v>Asset Turnover</v>
          </cell>
          <cell r="DB278">
            <v>1.1149508039356852</v>
          </cell>
          <cell r="DC278">
            <v>1.1122534369396293</v>
          </cell>
          <cell r="DD278">
            <v>1.0829012525487911</v>
          </cell>
          <cell r="DE278">
            <v>1.1224350205198359</v>
          </cell>
          <cell r="DG278" t="str">
            <v>Asset Leverage</v>
          </cell>
          <cell r="DH278">
            <v>2.4209031909140077</v>
          </cell>
          <cell r="DI278">
            <v>2.367608236536431</v>
          </cell>
          <cell r="DJ278">
            <v>2.3516869434340899</v>
          </cell>
          <cell r="DK278">
            <v>2.4186617556783303</v>
          </cell>
          <cell r="DL278">
            <v>2.3962442423526631</v>
          </cell>
          <cell r="DM278">
            <v>2.3931285100759827</v>
          </cell>
          <cell r="DN278">
            <v>2.2779771959459461</v>
          </cell>
          <cell r="DO278">
            <v>2.276991960923985</v>
          </cell>
          <cell r="EB278" t="str">
            <v>Asset Leverage</v>
          </cell>
          <cell r="EF278">
            <v>2.7806150398406375</v>
          </cell>
          <cell r="EG278">
            <v>2.5272612008281574</v>
          </cell>
          <cell r="EH278">
            <v>2.4225163386323492</v>
          </cell>
        </row>
        <row r="279">
          <cell r="CQ279" t="str">
            <v>Avg purchase price</v>
          </cell>
          <cell r="CR279">
            <v>76.92307692307692</v>
          </cell>
          <cell r="CS279" t="str">
            <v>NM</v>
          </cell>
          <cell r="CT279">
            <v>81.609195402298852</v>
          </cell>
          <cell r="CU279">
            <v>63.333333333333321</v>
          </cell>
          <cell r="CV279">
            <v>62.272727272727266</v>
          </cell>
          <cell r="CW279">
            <v>60</v>
          </cell>
          <cell r="CX279" t="str">
            <v>NM</v>
          </cell>
          <cell r="CY279" t="str">
            <v>NM</v>
          </cell>
          <cell r="DA279" t="str">
            <v>Asset Leverage</v>
          </cell>
          <cell r="DB279">
            <v>2.6810358693903811</v>
          </cell>
          <cell r="DC279">
            <v>2.5905853205326728</v>
          </cell>
          <cell r="DD279">
            <v>2.5328316364172938</v>
          </cell>
          <cell r="DE279">
            <v>2.4403950479899845</v>
          </cell>
          <cell r="DG279" t="str">
            <v>CF per share</v>
          </cell>
          <cell r="DH279">
            <v>0.8860343337611345</v>
          </cell>
          <cell r="DI279">
            <v>0.492089994585378</v>
          </cell>
          <cell r="DJ279">
            <v>1.4767998952364565</v>
          </cell>
          <cell r="DK279">
            <v>2.2205640804189422</v>
          </cell>
          <cell r="DL279">
            <v>1.1495673671199012</v>
          </cell>
          <cell r="DM279">
            <v>0.80598075265377334</v>
          </cell>
          <cell r="DN279">
            <v>1.3114687200330779</v>
          </cell>
          <cell r="DO279">
            <v>1.9598727673109861</v>
          </cell>
          <cell r="EB279" t="str">
            <v>CF per share</v>
          </cell>
          <cell r="EF279">
            <v>1.17605031753786</v>
          </cell>
          <cell r="EG279">
            <v>0.52883481701285839</v>
          </cell>
          <cell r="EH279">
            <v>1.7120484908461158</v>
          </cell>
        </row>
        <row r="280">
          <cell r="CQ280" t="str">
            <v>Subtotal Share repo</v>
          </cell>
          <cell r="CR280">
            <v>10</v>
          </cell>
          <cell r="CS280">
            <v>0</v>
          </cell>
          <cell r="CT280">
            <v>71</v>
          </cell>
          <cell r="CU280">
            <v>19</v>
          </cell>
          <cell r="CV280">
            <v>274</v>
          </cell>
          <cell r="CW280">
            <v>26.28</v>
          </cell>
          <cell r="CX280">
            <v>0</v>
          </cell>
          <cell r="CY280">
            <v>0</v>
          </cell>
          <cell r="DA280" t="str">
            <v>CF per share</v>
          </cell>
          <cell r="DB280">
            <v>0.52170289536388892</v>
          </cell>
          <cell r="DC280">
            <v>0.54477611940298509</v>
          </cell>
          <cell r="DD280">
            <v>0.43348523745959672</v>
          </cell>
          <cell r="DE280">
            <v>1.986022571357329</v>
          </cell>
        </row>
        <row r="281">
          <cell r="CQ281" t="str">
            <v>Net Acquisition spending</v>
          </cell>
          <cell r="CR281">
            <v>10</v>
          </cell>
          <cell r="CS281">
            <v>10</v>
          </cell>
          <cell r="CT281">
            <v>81</v>
          </cell>
          <cell r="CU281">
            <v>100</v>
          </cell>
          <cell r="CV281">
            <v>1075</v>
          </cell>
          <cell r="CW281">
            <v>53</v>
          </cell>
          <cell r="CX281">
            <v>1859</v>
          </cell>
          <cell r="CY281">
            <v>57</v>
          </cell>
          <cell r="DG281" t="str">
            <v>Capital Deployment</v>
          </cell>
          <cell r="EB281" t="str">
            <v>Capital Deployment</v>
          </cell>
        </row>
        <row r="282">
          <cell r="CQ282" t="str">
            <v>Dividends</v>
          </cell>
          <cell r="CV282">
            <v>60</v>
          </cell>
          <cell r="CW282">
            <v>63</v>
          </cell>
          <cell r="CX282">
            <v>63</v>
          </cell>
          <cell r="CY282">
            <v>63</v>
          </cell>
          <cell r="DA282" t="str">
            <v>Capital Deployment</v>
          </cell>
          <cell r="DG282" t="str">
            <v xml:space="preserve">Cash Repo </v>
          </cell>
          <cell r="EB282" t="str">
            <v xml:space="preserve">Cash Repo </v>
          </cell>
        </row>
        <row r="283">
          <cell r="CQ283" t="str">
            <v>Capex</v>
          </cell>
          <cell r="CV283">
            <v>31</v>
          </cell>
          <cell r="CW283">
            <v>36</v>
          </cell>
          <cell r="CX283">
            <v>48</v>
          </cell>
          <cell r="CY283">
            <v>105</v>
          </cell>
          <cell r="DA283" t="str">
            <v xml:space="preserve">Cash Repo </v>
          </cell>
          <cell r="DG283" t="str">
            <v>Number shares (MM)</v>
          </cell>
          <cell r="DH283">
            <v>2.0044</v>
          </cell>
          <cell r="DI283">
            <v>1.9144000000000001</v>
          </cell>
          <cell r="DJ283">
            <v>0</v>
          </cell>
          <cell r="DK283">
            <v>2.74</v>
          </cell>
          <cell r="DL283">
            <v>0.14560000000000001</v>
          </cell>
          <cell r="DM283">
            <v>1.0481</v>
          </cell>
          <cell r="DN283">
            <v>0</v>
          </cell>
          <cell r="DO283">
            <v>0</v>
          </cell>
          <cell r="EB283" t="str">
            <v>Number shares (MM)</v>
          </cell>
        </row>
        <row r="284">
          <cell r="CQ284" t="str">
            <v>Total Cap Deployed  ($MM)</v>
          </cell>
          <cell r="CV284">
            <v>1440</v>
          </cell>
          <cell r="CW284">
            <v>178.28</v>
          </cell>
          <cell r="CX284">
            <v>1970</v>
          </cell>
          <cell r="CY284">
            <v>225</v>
          </cell>
          <cell r="DA284" t="str">
            <v>Number shares (MM)</v>
          </cell>
          <cell r="DB284">
            <v>0</v>
          </cell>
          <cell r="DC284">
            <v>0</v>
          </cell>
          <cell r="DD284">
            <v>0</v>
          </cell>
          <cell r="DE284">
            <v>0</v>
          </cell>
          <cell r="DG284" t="str">
            <v>Avg purchase price</v>
          </cell>
          <cell r="DH284">
            <v>49.88</v>
          </cell>
          <cell r="DI284">
            <v>52.234548683660677</v>
          </cell>
          <cell r="DJ284">
            <v>0</v>
          </cell>
          <cell r="DK284">
            <v>57.664233576642332</v>
          </cell>
          <cell r="DL284">
            <v>57.21</v>
          </cell>
          <cell r="DM284">
            <v>63.432538879877868</v>
          </cell>
          <cell r="DN284" t="str">
            <v>NA</v>
          </cell>
          <cell r="DO284" t="str">
            <v>NA</v>
          </cell>
          <cell r="EB284" t="str">
            <v>Avg purchase price</v>
          </cell>
        </row>
        <row r="285">
          <cell r="CQ285" t="str">
            <v>Share repo authorization remaining</v>
          </cell>
          <cell r="DA285" t="str">
            <v>Avg purchase price</v>
          </cell>
          <cell r="DB285" t="str">
            <v>NM</v>
          </cell>
          <cell r="DC285" t="str">
            <v>NM</v>
          </cell>
          <cell r="DD285" t="str">
            <v>NM</v>
          </cell>
          <cell r="DE285" t="str">
            <v>NM</v>
          </cell>
          <cell r="DG285" t="str">
            <v>Subtotal Share Repo</v>
          </cell>
          <cell r="DH285">
            <v>99.979472000000001</v>
          </cell>
          <cell r="DI285">
            <v>99.997820000000004</v>
          </cell>
          <cell r="DJ285">
            <v>0</v>
          </cell>
          <cell r="DK285">
            <v>158</v>
          </cell>
          <cell r="DL285">
            <v>8.3297760000000007</v>
          </cell>
          <cell r="DM285">
            <v>66.483643999999998</v>
          </cell>
          <cell r="DN285">
            <v>0</v>
          </cell>
          <cell r="DO285">
            <v>0</v>
          </cell>
          <cell r="EB285" t="str">
            <v>Subtotal Share Repo</v>
          </cell>
        </row>
        <row r="286">
          <cell r="DA286" t="str">
            <v>Subtotal Share Repo</v>
          </cell>
          <cell r="DB286">
            <v>0</v>
          </cell>
          <cell r="DC286">
            <v>0</v>
          </cell>
          <cell r="DD286">
            <v>0</v>
          </cell>
          <cell r="DE286">
            <v>0</v>
          </cell>
          <cell r="DG286" t="str">
            <v>Net Acquisition spending</v>
          </cell>
          <cell r="DH286">
            <v>37</v>
          </cell>
          <cell r="DI286">
            <v>0</v>
          </cell>
          <cell r="DJ286">
            <v>240</v>
          </cell>
          <cell r="DK286">
            <v>0</v>
          </cell>
          <cell r="DL286">
            <v>153</v>
          </cell>
          <cell r="DM286">
            <v>2001</v>
          </cell>
          <cell r="DN286">
            <v>164</v>
          </cell>
          <cell r="DO286">
            <v>24</v>
          </cell>
          <cell r="EB286" t="str">
            <v>Net Acquisition spending</v>
          </cell>
        </row>
        <row r="287">
          <cell r="CQ287" t="str">
            <v xml:space="preserve">Taxes </v>
          </cell>
          <cell r="DA287" t="str">
            <v>Net Acquisition spending</v>
          </cell>
          <cell r="DB287">
            <v>31</v>
          </cell>
          <cell r="DC287">
            <v>5</v>
          </cell>
          <cell r="DD287">
            <v>490</v>
          </cell>
          <cell r="DE287">
            <v>17</v>
          </cell>
          <cell r="DG287" t="str">
            <v>Dividends</v>
          </cell>
          <cell r="DH287">
            <v>72</v>
          </cell>
          <cell r="DI287">
            <v>80</v>
          </cell>
          <cell r="DJ287">
            <v>80</v>
          </cell>
          <cell r="DK287">
            <v>82</v>
          </cell>
          <cell r="DL287">
            <v>80</v>
          </cell>
          <cell r="DM287">
            <v>93</v>
          </cell>
          <cell r="DN287">
            <v>93</v>
          </cell>
          <cell r="DO287">
            <v>93</v>
          </cell>
          <cell r="EB287" t="str">
            <v>Dividends</v>
          </cell>
        </row>
        <row r="288">
          <cell r="CQ288" t="str">
            <v>Current - total</v>
          </cell>
          <cell r="DA288" t="str">
            <v>Dividends</v>
          </cell>
          <cell r="DB288">
            <v>63</v>
          </cell>
          <cell r="DC288">
            <v>71</v>
          </cell>
          <cell r="DD288">
            <v>72</v>
          </cell>
          <cell r="DE288">
            <v>72</v>
          </cell>
          <cell r="DG288" t="str">
            <v>Capex</v>
          </cell>
          <cell r="DH288">
            <v>38</v>
          </cell>
          <cell r="DI288">
            <v>51</v>
          </cell>
          <cell r="DJ288">
            <v>78</v>
          </cell>
          <cell r="DK288">
            <v>95</v>
          </cell>
          <cell r="DL288">
            <v>53</v>
          </cell>
          <cell r="DM288">
            <v>64</v>
          </cell>
          <cell r="DN288">
            <v>94</v>
          </cell>
          <cell r="DO288">
            <v>123</v>
          </cell>
          <cell r="EB288" t="str">
            <v>Capex</v>
          </cell>
        </row>
        <row r="289">
          <cell r="CQ289" t="str">
            <v>Deferred -total</v>
          </cell>
          <cell r="DA289" t="str">
            <v>Capex</v>
          </cell>
          <cell r="DB289">
            <v>53</v>
          </cell>
          <cell r="DC289">
            <v>65</v>
          </cell>
          <cell r="DD289">
            <v>60</v>
          </cell>
          <cell r="DE289">
            <v>75</v>
          </cell>
          <cell r="DG289" t="str">
            <v>Total Cap Deployed  ($MM)</v>
          </cell>
          <cell r="DH289">
            <v>246.97947199999999</v>
          </cell>
          <cell r="DI289">
            <v>230.99781999999999</v>
          </cell>
          <cell r="DJ289">
            <v>398</v>
          </cell>
          <cell r="DK289">
            <v>335</v>
          </cell>
          <cell r="DL289">
            <v>294.32977600000004</v>
          </cell>
          <cell r="DM289">
            <v>2224.4836439999999</v>
          </cell>
          <cell r="DN289">
            <v>351</v>
          </cell>
          <cell r="DO289">
            <v>240</v>
          </cell>
          <cell r="EB289" t="str">
            <v>Total Cap Deployed  ($MM)</v>
          </cell>
        </row>
        <row r="290">
          <cell r="CQ290" t="str">
            <v>Adjusts</v>
          </cell>
          <cell r="DA290" t="str">
            <v>Total Cap Deployed  ($MM)</v>
          </cell>
          <cell r="DB290">
            <v>147</v>
          </cell>
          <cell r="DC290">
            <v>141</v>
          </cell>
          <cell r="DD290">
            <v>622</v>
          </cell>
          <cell r="DE290">
            <v>164</v>
          </cell>
          <cell r="DG290" t="str">
            <v>Share repo authorization remaining</v>
          </cell>
          <cell r="DH290">
            <v>7.0091999999999999</v>
          </cell>
          <cell r="DI290">
            <v>5.0947999999999993</v>
          </cell>
          <cell r="DJ290">
            <v>5.0947999999999993</v>
          </cell>
          <cell r="DK290">
            <v>2.3547999999999991</v>
          </cell>
          <cell r="DL290">
            <v>2.2082000000000002</v>
          </cell>
          <cell r="DM290">
            <v>10</v>
          </cell>
          <cell r="DN290">
            <v>10</v>
          </cell>
          <cell r="DO290">
            <v>10</v>
          </cell>
          <cell r="EB290" t="str">
            <v>Share repo authorization remaining</v>
          </cell>
        </row>
        <row r="291">
          <cell r="CQ291" t="str">
            <v>Total</v>
          </cell>
          <cell r="DA291" t="str">
            <v>Share repo authorization remaining</v>
          </cell>
          <cell r="DB291">
            <v>9.0136000000000003</v>
          </cell>
          <cell r="DC291">
            <v>9.0136000000000003</v>
          </cell>
          <cell r="DD291">
            <v>9.0136000000000003</v>
          </cell>
          <cell r="DE291">
            <v>9.0136000000000003</v>
          </cell>
        </row>
        <row r="292">
          <cell r="CQ292" t="str">
            <v>Deferred/Total</v>
          </cell>
          <cell r="DG292" t="str">
            <v>Cash Returned to Shareholders</v>
          </cell>
          <cell r="DH292">
            <v>171.97947199999999</v>
          </cell>
          <cell r="DI292">
            <v>179.99781999999999</v>
          </cell>
          <cell r="DJ292">
            <v>80</v>
          </cell>
          <cell r="DK292">
            <v>240</v>
          </cell>
          <cell r="DL292">
            <v>88.329775999999995</v>
          </cell>
          <cell r="DM292">
            <v>159.483644</v>
          </cell>
          <cell r="DN292">
            <v>93</v>
          </cell>
          <cell r="DO292">
            <v>93</v>
          </cell>
          <cell r="EB292" t="str">
            <v>Cash Returned to Shareholders</v>
          </cell>
        </row>
        <row r="293">
          <cell r="CQ293" t="str">
            <v>Income Taxes Paid</v>
          </cell>
          <cell r="DA293" t="str">
            <v xml:space="preserve">Taxes </v>
          </cell>
          <cell r="DG293" t="str">
            <v>% FCF</v>
          </cell>
          <cell r="DH293">
            <v>0.53743584999999994</v>
          </cell>
          <cell r="DI293">
            <v>1.2162014864864865</v>
          </cell>
          <cell r="DJ293">
            <v>0.15355086372360843</v>
          </cell>
          <cell r="DK293">
            <v>0.29813664596273293</v>
          </cell>
          <cell r="DL293">
            <v>0.21182200479616306</v>
          </cell>
          <cell r="DM293">
            <v>0.57368217266187049</v>
          </cell>
          <cell r="DN293">
            <v>0.21830985915492956</v>
          </cell>
          <cell r="DO293">
            <v>0.13266761768901569</v>
          </cell>
          <cell r="EB293" t="str">
            <v>% FCF</v>
          </cell>
        </row>
        <row r="294">
          <cell r="CQ294" t="str">
            <v>Taxes Paid/Total</v>
          </cell>
          <cell r="DA294" t="str">
            <v>Current - total</v>
          </cell>
        </row>
        <row r="295">
          <cell r="DA295" t="str">
            <v>Deferred -total</v>
          </cell>
          <cell r="DG295" t="str">
            <v xml:space="preserve">Taxes </v>
          </cell>
          <cell r="EB295" t="str">
            <v xml:space="preserve">Taxes </v>
          </cell>
        </row>
        <row r="296">
          <cell r="DA296" t="str">
            <v>Adjusts</v>
          </cell>
          <cell r="DG296" t="str">
            <v>Current - total</v>
          </cell>
          <cell r="EB296" t="str">
            <v>Current - total</v>
          </cell>
        </row>
        <row r="297">
          <cell r="CQ297" t="str">
            <v>General Dynamics</v>
          </cell>
          <cell r="DA297" t="str">
            <v>Total</v>
          </cell>
          <cell r="DG297" t="str">
            <v>Deferred -total</v>
          </cell>
          <cell r="EB297" t="str">
            <v>Deferred -total</v>
          </cell>
        </row>
        <row r="298">
          <cell r="CQ298" t="str">
            <v>Balance Sheet  ($MM)</v>
          </cell>
          <cell r="DA298" t="str">
            <v>Deferred/Total</v>
          </cell>
          <cell r="DG298" t="str">
            <v>Adjusts</v>
          </cell>
          <cell r="EB298" t="str">
            <v>Adjusts</v>
          </cell>
        </row>
        <row r="299">
          <cell r="CR299">
            <v>2002</v>
          </cell>
          <cell r="CV299" t="str">
            <v>2003A</v>
          </cell>
          <cell r="DA299" t="str">
            <v>Income Taxes Paid</v>
          </cell>
          <cell r="DG299" t="str">
            <v>Total</v>
          </cell>
          <cell r="EB299" t="str">
            <v>Total</v>
          </cell>
        </row>
        <row r="300">
          <cell r="CR300" t="str">
            <v>Q1</v>
          </cell>
          <cell r="CS300" t="str">
            <v>Q2</v>
          </cell>
          <cell r="CT300" t="str">
            <v>Q3</v>
          </cell>
          <cell r="CU300" t="str">
            <v>Q4</v>
          </cell>
          <cell r="CV300" t="str">
            <v xml:space="preserve">Q1 </v>
          </cell>
          <cell r="CW300" t="str">
            <v xml:space="preserve">Q2 </v>
          </cell>
          <cell r="CX300" t="str">
            <v xml:space="preserve">Q3 </v>
          </cell>
          <cell r="CY300" t="str">
            <v xml:space="preserve">Q4 </v>
          </cell>
          <cell r="DA300" t="str">
            <v>Taxes Paid/Total</v>
          </cell>
          <cell r="DG300" t="str">
            <v>Deferred/Total</v>
          </cell>
          <cell r="EB300" t="str">
            <v>Deferred/Total</v>
          </cell>
        </row>
        <row r="301">
          <cell r="CQ301" t="str">
            <v>Assets</v>
          </cell>
          <cell r="DG301" t="str">
            <v>Income Taxes Paid</v>
          </cell>
          <cell r="EB301" t="str">
            <v>Income Taxes Paid</v>
          </cell>
        </row>
        <row r="302">
          <cell r="CQ302" t="str">
            <v>Cash and equivalents</v>
          </cell>
          <cell r="CR302">
            <v>377</v>
          </cell>
          <cell r="CS302">
            <v>376</v>
          </cell>
          <cell r="CT302">
            <v>468</v>
          </cell>
          <cell r="CU302">
            <v>328</v>
          </cell>
          <cell r="CV302">
            <v>748</v>
          </cell>
          <cell r="CW302">
            <v>811</v>
          </cell>
          <cell r="CX302">
            <v>697</v>
          </cell>
          <cell r="CY302">
            <v>861</v>
          </cell>
          <cell r="DG302" t="str">
            <v>Taxes Paid/Total</v>
          </cell>
          <cell r="EB302" t="str">
            <v>Taxes Paid/Total</v>
          </cell>
        </row>
        <row r="303">
          <cell r="CQ303" t="str">
            <v>Marketable securities</v>
          </cell>
          <cell r="CR303">
            <v>0</v>
          </cell>
          <cell r="CS303">
            <v>0</v>
          </cell>
          <cell r="CT303">
            <v>0</v>
          </cell>
          <cell r="CU303">
            <v>0</v>
          </cell>
          <cell r="CV303">
            <v>0</v>
          </cell>
          <cell r="CW303">
            <v>0</v>
          </cell>
          <cell r="CX303">
            <v>0</v>
          </cell>
          <cell r="CY303">
            <v>0</v>
          </cell>
          <cell r="DA303" t="str">
            <v>General Dynamics</v>
          </cell>
        </row>
        <row r="304">
          <cell r="CQ304" t="str">
            <v>Accounts receivables</v>
          </cell>
          <cell r="CR304">
            <v>1210</v>
          </cell>
          <cell r="CS304">
            <v>1320</v>
          </cell>
          <cell r="CT304">
            <v>1156</v>
          </cell>
          <cell r="CU304">
            <v>1074</v>
          </cell>
          <cell r="CV304">
            <v>1263</v>
          </cell>
          <cell r="CW304">
            <v>1237</v>
          </cell>
          <cell r="CX304">
            <v>1502</v>
          </cell>
          <cell r="CY304">
            <v>1344</v>
          </cell>
          <cell r="DA304" t="str">
            <v>Balance Sheet</v>
          </cell>
        </row>
        <row r="305">
          <cell r="CQ305" t="str">
            <v>Contracts in process</v>
          </cell>
          <cell r="CR305">
            <v>1775</v>
          </cell>
          <cell r="CS305">
            <v>1847</v>
          </cell>
          <cell r="CT305">
            <v>1924</v>
          </cell>
          <cell r="CU305">
            <v>1914</v>
          </cell>
          <cell r="CV305">
            <v>2200</v>
          </cell>
          <cell r="CW305">
            <v>2416</v>
          </cell>
          <cell r="CX305">
            <v>2422</v>
          </cell>
          <cell r="CY305">
            <v>2473</v>
          </cell>
          <cell r="DA305" t="str">
            <v>($USD in Millions, Except EPS)</v>
          </cell>
          <cell r="DB305">
            <v>2004</v>
          </cell>
          <cell r="DG305" t="str">
            <v>General Dynamics</v>
          </cell>
          <cell r="EB305" t="str">
            <v>General Dynamics</v>
          </cell>
        </row>
        <row r="306">
          <cell r="CQ306" t="str">
            <v>Inventories</v>
          </cell>
          <cell r="CR306">
            <v>1357</v>
          </cell>
          <cell r="CS306">
            <v>1370</v>
          </cell>
          <cell r="CT306">
            <v>1554</v>
          </cell>
          <cell r="CU306">
            <v>1405</v>
          </cell>
          <cell r="CV306">
            <v>1456</v>
          </cell>
          <cell r="CW306">
            <v>1375</v>
          </cell>
          <cell r="CX306">
            <v>1223</v>
          </cell>
          <cell r="CY306">
            <v>1159</v>
          </cell>
          <cell r="DB306" t="str">
            <v xml:space="preserve">Q1 </v>
          </cell>
          <cell r="DC306" t="str">
            <v xml:space="preserve">Q2 </v>
          </cell>
          <cell r="DD306" t="str">
            <v xml:space="preserve">Q3 </v>
          </cell>
          <cell r="DE306" t="str">
            <v xml:space="preserve">Q4 </v>
          </cell>
          <cell r="DG306" t="str">
            <v>Balance Sheet</v>
          </cell>
          <cell r="EB306" t="str">
            <v>Balance Sheet</v>
          </cell>
        </row>
        <row r="307">
          <cell r="CQ307" t="str">
            <v>Other current assets</v>
          </cell>
          <cell r="CR307">
            <v>443</v>
          </cell>
          <cell r="CS307">
            <v>431</v>
          </cell>
          <cell r="CT307">
            <v>389</v>
          </cell>
          <cell r="CU307">
            <v>377</v>
          </cell>
          <cell r="CV307">
            <v>334</v>
          </cell>
          <cell r="CW307">
            <v>316</v>
          </cell>
          <cell r="CX307">
            <v>480</v>
          </cell>
          <cell r="CY307">
            <v>787</v>
          </cell>
          <cell r="DA307" t="str">
            <v>Assets</v>
          </cell>
          <cell r="DG307" t="str">
            <v>($USD in Millions, Except EPS)</v>
          </cell>
          <cell r="DH307">
            <v>2005</v>
          </cell>
          <cell r="DL307">
            <v>2006</v>
          </cell>
          <cell r="EB307" t="str">
            <v>($USD in Millions, Except EPS)</v>
          </cell>
          <cell r="EF307" t="str">
            <v>Pro Forma for GAC</v>
          </cell>
        </row>
        <row r="308">
          <cell r="CQ308" t="str">
            <v>Total Current Assets</v>
          </cell>
          <cell r="CR308">
            <v>5162</v>
          </cell>
          <cell r="CS308">
            <v>5344</v>
          </cell>
          <cell r="CT308">
            <v>5491</v>
          </cell>
          <cell r="CU308">
            <v>5098</v>
          </cell>
          <cell r="CV308">
            <v>6001</v>
          </cell>
          <cell r="CW308">
            <v>6155</v>
          </cell>
          <cell r="CX308">
            <v>6324</v>
          </cell>
          <cell r="CY308">
            <v>6624</v>
          </cell>
          <cell r="DA308" t="str">
            <v>Cash and equivalents</v>
          </cell>
          <cell r="DB308">
            <v>869</v>
          </cell>
          <cell r="DC308">
            <v>1100</v>
          </cell>
          <cell r="DD308">
            <v>686</v>
          </cell>
          <cell r="DE308">
            <v>976</v>
          </cell>
          <cell r="DH308" t="str">
            <v xml:space="preserve">Q1 </v>
          </cell>
          <cell r="DI308" t="str">
            <v xml:space="preserve">Q2 </v>
          </cell>
          <cell r="DJ308" t="str">
            <v xml:space="preserve">Q3 </v>
          </cell>
          <cell r="DK308" t="str">
            <v xml:space="preserve">Q4 </v>
          </cell>
          <cell r="DL308" t="str">
            <v xml:space="preserve">Q1 </v>
          </cell>
          <cell r="DM308" t="str">
            <v>Q2</v>
          </cell>
          <cell r="DN308" t="str">
            <v xml:space="preserve">Q3 </v>
          </cell>
          <cell r="DO308" t="str">
            <v xml:space="preserve">Q4 </v>
          </cell>
          <cell r="EC308">
            <v>1994</v>
          </cell>
          <cell r="ED308">
            <v>1995</v>
          </cell>
          <cell r="EE308">
            <v>1996</v>
          </cell>
          <cell r="EF308">
            <v>1997</v>
          </cell>
          <cell r="EG308" t="str">
            <v>1998</v>
          </cell>
          <cell r="EH308">
            <v>1999</v>
          </cell>
        </row>
        <row r="309">
          <cell r="DA309" t="str">
            <v>Marketable securities</v>
          </cell>
          <cell r="DB309">
            <v>0</v>
          </cell>
          <cell r="DC309">
            <v>0</v>
          </cell>
          <cell r="DD309">
            <v>0</v>
          </cell>
          <cell r="DE309">
            <v>0</v>
          </cell>
          <cell r="DG309" t="str">
            <v>Assets</v>
          </cell>
          <cell r="EB309" t="str">
            <v>Assets</v>
          </cell>
        </row>
        <row r="310">
          <cell r="CQ310" t="str">
            <v>Property, plant, and equipment, net</v>
          </cell>
          <cell r="CR310">
            <v>1753</v>
          </cell>
          <cell r="CS310">
            <v>1827</v>
          </cell>
          <cell r="CT310">
            <v>1826</v>
          </cell>
          <cell r="CU310">
            <v>1856</v>
          </cell>
          <cell r="CV310">
            <v>1936</v>
          </cell>
          <cell r="CW310">
            <v>1934</v>
          </cell>
          <cell r="CX310">
            <v>2005</v>
          </cell>
          <cell r="CY310">
            <v>2060</v>
          </cell>
          <cell r="DA310" t="str">
            <v>Accounts receivables</v>
          </cell>
          <cell r="DB310">
            <v>1525</v>
          </cell>
          <cell r="DC310">
            <v>1376</v>
          </cell>
          <cell r="DD310">
            <v>1438</v>
          </cell>
          <cell r="DE310">
            <v>1450</v>
          </cell>
          <cell r="DG310" t="str">
            <v>Cash and equivalents</v>
          </cell>
          <cell r="DH310">
            <v>1511</v>
          </cell>
          <cell r="DI310">
            <v>1438</v>
          </cell>
          <cell r="DJ310">
            <v>1754</v>
          </cell>
          <cell r="DK310">
            <v>2331</v>
          </cell>
          <cell r="DL310">
            <v>2599</v>
          </cell>
          <cell r="DM310">
            <v>1399</v>
          </cell>
          <cell r="DN310">
            <v>963</v>
          </cell>
          <cell r="DO310">
            <v>1604</v>
          </cell>
          <cell r="EB310" t="str">
            <v>Cash and equivalents</v>
          </cell>
          <cell r="EF310">
            <v>669.47499999999991</v>
          </cell>
          <cell r="EG310">
            <v>117.33579999999984</v>
          </cell>
          <cell r="EH310">
            <v>176.34579999999983</v>
          </cell>
        </row>
        <row r="311">
          <cell r="CQ311" t="str">
            <v>Goodwill</v>
          </cell>
          <cell r="CV311">
            <v>4515</v>
          </cell>
          <cell r="CW311">
            <v>4672</v>
          </cell>
          <cell r="CX311">
            <v>5829</v>
          </cell>
          <cell r="CY311">
            <v>5955</v>
          </cell>
          <cell r="DA311" t="str">
            <v>Contracts in process</v>
          </cell>
          <cell r="DB311">
            <v>2628</v>
          </cell>
          <cell r="DC311">
            <v>2643</v>
          </cell>
          <cell r="DD311">
            <v>2966</v>
          </cell>
          <cell r="DE311">
            <v>2890</v>
          </cell>
          <cell r="DG311" t="str">
            <v>Marketable securities</v>
          </cell>
          <cell r="DH311">
            <v>0</v>
          </cell>
          <cell r="DI311">
            <v>0</v>
          </cell>
          <cell r="DJ311">
            <v>0</v>
          </cell>
          <cell r="DK311">
            <v>0</v>
          </cell>
          <cell r="DL311">
            <v>0</v>
          </cell>
          <cell r="DM311">
            <v>0</v>
          </cell>
          <cell r="DN311">
            <v>0</v>
          </cell>
          <cell r="DO311">
            <v>0</v>
          </cell>
          <cell r="EB311" t="str">
            <v>Marketable securities</v>
          </cell>
          <cell r="EF311">
            <v>105</v>
          </cell>
          <cell r="EG311">
            <v>93</v>
          </cell>
          <cell r="EH311">
            <v>0</v>
          </cell>
        </row>
        <row r="312">
          <cell r="CQ312" t="str">
            <v>Intangible assets</v>
          </cell>
          <cell r="CR312">
            <v>3736</v>
          </cell>
          <cell r="CS312">
            <v>4008</v>
          </cell>
          <cell r="CT312">
            <v>4076</v>
          </cell>
          <cell r="CU312">
            <v>560</v>
          </cell>
          <cell r="CV312">
            <v>541</v>
          </cell>
          <cell r="CW312">
            <v>531</v>
          </cell>
          <cell r="CX312">
            <v>1069</v>
          </cell>
          <cell r="CY312">
            <v>953</v>
          </cell>
          <cell r="DA312" t="str">
            <v>Inventories</v>
          </cell>
          <cell r="DB312">
            <v>1268</v>
          </cell>
          <cell r="DC312">
            <v>1236</v>
          </cell>
          <cell r="DD312">
            <v>1287</v>
          </cell>
          <cell r="DE312">
            <v>1195</v>
          </cell>
          <cell r="DG312" t="str">
            <v>Accounts receivables</v>
          </cell>
          <cell r="DH312">
            <v>1511</v>
          </cell>
          <cell r="DI312">
            <v>1677</v>
          </cell>
          <cell r="DJ312">
            <v>1720</v>
          </cell>
          <cell r="DK312">
            <v>2004</v>
          </cell>
          <cell r="DL312">
            <v>1743</v>
          </cell>
          <cell r="DM312">
            <v>1978</v>
          </cell>
          <cell r="DN312">
            <v>2144</v>
          </cell>
          <cell r="DO312">
            <v>2341</v>
          </cell>
          <cell r="EB312" t="str">
            <v>Accounts receivables</v>
          </cell>
          <cell r="EF312">
            <v>411</v>
          </cell>
          <cell r="EG312">
            <v>580</v>
          </cell>
          <cell r="EH312">
            <v>746</v>
          </cell>
        </row>
        <row r="313">
          <cell r="CQ313" t="str">
            <v>Other assets</v>
          </cell>
          <cell r="CR313">
            <v>664</v>
          </cell>
          <cell r="CS313">
            <v>650</v>
          </cell>
          <cell r="CT313">
            <v>697</v>
          </cell>
          <cell r="CU313">
            <v>707</v>
          </cell>
          <cell r="CV313">
            <v>710</v>
          </cell>
          <cell r="CW313">
            <v>701</v>
          </cell>
          <cell r="CX313">
            <v>653</v>
          </cell>
          <cell r="CY313">
            <v>591</v>
          </cell>
          <cell r="DA313" t="str">
            <v>Other current assets</v>
          </cell>
          <cell r="DB313">
            <v>482</v>
          </cell>
          <cell r="DC313">
            <v>514</v>
          </cell>
          <cell r="DD313">
            <v>491</v>
          </cell>
          <cell r="DE313">
            <v>820</v>
          </cell>
          <cell r="DG313" t="str">
            <v>Contracts in process</v>
          </cell>
          <cell r="DH313">
            <v>3052</v>
          </cell>
          <cell r="DI313">
            <v>3082</v>
          </cell>
          <cell r="DJ313">
            <v>3133</v>
          </cell>
          <cell r="DK313">
            <v>3152</v>
          </cell>
          <cell r="DL313">
            <v>3511</v>
          </cell>
          <cell r="DM313">
            <v>3839</v>
          </cell>
          <cell r="DN313">
            <v>3821</v>
          </cell>
          <cell r="DO313">
            <v>3988</v>
          </cell>
          <cell r="EB313" t="str">
            <v>Contracts in process</v>
          </cell>
          <cell r="EF313">
            <v>702</v>
          </cell>
          <cell r="EG313">
            <v>952</v>
          </cell>
          <cell r="EH313">
            <v>1204</v>
          </cell>
        </row>
        <row r="314">
          <cell r="CQ314" t="str">
            <v>Total Noncurrent assets</v>
          </cell>
          <cell r="CR314">
            <v>6153</v>
          </cell>
          <cell r="CS314">
            <v>6485</v>
          </cell>
          <cell r="CT314">
            <v>6599</v>
          </cell>
          <cell r="CU314">
            <v>6633</v>
          </cell>
          <cell r="CV314">
            <v>7702</v>
          </cell>
          <cell r="CW314">
            <v>7838</v>
          </cell>
          <cell r="CX314">
            <v>9556</v>
          </cell>
          <cell r="CY314">
            <v>9559</v>
          </cell>
          <cell r="DA314" t="str">
            <v>Total Current Assets</v>
          </cell>
          <cell r="DB314">
            <v>6772</v>
          </cell>
          <cell r="DC314">
            <v>6869</v>
          </cell>
          <cell r="DD314">
            <v>6868</v>
          </cell>
          <cell r="DE314">
            <v>7331</v>
          </cell>
          <cell r="DG314" t="str">
            <v>Inventories</v>
          </cell>
          <cell r="DH314">
            <v>1210</v>
          </cell>
          <cell r="DI314">
            <v>1189</v>
          </cell>
          <cell r="DJ314">
            <v>1350</v>
          </cell>
          <cell r="DK314">
            <v>1293</v>
          </cell>
          <cell r="DL314">
            <v>1437</v>
          </cell>
          <cell r="DM314">
            <v>1487</v>
          </cell>
          <cell r="DN314">
            <v>1409</v>
          </cell>
          <cell r="DO314">
            <v>1484</v>
          </cell>
          <cell r="EB314" t="str">
            <v>Inventories</v>
          </cell>
          <cell r="EF314">
            <v>650</v>
          </cell>
          <cell r="EG314">
            <v>804</v>
          </cell>
          <cell r="EH314">
            <v>961</v>
          </cell>
        </row>
        <row r="315">
          <cell r="DG315" t="str">
            <v>Other current assets</v>
          </cell>
          <cell r="DH315">
            <v>436</v>
          </cell>
          <cell r="DI315">
            <v>483</v>
          </cell>
          <cell r="DJ315">
            <v>429</v>
          </cell>
          <cell r="DK315">
            <v>669</v>
          </cell>
          <cell r="DL315">
            <v>544</v>
          </cell>
          <cell r="DM315">
            <v>550</v>
          </cell>
          <cell r="DN315">
            <v>677</v>
          </cell>
          <cell r="DO315">
            <v>463</v>
          </cell>
          <cell r="EB315" t="str">
            <v>Other current assets</v>
          </cell>
          <cell r="EF315">
            <v>337</v>
          </cell>
          <cell r="EG315">
            <v>391</v>
          </cell>
          <cell r="EH315">
            <v>310</v>
          </cell>
        </row>
        <row r="316">
          <cell r="CQ316" t="str">
            <v>Total Assets</v>
          </cell>
          <cell r="CR316">
            <v>11315</v>
          </cell>
          <cell r="CS316">
            <v>11829</v>
          </cell>
          <cell r="CT316">
            <v>12090</v>
          </cell>
          <cell r="CU316">
            <v>11731</v>
          </cell>
          <cell r="CV316">
            <v>13703</v>
          </cell>
          <cell r="CW316">
            <v>13993</v>
          </cell>
          <cell r="CX316">
            <v>15880</v>
          </cell>
          <cell r="CY316">
            <v>16183</v>
          </cell>
          <cell r="DA316" t="str">
            <v>Property, plant, and equipment, net</v>
          </cell>
          <cell r="DB316">
            <v>2080</v>
          </cell>
          <cell r="DC316">
            <v>2082</v>
          </cell>
          <cell r="DD316">
            <v>2140</v>
          </cell>
          <cell r="DE316">
            <v>2153</v>
          </cell>
          <cell r="DG316" t="str">
            <v>Total Current Assets</v>
          </cell>
          <cell r="DH316">
            <v>7720</v>
          </cell>
          <cell r="DI316">
            <v>7869</v>
          </cell>
          <cell r="DJ316">
            <v>8386</v>
          </cell>
          <cell r="DK316">
            <v>9449</v>
          </cell>
          <cell r="DL316">
            <v>9834</v>
          </cell>
          <cell r="DM316">
            <v>9253</v>
          </cell>
          <cell r="DN316">
            <v>9014</v>
          </cell>
          <cell r="DO316">
            <v>9880</v>
          </cell>
          <cell r="EB316" t="str">
            <v>Total Current Assets</v>
          </cell>
          <cell r="EF316">
            <v>2874.4749999999999</v>
          </cell>
          <cell r="EG316">
            <v>2937.3357999999998</v>
          </cell>
          <cell r="EH316">
            <v>3397.3458000000001</v>
          </cell>
        </row>
        <row r="317">
          <cell r="DA317" t="str">
            <v>Goodwill</v>
          </cell>
          <cell r="DB317">
            <v>6157</v>
          </cell>
          <cell r="DC317">
            <v>6157</v>
          </cell>
          <cell r="DD317">
            <v>6469</v>
          </cell>
          <cell r="DE317">
            <v>6429</v>
          </cell>
        </row>
        <row r="318">
          <cell r="CQ318" t="str">
            <v>Liabs. and Shareholders' Equity</v>
          </cell>
          <cell r="DA318" t="str">
            <v>Intangible assets</v>
          </cell>
          <cell r="DB318">
            <v>1006</v>
          </cell>
          <cell r="DC318">
            <v>978</v>
          </cell>
          <cell r="DD318">
            <v>1026</v>
          </cell>
          <cell r="DE318">
            <v>948</v>
          </cell>
          <cell r="DG318" t="str">
            <v>Property, plant, and equipment, net</v>
          </cell>
          <cell r="DH318">
            <v>2120</v>
          </cell>
          <cell r="DI318">
            <v>2039</v>
          </cell>
          <cell r="DJ318">
            <v>2057</v>
          </cell>
          <cell r="DK318">
            <v>2028</v>
          </cell>
          <cell r="DL318">
            <v>2073</v>
          </cell>
          <cell r="DM318">
            <v>2101</v>
          </cell>
          <cell r="DN318">
            <v>2128</v>
          </cell>
          <cell r="DO318">
            <v>2168</v>
          </cell>
          <cell r="EB318" t="str">
            <v>Property, plant, and equipment, net</v>
          </cell>
          <cell r="EF318">
            <v>770</v>
          </cell>
          <cell r="EG318">
            <v>901</v>
          </cell>
          <cell r="EH318">
            <v>1169</v>
          </cell>
        </row>
        <row r="319">
          <cell r="CQ319" t="str">
            <v>Short-term debt and current port of long-term debt</v>
          </cell>
          <cell r="CR319">
            <v>1292</v>
          </cell>
          <cell r="CS319">
            <v>1223</v>
          </cell>
          <cell r="CT319">
            <v>1293</v>
          </cell>
          <cell r="CU319">
            <v>750</v>
          </cell>
          <cell r="CV319">
            <v>2380</v>
          </cell>
          <cell r="CW319">
            <v>364</v>
          </cell>
          <cell r="CX319">
            <v>1234</v>
          </cell>
          <cell r="CY319">
            <v>747</v>
          </cell>
          <cell r="DA319" t="str">
            <v>Other assets</v>
          </cell>
          <cell r="DB319">
            <v>653</v>
          </cell>
          <cell r="DC319">
            <v>644</v>
          </cell>
          <cell r="DD319">
            <v>662</v>
          </cell>
          <cell r="DE319">
            <v>683</v>
          </cell>
          <cell r="DG319" t="str">
            <v>Goodwill</v>
          </cell>
          <cell r="DH319">
            <v>6460</v>
          </cell>
          <cell r="DI319">
            <v>6442</v>
          </cell>
          <cell r="DJ319">
            <v>6677</v>
          </cell>
          <cell r="DK319">
            <v>6686</v>
          </cell>
          <cell r="DL319">
            <v>6801</v>
          </cell>
          <cell r="DM319">
            <v>8513</v>
          </cell>
          <cell r="DN319">
            <v>8580</v>
          </cell>
          <cell r="DO319">
            <v>8541</v>
          </cell>
          <cell r="EB319" t="str">
            <v>Goodwill</v>
          </cell>
        </row>
        <row r="320">
          <cell r="CQ320" t="str">
            <v>Accounts payable</v>
          </cell>
          <cell r="CR320">
            <v>870</v>
          </cell>
          <cell r="CS320">
            <v>935</v>
          </cell>
          <cell r="CT320">
            <v>1041</v>
          </cell>
          <cell r="CU320">
            <v>1056</v>
          </cell>
          <cell r="CV320">
            <v>1212</v>
          </cell>
          <cell r="CW320">
            <v>1195</v>
          </cell>
          <cell r="CX320">
            <v>1353</v>
          </cell>
          <cell r="CY320">
            <v>1288</v>
          </cell>
          <cell r="DA320" t="str">
            <v>Total Noncurrent assets</v>
          </cell>
          <cell r="DB320">
            <v>9896</v>
          </cell>
          <cell r="DC320">
            <v>9861</v>
          </cell>
          <cell r="DD320">
            <v>10297</v>
          </cell>
          <cell r="DE320">
            <v>10213</v>
          </cell>
          <cell r="DG320" t="str">
            <v>Intangible assets</v>
          </cell>
          <cell r="DH320">
            <v>930</v>
          </cell>
          <cell r="DI320">
            <v>896</v>
          </cell>
          <cell r="DJ320">
            <v>923</v>
          </cell>
          <cell r="DK320">
            <v>898</v>
          </cell>
          <cell r="DL320">
            <v>897</v>
          </cell>
          <cell r="DM320">
            <v>1241</v>
          </cell>
          <cell r="DN320">
            <v>1229</v>
          </cell>
          <cell r="DO320">
            <v>1184</v>
          </cell>
          <cell r="EB320" t="str">
            <v>Intangible assets</v>
          </cell>
          <cell r="EF320">
            <v>1293</v>
          </cell>
          <cell r="EG320">
            <v>1788</v>
          </cell>
          <cell r="EH320">
            <v>2513</v>
          </cell>
        </row>
        <row r="321">
          <cell r="CQ321" t="str">
            <v>Billings in excess of costs &amp; est profits</v>
          </cell>
          <cell r="CV321">
            <v>653</v>
          </cell>
          <cell r="CW321">
            <v>679</v>
          </cell>
          <cell r="CX321">
            <v>526</v>
          </cell>
          <cell r="CY321">
            <v>791</v>
          </cell>
          <cell r="DG321" t="str">
            <v>Other assets</v>
          </cell>
          <cell r="DH321">
            <v>675</v>
          </cell>
          <cell r="DI321">
            <v>691</v>
          </cell>
          <cell r="DJ321">
            <v>707</v>
          </cell>
          <cell r="DK321">
            <v>639</v>
          </cell>
          <cell r="DL321">
            <v>684</v>
          </cell>
          <cell r="DM321">
            <v>624</v>
          </cell>
          <cell r="DN321">
            <v>626</v>
          </cell>
          <cell r="DO321">
            <v>603</v>
          </cell>
          <cell r="EB321" t="str">
            <v>Other assets</v>
          </cell>
          <cell r="EF321">
            <v>646</v>
          </cell>
          <cell r="EG321">
            <v>477</v>
          </cell>
          <cell r="EH321">
            <v>601</v>
          </cell>
        </row>
        <row r="322">
          <cell r="CQ322" t="str">
            <v>Workers compensation</v>
          </cell>
          <cell r="CV322">
            <v>509</v>
          </cell>
          <cell r="CW322">
            <v>496</v>
          </cell>
          <cell r="CX322">
            <v>492</v>
          </cell>
          <cell r="CY322">
            <v>547</v>
          </cell>
          <cell r="DA322" t="str">
            <v>Total Assets</v>
          </cell>
          <cell r="DB322">
            <v>16668</v>
          </cell>
          <cell r="DC322">
            <v>16730</v>
          </cell>
          <cell r="DD322">
            <v>17165</v>
          </cell>
          <cell r="DE322">
            <v>17544</v>
          </cell>
          <cell r="DG322" t="str">
            <v>Total Noncurrent assets</v>
          </cell>
          <cell r="DH322">
            <v>10185</v>
          </cell>
          <cell r="DI322">
            <v>10068</v>
          </cell>
          <cell r="DJ322">
            <v>10364</v>
          </cell>
          <cell r="DK322">
            <v>10251</v>
          </cell>
          <cell r="DL322">
            <v>10455</v>
          </cell>
          <cell r="DM322">
            <v>12479</v>
          </cell>
          <cell r="DN322">
            <v>12563</v>
          </cell>
          <cell r="DO322">
            <v>12496</v>
          </cell>
          <cell r="EB322" t="str">
            <v>Total Noncurrent assets</v>
          </cell>
          <cell r="EF322">
            <v>2709</v>
          </cell>
          <cell r="EG322">
            <v>3166</v>
          </cell>
          <cell r="EH322">
            <v>4283</v>
          </cell>
        </row>
        <row r="323">
          <cell r="CQ323" t="str">
            <v>Customer deposits on commercial contracts</v>
          </cell>
          <cell r="CV323">
            <v>336</v>
          </cell>
          <cell r="CW323">
            <v>345</v>
          </cell>
          <cell r="CX323">
            <v>338</v>
          </cell>
          <cell r="CY323">
            <v>465</v>
          </cell>
        </row>
        <row r="324">
          <cell r="CQ324" t="str">
            <v>Salaries and wages</v>
          </cell>
          <cell r="CV324">
            <v>214</v>
          </cell>
          <cell r="CW324">
            <v>250</v>
          </cell>
          <cell r="CX324">
            <v>364</v>
          </cell>
          <cell r="CY324">
            <v>355</v>
          </cell>
          <cell r="DA324" t="str">
            <v>Liabs. and Shareholders' Equity</v>
          </cell>
          <cell r="DG324" t="str">
            <v>Total Assets</v>
          </cell>
          <cell r="DH324">
            <v>17905</v>
          </cell>
          <cell r="DI324">
            <v>17937</v>
          </cell>
          <cell r="DJ324">
            <v>18750</v>
          </cell>
          <cell r="DK324">
            <v>19700</v>
          </cell>
          <cell r="DL324">
            <v>20289</v>
          </cell>
          <cell r="DM324">
            <v>21732</v>
          </cell>
          <cell r="DN324">
            <v>21577</v>
          </cell>
          <cell r="DO324">
            <v>22376</v>
          </cell>
          <cell r="EB324" t="str">
            <v>Total Assets</v>
          </cell>
          <cell r="EF324">
            <v>5583.4750000000004</v>
          </cell>
          <cell r="EG324">
            <v>6103.3357999999998</v>
          </cell>
          <cell r="EH324">
            <v>7680.3458000000001</v>
          </cell>
        </row>
        <row r="325">
          <cell r="CQ325" t="str">
            <v>Retirement benefits</v>
          </cell>
          <cell r="CV325">
            <v>294</v>
          </cell>
          <cell r="CW325">
            <v>302</v>
          </cell>
          <cell r="CX325">
            <v>305</v>
          </cell>
          <cell r="CY325">
            <v>295</v>
          </cell>
          <cell r="DA325" t="str">
            <v>Short-term debt and current port of long-term debt</v>
          </cell>
          <cell r="DB325">
            <v>561</v>
          </cell>
          <cell r="DC325">
            <v>519</v>
          </cell>
          <cell r="DD325">
            <v>391</v>
          </cell>
          <cell r="DE325">
            <v>6</v>
          </cell>
        </row>
        <row r="326">
          <cell r="CQ326" t="str">
            <v>Liabilities of discontinued operations</v>
          </cell>
          <cell r="CV326">
            <v>109</v>
          </cell>
          <cell r="CW326">
            <v>96</v>
          </cell>
          <cell r="CX326">
            <v>82</v>
          </cell>
          <cell r="CY326">
            <v>140</v>
          </cell>
          <cell r="DA326" t="str">
            <v>Accounts payable</v>
          </cell>
          <cell r="DB326">
            <v>1370</v>
          </cell>
          <cell r="DC326">
            <v>1257</v>
          </cell>
          <cell r="DD326">
            <v>1296</v>
          </cell>
          <cell r="DE326">
            <v>1505</v>
          </cell>
          <cell r="DG326" t="str">
            <v>Liabs. and Shareholders' Equity</v>
          </cell>
          <cell r="EB326" t="str">
            <v>Liabs. and Shareholders' Equity</v>
          </cell>
        </row>
        <row r="327">
          <cell r="CQ327" t="str">
            <v>Other current liabilities</v>
          </cell>
          <cell r="CR327">
            <v>2448</v>
          </cell>
          <cell r="CS327">
            <v>2719</v>
          </cell>
          <cell r="CT327">
            <v>2624</v>
          </cell>
          <cell r="CU327">
            <v>746</v>
          </cell>
          <cell r="CV327">
            <v>873</v>
          </cell>
          <cell r="CW327">
            <v>836</v>
          </cell>
          <cell r="CX327">
            <v>887</v>
          </cell>
          <cell r="CY327">
            <v>996</v>
          </cell>
          <cell r="DA327" t="str">
            <v>Billings in excess of costs &amp; est profits</v>
          </cell>
          <cell r="DB327">
            <v>847</v>
          </cell>
          <cell r="DC327">
            <v>800</v>
          </cell>
          <cell r="DD327">
            <v>914</v>
          </cell>
          <cell r="DE327">
            <v>1003</v>
          </cell>
          <cell r="DG327" t="str">
            <v>Short-term debt and current port of long-term debt</v>
          </cell>
          <cell r="DH327">
            <v>7</v>
          </cell>
          <cell r="DI327">
            <v>507</v>
          </cell>
          <cell r="DJ327">
            <v>507</v>
          </cell>
          <cell r="DK327">
            <v>509</v>
          </cell>
          <cell r="DL327">
            <v>507</v>
          </cell>
          <cell r="DM327">
            <v>871</v>
          </cell>
          <cell r="DN327">
            <v>329</v>
          </cell>
          <cell r="DO327">
            <v>7</v>
          </cell>
          <cell r="EB327" t="str">
            <v>Short-term debt and current port of long-term debt</v>
          </cell>
          <cell r="EF327">
            <v>183</v>
          </cell>
          <cell r="EG327">
            <v>77</v>
          </cell>
          <cell r="EH327">
            <v>853</v>
          </cell>
        </row>
        <row r="328">
          <cell r="CQ328" t="str">
            <v>Total Current Liabilities</v>
          </cell>
          <cell r="CR328">
            <v>4610</v>
          </cell>
          <cell r="CS328">
            <v>4877</v>
          </cell>
          <cell r="CT328">
            <v>4958</v>
          </cell>
          <cell r="CU328">
            <v>4582</v>
          </cell>
          <cell r="CV328">
            <v>6580</v>
          </cell>
          <cell r="CW328">
            <v>4563</v>
          </cell>
          <cell r="CX328">
            <v>5581</v>
          </cell>
          <cell r="CY328">
            <v>5624</v>
          </cell>
          <cell r="DA328" t="str">
            <v>Workers compensation</v>
          </cell>
          <cell r="DB328">
            <v>539</v>
          </cell>
          <cell r="DC328">
            <v>537</v>
          </cell>
          <cell r="DD328">
            <v>537</v>
          </cell>
          <cell r="DE328">
            <v>432</v>
          </cell>
          <cell r="DG328" t="str">
            <v>Accounts payable</v>
          </cell>
          <cell r="DH328">
            <v>1446</v>
          </cell>
          <cell r="DI328">
            <v>1462</v>
          </cell>
          <cell r="DJ328">
            <v>1592</v>
          </cell>
          <cell r="DK328">
            <v>1686</v>
          </cell>
          <cell r="DL328">
            <v>1721</v>
          </cell>
          <cell r="DM328">
            <v>1741</v>
          </cell>
          <cell r="DN328">
            <v>1625</v>
          </cell>
          <cell r="DO328">
            <v>1956</v>
          </cell>
          <cell r="EB328" t="str">
            <v>Accounts payable</v>
          </cell>
          <cell r="EF328">
            <v>403</v>
          </cell>
          <cell r="EG328">
            <v>522</v>
          </cell>
          <cell r="EH328">
            <v>631</v>
          </cell>
        </row>
        <row r="329">
          <cell r="DA329" t="str">
            <v>Customer deposits on commercial contracts</v>
          </cell>
          <cell r="DB329">
            <v>662</v>
          </cell>
          <cell r="DC329">
            <v>629</v>
          </cell>
          <cell r="DD329">
            <v>585</v>
          </cell>
          <cell r="DE329">
            <v>653</v>
          </cell>
          <cell r="DG329" t="str">
            <v>Billings in excess of costs &amp; est profits</v>
          </cell>
          <cell r="DH329">
            <v>1211</v>
          </cell>
          <cell r="DI329">
            <v>1184</v>
          </cell>
          <cell r="DJ329">
            <v>1291</v>
          </cell>
          <cell r="DK329">
            <v>0</v>
          </cell>
          <cell r="DL329">
            <v>1581</v>
          </cell>
          <cell r="DM329">
            <v>1670</v>
          </cell>
          <cell r="DN329">
            <v>0</v>
          </cell>
          <cell r="DO329">
            <v>0</v>
          </cell>
          <cell r="EB329" t="str">
            <v>Billings in excess of costs &amp; est profits</v>
          </cell>
          <cell r="EG329">
            <v>139</v>
          </cell>
          <cell r="EH329">
            <v>142</v>
          </cell>
        </row>
        <row r="330">
          <cell r="CQ330" t="str">
            <v>Long-term debt</v>
          </cell>
          <cell r="CR330">
            <v>724</v>
          </cell>
          <cell r="CS330">
            <v>725</v>
          </cell>
          <cell r="CT330">
            <v>728</v>
          </cell>
          <cell r="CU330">
            <v>721</v>
          </cell>
          <cell r="CV330">
            <v>720</v>
          </cell>
          <cell r="CW330">
            <v>2720</v>
          </cell>
          <cell r="CX330">
            <v>3310</v>
          </cell>
          <cell r="CY330">
            <v>3296</v>
          </cell>
          <cell r="DA330" t="str">
            <v>Salaries and wages</v>
          </cell>
          <cell r="DB330">
            <v>359</v>
          </cell>
          <cell r="DC330">
            <v>360</v>
          </cell>
          <cell r="DD330">
            <v>399</v>
          </cell>
          <cell r="DE330">
            <v>365</v>
          </cell>
          <cell r="DG330" t="str">
            <v>Workers compensation</v>
          </cell>
          <cell r="DH330">
            <v>439</v>
          </cell>
          <cell r="DI330">
            <v>444</v>
          </cell>
          <cell r="DJ330">
            <v>443</v>
          </cell>
          <cell r="DK330">
            <v>412</v>
          </cell>
          <cell r="DL330">
            <v>433</v>
          </cell>
          <cell r="DM330">
            <v>431</v>
          </cell>
          <cell r="DN330">
            <v>437</v>
          </cell>
          <cell r="DO330">
            <v>546</v>
          </cell>
          <cell r="EB330" t="str">
            <v>Workers compensation</v>
          </cell>
          <cell r="EG330">
            <v>341</v>
          </cell>
          <cell r="EH330">
            <v>479</v>
          </cell>
        </row>
        <row r="331">
          <cell r="CQ331" t="str">
            <v>Deferred income taxes</v>
          </cell>
          <cell r="CV331">
            <v>217</v>
          </cell>
          <cell r="CW331">
            <v>220</v>
          </cell>
          <cell r="CX331">
            <v>305</v>
          </cell>
          <cell r="CY331">
            <v>343</v>
          </cell>
          <cell r="DA331" t="str">
            <v>Retirement benefits</v>
          </cell>
          <cell r="DB331">
            <v>322</v>
          </cell>
          <cell r="DC331">
            <v>330</v>
          </cell>
          <cell r="DD331">
            <v>372</v>
          </cell>
          <cell r="DE331">
            <v>357</v>
          </cell>
          <cell r="DG331" t="str">
            <v>Customer deposits on commercial contracts</v>
          </cell>
          <cell r="DH331">
            <v>697</v>
          </cell>
          <cell r="DI331">
            <v>674</v>
          </cell>
          <cell r="DJ331">
            <v>740</v>
          </cell>
          <cell r="DK331">
            <v>2565</v>
          </cell>
          <cell r="DL331">
            <v>873</v>
          </cell>
          <cell r="DM331">
            <v>939</v>
          </cell>
          <cell r="DN331">
            <v>2678</v>
          </cell>
          <cell r="DO331">
            <v>2949</v>
          </cell>
          <cell r="EB331" t="str">
            <v>Customer deposits on commercial contracts</v>
          </cell>
          <cell r="EG331">
            <v>488</v>
          </cell>
          <cell r="EH331">
            <v>471</v>
          </cell>
        </row>
        <row r="332">
          <cell r="CQ332" t="str">
            <v>Retirement benefits</v>
          </cell>
          <cell r="CV332">
            <v>345</v>
          </cell>
          <cell r="CW332">
            <v>328</v>
          </cell>
          <cell r="CX332">
            <v>339</v>
          </cell>
          <cell r="CY332">
            <v>340</v>
          </cell>
          <cell r="DA332" t="str">
            <v>Liabilities of discontinued operations</v>
          </cell>
          <cell r="DB332">
            <v>65</v>
          </cell>
          <cell r="DC332">
            <v>52</v>
          </cell>
          <cell r="DD332">
            <v>47</v>
          </cell>
          <cell r="DE332">
            <v>101</v>
          </cell>
          <cell r="DG332" t="str">
            <v>Salaries and wages</v>
          </cell>
          <cell r="DH332">
            <v>352</v>
          </cell>
          <cell r="DI332">
            <v>385</v>
          </cell>
          <cell r="DJ332">
            <v>424</v>
          </cell>
          <cell r="DK332">
            <v>387</v>
          </cell>
          <cell r="DL332">
            <v>407</v>
          </cell>
          <cell r="DM332">
            <v>481</v>
          </cell>
          <cell r="DN332">
            <v>514</v>
          </cell>
          <cell r="DO332">
            <v>457</v>
          </cell>
          <cell r="EB332" t="str">
            <v>Salaries and wages</v>
          </cell>
        </row>
        <row r="333">
          <cell r="CQ333" t="str">
            <v>Customer deposits on commercial contracts</v>
          </cell>
          <cell r="CV333">
            <v>82</v>
          </cell>
          <cell r="CW333">
            <v>76</v>
          </cell>
          <cell r="CX333">
            <v>77</v>
          </cell>
          <cell r="CY333">
            <v>77</v>
          </cell>
          <cell r="DA333" t="str">
            <v>Other current liabilities</v>
          </cell>
          <cell r="DB333">
            <v>998</v>
          </cell>
          <cell r="DC333">
            <v>960</v>
          </cell>
          <cell r="DD333">
            <v>1056</v>
          </cell>
          <cell r="DE333">
            <v>956</v>
          </cell>
          <cell r="DG333" t="str">
            <v>Retirement benefits</v>
          </cell>
          <cell r="DH333">
            <v>362</v>
          </cell>
          <cell r="DI333">
            <v>361</v>
          </cell>
          <cell r="DJ333">
            <v>385</v>
          </cell>
          <cell r="DK333">
            <v>369</v>
          </cell>
          <cell r="DL333">
            <v>776</v>
          </cell>
          <cell r="DM333">
            <v>854</v>
          </cell>
          <cell r="DN333">
            <v>903</v>
          </cell>
          <cell r="DO333">
            <v>739</v>
          </cell>
          <cell r="EB333" t="str">
            <v>Retirement benefits</v>
          </cell>
          <cell r="EG333">
            <v>196</v>
          </cell>
          <cell r="EH333">
            <v>279</v>
          </cell>
        </row>
        <row r="334">
          <cell r="CQ334" t="str">
            <v>Accrued costs of disposed businesses</v>
          </cell>
          <cell r="CV334">
            <v>67</v>
          </cell>
          <cell r="CW334">
            <v>66</v>
          </cell>
          <cell r="CX334">
            <v>64</v>
          </cell>
          <cell r="CY334">
            <v>63</v>
          </cell>
          <cell r="DA334" t="str">
            <v>Total Current Liabilities</v>
          </cell>
          <cell r="DB334">
            <v>5723</v>
          </cell>
          <cell r="DC334">
            <v>5444</v>
          </cell>
          <cell r="DD334">
            <v>5597</v>
          </cell>
          <cell r="DE334">
            <v>5378</v>
          </cell>
          <cell r="DG334" t="str">
            <v>Liabilities of discontinued operations</v>
          </cell>
          <cell r="DH334">
            <v>26</v>
          </cell>
          <cell r="DI334">
            <v>19</v>
          </cell>
          <cell r="DJ334">
            <v>14</v>
          </cell>
          <cell r="DK334">
            <v>207</v>
          </cell>
          <cell r="DL334">
            <v>55</v>
          </cell>
          <cell r="DM334">
            <v>156</v>
          </cell>
          <cell r="DN334">
            <v>151</v>
          </cell>
          <cell r="DO334">
            <v>228</v>
          </cell>
          <cell r="EB334" t="str">
            <v>Liabilities of discontinued operations</v>
          </cell>
        </row>
        <row r="335">
          <cell r="CQ335" t="str">
            <v>Other liabilities</v>
          </cell>
          <cell r="CR335">
            <v>1240</v>
          </cell>
          <cell r="CS335">
            <v>1238</v>
          </cell>
          <cell r="CT335">
            <v>1283</v>
          </cell>
          <cell r="CU335">
            <v>528</v>
          </cell>
          <cell r="CV335">
            <v>584</v>
          </cell>
          <cell r="CW335">
            <v>613</v>
          </cell>
          <cell r="CX335">
            <v>618</v>
          </cell>
          <cell r="CY335">
            <v>519</v>
          </cell>
          <cell r="DG335" t="str">
            <v>Other current liabilities</v>
          </cell>
          <cell r="DH335">
            <v>1043</v>
          </cell>
          <cell r="DI335">
            <v>905</v>
          </cell>
          <cell r="DJ335">
            <v>935</v>
          </cell>
          <cell r="DK335">
            <v>975</v>
          </cell>
          <cell r="DL335">
            <v>1035</v>
          </cell>
          <cell r="DM335">
            <v>983</v>
          </cell>
          <cell r="DN335">
            <v>889</v>
          </cell>
          <cell r="DO335">
            <v>942</v>
          </cell>
          <cell r="EB335" t="str">
            <v>Other current liabilities</v>
          </cell>
          <cell r="EF335">
            <v>1560</v>
          </cell>
          <cell r="EG335">
            <v>654</v>
          </cell>
          <cell r="EH335">
            <v>598</v>
          </cell>
        </row>
        <row r="336">
          <cell r="CQ336" t="str">
            <v>Total Noncurrent Liabilities</v>
          </cell>
          <cell r="CR336">
            <v>1964</v>
          </cell>
          <cell r="CS336">
            <v>1963</v>
          </cell>
          <cell r="CT336">
            <v>2011</v>
          </cell>
          <cell r="CU336">
            <v>1950</v>
          </cell>
          <cell r="CV336">
            <v>2015</v>
          </cell>
          <cell r="CW336">
            <v>4023</v>
          </cell>
          <cell r="CX336">
            <v>4713</v>
          </cell>
          <cell r="CY336">
            <v>4638</v>
          </cell>
          <cell r="DA336" t="str">
            <v>Long-term debt</v>
          </cell>
          <cell r="DB336">
            <v>3297</v>
          </cell>
          <cell r="DC336">
            <v>3297</v>
          </cell>
          <cell r="DD336">
            <v>3296</v>
          </cell>
          <cell r="DE336">
            <v>3291</v>
          </cell>
          <cell r="DG336" t="str">
            <v>Total Current Liabilities</v>
          </cell>
          <cell r="DH336">
            <v>5583</v>
          </cell>
          <cell r="DI336">
            <v>5941</v>
          </cell>
          <cell r="DJ336">
            <v>6331</v>
          </cell>
          <cell r="DK336">
            <v>7110</v>
          </cell>
          <cell r="DL336">
            <v>7388</v>
          </cell>
          <cell r="DM336">
            <v>8126</v>
          </cell>
          <cell r="DN336">
            <v>7526</v>
          </cell>
          <cell r="DO336">
            <v>7824</v>
          </cell>
          <cell r="EB336" t="str">
            <v>Total Current Liabilities</v>
          </cell>
          <cell r="EF336">
            <v>2146</v>
          </cell>
          <cell r="EG336">
            <v>2417</v>
          </cell>
          <cell r="EH336">
            <v>3453</v>
          </cell>
        </row>
        <row r="337">
          <cell r="DA337" t="str">
            <v>Deferred income taxes</v>
          </cell>
          <cell r="DB337">
            <v>518</v>
          </cell>
          <cell r="DC337">
            <v>609</v>
          </cell>
          <cell r="DD337">
            <v>620</v>
          </cell>
          <cell r="DE337">
            <v>640</v>
          </cell>
        </row>
        <row r="338">
          <cell r="CQ338" t="str">
            <v>Common Stock, including surplus</v>
          </cell>
          <cell r="CR338">
            <v>746</v>
          </cell>
          <cell r="CS338">
            <v>777</v>
          </cell>
          <cell r="CT338">
            <v>755</v>
          </cell>
          <cell r="CU338">
            <v>757</v>
          </cell>
          <cell r="CV338">
            <v>768</v>
          </cell>
          <cell r="CW338">
            <v>790</v>
          </cell>
          <cell r="CX338">
            <v>808</v>
          </cell>
          <cell r="CY338">
            <v>838</v>
          </cell>
          <cell r="DA338" t="str">
            <v>Retirement benefits</v>
          </cell>
          <cell r="DB338">
            <v>348</v>
          </cell>
          <cell r="DC338">
            <v>350</v>
          </cell>
          <cell r="DD338">
            <v>337</v>
          </cell>
          <cell r="DE338">
            <v>342</v>
          </cell>
          <cell r="DG338" t="str">
            <v>Long-term debt</v>
          </cell>
          <cell r="DH338">
            <v>3290</v>
          </cell>
          <cell r="DI338">
            <v>2791</v>
          </cell>
          <cell r="DJ338">
            <v>2790</v>
          </cell>
          <cell r="DK338">
            <v>2778</v>
          </cell>
          <cell r="DL338">
            <v>2778</v>
          </cell>
          <cell r="DM338">
            <v>2778</v>
          </cell>
          <cell r="DN338">
            <v>2778</v>
          </cell>
          <cell r="DO338">
            <v>2774</v>
          </cell>
          <cell r="EB338" t="str">
            <v>Long-term debt</v>
          </cell>
          <cell r="EF338">
            <v>462</v>
          </cell>
          <cell r="EG338">
            <v>453</v>
          </cell>
          <cell r="EH338">
            <v>169</v>
          </cell>
        </row>
        <row r="339">
          <cell r="CQ339" t="str">
            <v>Retained Earnings</v>
          </cell>
          <cell r="CR339">
            <v>4948</v>
          </cell>
          <cell r="CS339">
            <v>5150</v>
          </cell>
          <cell r="CT339">
            <v>5358</v>
          </cell>
          <cell r="CU339">
            <v>5455</v>
          </cell>
          <cell r="CV339">
            <v>5613</v>
          </cell>
          <cell r="CW339">
            <v>5793</v>
          </cell>
          <cell r="CX339">
            <v>5992</v>
          </cell>
          <cell r="CY339">
            <v>6206</v>
          </cell>
          <cell r="DA339" t="str">
            <v>Customer deposits on commercial contracts</v>
          </cell>
          <cell r="DB339">
            <v>33</v>
          </cell>
          <cell r="DC339">
            <v>39</v>
          </cell>
          <cell r="DD339">
            <v>57</v>
          </cell>
          <cell r="DE339">
            <v>100</v>
          </cell>
          <cell r="DG339" t="str">
            <v>Deferred income taxes</v>
          </cell>
          <cell r="DH339">
            <v>682</v>
          </cell>
          <cell r="DI339">
            <v>656</v>
          </cell>
          <cell r="DJ339">
            <v>721</v>
          </cell>
          <cell r="DK339">
            <v>806</v>
          </cell>
          <cell r="DL339">
            <v>706</v>
          </cell>
          <cell r="DM339">
            <v>894</v>
          </cell>
          <cell r="DN339">
            <v>879</v>
          </cell>
          <cell r="DO339">
            <v>854</v>
          </cell>
          <cell r="EB339" t="str">
            <v>Deferred income taxes</v>
          </cell>
        </row>
        <row r="340">
          <cell r="CQ340" t="str">
            <v>Treasury Stock</v>
          </cell>
          <cell r="CR340">
            <v>-933</v>
          </cell>
          <cell r="CS340">
            <v>-927</v>
          </cell>
          <cell r="CT340">
            <v>-997</v>
          </cell>
          <cell r="CU340">
            <v>-1016</v>
          </cell>
          <cell r="CV340">
            <v>-1277</v>
          </cell>
          <cell r="CW340">
            <v>-1301</v>
          </cell>
          <cell r="CX340">
            <v>-1290</v>
          </cell>
          <cell r="CY340">
            <v>-1279</v>
          </cell>
          <cell r="DA340" t="str">
            <v>Accrued costs of disposed businesses</v>
          </cell>
          <cell r="DB340">
            <v>52</v>
          </cell>
          <cell r="DC340">
            <v>51</v>
          </cell>
          <cell r="DD340">
            <v>49</v>
          </cell>
          <cell r="DE340">
            <v>48</v>
          </cell>
          <cell r="DG340" t="str">
            <v>Retirement benefits</v>
          </cell>
          <cell r="DH340">
            <v>340</v>
          </cell>
          <cell r="DI340">
            <v>345</v>
          </cell>
          <cell r="DJ340">
            <v>322</v>
          </cell>
          <cell r="DK340">
            <v>261</v>
          </cell>
          <cell r="DL340">
            <v>314</v>
          </cell>
          <cell r="DM340">
            <v>254</v>
          </cell>
          <cell r="DN340">
            <v>256</v>
          </cell>
          <cell r="DO340">
            <v>386</v>
          </cell>
          <cell r="EB340" t="str">
            <v>Retirement benefits</v>
          </cell>
          <cell r="EG340">
            <v>268</v>
          </cell>
          <cell r="EH340">
            <v>296</v>
          </cell>
        </row>
        <row r="341">
          <cell r="CQ341" t="str">
            <v>Accumulated other comprehensive income</v>
          </cell>
          <cell r="CR341">
            <v>-20</v>
          </cell>
          <cell r="CS341">
            <v>-11</v>
          </cell>
          <cell r="CT341">
            <v>5</v>
          </cell>
          <cell r="CU341">
            <v>3</v>
          </cell>
          <cell r="CV341">
            <v>4</v>
          </cell>
          <cell r="CW341">
            <v>125</v>
          </cell>
          <cell r="CX341">
            <v>76</v>
          </cell>
          <cell r="CY341">
            <v>156</v>
          </cell>
          <cell r="DA341" t="str">
            <v>Other liabilities</v>
          </cell>
          <cell r="DB341">
            <v>480</v>
          </cell>
          <cell r="DC341">
            <v>482</v>
          </cell>
          <cell r="DD341">
            <v>432</v>
          </cell>
          <cell r="DE341">
            <v>556</v>
          </cell>
          <cell r="DG341" t="str">
            <v>Customer deposits on commercial contracts</v>
          </cell>
          <cell r="DH341">
            <v>115</v>
          </cell>
          <cell r="DI341">
            <v>160</v>
          </cell>
          <cell r="DJ341">
            <v>140</v>
          </cell>
          <cell r="DK341">
            <v>216</v>
          </cell>
          <cell r="DL341">
            <v>169</v>
          </cell>
          <cell r="DM341">
            <v>193</v>
          </cell>
          <cell r="DN341">
            <v>257</v>
          </cell>
          <cell r="DO341">
            <v>308</v>
          </cell>
          <cell r="EB341" t="str">
            <v>Customer deposits on commercial contracts</v>
          </cell>
        </row>
        <row r="342">
          <cell r="CQ342" t="str">
            <v>Total Shareholders' Equity</v>
          </cell>
          <cell r="CR342">
            <v>4741</v>
          </cell>
          <cell r="CS342">
            <v>4989</v>
          </cell>
          <cell r="CT342">
            <v>5121</v>
          </cell>
          <cell r="CU342">
            <v>5199</v>
          </cell>
          <cell r="CV342">
            <v>5108</v>
          </cell>
          <cell r="CW342">
            <v>5407</v>
          </cell>
          <cell r="CX342">
            <v>5586</v>
          </cell>
          <cell r="CY342">
            <v>5921</v>
          </cell>
          <cell r="DA342" t="str">
            <v>Total Noncurrent Liabilities</v>
          </cell>
          <cell r="DB342">
            <v>4728</v>
          </cell>
          <cell r="DC342">
            <v>4828</v>
          </cell>
          <cell r="DD342">
            <v>4791</v>
          </cell>
          <cell r="DE342">
            <v>4977</v>
          </cell>
          <cell r="DG342" t="str">
            <v>Accrued costs of disposed businesses</v>
          </cell>
          <cell r="DH342">
            <v>46</v>
          </cell>
          <cell r="DI342">
            <v>46</v>
          </cell>
          <cell r="DJ342">
            <v>45</v>
          </cell>
          <cell r="DK342">
            <v>0</v>
          </cell>
          <cell r="DL342">
            <v>0</v>
          </cell>
          <cell r="DM342">
            <v>0</v>
          </cell>
          <cell r="DN342">
            <v>0</v>
          </cell>
          <cell r="DO342">
            <v>0</v>
          </cell>
          <cell r="EB342" t="str">
            <v>Accrued costs of disposed businesses</v>
          </cell>
          <cell r="EG342">
            <v>177</v>
          </cell>
          <cell r="EH342">
            <v>156</v>
          </cell>
        </row>
        <row r="343">
          <cell r="DG343" t="str">
            <v>Other liabilities</v>
          </cell>
          <cell r="DH343">
            <v>453</v>
          </cell>
          <cell r="DI343">
            <v>422</v>
          </cell>
          <cell r="DJ343">
            <v>428</v>
          </cell>
          <cell r="DK343">
            <v>384</v>
          </cell>
          <cell r="DL343">
            <v>467</v>
          </cell>
          <cell r="DM343">
            <v>406</v>
          </cell>
          <cell r="DN343">
            <v>409</v>
          </cell>
          <cell r="DO343">
            <v>403</v>
          </cell>
          <cell r="EB343" t="str">
            <v>Other liabilities</v>
          </cell>
          <cell r="EF343">
            <v>967</v>
          </cell>
          <cell r="EG343">
            <v>466</v>
          </cell>
          <cell r="EH343">
            <v>529</v>
          </cell>
        </row>
        <row r="344">
          <cell r="CQ344" t="str">
            <v>Total Liabilities and Equity</v>
          </cell>
          <cell r="CR344">
            <v>11315</v>
          </cell>
          <cell r="CS344">
            <v>11829</v>
          </cell>
          <cell r="CT344">
            <v>12090</v>
          </cell>
          <cell r="CU344">
            <v>11731</v>
          </cell>
          <cell r="CV344">
            <v>13703</v>
          </cell>
          <cell r="CW344">
            <v>13993</v>
          </cell>
          <cell r="CX344">
            <v>15880</v>
          </cell>
          <cell r="CY344">
            <v>16183</v>
          </cell>
          <cell r="DA344" t="str">
            <v>Common Stock, including surplus</v>
          </cell>
          <cell r="DB344">
            <v>891</v>
          </cell>
          <cell r="DC344">
            <v>940</v>
          </cell>
          <cell r="DD344">
            <v>960</v>
          </cell>
          <cell r="DE344">
            <v>998</v>
          </cell>
          <cell r="DG344" t="str">
            <v>Total Noncurrent Liabilities</v>
          </cell>
          <cell r="DH344">
            <v>4926</v>
          </cell>
          <cell r="DI344">
            <v>4420</v>
          </cell>
          <cell r="DJ344">
            <v>4446</v>
          </cell>
          <cell r="DK344">
            <v>4445</v>
          </cell>
          <cell r="DL344">
            <v>4434</v>
          </cell>
          <cell r="DM344">
            <v>4525</v>
          </cell>
          <cell r="DN344">
            <v>4579</v>
          </cell>
          <cell r="DO344">
            <v>4725</v>
          </cell>
          <cell r="EB344" t="str">
            <v>Total Noncurrent Liabilities</v>
          </cell>
          <cell r="EF344">
            <v>1429</v>
          </cell>
          <cell r="EG344">
            <v>1364</v>
          </cell>
          <cell r="EH344">
            <v>1150</v>
          </cell>
        </row>
        <row r="345">
          <cell r="CQ345" t="str">
            <v>balance check</v>
          </cell>
          <cell r="CR345">
            <v>0</v>
          </cell>
          <cell r="CS345">
            <v>0</v>
          </cell>
          <cell r="CT345">
            <v>0</v>
          </cell>
          <cell r="CU345">
            <v>0</v>
          </cell>
          <cell r="CV345">
            <v>0</v>
          </cell>
          <cell r="CW345">
            <v>0</v>
          </cell>
          <cell r="CX345">
            <v>0</v>
          </cell>
          <cell r="CY345">
            <v>0</v>
          </cell>
          <cell r="DA345" t="str">
            <v>Retained Earnings</v>
          </cell>
          <cell r="DB345">
            <v>6404</v>
          </cell>
          <cell r="DC345">
            <v>6632</v>
          </cell>
          <cell r="DD345">
            <v>6882</v>
          </cell>
          <cell r="DE345">
            <v>7146</v>
          </cell>
        </row>
        <row r="346">
          <cell r="DA346" t="str">
            <v>Treasury Stock</v>
          </cell>
          <cell r="DB346">
            <v>-1265</v>
          </cell>
          <cell r="DC346">
            <v>-1240</v>
          </cell>
          <cell r="DD346">
            <v>-1231</v>
          </cell>
          <cell r="DE346">
            <v>-1206</v>
          </cell>
          <cell r="DG346" t="str">
            <v>Common Stock, including surplus</v>
          </cell>
          <cell r="DH346">
            <v>1056</v>
          </cell>
          <cell r="DI346">
            <v>1086</v>
          </cell>
          <cell r="DJ346">
            <v>1113</v>
          </cell>
          <cell r="DK346">
            <v>1127</v>
          </cell>
          <cell r="DL346">
            <v>1231</v>
          </cell>
          <cell r="DM346">
            <v>1271</v>
          </cell>
          <cell r="DN346">
            <v>1300</v>
          </cell>
          <cell r="DO346">
            <v>1362</v>
          </cell>
          <cell r="EB346" t="str">
            <v>Common Stock, including surplus</v>
          </cell>
          <cell r="EG346">
            <v>484</v>
          </cell>
          <cell r="EH346">
            <v>487.4</v>
          </cell>
        </row>
        <row r="347">
          <cell r="DA347" t="str">
            <v>Accumulated other comprehensive income</v>
          </cell>
          <cell r="DB347">
            <v>187</v>
          </cell>
          <cell r="DC347">
            <v>126</v>
          </cell>
          <cell r="DD347">
            <v>166</v>
          </cell>
          <cell r="DE347">
            <v>251</v>
          </cell>
          <cell r="DG347" t="str">
            <v>Retained Earnings</v>
          </cell>
          <cell r="DH347">
            <v>7402</v>
          </cell>
          <cell r="DI347">
            <v>7666</v>
          </cell>
          <cell r="DJ347">
            <v>7960</v>
          </cell>
          <cell r="DK347">
            <v>8285</v>
          </cell>
          <cell r="DL347">
            <v>8566</v>
          </cell>
          <cell r="DM347">
            <v>9109</v>
          </cell>
          <cell r="DN347">
            <v>9455</v>
          </cell>
          <cell r="DO347">
            <v>9769</v>
          </cell>
          <cell r="EB347" t="str">
            <v>Retained Earnings</v>
          </cell>
          <cell r="EG347">
            <v>2639</v>
          </cell>
          <cell r="EH347">
            <v>3363</v>
          </cell>
        </row>
        <row r="348">
          <cell r="CQ348" t="str">
            <v>Working Capital Assumptions</v>
          </cell>
          <cell r="DA348" t="str">
            <v>Total Shareholders' Equity</v>
          </cell>
          <cell r="DB348">
            <v>6217</v>
          </cell>
          <cell r="DC348">
            <v>6458</v>
          </cell>
          <cell r="DD348">
            <v>6777</v>
          </cell>
          <cell r="DE348">
            <v>7189</v>
          </cell>
          <cell r="DG348" t="str">
            <v>Treasury Stock</v>
          </cell>
          <cell r="DH348">
            <v>-1277</v>
          </cell>
          <cell r="DI348">
            <v>-1358</v>
          </cell>
          <cell r="DJ348">
            <v>-1345</v>
          </cell>
          <cell r="DK348">
            <v>-1493</v>
          </cell>
          <cell r="DL348">
            <v>-1451</v>
          </cell>
          <cell r="DM348">
            <v>-1503</v>
          </cell>
          <cell r="DN348">
            <v>-1481</v>
          </cell>
          <cell r="DO348">
            <v>-1455</v>
          </cell>
          <cell r="EB348" t="str">
            <v>Treasury Stock</v>
          </cell>
          <cell r="EG348">
            <v>-706</v>
          </cell>
          <cell r="EH348">
            <v>-673</v>
          </cell>
        </row>
        <row r="349">
          <cell r="CQ349" t="str">
            <v>Accounts Receivables (Days Sales Outstanding)</v>
          </cell>
          <cell r="CR349">
            <v>35.106382978723403</v>
          </cell>
          <cell r="CS349">
            <v>33.884768967484312</v>
          </cell>
          <cell r="CT349">
            <v>31.680876979293547</v>
          </cell>
          <cell r="CU349">
            <v>25.517423442449843</v>
          </cell>
          <cell r="CV349">
            <v>33.560673162090346</v>
          </cell>
          <cell r="CW349">
            <v>28.575462012320326</v>
          </cell>
          <cell r="CX349">
            <v>31.040183696900115</v>
          </cell>
          <cell r="CY349">
            <v>25.567533291058972</v>
          </cell>
          <cell r="DG349" t="str">
            <v>Accumulated other comprehensive income</v>
          </cell>
          <cell r="DH349">
            <v>215</v>
          </cell>
          <cell r="DI349">
            <v>182</v>
          </cell>
          <cell r="DJ349">
            <v>245</v>
          </cell>
          <cell r="DK349">
            <v>226</v>
          </cell>
          <cell r="DL349">
            <v>121</v>
          </cell>
          <cell r="DM349">
            <v>204</v>
          </cell>
          <cell r="DN349">
            <v>198</v>
          </cell>
          <cell r="DO349">
            <v>151</v>
          </cell>
          <cell r="EB349" t="str">
            <v>Accumulated other comprehensive income</v>
          </cell>
          <cell r="EG349">
            <v>-2</v>
          </cell>
          <cell r="EH349">
            <v>-7</v>
          </cell>
        </row>
        <row r="350">
          <cell r="CQ350" t="str">
            <v>Contracts in Progress (Days Sales Outstanding, ex. Gulfstream)</v>
          </cell>
          <cell r="CR350">
            <v>68.298418127404872</v>
          </cell>
          <cell r="CS350">
            <v>63.301599390708304</v>
          </cell>
          <cell r="CT350">
            <v>68.039292730844792</v>
          </cell>
          <cell r="CU350">
            <v>59.791738979521</v>
          </cell>
          <cell r="CV350">
            <v>70.891514500537056</v>
          </cell>
          <cell r="CW350">
            <v>68.355862936183598</v>
          </cell>
          <cell r="CX350">
            <v>61.454750493374682</v>
          </cell>
          <cell r="CY350">
            <v>57.039979497693494</v>
          </cell>
          <cell r="DA350" t="str">
            <v>Total Liabilities and Equity</v>
          </cell>
          <cell r="DB350">
            <v>16668</v>
          </cell>
          <cell r="DC350">
            <v>16730</v>
          </cell>
          <cell r="DD350">
            <v>17165</v>
          </cell>
          <cell r="DE350">
            <v>17544</v>
          </cell>
          <cell r="DG350" t="str">
            <v>Total Shareholders' Equity</v>
          </cell>
          <cell r="DH350">
            <v>7396</v>
          </cell>
          <cell r="DI350">
            <v>7576</v>
          </cell>
          <cell r="DJ350">
            <v>7973</v>
          </cell>
          <cell r="DK350">
            <v>8145</v>
          </cell>
          <cell r="DL350">
            <v>8467</v>
          </cell>
          <cell r="DM350">
            <v>9081</v>
          </cell>
          <cell r="DN350">
            <v>9472</v>
          </cell>
          <cell r="DO350">
            <v>9827</v>
          </cell>
          <cell r="EB350" t="str">
            <v>Total Shareholders' Equity</v>
          </cell>
          <cell r="EF350">
            <v>2008</v>
          </cell>
          <cell r="EG350">
            <v>2415</v>
          </cell>
          <cell r="EH350">
            <v>3170.4</v>
          </cell>
        </row>
        <row r="351">
          <cell r="CQ351" t="str">
            <v>Inventory (% of Gulfstream Sales)</v>
          </cell>
          <cell r="CR351">
            <v>0.4446264744429882</v>
          </cell>
          <cell r="CS351">
            <v>0.38920454545454547</v>
          </cell>
          <cell r="CT351">
            <v>0.52571041948579156</v>
          </cell>
          <cell r="CU351">
            <v>0.38726571113561192</v>
          </cell>
          <cell r="CV351">
            <v>0.61279461279461278</v>
          </cell>
          <cell r="CW351">
            <v>0.48076923076923078</v>
          </cell>
          <cell r="CX351">
            <v>0.37840346534653463</v>
          </cell>
          <cell r="CY351">
            <v>0.34951749095295537</v>
          </cell>
          <cell r="DA351" t="str">
            <v>balance check</v>
          </cell>
          <cell r="DB351">
            <v>0</v>
          </cell>
          <cell r="DC351">
            <v>0</v>
          </cell>
          <cell r="DD351">
            <v>0</v>
          </cell>
          <cell r="DE351">
            <v>0</v>
          </cell>
        </row>
        <row r="352">
          <cell r="CQ352" t="str">
            <v>Other Current Assets (% of Sales)</v>
          </cell>
          <cell r="CR352">
            <v>3.5702772404900066E-2</v>
          </cell>
          <cell r="CS352">
            <v>3.0733029092983456E-2</v>
          </cell>
          <cell r="CT352">
            <v>2.9613276492082827E-2</v>
          </cell>
          <cell r="CU352">
            <v>2.4881203801478353E-2</v>
          </cell>
          <cell r="CV352">
            <v>2.4653085326247416E-2</v>
          </cell>
          <cell r="CW352">
            <v>2.0277207392197124E-2</v>
          </cell>
          <cell r="CX352">
            <v>2.7554535017221583E-2</v>
          </cell>
          <cell r="CY352">
            <v>4.158740224054111E-2</v>
          </cell>
          <cell r="DG352" t="str">
            <v>Total Liabilities and Equity</v>
          </cell>
          <cell r="DH352">
            <v>17905</v>
          </cell>
          <cell r="DI352">
            <v>17937</v>
          </cell>
          <cell r="DJ352">
            <v>18750</v>
          </cell>
          <cell r="DK352">
            <v>19700</v>
          </cell>
          <cell r="DL352">
            <v>20289</v>
          </cell>
          <cell r="DM352">
            <v>21732</v>
          </cell>
          <cell r="DN352">
            <v>21577</v>
          </cell>
          <cell r="DO352">
            <v>22376</v>
          </cell>
          <cell r="EB352" t="str">
            <v>Total Liabilities and Equity</v>
          </cell>
          <cell r="EF352">
            <v>5583</v>
          </cell>
          <cell r="EG352">
            <v>6196</v>
          </cell>
          <cell r="EH352">
            <v>7773.4</v>
          </cell>
        </row>
        <row r="353">
          <cell r="CQ353" t="str">
            <v>Accounts Payable (% of Sales)</v>
          </cell>
          <cell r="CR353">
            <v>7.0116054158607347E-2</v>
          </cell>
          <cell r="CS353">
            <v>6.667142042213349E-2</v>
          </cell>
          <cell r="CT353">
            <v>7.9247868453105969E-2</v>
          </cell>
          <cell r="CU353">
            <v>6.9693769799366423E-2</v>
          </cell>
          <cell r="CV353">
            <v>8.9459698848538535E-2</v>
          </cell>
          <cell r="CW353">
            <v>7.6681211498973306E-2</v>
          </cell>
          <cell r="CX353">
            <v>7.7669345579793339E-2</v>
          </cell>
          <cell r="CY353">
            <v>6.8061720566476427E-2</v>
          </cell>
          <cell r="DG353" t="str">
            <v>balance check</v>
          </cell>
          <cell r="DH353">
            <v>0</v>
          </cell>
          <cell r="DI353">
            <v>0</v>
          </cell>
          <cell r="DJ353">
            <v>0</v>
          </cell>
          <cell r="DK353">
            <v>0</v>
          </cell>
          <cell r="DL353">
            <v>0</v>
          </cell>
          <cell r="DM353">
            <v>0</v>
          </cell>
          <cell r="DN353">
            <v>0</v>
          </cell>
          <cell r="DO353">
            <v>0</v>
          </cell>
          <cell r="EB353" t="str">
            <v>balance check</v>
          </cell>
          <cell r="EF353">
            <v>0.4750000000003638</v>
          </cell>
          <cell r="EG353">
            <v>-92.664200000000164</v>
          </cell>
          <cell r="EH353">
            <v>-93.054199999999582</v>
          </cell>
        </row>
        <row r="354">
          <cell r="CQ354" t="str">
            <v>Billings in Excess (% of Sales)</v>
          </cell>
          <cell r="CV354">
            <v>4.8198996161795099E-2</v>
          </cell>
          <cell r="CW354">
            <v>4.3570328542094458E-2</v>
          </cell>
          <cell r="CX354">
            <v>3.0195177956371985E-2</v>
          </cell>
          <cell r="CY354">
            <v>4.179877404354259E-2</v>
          </cell>
          <cell r="DA354" t="str">
            <v>Working Capital Assumptions</v>
          </cell>
        </row>
        <row r="355">
          <cell r="CQ355" t="str">
            <v>Workers Compensation (% of Sales)</v>
          </cell>
          <cell r="CV355">
            <v>3.7570121051077647E-2</v>
          </cell>
          <cell r="CW355">
            <v>3.1827515400410678E-2</v>
          </cell>
          <cell r="CX355">
            <v>2.8243398392652126E-2</v>
          </cell>
          <cell r="CY355">
            <v>2.8905094060452337E-2</v>
          </cell>
          <cell r="DA355" t="str">
            <v>Marketable Securities (% of Previous Cash)</v>
          </cell>
          <cell r="DB355">
            <v>0</v>
          </cell>
          <cell r="DC355">
            <v>0</v>
          </cell>
          <cell r="DD355">
            <v>0</v>
          </cell>
          <cell r="DE355">
            <v>0</v>
          </cell>
        </row>
        <row r="356">
          <cell r="CQ356" t="str">
            <v>Customer Deposits, Current (% of Sales)</v>
          </cell>
          <cell r="CV356">
            <v>2.4800708591674048E-2</v>
          </cell>
          <cell r="CW356">
            <v>2.2138090349075976E-2</v>
          </cell>
          <cell r="CX356">
            <v>1.9402985074626865E-2</v>
          </cell>
          <cell r="CY356">
            <v>2.4571972098922003E-2</v>
          </cell>
          <cell r="DA356" t="str">
            <v>Accounts Receivables (Days Sales Outstanding)</v>
          </cell>
          <cell r="DB356">
            <v>29.541541110632803</v>
          </cell>
          <cell r="DC356">
            <v>26.620808254514188</v>
          </cell>
          <cell r="DD356">
            <v>27.850225952227245</v>
          </cell>
          <cell r="DE356">
            <v>26.508226691042047</v>
          </cell>
          <cell r="DG356" t="str">
            <v>Working Capital Assumptions</v>
          </cell>
          <cell r="EB356" t="str">
            <v>Working Capital Assumptions</v>
          </cell>
        </row>
        <row r="357">
          <cell r="CQ357" t="str">
            <v>Salaries and Wages (% of Sales)</v>
          </cell>
          <cell r="CV357">
            <v>1.5795689400649543E-2</v>
          </cell>
          <cell r="CW357">
            <v>1.6042094455852154E-2</v>
          </cell>
          <cell r="CX357">
            <v>2.0895522388059702E-2</v>
          </cell>
          <cell r="CY357">
            <v>1.8759247516381316E-2</v>
          </cell>
          <cell r="DA357" t="str">
            <v>Contracts in Progress (Days Sales Outstanding, ex. Gulfstream)</v>
          </cell>
          <cell r="DB357">
            <v>58.544554455445549</v>
          </cell>
          <cell r="DC357">
            <v>61.290904406080912</v>
          </cell>
          <cell r="DD357">
            <v>69.353078721745916</v>
          </cell>
          <cell r="DE357">
            <v>63.656387665198238</v>
          </cell>
          <cell r="DG357" t="str">
            <v>Marketable Securities (% of Previous Cash)</v>
          </cell>
          <cell r="DH357">
            <v>0</v>
          </cell>
          <cell r="DI357">
            <v>0</v>
          </cell>
          <cell r="DJ357">
            <v>0</v>
          </cell>
          <cell r="DK357">
            <v>0</v>
          </cell>
          <cell r="DL357">
            <v>0</v>
          </cell>
          <cell r="DM357">
            <v>0</v>
          </cell>
          <cell r="DN357">
            <v>0</v>
          </cell>
          <cell r="DO357">
            <v>0</v>
          </cell>
          <cell r="EB357" t="str">
            <v>Marketable Securities (% of Previous Cash)</v>
          </cell>
          <cell r="EG357">
            <v>0.13891482131520969</v>
          </cell>
          <cell r="EH357">
            <v>0</v>
          </cell>
        </row>
        <row r="358">
          <cell r="CQ358" t="str">
            <v>Other Current Liabilities (% of Sales)</v>
          </cell>
          <cell r="CR358">
            <v>0.19729206963249515</v>
          </cell>
          <cell r="CS358">
            <v>0.19388191671420421</v>
          </cell>
          <cell r="CT358">
            <v>0.19975639464068209</v>
          </cell>
          <cell r="CU358">
            <v>4.923442449841605E-2</v>
          </cell>
          <cell r="CV358">
            <v>6.443755535872453E-2</v>
          </cell>
          <cell r="CW358">
            <v>5.3644763860369607E-2</v>
          </cell>
          <cell r="CX358">
            <v>5.0918484500574054E-2</v>
          </cell>
          <cell r="CY358">
            <v>5.2631578947368418E-2</v>
          </cell>
          <cell r="DA358" t="str">
            <v>Inventory (% of Gulfstream Sales)</v>
          </cell>
          <cell r="DB358">
            <v>0.52310231023102305</v>
          </cell>
          <cell r="DC358">
            <v>0.40077821011673154</v>
          </cell>
          <cell r="DD358">
            <v>0.4031954887218045</v>
          </cell>
          <cell r="DE358">
            <v>0.3569295101553166</v>
          </cell>
          <cell r="DG358" t="str">
            <v>Accounts Receivables (Days Sales Outstanding)</v>
          </cell>
          <cell r="DH358">
            <v>28.497485331098069</v>
          </cell>
          <cell r="DI358">
            <v>29.380961650768931</v>
          </cell>
          <cell r="DJ358">
            <v>29.196529611467369</v>
          </cell>
          <cell r="DK358">
            <v>31.290770298403881</v>
          </cell>
          <cell r="DL358">
            <v>28.285250631085468</v>
          </cell>
          <cell r="DM358">
            <v>30</v>
          </cell>
          <cell r="DN358">
            <v>31.794364804745427</v>
          </cell>
          <cell r="DO358">
            <v>32.344181762357998</v>
          </cell>
          <cell r="EB358" t="str">
            <v>Accounts Receivables (Days Sales Outstanding)</v>
          </cell>
          <cell r="EF358">
            <v>24.541383313982415</v>
          </cell>
          <cell r="EG358">
            <v>27.710683477106834</v>
          </cell>
          <cell r="EH358">
            <v>29.976559883915613</v>
          </cell>
        </row>
        <row r="359">
          <cell r="CQ359" t="str">
            <v>Other Liabilities (% of Sales)</v>
          </cell>
          <cell r="CV359">
            <v>4.310599350457632E-2</v>
          </cell>
          <cell r="CW359">
            <v>3.9335215605749485E-2</v>
          </cell>
          <cell r="CX359">
            <v>3.5476463834672789E-2</v>
          </cell>
          <cell r="CY359">
            <v>2.7425491439441979E-2</v>
          </cell>
          <cell r="DA359" t="str">
            <v>Other Current Assets (% of Sales)</v>
          </cell>
          <cell r="DB359">
            <v>2.5936289281102025E-2</v>
          </cell>
          <cell r="DC359">
            <v>2.7622527944969905E-2</v>
          </cell>
          <cell r="DD359">
            <v>2.6414891327738325E-2</v>
          </cell>
          <cell r="DE359">
            <v>4.1641275644931953E-2</v>
          </cell>
          <cell r="DG359" t="str">
            <v>Contracts in Progress (Days Sales Outstanding, ex. Gulfstream)</v>
          </cell>
          <cell r="DH359">
            <v>68.345359542174663</v>
          </cell>
          <cell r="DI359">
            <v>64.37224414017173</v>
          </cell>
          <cell r="DJ359">
            <v>64.142402183803455</v>
          </cell>
          <cell r="DK359">
            <v>58.879202988792031</v>
          </cell>
          <cell r="DL359">
            <v>68.44054580896686</v>
          </cell>
          <cell r="DM359">
            <v>70.990343127183067</v>
          </cell>
          <cell r="DN359">
            <v>69.026495383380166</v>
          </cell>
          <cell r="DO359">
            <v>65.484400656814458</v>
          </cell>
          <cell r="EB359" t="str">
            <v>Contracts in Progress (Days Sales Outstanding, ex. Gulfstream)</v>
          </cell>
          <cell r="EF359">
            <v>61.265454545454546</v>
          </cell>
          <cell r="EG359">
            <v>67.107891129821809</v>
          </cell>
          <cell r="EH359">
            <v>71.642975206611567</v>
          </cell>
        </row>
        <row r="360">
          <cell r="DA360" t="str">
            <v>Accounts Payable (% of Sales)</v>
          </cell>
          <cell r="DB360">
            <v>7.3719328454584593E-2</v>
          </cell>
          <cell r="DC360">
            <v>6.7551590713671533E-2</v>
          </cell>
          <cell r="DD360">
            <v>6.9722401549386706E-2</v>
          </cell>
          <cell r="DE360">
            <v>7.6426975421490961E-2</v>
          </cell>
          <cell r="DG360" t="str">
            <v>Inventory (% of Gulfstream Sales)</v>
          </cell>
          <cell r="DH360">
            <v>0.40172642762284194</v>
          </cell>
          <cell r="DI360">
            <v>0.35899758454106279</v>
          </cell>
          <cell r="DJ360">
            <v>0.37251655629139074</v>
          </cell>
          <cell r="DK360">
            <v>0.34170190274841439</v>
          </cell>
          <cell r="DL360">
            <v>0.38670613562970935</v>
          </cell>
          <cell r="DM360">
            <v>0.34840674789128395</v>
          </cell>
          <cell r="DN360">
            <v>0.32405703771849126</v>
          </cell>
          <cell r="DO360">
            <v>0.3591481122942885</v>
          </cell>
          <cell r="EB360" t="str">
            <v>Inventory (% of Gulfstream Sales)</v>
          </cell>
          <cell r="EF360">
            <v>0.34138655462184875</v>
          </cell>
          <cell r="EG360">
            <v>0.33113673805601318</v>
          </cell>
          <cell r="EH360">
            <v>0.3303540735647989</v>
          </cell>
        </row>
        <row r="361">
          <cell r="CQ361" t="str">
            <v>Inventory Breakdown</v>
          </cell>
          <cell r="DA361" t="str">
            <v>Billings in Excess (% of Sales)</v>
          </cell>
          <cell r="DB361">
            <v>4.5576840292724928E-2</v>
          </cell>
          <cell r="DC361">
            <v>4.2992261392949267E-2</v>
          </cell>
          <cell r="DD361">
            <v>4.9171508500107597E-2</v>
          </cell>
          <cell r="DE361">
            <v>5.0934389599837496E-2</v>
          </cell>
          <cell r="DG361" t="str">
            <v>Other Current Assets (% of Sales)</v>
          </cell>
          <cell r="DH361">
            <v>2.284157585917854E-2</v>
          </cell>
          <cell r="DI361">
            <v>2.3505937317500485E-2</v>
          </cell>
          <cell r="DJ361">
            <v>2.0228215767634856E-2</v>
          </cell>
          <cell r="DK361">
            <v>2.9016308119361553E-2</v>
          </cell>
          <cell r="DL361">
            <v>2.4522178146411829E-2</v>
          </cell>
          <cell r="DM361">
            <v>2.3171553758004719E-2</v>
          </cell>
          <cell r="DN361">
            <v>2.788762563849069E-2</v>
          </cell>
          <cell r="DO361">
            <v>1.7769419711390851E-2</v>
          </cell>
          <cell r="EB361" t="str">
            <v>Other Current Assets (% of Sales)</v>
          </cell>
          <cell r="EF361">
            <v>5.5896500248797477E-2</v>
          </cell>
          <cell r="EG361">
            <v>5.1891174518911745E-2</v>
          </cell>
          <cell r="EH361">
            <v>3.4602076124567477E-2</v>
          </cell>
        </row>
        <row r="362">
          <cell r="CQ362" t="str">
            <v>WIP</v>
          </cell>
          <cell r="CR362">
            <v>672</v>
          </cell>
          <cell r="CS362">
            <v>610</v>
          </cell>
          <cell r="CT362">
            <v>726</v>
          </cell>
          <cell r="CU362">
            <v>750</v>
          </cell>
          <cell r="CV362">
            <v>807</v>
          </cell>
          <cell r="CW362">
            <v>799</v>
          </cell>
          <cell r="CX362">
            <v>691</v>
          </cell>
          <cell r="CY362">
            <v>614</v>
          </cell>
          <cell r="DA362" t="str">
            <v>Workers Compensation (% of Sales)</v>
          </cell>
          <cell r="DB362">
            <v>2.9003443822643134E-2</v>
          </cell>
          <cell r="DC362">
            <v>2.8858555460017195E-2</v>
          </cell>
          <cell r="DD362">
            <v>2.8889606197546804E-2</v>
          </cell>
          <cell r="DE362">
            <v>2.1937842778793418E-2</v>
          </cell>
          <cell r="DG362" t="str">
            <v>Accounts Payable (% of Sales)</v>
          </cell>
          <cell r="DH362">
            <v>7.575440067057837E-2</v>
          </cell>
          <cell r="DI362">
            <v>7.1150476932061515E-2</v>
          </cell>
          <cell r="DJ362">
            <v>7.5066012825348929E-2</v>
          </cell>
          <cell r="DK362">
            <v>7.31263011797363E-2</v>
          </cell>
          <cell r="DL362">
            <v>7.7578434908041838E-2</v>
          </cell>
          <cell r="DM362">
            <v>7.3348500168520389E-2</v>
          </cell>
          <cell r="DN362">
            <v>6.6938540121931123E-2</v>
          </cell>
          <cell r="DO362">
            <v>7.5069081977279711E-2</v>
          </cell>
          <cell r="EB362" t="str">
            <v>Accounts Payable (% of Sales)</v>
          </cell>
          <cell r="EF362">
            <v>6.6843589318294913E-2</v>
          </cell>
          <cell r="EG362">
            <v>6.9276708692767086E-2</v>
          </cell>
          <cell r="EH362">
            <v>7.0431967853555086E-2</v>
          </cell>
        </row>
        <row r="363">
          <cell r="CQ363" t="str">
            <v>Raw Materials</v>
          </cell>
          <cell r="CR363">
            <v>364</v>
          </cell>
          <cell r="CS363">
            <v>368</v>
          </cell>
          <cell r="CT363">
            <v>380</v>
          </cell>
          <cell r="CU363">
            <v>396</v>
          </cell>
          <cell r="CV363">
            <v>389</v>
          </cell>
          <cell r="CW363">
            <v>413</v>
          </cell>
          <cell r="CX363">
            <v>395</v>
          </cell>
          <cell r="CY363">
            <v>388</v>
          </cell>
          <cell r="DA363" t="str">
            <v>Customer Deposits, Current (% of Sales)</v>
          </cell>
          <cell r="DB363">
            <v>3.5622040464916058E-2</v>
          </cell>
          <cell r="DC363">
            <v>3.380266552020636E-2</v>
          </cell>
          <cell r="DD363">
            <v>3.1471917366042608E-2</v>
          </cell>
          <cell r="DE363">
            <v>3.3160674385537277E-2</v>
          </cell>
          <cell r="DG363" t="str">
            <v>Billings in Excess (% of Sales)</v>
          </cell>
          <cell r="DH363">
            <v>6.3443000838222963E-2</v>
          </cell>
          <cell r="DI363">
            <v>5.7621179676854192E-2</v>
          </cell>
          <cell r="DJ363">
            <v>6.0873255375330067E-2</v>
          </cell>
          <cell r="DK363">
            <v>0</v>
          </cell>
          <cell r="DL363">
            <v>7.1267580238009373E-2</v>
          </cell>
          <cell r="DM363">
            <v>7.0357263228850692E-2</v>
          </cell>
          <cell r="DN363">
            <v>0</v>
          </cell>
          <cell r="DO363">
            <v>0</v>
          </cell>
          <cell r="EB363" t="str">
            <v>Billings in Excess (% of Sales)</v>
          </cell>
          <cell r="EF363">
            <v>0</v>
          </cell>
          <cell r="EG363">
            <v>1.8447246184472462E-2</v>
          </cell>
          <cell r="EH363">
            <v>1.5849983257059941E-2</v>
          </cell>
        </row>
        <row r="364">
          <cell r="CQ364" t="str">
            <v>Preowned Aircraft</v>
          </cell>
          <cell r="CR364">
            <v>291</v>
          </cell>
          <cell r="CS364">
            <v>358</v>
          </cell>
          <cell r="CT364">
            <v>417</v>
          </cell>
          <cell r="CU364">
            <v>230</v>
          </cell>
          <cell r="CV364">
            <v>219</v>
          </cell>
          <cell r="CW364">
            <v>118</v>
          </cell>
          <cell r="CX364">
            <v>94</v>
          </cell>
          <cell r="CY364">
            <v>103</v>
          </cell>
          <cell r="DA364" t="str">
            <v>Salaries and Wages (% of Sales)</v>
          </cell>
          <cell r="DB364">
            <v>1.9317692638829102E-2</v>
          </cell>
          <cell r="DC364">
            <v>1.9346517626827171E-2</v>
          </cell>
          <cell r="DD364">
            <v>2.1465461588121369E-2</v>
          </cell>
          <cell r="DE364">
            <v>1.8535445866341663E-2</v>
          </cell>
          <cell r="DG364" t="str">
            <v>Workers Compensation (% of Sales)</v>
          </cell>
          <cell r="DH364">
            <v>2.2998742665549035E-2</v>
          </cell>
          <cell r="DI364">
            <v>2.1607942378820324E-2</v>
          </cell>
          <cell r="DJ364">
            <v>2.0888344021124106E-2</v>
          </cell>
          <cell r="DK364">
            <v>1.7869535045107566E-2</v>
          </cell>
          <cell r="DL364">
            <v>1.9518571943743238E-2</v>
          </cell>
          <cell r="DM364">
            <v>1.8158072126727334E-2</v>
          </cell>
          <cell r="DN364">
            <v>1.8001318174328554E-2</v>
          </cell>
          <cell r="DO364">
            <v>2.0954866441510591E-2</v>
          </cell>
          <cell r="EB364" t="str">
            <v>Workers Compensation (% of Sales)</v>
          </cell>
          <cell r="EF364">
            <v>0</v>
          </cell>
          <cell r="EG364">
            <v>4.5255474452554748E-2</v>
          </cell>
          <cell r="EH364">
            <v>5.3465788592476839E-2</v>
          </cell>
        </row>
        <row r="365">
          <cell r="CQ365" t="str">
            <v>Other (coal/aggregates)</v>
          </cell>
          <cell r="CR365">
            <v>30</v>
          </cell>
          <cell r="CS365">
            <v>34</v>
          </cell>
          <cell r="CT365">
            <v>31</v>
          </cell>
          <cell r="CU365">
            <v>29</v>
          </cell>
          <cell r="CV365">
            <v>41</v>
          </cell>
          <cell r="CW365">
            <v>45</v>
          </cell>
          <cell r="CX365">
            <v>43</v>
          </cell>
          <cell r="CY365">
            <v>54</v>
          </cell>
          <cell r="DA365" t="str">
            <v>Other Current Liabilities (% of Sales)</v>
          </cell>
          <cell r="DB365">
            <v>5.3702109341368917E-2</v>
          </cell>
          <cell r="DC365">
            <v>5.1590713671539126E-2</v>
          </cell>
          <cell r="DD365">
            <v>5.6810845706907684E-2</v>
          </cell>
          <cell r="DE365">
            <v>4.8547633556774328E-2</v>
          </cell>
          <cell r="DG365" t="str">
            <v>Customer Deposits, Current (% of Sales)</v>
          </cell>
          <cell r="DH365">
            <v>3.6515088013411565E-2</v>
          </cell>
          <cell r="DI365">
            <v>3.2801245863344361E-2</v>
          </cell>
          <cell r="DJ365">
            <v>3.4892493398717465E-2</v>
          </cell>
          <cell r="DK365">
            <v>0.11125086745315753</v>
          </cell>
          <cell r="DL365">
            <v>3.9352686620988099E-2</v>
          </cell>
          <cell r="DM365">
            <v>3.9560161779575331E-2</v>
          </cell>
          <cell r="DN365">
            <v>0.1103147141209425</v>
          </cell>
          <cell r="DO365">
            <v>0.1131793061099171</v>
          </cell>
          <cell r="EB365" t="str">
            <v>Customer Deposits, Current (% of Sales)</v>
          </cell>
          <cell r="EF365">
            <v>0</v>
          </cell>
          <cell r="EG365">
            <v>6.4764432647644324E-2</v>
          </cell>
          <cell r="EH365">
            <v>5.2572831789262198E-2</v>
          </cell>
        </row>
        <row r="366">
          <cell r="CQ366" t="str">
            <v>Total</v>
          </cell>
          <cell r="CR366">
            <v>1357</v>
          </cell>
          <cell r="CS366">
            <v>1370</v>
          </cell>
          <cell r="CT366">
            <v>1554</v>
          </cell>
          <cell r="CU366">
            <v>1405</v>
          </cell>
          <cell r="CV366">
            <v>1456</v>
          </cell>
          <cell r="CW366">
            <v>1375</v>
          </cell>
          <cell r="CX366">
            <v>1223</v>
          </cell>
          <cell r="CY366">
            <v>1159</v>
          </cell>
          <cell r="DA366" t="str">
            <v>Other Liabilities (% of Sales)</v>
          </cell>
          <cell r="DB366">
            <v>2.582866982350409E-2</v>
          </cell>
          <cell r="DC366">
            <v>2.5902837489251936E-2</v>
          </cell>
          <cell r="DD366">
            <v>2.3240800516462233E-2</v>
          </cell>
          <cell r="DE366">
            <v>2.8234816169002641E-2</v>
          </cell>
          <cell r="DG366" t="str">
            <v>Salaries and Wages (% of Sales)</v>
          </cell>
          <cell r="DH366">
            <v>1.8440905280804692E-2</v>
          </cell>
          <cell r="DI366">
            <v>1.873661670235546E-2</v>
          </cell>
          <cell r="DJ366">
            <v>1.9992455677102981E-2</v>
          </cell>
          <cell r="DK366">
            <v>1.6785218598195699E-2</v>
          </cell>
          <cell r="DL366">
            <v>1.8346556076451498E-2</v>
          </cell>
          <cell r="DM366">
            <v>2.0264577013818671E-2</v>
          </cell>
          <cell r="DN366">
            <v>2.1173175152413907E-2</v>
          </cell>
          <cell r="DO366">
            <v>1.7539146453791832E-2</v>
          </cell>
          <cell r="EB366" t="str">
            <v>Salaries and Wages (% of Sales)</v>
          </cell>
          <cell r="EF366">
            <v>0</v>
          </cell>
          <cell r="EG366">
            <v>0</v>
          </cell>
          <cell r="EH366">
            <v>0</v>
          </cell>
        </row>
        <row r="367">
          <cell r="CQ367" t="str">
            <v>% of Total</v>
          </cell>
          <cell r="DG367" t="str">
            <v>Other Current Liabilities (% of Sales)</v>
          </cell>
          <cell r="DH367">
            <v>5.4641659681475274E-2</v>
          </cell>
          <cell r="DI367">
            <v>4.4043215884757639E-2</v>
          </cell>
          <cell r="DJ367">
            <v>4.4087136929460584E-2</v>
          </cell>
          <cell r="DK367">
            <v>4.2288341429562802E-2</v>
          </cell>
          <cell r="DL367">
            <v>4.6655247024882801E-2</v>
          </cell>
          <cell r="DM367">
            <v>4.1413886080215706E-2</v>
          </cell>
          <cell r="DN367">
            <v>3.6620530565167245E-2</v>
          </cell>
          <cell r="DO367">
            <v>3.6152901443045747E-2</v>
          </cell>
          <cell r="EB367" t="str">
            <v>Other Current Liabilities (% of Sales)</v>
          </cell>
          <cell r="EF367">
            <v>0.25874937800630288</v>
          </cell>
          <cell r="EG367">
            <v>8.6794956867949566E-2</v>
          </cell>
          <cell r="EH367">
            <v>6.6748521040294675E-2</v>
          </cell>
        </row>
        <row r="368">
          <cell r="CQ368" t="str">
            <v>WIP</v>
          </cell>
          <cell r="DA368" t="str">
            <v>Inventory Breakdown</v>
          </cell>
          <cell r="DG368" t="str">
            <v>Other Liabilities (% of Sales)</v>
          </cell>
          <cell r="DH368">
            <v>2.3732187761944676E-2</v>
          </cell>
          <cell r="DI368">
            <v>2.0537278567257154E-2</v>
          </cell>
          <cell r="DJ368">
            <v>2.018106374952848E-2</v>
          </cell>
          <cell r="DK368">
            <v>1.6655100624566273E-2</v>
          </cell>
          <cell r="DL368">
            <v>2.1051208077893978E-2</v>
          </cell>
          <cell r="DM368">
            <v>1.7104819683181664E-2</v>
          </cell>
          <cell r="DN368">
            <v>1.6847915636842972E-2</v>
          </cell>
          <cell r="DO368">
            <v>1.5466687135400675E-2</v>
          </cell>
          <cell r="EB368" t="str">
            <v>Other Liabilities (% of Sales)</v>
          </cell>
          <cell r="EF368">
            <v>0.16039144136672748</v>
          </cell>
          <cell r="EG368">
            <v>6.1844724618447248E-2</v>
          </cell>
          <cell r="EH368">
            <v>5.9046768612568364E-2</v>
          </cell>
        </row>
        <row r="369">
          <cell r="CQ369" t="str">
            <v>Raw Materials</v>
          </cell>
          <cell r="DA369" t="str">
            <v>WIP</v>
          </cell>
          <cell r="DB369">
            <v>674</v>
          </cell>
          <cell r="DC369">
            <v>665</v>
          </cell>
          <cell r="DD369">
            <v>648</v>
          </cell>
          <cell r="DE369">
            <v>648</v>
          </cell>
        </row>
        <row r="370">
          <cell r="CQ370" t="str">
            <v>Preowned Aircraft</v>
          </cell>
          <cell r="DA370" t="str">
            <v>Raw Materials</v>
          </cell>
          <cell r="DB370">
            <v>393</v>
          </cell>
          <cell r="DC370">
            <v>386</v>
          </cell>
          <cell r="DD370">
            <v>392</v>
          </cell>
          <cell r="DE370">
            <v>392</v>
          </cell>
          <cell r="DG370" t="str">
            <v>Inventory Breakdown</v>
          </cell>
          <cell r="EB370" t="str">
            <v>Inventory Breakdown</v>
          </cell>
        </row>
        <row r="371">
          <cell r="CQ371" t="str">
            <v>Other (coal/aggregates)</v>
          </cell>
          <cell r="DA371" t="str">
            <v>Preowned Aircraft</v>
          </cell>
          <cell r="DB371">
            <v>150</v>
          </cell>
          <cell r="DC371">
            <v>142</v>
          </cell>
          <cell r="DD371">
            <v>119</v>
          </cell>
          <cell r="DE371">
            <v>119</v>
          </cell>
          <cell r="DG371" t="str">
            <v>Work in Process (WIP)</v>
          </cell>
          <cell r="DH371">
            <v>673</v>
          </cell>
          <cell r="DI371">
            <v>660</v>
          </cell>
          <cell r="DJ371">
            <v>716</v>
          </cell>
          <cell r="DK371">
            <v>701</v>
          </cell>
          <cell r="DL371">
            <v>783</v>
          </cell>
          <cell r="DM371">
            <v>834</v>
          </cell>
          <cell r="DN371">
            <v>740</v>
          </cell>
          <cell r="DO371">
            <v>715</v>
          </cell>
          <cell r="EB371" t="str">
            <v>Work in Process (WIP)</v>
          </cell>
          <cell r="EH371">
            <v>436</v>
          </cell>
        </row>
        <row r="372">
          <cell r="CQ372" t="str">
            <v>% Change</v>
          </cell>
          <cell r="DA372" t="str">
            <v>Other (coal/aggregates)</v>
          </cell>
          <cell r="DB372">
            <v>51</v>
          </cell>
          <cell r="DC372">
            <v>43</v>
          </cell>
          <cell r="DD372">
            <v>36</v>
          </cell>
          <cell r="DE372">
            <v>36</v>
          </cell>
          <cell r="DG372" t="str">
            <v>Raw Materials</v>
          </cell>
          <cell r="DH372">
            <v>414</v>
          </cell>
          <cell r="DI372">
            <v>435</v>
          </cell>
          <cell r="DJ372">
            <v>476</v>
          </cell>
          <cell r="DK372">
            <v>505</v>
          </cell>
          <cell r="DL372">
            <v>515</v>
          </cell>
          <cell r="DM372">
            <v>555</v>
          </cell>
          <cell r="DN372">
            <v>624</v>
          </cell>
          <cell r="DO372">
            <v>711</v>
          </cell>
          <cell r="EB372" t="str">
            <v>Raw Materials</v>
          </cell>
          <cell r="EH372">
            <v>462</v>
          </cell>
        </row>
        <row r="373">
          <cell r="CQ373" t="str">
            <v>WIP</v>
          </cell>
          <cell r="DA373" t="str">
            <v>Total</v>
          </cell>
          <cell r="DB373">
            <v>1268</v>
          </cell>
          <cell r="DC373">
            <v>1236</v>
          </cell>
          <cell r="DD373">
            <v>1195</v>
          </cell>
          <cell r="DE373">
            <v>1195</v>
          </cell>
          <cell r="DG373" t="str">
            <v>Preowned Aircraft</v>
          </cell>
          <cell r="DH373">
            <v>85</v>
          </cell>
          <cell r="DI373">
            <v>58</v>
          </cell>
          <cell r="DJ373">
            <v>116</v>
          </cell>
          <cell r="DK373">
            <v>69</v>
          </cell>
          <cell r="DL373">
            <v>122</v>
          </cell>
          <cell r="DM373">
            <v>81</v>
          </cell>
          <cell r="DN373">
            <v>32</v>
          </cell>
          <cell r="DO373">
            <v>44</v>
          </cell>
          <cell r="EB373" t="str">
            <v>Preowned Aircraft</v>
          </cell>
          <cell r="EH373">
            <v>243</v>
          </cell>
        </row>
        <row r="374">
          <cell r="CQ374" t="str">
            <v>Raw Materials</v>
          </cell>
          <cell r="DA374" t="str">
            <v>% of Total</v>
          </cell>
          <cell r="DG374" t="str">
            <v>Other (coal/aggregates)</v>
          </cell>
          <cell r="DH374">
            <v>38</v>
          </cell>
          <cell r="DI374">
            <v>36</v>
          </cell>
          <cell r="DJ374">
            <v>42</v>
          </cell>
          <cell r="DK374">
            <v>18</v>
          </cell>
          <cell r="DL374">
            <v>17</v>
          </cell>
          <cell r="DM374">
            <v>17</v>
          </cell>
          <cell r="DN374">
            <v>13</v>
          </cell>
          <cell r="DO374">
            <v>14</v>
          </cell>
          <cell r="EB374" t="str">
            <v>Other (coal/aggregates)</v>
          </cell>
          <cell r="EH374">
            <v>20</v>
          </cell>
        </row>
        <row r="375">
          <cell r="CQ375" t="str">
            <v>Preowned Aircraft</v>
          </cell>
          <cell r="DA375" t="str">
            <v>WIP</v>
          </cell>
          <cell r="DG375" t="str">
            <v>Total</v>
          </cell>
          <cell r="DH375">
            <v>1210</v>
          </cell>
          <cell r="DI375">
            <v>1189</v>
          </cell>
          <cell r="DJ375">
            <v>1350</v>
          </cell>
          <cell r="DK375">
            <v>1293</v>
          </cell>
          <cell r="DL375">
            <v>1437</v>
          </cell>
          <cell r="DM375">
            <v>1487</v>
          </cell>
          <cell r="DN375">
            <v>1409</v>
          </cell>
          <cell r="DO375">
            <v>1484</v>
          </cell>
          <cell r="EB375" t="str">
            <v>Total</v>
          </cell>
          <cell r="EH375">
            <v>1161</v>
          </cell>
        </row>
        <row r="376">
          <cell r="CQ376" t="str">
            <v>Other (coal/aggregates)</v>
          </cell>
          <cell r="DA376" t="str">
            <v>Raw Materials</v>
          </cell>
          <cell r="DG376" t="str">
            <v>% of Total</v>
          </cell>
          <cell r="EB376" t="str">
            <v>% of Total</v>
          </cell>
        </row>
        <row r="377">
          <cell r="DA377" t="str">
            <v>Preowned Aircraft</v>
          </cell>
          <cell r="DG377" t="str">
            <v>Work in Process (WIP)</v>
          </cell>
          <cell r="DH377">
            <v>0.55619834710743798</v>
          </cell>
          <cell r="DI377">
            <v>0.55508830950378474</v>
          </cell>
          <cell r="DJ377">
            <v>0.53037037037037038</v>
          </cell>
          <cell r="DK377">
            <v>0.54215003866976019</v>
          </cell>
          <cell r="DL377">
            <v>0.54488517745302711</v>
          </cell>
          <cell r="DM377">
            <v>0.56086079354404839</v>
          </cell>
          <cell r="DN377">
            <v>0.52519517388218595</v>
          </cell>
          <cell r="DO377">
            <v>0.48180592991913745</v>
          </cell>
          <cell r="EB377" t="str">
            <v>Work in Process (WIP)</v>
          </cell>
          <cell r="EH377">
            <v>0.37553832902670115</v>
          </cell>
        </row>
        <row r="378">
          <cell r="CQ378" t="str">
            <v>Gulfstream trade-in commit thru '04</v>
          </cell>
          <cell r="CS378">
            <v>648</v>
          </cell>
          <cell r="CT378">
            <v>567</v>
          </cell>
          <cell r="CU378">
            <v>551</v>
          </cell>
          <cell r="CV378">
            <v>415</v>
          </cell>
          <cell r="CW378">
            <v>322</v>
          </cell>
          <cell r="CX378">
            <v>240</v>
          </cell>
          <cell r="CY378">
            <v>229</v>
          </cell>
          <cell r="DA378" t="str">
            <v>Other (coal/aggregates)</v>
          </cell>
          <cell r="DG378" t="str">
            <v>Raw Materials</v>
          </cell>
          <cell r="DH378">
            <v>0.34214876033057851</v>
          </cell>
          <cell r="DI378">
            <v>0.36585365853658536</v>
          </cell>
          <cell r="DJ378">
            <v>0.35259259259259257</v>
          </cell>
          <cell r="DK378">
            <v>0.39056457849961329</v>
          </cell>
          <cell r="DL378">
            <v>0.35838552540013918</v>
          </cell>
          <cell r="DM378">
            <v>0.37323470073974446</v>
          </cell>
          <cell r="DN378">
            <v>0.44286728176011353</v>
          </cell>
          <cell r="DO378">
            <v>0.47911051212938005</v>
          </cell>
          <cell r="EB378" t="str">
            <v>Raw Materials</v>
          </cell>
          <cell r="EH378">
            <v>0.3979328165374677</v>
          </cell>
        </row>
        <row r="379">
          <cell r="DA379" t="str">
            <v>% Change</v>
          </cell>
          <cell r="DG379" t="str">
            <v>Preowned Aircraft</v>
          </cell>
          <cell r="DH379">
            <v>7.0247933884297523E-2</v>
          </cell>
          <cell r="DI379">
            <v>4.878048780487805E-2</v>
          </cell>
          <cell r="DJ379">
            <v>8.5925925925925919E-2</v>
          </cell>
          <cell r="DK379">
            <v>5.336426914153132E-2</v>
          </cell>
          <cell r="DL379">
            <v>8.4899095337508695E-2</v>
          </cell>
          <cell r="DM379">
            <v>5.4472091459314052E-2</v>
          </cell>
          <cell r="DN379">
            <v>2.2711142654364799E-2</v>
          </cell>
          <cell r="DO379">
            <v>2.9649595687331536E-2</v>
          </cell>
          <cell r="EB379" t="str">
            <v>Preowned Aircraft</v>
          </cell>
          <cell r="EH379">
            <v>0.20930232558139536</v>
          </cell>
        </row>
        <row r="380">
          <cell r="CQ380" t="str">
            <v>GD  warranty Information</v>
          </cell>
          <cell r="DA380" t="str">
            <v>WIP</v>
          </cell>
          <cell r="DG380" t="str">
            <v>Other (coal/aggregates)</v>
          </cell>
          <cell r="DH380">
            <v>3.1404958677685953E-2</v>
          </cell>
          <cell r="DI380">
            <v>3.0277544154751892E-2</v>
          </cell>
          <cell r="DJ380">
            <v>3.111111111111111E-2</v>
          </cell>
          <cell r="DK380">
            <v>1.3921113689095127E-2</v>
          </cell>
          <cell r="DL380">
            <v>1.1830201809324982E-2</v>
          </cell>
          <cell r="DM380">
            <v>1.1432414256893073E-2</v>
          </cell>
          <cell r="DN380">
            <v>9.2264017033356991E-3</v>
          </cell>
          <cell r="DO380">
            <v>9.433962264150943E-3</v>
          </cell>
          <cell r="EB380" t="str">
            <v>Other (coal/aggregates)</v>
          </cell>
          <cell r="EH380">
            <v>1.7226528854435832E-2</v>
          </cell>
        </row>
        <row r="381">
          <cell r="CQ381" t="str">
            <v>Expense</v>
          </cell>
          <cell r="CV381">
            <v>9</v>
          </cell>
          <cell r="CW381">
            <v>34</v>
          </cell>
          <cell r="CX381">
            <v>30</v>
          </cell>
          <cell r="CY381">
            <v>0</v>
          </cell>
          <cell r="DA381" t="str">
            <v>Raw Materials</v>
          </cell>
          <cell r="DG381" t="str">
            <v>% Ch Y/Y</v>
          </cell>
          <cell r="EB381" t="str">
            <v>% Ch Y/Y</v>
          </cell>
        </row>
        <row r="382">
          <cell r="CQ382" t="str">
            <v>Payments</v>
          </cell>
          <cell r="CV382">
            <v>-9</v>
          </cell>
          <cell r="CW382">
            <v>-19</v>
          </cell>
          <cell r="CX382">
            <v>-15</v>
          </cell>
          <cell r="CY382">
            <v>-8</v>
          </cell>
          <cell r="DA382" t="str">
            <v>Preowned Aircraft</v>
          </cell>
          <cell r="DG382" t="str">
            <v>Work in Process (WIP)</v>
          </cell>
          <cell r="DH382">
            <v>-1.4836795252225476E-3</v>
          </cell>
          <cell r="DI382">
            <v>-7.5187969924812581E-3</v>
          </cell>
          <cell r="DJ382">
            <v>0.10493827160493829</v>
          </cell>
          <cell r="DK382">
            <v>8.1790123456790154E-2</v>
          </cell>
          <cell r="DL382">
            <v>0.16344725111441316</v>
          </cell>
          <cell r="DM382">
            <v>0.26363636363636367</v>
          </cell>
          <cell r="DN382">
            <v>3.3519553072625774E-2</v>
          </cell>
          <cell r="DO382">
            <v>1.9971469329529201E-2</v>
          </cell>
          <cell r="EB382" t="str">
            <v>Work in Process (WIP)</v>
          </cell>
        </row>
        <row r="383">
          <cell r="CQ383" t="str">
            <v>Adjustments</v>
          </cell>
          <cell r="CV383">
            <v>81</v>
          </cell>
          <cell r="CW383">
            <v>-16</v>
          </cell>
          <cell r="CX383">
            <v>28</v>
          </cell>
          <cell r="CY383">
            <v>-40</v>
          </cell>
          <cell r="DA383" t="str">
            <v>Other (coal/aggregates)</v>
          </cell>
          <cell r="DG383" t="str">
            <v>Raw Materials</v>
          </cell>
          <cell r="DH383">
            <v>5.3435114503816772E-2</v>
          </cell>
          <cell r="DI383">
            <v>0.12694300518134716</v>
          </cell>
          <cell r="DJ383">
            <v>0.21428571428571419</v>
          </cell>
          <cell r="DK383">
            <v>0.28826530612244894</v>
          </cell>
          <cell r="DL383">
            <v>0.2439613526570048</v>
          </cell>
          <cell r="DM383">
            <v>0.27586206896551735</v>
          </cell>
          <cell r="DN383">
            <v>0.31092436974789917</v>
          </cell>
          <cell r="DO383">
            <v>0.40792079207920784</v>
          </cell>
          <cell r="EB383" t="str">
            <v>Raw Materials</v>
          </cell>
        </row>
        <row r="384">
          <cell r="CQ384" t="str">
            <v>Beginning Liabilities</v>
          </cell>
          <cell r="CV384">
            <v>137</v>
          </cell>
          <cell r="CW384">
            <v>218</v>
          </cell>
          <cell r="CX384">
            <v>217</v>
          </cell>
          <cell r="CY384">
            <v>260</v>
          </cell>
          <cell r="DG384" t="str">
            <v>Preowned Aircraft</v>
          </cell>
          <cell r="DH384">
            <v>-0.43333333333333335</v>
          </cell>
          <cell r="DI384">
            <v>-0.59154929577464788</v>
          </cell>
          <cell r="DJ384">
            <v>-2.5210084033613467E-2</v>
          </cell>
          <cell r="DK384">
            <v>-0.42016806722689071</v>
          </cell>
          <cell r="DL384">
            <v>0.43529411764705883</v>
          </cell>
          <cell r="DM384">
            <v>0.39655172413793105</v>
          </cell>
          <cell r="DN384">
            <v>-0.72413793103448276</v>
          </cell>
          <cell r="DO384">
            <v>-0.3623188405797102</v>
          </cell>
          <cell r="EB384" t="str">
            <v>Preowned Aircraft</v>
          </cell>
        </row>
        <row r="385">
          <cell r="CQ385" t="str">
            <v>Ending Liabilties</v>
          </cell>
          <cell r="CU385">
            <v>137</v>
          </cell>
          <cell r="CV385">
            <v>218</v>
          </cell>
          <cell r="CW385">
            <v>217</v>
          </cell>
          <cell r="CX385">
            <v>260</v>
          </cell>
          <cell r="CY385">
            <v>212</v>
          </cell>
          <cell r="DA385" t="str">
            <v>Gulfstream trade-in commit thru '04</v>
          </cell>
          <cell r="DB385">
            <v>200</v>
          </cell>
          <cell r="DC385">
            <v>156</v>
          </cell>
          <cell r="DD385">
            <v>200</v>
          </cell>
          <cell r="DE385">
            <v>301</v>
          </cell>
          <cell r="DG385" t="str">
            <v>Other (coal/aggregates)</v>
          </cell>
          <cell r="DH385">
            <v>-0.25490196078431371</v>
          </cell>
          <cell r="DI385">
            <v>-0.16279069767441856</v>
          </cell>
          <cell r="DJ385">
            <v>0.16666666666666674</v>
          </cell>
          <cell r="DK385">
            <v>-0.5</v>
          </cell>
          <cell r="DL385">
            <v>-0.55263157894736836</v>
          </cell>
          <cell r="DM385">
            <v>-0.52777777777777779</v>
          </cell>
          <cell r="DN385">
            <v>-0.69047619047619047</v>
          </cell>
          <cell r="DO385">
            <v>-0.22222222222222221</v>
          </cell>
          <cell r="EB385" t="str">
            <v>Other (coal/aggregates)</v>
          </cell>
        </row>
        <row r="386">
          <cell r="DG386" t="str">
            <v>Total</v>
          </cell>
          <cell r="DH386">
            <v>-4.5741324921135695E-2</v>
          </cell>
          <cell r="DI386">
            <v>-3.8025889967637561E-2</v>
          </cell>
          <cell r="DJ386">
            <v>0.12970711297071125</v>
          </cell>
          <cell r="DK386">
            <v>8.200836820083679E-2</v>
          </cell>
          <cell r="DL386">
            <v>0.18760330578512407</v>
          </cell>
          <cell r="DM386">
            <v>0.25063078216989076</v>
          </cell>
          <cell r="DN386">
            <v>4.37037037037038E-2</v>
          </cell>
          <cell r="DO386">
            <v>0.14771848414539823</v>
          </cell>
          <cell r="EB386" t="str">
            <v>Total</v>
          </cell>
        </row>
        <row r="387">
          <cell r="CQ387" t="str">
            <v>Unsold Aircraft inventory</v>
          </cell>
          <cell r="DA387" t="str">
            <v>GD Warranty Information</v>
          </cell>
        </row>
        <row r="388">
          <cell r="CQ388" t="str">
            <v>Large</v>
          </cell>
          <cell r="CU388">
            <v>4</v>
          </cell>
          <cell r="CV388">
            <v>6</v>
          </cell>
          <cell r="CW388">
            <v>3</v>
          </cell>
          <cell r="CX388">
            <v>0</v>
          </cell>
          <cell r="DA388" t="str">
            <v>Expense</v>
          </cell>
          <cell r="DB388">
            <v>16</v>
          </cell>
          <cell r="DC388">
            <v>13</v>
          </cell>
          <cell r="DD388">
            <v>10</v>
          </cell>
          <cell r="DE388">
            <v>14</v>
          </cell>
          <cell r="DG388" t="str">
            <v>Gulfstream trade-in commit thru '04</v>
          </cell>
          <cell r="DH388">
            <v>384</v>
          </cell>
          <cell r="DI388">
            <v>406</v>
          </cell>
          <cell r="DJ388">
            <v>425</v>
          </cell>
          <cell r="DK388">
            <v>570</v>
          </cell>
          <cell r="DL388">
            <v>542</v>
          </cell>
          <cell r="DM388">
            <v>485</v>
          </cell>
          <cell r="DN388">
            <v>386</v>
          </cell>
          <cell r="DO388">
            <v>302</v>
          </cell>
          <cell r="EB388" t="str">
            <v>Gulfstream trade-in commit thru '04</v>
          </cell>
        </row>
        <row r="389">
          <cell r="CQ389" t="str">
            <v>Midsized</v>
          </cell>
          <cell r="CU389">
            <v>15</v>
          </cell>
          <cell r="CV389">
            <v>11</v>
          </cell>
          <cell r="CW389">
            <v>9</v>
          </cell>
          <cell r="CX389">
            <v>5</v>
          </cell>
          <cell r="DA389" t="str">
            <v>Payments</v>
          </cell>
          <cell r="DB389">
            <v>-11</v>
          </cell>
          <cell r="DC389">
            <v>-7</v>
          </cell>
          <cell r="DD389">
            <v>-11</v>
          </cell>
          <cell r="DE389">
            <v>-8</v>
          </cell>
        </row>
        <row r="390">
          <cell r="CQ390" t="str">
            <v>Total</v>
          </cell>
          <cell r="CU390">
            <v>19</v>
          </cell>
          <cell r="CV390">
            <v>17</v>
          </cell>
          <cell r="CW390">
            <v>12</v>
          </cell>
          <cell r="CX390">
            <v>5</v>
          </cell>
          <cell r="CY390">
            <v>7</v>
          </cell>
          <cell r="DA390" t="str">
            <v>Adjustments</v>
          </cell>
          <cell r="DC390">
            <v>-3</v>
          </cell>
          <cell r="DD390">
            <v>4</v>
          </cell>
          <cell r="DE390">
            <v>1</v>
          </cell>
          <cell r="DG390" t="str">
            <v>Warranty Information</v>
          </cell>
          <cell r="EB390" t="str">
            <v>Warranty Information</v>
          </cell>
        </row>
        <row r="391">
          <cell r="CQ391" t="str">
            <v>sequential change (units)</v>
          </cell>
          <cell r="CV391">
            <v>-2</v>
          </cell>
          <cell r="CW391">
            <v>-5</v>
          </cell>
          <cell r="CX391">
            <v>-7</v>
          </cell>
          <cell r="CY391">
            <v>2</v>
          </cell>
          <cell r="DA391" t="str">
            <v>Beginning Liabilities</v>
          </cell>
          <cell r="DB391">
            <v>212</v>
          </cell>
          <cell r="DC391">
            <v>217</v>
          </cell>
          <cell r="DD391">
            <v>220</v>
          </cell>
          <cell r="DE391">
            <v>223</v>
          </cell>
          <cell r="DG391" t="str">
            <v>Expense</v>
          </cell>
          <cell r="DH391">
            <v>7</v>
          </cell>
          <cell r="DI391">
            <v>7</v>
          </cell>
          <cell r="DJ391">
            <v>8</v>
          </cell>
          <cell r="DK391">
            <v>11</v>
          </cell>
          <cell r="DL391">
            <v>20</v>
          </cell>
          <cell r="DM391">
            <v>22</v>
          </cell>
          <cell r="DN391">
            <v>11</v>
          </cell>
          <cell r="DO391">
            <v>17</v>
          </cell>
          <cell r="EB391" t="str">
            <v>Expense</v>
          </cell>
        </row>
        <row r="392">
          <cell r="DA392" t="str">
            <v>Ending Liabilties</v>
          </cell>
          <cell r="DB392">
            <v>217</v>
          </cell>
          <cell r="DC392">
            <v>220</v>
          </cell>
          <cell r="DD392">
            <v>223</v>
          </cell>
          <cell r="DE392">
            <v>230</v>
          </cell>
          <cell r="DG392" t="str">
            <v>Payments</v>
          </cell>
          <cell r="DH392">
            <v>-14</v>
          </cell>
          <cell r="DI392">
            <v>-8</v>
          </cell>
          <cell r="DJ392">
            <v>-8</v>
          </cell>
          <cell r="DK392">
            <v>-12</v>
          </cell>
          <cell r="DL392">
            <v>-12</v>
          </cell>
          <cell r="DM392">
            <v>-15</v>
          </cell>
          <cell r="DN392">
            <v>-13</v>
          </cell>
          <cell r="DO392">
            <v>-19</v>
          </cell>
          <cell r="EB392" t="str">
            <v>Payments</v>
          </cell>
        </row>
        <row r="393">
          <cell r="DG393" t="str">
            <v>Adjustments</v>
          </cell>
          <cell r="DH393">
            <v>-3</v>
          </cell>
          <cell r="DI393">
            <v>-2</v>
          </cell>
          <cell r="DJ393">
            <v>13</v>
          </cell>
          <cell r="DK393">
            <v>4</v>
          </cell>
          <cell r="DL393">
            <v>0</v>
          </cell>
          <cell r="DM393">
            <v>1</v>
          </cell>
          <cell r="DN393">
            <v>7</v>
          </cell>
          <cell r="DO393">
            <v>-2</v>
          </cell>
          <cell r="EB393" t="str">
            <v>Adjustments</v>
          </cell>
        </row>
        <row r="394">
          <cell r="CR394">
            <v>2002</v>
          </cell>
          <cell r="CV394" t="str">
            <v>2003A</v>
          </cell>
          <cell r="DA394" t="str">
            <v>Unsold Aircraft inventory</v>
          </cell>
          <cell r="DG394" t="str">
            <v>Beginning Liabilities</v>
          </cell>
          <cell r="DH394">
            <v>199</v>
          </cell>
          <cell r="DI394">
            <v>189</v>
          </cell>
          <cell r="DJ394">
            <v>186</v>
          </cell>
          <cell r="DK394">
            <v>199</v>
          </cell>
          <cell r="DL394">
            <v>202</v>
          </cell>
          <cell r="DM394">
            <v>210</v>
          </cell>
          <cell r="DN394">
            <v>218</v>
          </cell>
          <cell r="DO394">
            <v>223</v>
          </cell>
          <cell r="EB394" t="str">
            <v>Beginning Liabilities</v>
          </cell>
        </row>
        <row r="395">
          <cell r="CQ395" t="str">
            <v>Modelware Requirements</v>
          </cell>
          <cell r="CR395" t="str">
            <v>Q1</v>
          </cell>
          <cell r="CS395" t="str">
            <v>Q2</v>
          </cell>
          <cell r="CT395" t="str">
            <v>Q3</v>
          </cell>
          <cell r="CU395" t="str">
            <v>Q4</v>
          </cell>
          <cell r="CV395" t="str">
            <v xml:space="preserve">Q1 </v>
          </cell>
          <cell r="CW395" t="str">
            <v xml:space="preserve">Q2 </v>
          </cell>
          <cell r="CX395" t="str">
            <v xml:space="preserve">Q3 </v>
          </cell>
          <cell r="CY395" t="str">
            <v xml:space="preserve">Q4 </v>
          </cell>
          <cell r="DA395" t="str">
            <v>Large</v>
          </cell>
          <cell r="DG395" t="str">
            <v>Ending Liabilties</v>
          </cell>
          <cell r="DH395">
            <v>189</v>
          </cell>
          <cell r="DI395">
            <v>186</v>
          </cell>
          <cell r="DJ395">
            <v>199</v>
          </cell>
          <cell r="DK395">
            <v>202</v>
          </cell>
          <cell r="DL395">
            <v>210</v>
          </cell>
          <cell r="DM395">
            <v>218</v>
          </cell>
          <cell r="DN395">
            <v>223</v>
          </cell>
          <cell r="DO395">
            <v>219</v>
          </cell>
          <cell r="EB395" t="str">
            <v>Ending Liabilties</v>
          </cell>
        </row>
        <row r="396">
          <cell r="CV396" t="str">
            <v>2003-Q1</v>
          </cell>
          <cell r="CW396" t="str">
            <v>2003-Q2</v>
          </cell>
          <cell r="CX396" t="str">
            <v>2003-Q3</v>
          </cell>
          <cell r="CY396" t="str">
            <v>2003-Q4</v>
          </cell>
          <cell r="DA396" t="str">
            <v>Midsized</v>
          </cell>
        </row>
        <row r="397">
          <cell r="CQ397" t="str">
            <v>Tax Expense</v>
          </cell>
          <cell r="DA397" t="str">
            <v>Total</v>
          </cell>
          <cell r="DB397">
            <v>9</v>
          </cell>
          <cell r="DC397">
            <v>9</v>
          </cell>
          <cell r="DD397">
            <v>10</v>
          </cell>
          <cell r="DE397">
            <v>8</v>
          </cell>
          <cell r="DG397" t="str">
            <v>Unsold Aircraft inventory</v>
          </cell>
          <cell r="EB397" t="str">
            <v>Unsold Aircraft inventory</v>
          </cell>
        </row>
        <row r="398">
          <cell r="CQ398" t="str">
            <v>Non-recurring items (net of tax):</v>
          </cell>
          <cell r="DA398" t="str">
            <v>sequential change (units)</v>
          </cell>
          <cell r="DB398">
            <v>2</v>
          </cell>
          <cell r="DC398">
            <v>0</v>
          </cell>
          <cell r="DD398">
            <v>1</v>
          </cell>
          <cell r="DE398">
            <v>-2</v>
          </cell>
          <cell r="DG398" t="str">
            <v>Large</v>
          </cell>
          <cell r="EB398" t="str">
            <v>Large</v>
          </cell>
        </row>
        <row r="399">
          <cell r="CQ399" t="str">
            <v>Discontinued Operations</v>
          </cell>
          <cell r="DG399" t="str">
            <v>Midsized</v>
          </cell>
          <cell r="EB399" t="str">
            <v>Midsized</v>
          </cell>
        </row>
        <row r="400">
          <cell r="DG400" t="str">
            <v>Total</v>
          </cell>
          <cell r="DH400">
            <v>6</v>
          </cell>
          <cell r="EB400" t="str">
            <v>Total</v>
          </cell>
        </row>
        <row r="401">
          <cell r="CQ401" t="str">
            <v>Debt Analysis</v>
          </cell>
          <cell r="DB401">
            <v>2004</v>
          </cell>
          <cell r="DG401" t="str">
            <v>sequential change (units)</v>
          </cell>
          <cell r="DH401">
            <v>-2</v>
          </cell>
          <cell r="EB401" t="str">
            <v>sequential change (units)</v>
          </cell>
        </row>
        <row r="402">
          <cell r="CQ402" t="str">
            <v>Fixed-rate notes</v>
          </cell>
          <cell r="DA402" t="str">
            <v>Modelware Requirements</v>
          </cell>
          <cell r="DB402" t="str">
            <v xml:space="preserve">Q1 </v>
          </cell>
          <cell r="DC402" t="str">
            <v xml:space="preserve">Q2 </v>
          </cell>
          <cell r="DD402" t="str">
            <v xml:space="preserve">Q3 </v>
          </cell>
          <cell r="DE402" t="str">
            <v xml:space="preserve">Q4 </v>
          </cell>
        </row>
        <row r="403">
          <cell r="CQ403" t="str">
            <v>2.125% 2006 Note</v>
          </cell>
          <cell r="CW403">
            <v>500</v>
          </cell>
          <cell r="CX403">
            <v>500</v>
          </cell>
          <cell r="CY403">
            <v>500</v>
          </cell>
          <cell r="DB403" t="str">
            <v>2004-Q1</v>
          </cell>
          <cell r="DC403" t="str">
            <v>2004-Q2</v>
          </cell>
          <cell r="DD403" t="str">
            <v>2004-Q3</v>
          </cell>
          <cell r="DE403" t="str">
            <v>2004-Q4</v>
          </cell>
          <cell r="DG403" t="str">
            <v>Revenue % Annual Total</v>
          </cell>
          <cell r="EB403" t="str">
            <v>Revenue % Annual Total</v>
          </cell>
        </row>
        <row r="404">
          <cell r="CQ404" t="str">
            <v>3.0% 2008 Note</v>
          </cell>
          <cell r="CW404">
            <v>500</v>
          </cell>
          <cell r="CX404">
            <v>500</v>
          </cell>
          <cell r="CY404">
            <v>500</v>
          </cell>
          <cell r="DA404" t="str">
            <v>Tax Expense</v>
          </cell>
          <cell r="DG404" t="str">
            <v>Marine Systems</v>
          </cell>
          <cell r="DH404">
            <v>0.25772097976570818</v>
          </cell>
          <cell r="DI404">
            <v>0.2509052183173589</v>
          </cell>
          <cell r="DJ404">
            <v>0.24941427050053247</v>
          </cell>
          <cell r="DK404">
            <v>0.24195953141640042</v>
          </cell>
          <cell r="DL404">
            <v>0.25809716599190285</v>
          </cell>
          <cell r="DM404">
            <v>0.25627530364372469</v>
          </cell>
          <cell r="DN404">
            <v>0.247165991902834</v>
          </cell>
          <cell r="DO404">
            <v>0.23846153846153847</v>
          </cell>
          <cell r="EB404" t="str">
            <v>Marine Systems</v>
          </cell>
        </row>
        <row r="405">
          <cell r="CQ405" t="str">
            <v>4.25% 2013 Note</v>
          </cell>
          <cell r="CW405">
            <v>1000</v>
          </cell>
          <cell r="CX405">
            <v>1000</v>
          </cell>
          <cell r="CY405">
            <v>1000</v>
          </cell>
          <cell r="DA405" t="str">
            <v>Non-recurring items (net of tax):</v>
          </cell>
          <cell r="DG405" t="str">
            <v>Combat Systems</v>
          </cell>
          <cell r="DH405">
            <v>0.21051583349930292</v>
          </cell>
          <cell r="DI405">
            <v>0.22266480780720971</v>
          </cell>
          <cell r="DJ405">
            <v>0.24696275642302329</v>
          </cell>
          <cell r="DK405">
            <v>0.31985660227046403</v>
          </cell>
          <cell r="DL405">
            <v>0.22881497576466656</v>
          </cell>
          <cell r="DM405">
            <v>0.24135049306368042</v>
          </cell>
          <cell r="DN405">
            <v>0.22814641484205248</v>
          </cell>
          <cell r="DO405">
            <v>0.30168811632960052</v>
          </cell>
          <cell r="EB405" t="str">
            <v>Combat Systems</v>
          </cell>
        </row>
        <row r="406">
          <cell r="CQ406" t="str">
            <v>4.5% 2010 Note</v>
          </cell>
          <cell r="CW406">
            <v>0</v>
          </cell>
          <cell r="CX406">
            <v>700</v>
          </cell>
          <cell r="CY406">
            <v>700</v>
          </cell>
          <cell r="DA406" t="str">
            <v>Discontinued Operations</v>
          </cell>
          <cell r="DG406" t="str">
            <v>Info. Systems &amp; Tech.</v>
          </cell>
          <cell r="DH406">
            <v>0.22386915410171224</v>
          </cell>
          <cell r="DI406">
            <v>0.25721952466138515</v>
          </cell>
          <cell r="DJ406">
            <v>0.25364170713007922</v>
          </cell>
          <cell r="DK406">
            <v>0.26526961410682343</v>
          </cell>
          <cell r="DL406">
            <v>0.21863918439716312</v>
          </cell>
          <cell r="DM406">
            <v>0.23902925531914893</v>
          </cell>
          <cell r="DN406">
            <v>0.26551418439716312</v>
          </cell>
          <cell r="DO406">
            <v>0.27681737588652483</v>
          </cell>
          <cell r="EB406" t="str">
            <v>Info. Systems &amp; Tech.</v>
          </cell>
        </row>
        <row r="407">
          <cell r="CQ407" t="str">
            <v>5.375% 2015 Note</v>
          </cell>
          <cell r="CW407">
            <v>0</v>
          </cell>
          <cell r="CX407">
            <v>400</v>
          </cell>
          <cell r="CY407">
            <v>400</v>
          </cell>
          <cell r="DG407" t="str">
            <v>Aerospace</v>
          </cell>
          <cell r="DH407">
            <v>0.21934168365860762</v>
          </cell>
          <cell r="DI407">
            <v>0.2411884648995048</v>
          </cell>
          <cell r="DJ407">
            <v>0.26390911739003786</v>
          </cell>
          <cell r="DK407">
            <v>0.27556073405184972</v>
          </cell>
          <cell r="DL407">
            <v>0.22570456754130225</v>
          </cell>
          <cell r="DM407">
            <v>0.25923226433430513</v>
          </cell>
          <cell r="DN407">
            <v>0.26409135082604468</v>
          </cell>
          <cell r="DO407">
            <v>0.25097181729834789</v>
          </cell>
          <cell r="EB407" t="str">
            <v>Aerospace</v>
          </cell>
        </row>
        <row r="408">
          <cell r="CQ408" t="str">
            <v>total</v>
          </cell>
          <cell r="CR408">
            <v>0</v>
          </cell>
          <cell r="CS408">
            <v>0</v>
          </cell>
          <cell r="CT408">
            <v>0</v>
          </cell>
          <cell r="CU408">
            <v>0</v>
          </cell>
          <cell r="CV408">
            <v>0</v>
          </cell>
          <cell r="CW408">
            <v>2000</v>
          </cell>
          <cell r="CX408">
            <v>3100</v>
          </cell>
          <cell r="CY408">
            <v>3100</v>
          </cell>
          <cell r="DA408" t="str">
            <v>Debt Analysis</v>
          </cell>
          <cell r="DG408" t="str">
            <v>Resources</v>
          </cell>
          <cell r="DH408" t="str">
            <v>NM</v>
          </cell>
          <cell r="DI408" t="str">
            <v>NM</v>
          </cell>
          <cell r="DJ408" t="str">
            <v>NM</v>
          </cell>
          <cell r="DK408" t="str">
            <v>NM</v>
          </cell>
          <cell r="DL408" t="str">
            <v>NM</v>
          </cell>
          <cell r="DM408" t="str">
            <v>NM</v>
          </cell>
          <cell r="DN408" t="str">
            <v>NM</v>
          </cell>
          <cell r="DO408" t="str">
            <v>NM</v>
          </cell>
          <cell r="EB408" t="str">
            <v>Resources</v>
          </cell>
        </row>
        <row r="409">
          <cell r="CQ409" t="str">
            <v>Floating-rate notes (LiBOR +.22%)</v>
          </cell>
          <cell r="CR409">
            <v>500</v>
          </cell>
          <cell r="CS409">
            <v>500</v>
          </cell>
          <cell r="CT409">
            <v>500</v>
          </cell>
          <cell r="CU409">
            <v>500</v>
          </cell>
          <cell r="CV409">
            <v>500</v>
          </cell>
          <cell r="CW409">
            <v>500</v>
          </cell>
          <cell r="CX409">
            <v>500</v>
          </cell>
          <cell r="CY409">
            <v>500</v>
          </cell>
          <cell r="DA409" t="str">
            <v>Fixed-rate notes</v>
          </cell>
          <cell r="DG409" t="str">
            <v>Total</v>
          </cell>
          <cell r="DH409">
            <v>0.22750893921334922</v>
          </cell>
          <cell r="DI409">
            <v>0.24491060786650776</v>
          </cell>
          <cell r="DJ409">
            <v>0.25277711561382599</v>
          </cell>
          <cell r="DK409">
            <v>0.27480333730631706</v>
          </cell>
          <cell r="DL409">
            <v>0.23047832772306029</v>
          </cell>
          <cell r="DM409">
            <v>0.24660266799650915</v>
          </cell>
          <cell r="DN409">
            <v>0.2522129410297968</v>
          </cell>
          <cell r="DO409">
            <v>0.27070606325063373</v>
          </cell>
          <cell r="EB409" t="str">
            <v>Total</v>
          </cell>
        </row>
        <row r="410">
          <cell r="CQ410" t="str">
            <v>Commercial paper, net of unamortized discount</v>
          </cell>
          <cell r="CR410">
            <v>1240</v>
          </cell>
          <cell r="CS410">
            <v>1194</v>
          </cell>
          <cell r="CT410">
            <v>1276</v>
          </cell>
          <cell r="CU410">
            <v>714</v>
          </cell>
          <cell r="CV410">
            <v>2368</v>
          </cell>
          <cell r="CW410">
            <v>347</v>
          </cell>
          <cell r="CX410">
            <v>719</v>
          </cell>
          <cell r="CY410">
            <v>719</v>
          </cell>
          <cell r="DA410" t="str">
            <v>2.125% 2006 Note</v>
          </cell>
          <cell r="DB410">
            <v>500</v>
          </cell>
          <cell r="DC410">
            <v>500</v>
          </cell>
          <cell r="DD410">
            <v>500</v>
          </cell>
          <cell r="DE410">
            <v>499</v>
          </cell>
        </row>
        <row r="411">
          <cell r="CQ411" t="str">
            <v>Senior notes 2008 (6.32%, semi-annual payment)</v>
          </cell>
          <cell r="CR411">
            <v>150</v>
          </cell>
          <cell r="CS411">
            <v>150</v>
          </cell>
          <cell r="CT411">
            <v>150</v>
          </cell>
          <cell r="CU411">
            <v>150</v>
          </cell>
          <cell r="CV411">
            <v>150</v>
          </cell>
          <cell r="CW411">
            <v>150</v>
          </cell>
          <cell r="CX411">
            <v>150</v>
          </cell>
          <cell r="CY411">
            <v>150</v>
          </cell>
          <cell r="DA411" t="str">
            <v>3.0% 2008 Note</v>
          </cell>
          <cell r="DB411">
            <v>500</v>
          </cell>
          <cell r="DC411">
            <v>500</v>
          </cell>
          <cell r="DD411">
            <v>500</v>
          </cell>
          <cell r="DE411">
            <v>499</v>
          </cell>
          <cell r="DH411">
            <v>2005</v>
          </cell>
          <cell r="DL411">
            <v>2006</v>
          </cell>
        </row>
        <row r="412">
          <cell r="CQ412" t="str">
            <v>Term Debt</v>
          </cell>
          <cell r="CR412">
            <v>50</v>
          </cell>
          <cell r="CS412">
            <v>50</v>
          </cell>
          <cell r="CT412">
            <v>50</v>
          </cell>
          <cell r="CU412">
            <v>45</v>
          </cell>
          <cell r="CV412">
            <v>45</v>
          </cell>
          <cell r="CW412">
            <v>45</v>
          </cell>
          <cell r="CX412">
            <v>45</v>
          </cell>
          <cell r="CY412">
            <v>45</v>
          </cell>
          <cell r="DA412" t="str">
            <v>4.25% 2013 Note</v>
          </cell>
          <cell r="DB412">
            <v>1000</v>
          </cell>
          <cell r="DC412">
            <v>1000</v>
          </cell>
          <cell r="DD412">
            <v>1000</v>
          </cell>
          <cell r="DE412">
            <v>999</v>
          </cell>
          <cell r="DG412" t="str">
            <v>Modelware Requirements</v>
          </cell>
          <cell r="DH412" t="str">
            <v xml:space="preserve">Q1 </v>
          </cell>
          <cell r="DI412" t="str">
            <v xml:space="preserve">Q2 </v>
          </cell>
          <cell r="DJ412" t="str">
            <v xml:space="preserve">Q3 </v>
          </cell>
          <cell r="DK412" t="str">
            <v xml:space="preserve">Q4 </v>
          </cell>
          <cell r="DL412" t="str">
            <v xml:space="preserve">Q1 </v>
          </cell>
          <cell r="DM412" t="str">
            <v>Q2</v>
          </cell>
          <cell r="DN412" t="str">
            <v xml:space="preserve">Q3 </v>
          </cell>
          <cell r="DO412" t="str">
            <v xml:space="preserve">Q4 </v>
          </cell>
          <cell r="EB412" t="str">
            <v>Modelware Requirements</v>
          </cell>
          <cell r="EC412">
            <v>1994</v>
          </cell>
          <cell r="ED412">
            <v>1995</v>
          </cell>
          <cell r="EE412">
            <v>1996</v>
          </cell>
          <cell r="EF412">
            <v>1997</v>
          </cell>
          <cell r="EG412" t="str">
            <v>1998</v>
          </cell>
          <cell r="EH412">
            <v>1999</v>
          </cell>
        </row>
        <row r="413">
          <cell r="CQ413" t="str">
            <v>Other</v>
          </cell>
          <cell r="CR413">
            <v>61</v>
          </cell>
          <cell r="CS413">
            <v>54</v>
          </cell>
          <cell r="CT413">
            <v>45</v>
          </cell>
          <cell r="CU413">
            <v>62</v>
          </cell>
          <cell r="CV413">
            <v>37</v>
          </cell>
          <cell r="CW413">
            <v>46</v>
          </cell>
          <cell r="CX413">
            <v>36</v>
          </cell>
          <cell r="CY413">
            <v>36</v>
          </cell>
          <cell r="DA413" t="str">
            <v>4.5% 2010 Note</v>
          </cell>
          <cell r="DB413">
            <v>700</v>
          </cell>
          <cell r="DC413">
            <v>700</v>
          </cell>
          <cell r="DD413">
            <v>700</v>
          </cell>
          <cell r="DE413">
            <v>698</v>
          </cell>
          <cell r="DH413" t="str">
            <v>2005-Q1</v>
          </cell>
          <cell r="DI413" t="str">
            <v>2005-Q2</v>
          </cell>
          <cell r="DJ413" t="str">
            <v>2005-Q3</v>
          </cell>
          <cell r="DK413" t="str">
            <v>2005-Q4</v>
          </cell>
          <cell r="DL413" t="str">
            <v>2006-Q1</v>
          </cell>
          <cell r="DM413" t="str">
            <v>2006-Q2</v>
          </cell>
          <cell r="DN413" t="str">
            <v>2006-Q3</v>
          </cell>
          <cell r="DO413" t="str">
            <v>2006-Q4</v>
          </cell>
        </row>
        <row r="414">
          <cell r="CQ414" t="str">
            <v>Total Debt</v>
          </cell>
          <cell r="CR414">
            <v>2001</v>
          </cell>
          <cell r="CS414">
            <v>1948</v>
          </cell>
          <cell r="CT414">
            <v>2021</v>
          </cell>
          <cell r="CU414">
            <v>1471</v>
          </cell>
          <cell r="CV414">
            <v>3100</v>
          </cell>
          <cell r="CW414">
            <v>3088</v>
          </cell>
          <cell r="CX414">
            <v>4550</v>
          </cell>
          <cell r="CY414">
            <v>4550</v>
          </cell>
          <cell r="DA414" t="str">
            <v>5.375% 2015 Note</v>
          </cell>
          <cell r="DB414">
            <v>400</v>
          </cell>
          <cell r="DC414">
            <v>400</v>
          </cell>
          <cell r="DD414">
            <v>400</v>
          </cell>
          <cell r="DE414">
            <v>400</v>
          </cell>
          <cell r="DG414" t="str">
            <v>Tax Expense</v>
          </cell>
          <cell r="EB414" t="str">
            <v>Tax Expense</v>
          </cell>
          <cell r="EC414">
            <v>-120.04999999999998</v>
          </cell>
          <cell r="ED414">
            <v>-127.7045</v>
          </cell>
          <cell r="EE414">
            <v>-139.06000000000006</v>
          </cell>
          <cell r="EF414">
            <v>-135.52500000000009</v>
          </cell>
          <cell r="EG414">
            <v>-270.53919999999999</v>
          </cell>
          <cell r="EH414">
            <v>-410.99</v>
          </cell>
        </row>
        <row r="415">
          <cell r="CQ415" t="str">
            <v>Less current portion</v>
          </cell>
          <cell r="CR415">
            <v>1292</v>
          </cell>
          <cell r="CS415">
            <v>1223</v>
          </cell>
          <cell r="CT415">
            <v>1293</v>
          </cell>
          <cell r="CU415">
            <v>750</v>
          </cell>
          <cell r="CV415">
            <v>2380</v>
          </cell>
          <cell r="CW415">
            <v>364</v>
          </cell>
          <cell r="CX415">
            <v>1234</v>
          </cell>
          <cell r="CY415">
            <v>1234</v>
          </cell>
          <cell r="DA415" t="str">
            <v>total</v>
          </cell>
          <cell r="DB415">
            <v>3100</v>
          </cell>
          <cell r="DC415">
            <v>3094</v>
          </cell>
          <cell r="DD415">
            <v>3095</v>
          </cell>
          <cell r="DE415">
            <v>3095</v>
          </cell>
          <cell r="DG415" t="str">
            <v>Non-recurring items (net of tax):</v>
          </cell>
          <cell r="EB415" t="str">
            <v>Non-recurring items (net of tax):</v>
          </cell>
        </row>
        <row r="416">
          <cell r="CQ416" t="str">
            <v>Long-Term Debt</v>
          </cell>
          <cell r="CR416">
            <v>709</v>
          </cell>
          <cell r="CS416">
            <v>725</v>
          </cell>
          <cell r="CT416">
            <v>728</v>
          </cell>
          <cell r="CU416">
            <v>721</v>
          </cell>
          <cell r="CV416">
            <v>720</v>
          </cell>
          <cell r="CW416">
            <v>2724</v>
          </cell>
          <cell r="CX416">
            <v>3316</v>
          </cell>
          <cell r="CY416">
            <v>3316</v>
          </cell>
          <cell r="DA416" t="str">
            <v>Floating-rate notes (LiBOR +.22%)</v>
          </cell>
          <cell r="DB416">
            <v>500</v>
          </cell>
          <cell r="DC416">
            <v>500</v>
          </cell>
          <cell r="DD416">
            <v>0</v>
          </cell>
          <cell r="DE416">
            <v>0</v>
          </cell>
          <cell r="DG416" t="str">
            <v>Discontinued Operations</v>
          </cell>
          <cell r="EB416" t="str">
            <v>Discontinued Operations</v>
          </cell>
          <cell r="EH416">
            <v>165.7</v>
          </cell>
        </row>
        <row r="417">
          <cell r="DA417" t="str">
            <v>Commercial paper, net of unamortized discount</v>
          </cell>
          <cell r="DB417">
            <v>0</v>
          </cell>
          <cell r="DC417">
            <v>0</v>
          </cell>
          <cell r="DD417">
            <v>371</v>
          </cell>
          <cell r="DE417">
            <v>0</v>
          </cell>
        </row>
        <row r="418">
          <cell r="CQ418" t="str">
            <v>Mean Interest Rate for Interest Expense</v>
          </cell>
          <cell r="DA418" t="str">
            <v>Senior notes 2008 (6.32%, semi-annual payment)</v>
          </cell>
          <cell r="DB418">
            <v>150</v>
          </cell>
          <cell r="DC418">
            <v>150</v>
          </cell>
          <cell r="DD418">
            <v>150</v>
          </cell>
          <cell r="DE418">
            <v>150</v>
          </cell>
          <cell r="DG418" t="str">
            <v>Debt Analysis</v>
          </cell>
          <cell r="EB418" t="str">
            <v>Debt Analysis</v>
          </cell>
        </row>
        <row r="419">
          <cell r="CQ419" t="str">
            <v>Interest Expense</v>
          </cell>
          <cell r="CR419">
            <v>-15</v>
          </cell>
          <cell r="CS419">
            <v>-14</v>
          </cell>
          <cell r="CT419">
            <v>-16</v>
          </cell>
          <cell r="CU419">
            <v>-13</v>
          </cell>
          <cell r="CV419">
            <v>-13</v>
          </cell>
          <cell r="CW419">
            <v>-22</v>
          </cell>
          <cell r="CX419">
            <v>-32</v>
          </cell>
          <cell r="CY419">
            <v>-42</v>
          </cell>
          <cell r="DA419" t="str">
            <v>Term Debt</v>
          </cell>
          <cell r="DB419">
            <v>40</v>
          </cell>
          <cell r="DC419">
            <v>40</v>
          </cell>
          <cell r="DD419">
            <v>40</v>
          </cell>
          <cell r="DE419">
            <v>35</v>
          </cell>
          <cell r="DG419" t="str">
            <v>Fixed-rate notes</v>
          </cell>
          <cell r="EB419" t="str">
            <v>Fixed-rate notes</v>
          </cell>
        </row>
        <row r="420">
          <cell r="CQ420" t="str">
            <v>Mean Interest Rate for Interest Income</v>
          </cell>
          <cell r="DA420" t="str">
            <v>Other</v>
          </cell>
          <cell r="DB420">
            <v>74</v>
          </cell>
          <cell r="DC420">
            <v>32</v>
          </cell>
          <cell r="DD420">
            <v>31</v>
          </cell>
          <cell r="DE420">
            <v>17</v>
          </cell>
          <cell r="DG420" t="str">
            <v>2.125% 2006 Note</v>
          </cell>
          <cell r="DH420">
            <v>500</v>
          </cell>
          <cell r="DI420">
            <v>500</v>
          </cell>
          <cell r="DJ420">
            <v>500</v>
          </cell>
          <cell r="DK420">
            <v>500</v>
          </cell>
          <cell r="DL420">
            <v>500</v>
          </cell>
          <cell r="DM420">
            <v>0</v>
          </cell>
          <cell r="DN420">
            <v>0</v>
          </cell>
          <cell r="DO420">
            <v>0</v>
          </cell>
          <cell r="EB420" t="str">
            <v>2.125% 2006 Note</v>
          </cell>
        </row>
        <row r="421">
          <cell r="CQ421" t="str">
            <v>Interest Income</v>
          </cell>
          <cell r="CR421">
            <v>3</v>
          </cell>
          <cell r="CS421">
            <v>3</v>
          </cell>
          <cell r="CT421">
            <v>5</v>
          </cell>
          <cell r="CU421">
            <v>2</v>
          </cell>
          <cell r="CV421">
            <v>2</v>
          </cell>
          <cell r="CW421">
            <v>3</v>
          </cell>
          <cell r="CX421">
            <v>3</v>
          </cell>
          <cell r="CY421">
            <v>3</v>
          </cell>
          <cell r="DA421" t="str">
            <v>Issuance of New Debt</v>
          </cell>
          <cell r="DB421">
            <v>0</v>
          </cell>
          <cell r="DC421">
            <v>0</v>
          </cell>
          <cell r="DD421">
            <v>0</v>
          </cell>
          <cell r="DE421">
            <v>0</v>
          </cell>
          <cell r="DG421" t="str">
            <v>3.0% 2008 Note</v>
          </cell>
          <cell r="DH421">
            <v>499</v>
          </cell>
          <cell r="DI421">
            <v>500</v>
          </cell>
          <cell r="DJ421">
            <v>500</v>
          </cell>
          <cell r="DK421">
            <v>499</v>
          </cell>
          <cell r="DL421">
            <v>499</v>
          </cell>
          <cell r="DM421">
            <v>499</v>
          </cell>
          <cell r="DN421">
            <v>499</v>
          </cell>
          <cell r="DO421">
            <v>499</v>
          </cell>
          <cell r="EB421" t="str">
            <v>3.0% 2008 Note</v>
          </cell>
        </row>
        <row r="422">
          <cell r="CQ422" t="str">
            <v>Interest Expense, net</v>
          </cell>
          <cell r="CR422">
            <v>-12</v>
          </cell>
          <cell r="CS422">
            <v>-11</v>
          </cell>
          <cell r="CT422">
            <v>-11</v>
          </cell>
          <cell r="CU422">
            <v>-11</v>
          </cell>
          <cell r="CV422">
            <v>-11</v>
          </cell>
          <cell r="CW422">
            <v>-19</v>
          </cell>
          <cell r="CX422">
            <v>-29</v>
          </cell>
          <cell r="CY422">
            <v>-39</v>
          </cell>
          <cell r="DA422" t="str">
            <v>Total Debt</v>
          </cell>
          <cell r="DB422">
            <v>3864</v>
          </cell>
          <cell r="DC422">
            <v>3816</v>
          </cell>
          <cell r="DD422">
            <v>3687</v>
          </cell>
          <cell r="DE422">
            <v>3297</v>
          </cell>
          <cell r="DG422" t="str">
            <v>4.5% 2010 Note</v>
          </cell>
          <cell r="DH422">
            <v>698</v>
          </cell>
          <cell r="DI422">
            <v>700</v>
          </cell>
          <cell r="DJ422">
            <v>700</v>
          </cell>
          <cell r="DK422">
            <v>698</v>
          </cell>
          <cell r="DL422">
            <v>698</v>
          </cell>
          <cell r="DM422">
            <v>698</v>
          </cell>
          <cell r="DN422">
            <v>698</v>
          </cell>
          <cell r="DO422">
            <v>699</v>
          </cell>
          <cell r="EB422" t="str">
            <v>4.5% 2010 Note</v>
          </cell>
        </row>
        <row r="423">
          <cell r="DA423" t="str">
            <v>Less current portion</v>
          </cell>
          <cell r="DB423">
            <v>561</v>
          </cell>
          <cell r="DC423">
            <v>519</v>
          </cell>
          <cell r="DD423">
            <v>391</v>
          </cell>
          <cell r="DE423">
            <v>6</v>
          </cell>
          <cell r="DG423" t="str">
            <v>4.25% 2013 Note</v>
          </cell>
          <cell r="DH423">
            <v>999</v>
          </cell>
          <cell r="DI423">
            <v>1000</v>
          </cell>
          <cell r="DJ423">
            <v>1000</v>
          </cell>
          <cell r="DK423">
            <v>999</v>
          </cell>
          <cell r="DL423">
            <v>999</v>
          </cell>
          <cell r="DM423">
            <v>999</v>
          </cell>
          <cell r="DN423">
            <v>999</v>
          </cell>
          <cell r="DO423">
            <v>999</v>
          </cell>
          <cell r="EB423" t="str">
            <v>4.25% 2013 Note</v>
          </cell>
        </row>
        <row r="424">
          <cell r="CQ424" t="str">
            <v>Goodwill Analysis</v>
          </cell>
          <cell r="DA424" t="str">
            <v>Long-Term Debt</v>
          </cell>
          <cell r="DB424">
            <v>3303</v>
          </cell>
          <cell r="DC424">
            <v>3297</v>
          </cell>
          <cell r="DD424">
            <v>3296</v>
          </cell>
          <cell r="DE424">
            <v>3291</v>
          </cell>
          <cell r="DG424" t="str">
            <v>5.375% 2015 Note</v>
          </cell>
          <cell r="DH424">
            <v>395</v>
          </cell>
          <cell r="DI424">
            <v>395</v>
          </cell>
          <cell r="DJ424">
            <v>396</v>
          </cell>
          <cell r="DK424">
            <v>400</v>
          </cell>
          <cell r="DL424">
            <v>400</v>
          </cell>
          <cell r="DM424">
            <v>400</v>
          </cell>
          <cell r="DN424">
            <v>400</v>
          </cell>
          <cell r="DO424">
            <v>400</v>
          </cell>
          <cell r="EB424" t="str">
            <v>5.375% 2015 Note</v>
          </cell>
        </row>
        <row r="425">
          <cell r="CQ425" t="str">
            <v>Goodwill Amort</v>
          </cell>
          <cell r="DA425" t="str">
            <v>check</v>
          </cell>
          <cell r="DG425" t="str">
            <v>total</v>
          </cell>
          <cell r="DH425">
            <v>3091</v>
          </cell>
          <cell r="DI425">
            <v>3095</v>
          </cell>
          <cell r="DJ425">
            <v>3096</v>
          </cell>
          <cell r="DK425">
            <v>3096</v>
          </cell>
          <cell r="DL425">
            <v>3096</v>
          </cell>
          <cell r="DM425">
            <v>2596</v>
          </cell>
          <cell r="DN425">
            <v>2596</v>
          </cell>
          <cell r="DO425">
            <v>2597</v>
          </cell>
          <cell r="EB425" t="str">
            <v>total</v>
          </cell>
        </row>
        <row r="426">
          <cell r="CQ426" t="str">
            <v>Accumulated Goodwill Amort</v>
          </cell>
          <cell r="DG426" t="str">
            <v>Floating-rate notes (LiBOR +.22%)</v>
          </cell>
          <cell r="DH426">
            <v>0</v>
          </cell>
          <cell r="DI426">
            <v>0</v>
          </cell>
          <cell r="DJ426">
            <v>0</v>
          </cell>
          <cell r="DK426">
            <v>0</v>
          </cell>
          <cell r="DL426">
            <v>0</v>
          </cell>
          <cell r="DM426">
            <v>0</v>
          </cell>
          <cell r="DN426">
            <v>0</v>
          </cell>
          <cell r="DO426">
            <v>0</v>
          </cell>
          <cell r="EB426" t="str">
            <v>Floating-rate notes (LiBOR +.22%)</v>
          </cell>
        </row>
        <row r="427">
          <cell r="CQ427" t="str">
            <v>Unrecorded Goodwill from Poolings</v>
          </cell>
          <cell r="DA427" t="str">
            <v>Mean Interest Rate for Interest Expense</v>
          </cell>
          <cell r="DG427" t="str">
            <v>Commercial paper, net of unamortized discount</v>
          </cell>
          <cell r="DH427">
            <v>0</v>
          </cell>
          <cell r="DI427">
            <v>0</v>
          </cell>
          <cell r="DJ427">
            <v>0</v>
          </cell>
          <cell r="DK427">
            <v>0</v>
          </cell>
          <cell r="DL427">
            <v>0</v>
          </cell>
          <cell r="DM427">
            <v>864</v>
          </cell>
          <cell r="DN427">
            <v>322</v>
          </cell>
          <cell r="DO427">
            <v>0</v>
          </cell>
          <cell r="EB427" t="str">
            <v>Commercial paper, net of unamortized discount</v>
          </cell>
          <cell r="EH427">
            <v>852</v>
          </cell>
        </row>
        <row r="428">
          <cell r="CQ428" t="str">
            <v>Unrecorded Goodwill from Poolings, Writeoffs &amp; Accum Amort.</v>
          </cell>
          <cell r="DA428" t="str">
            <v>Interest Expense</v>
          </cell>
          <cell r="DB428">
            <v>-40</v>
          </cell>
          <cell r="DC428">
            <v>-41</v>
          </cell>
          <cell r="DD428">
            <v>-33</v>
          </cell>
          <cell r="DE428">
            <v>-43</v>
          </cell>
          <cell r="DG428" t="str">
            <v>Senior notes 2008 (6.32%, semi-annual payment)</v>
          </cell>
          <cell r="DH428">
            <v>150</v>
          </cell>
          <cell r="DI428">
            <v>150</v>
          </cell>
          <cell r="DJ428">
            <v>150</v>
          </cell>
          <cell r="DK428">
            <v>150</v>
          </cell>
          <cell r="DL428">
            <v>150</v>
          </cell>
          <cell r="DM428">
            <v>150</v>
          </cell>
          <cell r="DN428">
            <v>150</v>
          </cell>
          <cell r="DO428">
            <v>150</v>
          </cell>
          <cell r="EB428" t="str">
            <v>Senior notes 2008 (6.32%, semi-annual payment)</v>
          </cell>
          <cell r="EH428">
            <v>149</v>
          </cell>
        </row>
        <row r="429">
          <cell r="CQ429" t="str">
            <v>Common Dividends, Accrual</v>
          </cell>
          <cell r="DA429" t="str">
            <v>Mean Interest Rate for Interest Income</v>
          </cell>
          <cell r="DG429" t="str">
            <v>Term Debt</v>
          </cell>
          <cell r="DH429">
            <v>35</v>
          </cell>
          <cell r="DI429">
            <v>35</v>
          </cell>
          <cell r="DJ429">
            <v>35</v>
          </cell>
          <cell r="DK429">
            <v>30</v>
          </cell>
          <cell r="DL429">
            <v>30</v>
          </cell>
          <cell r="DM429">
            <v>30</v>
          </cell>
          <cell r="DN429">
            <v>30</v>
          </cell>
          <cell r="DO429">
            <v>25</v>
          </cell>
          <cell r="EB429" t="str">
            <v>Term Debt</v>
          </cell>
        </row>
        <row r="430">
          <cell r="DA430" t="str">
            <v>Interest Income</v>
          </cell>
          <cell r="DB430">
            <v>1</v>
          </cell>
          <cell r="DC430">
            <v>2</v>
          </cell>
          <cell r="DD430">
            <v>6</v>
          </cell>
          <cell r="DE430">
            <v>0</v>
          </cell>
          <cell r="DG430" t="str">
            <v>Other</v>
          </cell>
          <cell r="DH430">
            <v>11</v>
          </cell>
          <cell r="DI430">
            <v>18</v>
          </cell>
          <cell r="DJ430">
            <v>16</v>
          </cell>
          <cell r="DK430">
            <v>11</v>
          </cell>
          <cell r="DL430">
            <v>9</v>
          </cell>
          <cell r="DM430">
            <v>9</v>
          </cell>
          <cell r="DN430">
            <v>9</v>
          </cell>
          <cell r="DO430">
            <v>9</v>
          </cell>
          <cell r="EB430" t="str">
            <v>Other</v>
          </cell>
          <cell r="EH430">
            <v>21</v>
          </cell>
        </row>
        <row r="431">
          <cell r="CQ431" t="str">
            <v>Tax Analysis</v>
          </cell>
          <cell r="DA431" t="str">
            <v>Interest Expense, net</v>
          </cell>
          <cell r="DB431">
            <v>-39</v>
          </cell>
          <cell r="DC431">
            <v>-39</v>
          </cell>
          <cell r="DD431">
            <v>-27</v>
          </cell>
          <cell r="DE431">
            <v>-43</v>
          </cell>
          <cell r="DG431" t="str">
            <v>Issuance of New Debt</v>
          </cell>
          <cell r="DH431">
            <v>0</v>
          </cell>
          <cell r="DI431">
            <v>0</v>
          </cell>
          <cell r="DJ431">
            <v>0</v>
          </cell>
          <cell r="DK431">
            <v>0</v>
          </cell>
          <cell r="DL431">
            <v>0</v>
          </cell>
          <cell r="DM431">
            <v>0</v>
          </cell>
          <cell r="DN431">
            <v>0</v>
          </cell>
          <cell r="DO431">
            <v>0</v>
          </cell>
          <cell r="EB431" t="str">
            <v>Issuance of New Debt</v>
          </cell>
        </row>
        <row r="432">
          <cell r="CQ432" t="str">
            <v>Federal Statuatory Tax Rate</v>
          </cell>
          <cell r="DG432" t="str">
            <v>Total Debt</v>
          </cell>
          <cell r="DH432">
            <v>3287</v>
          </cell>
          <cell r="DI432">
            <v>3298</v>
          </cell>
          <cell r="DJ432">
            <v>3297</v>
          </cell>
          <cell r="DK432">
            <v>3287</v>
          </cell>
          <cell r="DL432">
            <v>3285</v>
          </cell>
          <cell r="DM432">
            <v>3649</v>
          </cell>
          <cell r="DN432">
            <v>3107</v>
          </cell>
          <cell r="DO432">
            <v>2781</v>
          </cell>
          <cell r="EB432" t="str">
            <v>Total Debt</v>
          </cell>
          <cell r="EC432">
            <v>0</v>
          </cell>
          <cell r="ED432">
            <v>0</v>
          </cell>
          <cell r="EE432">
            <v>0</v>
          </cell>
          <cell r="EF432">
            <v>0</v>
          </cell>
          <cell r="EG432">
            <v>0</v>
          </cell>
          <cell r="EH432">
            <v>1022</v>
          </cell>
        </row>
        <row r="433">
          <cell r="CQ433" t="str">
            <v>State Tax Adjustment</v>
          </cell>
          <cell r="DA433" t="str">
            <v>Goodwill Analysis</v>
          </cell>
          <cell r="DG433" t="str">
            <v>Less current portion</v>
          </cell>
          <cell r="DH433">
            <v>7</v>
          </cell>
          <cell r="DI433">
            <v>507</v>
          </cell>
          <cell r="DJ433">
            <v>507</v>
          </cell>
          <cell r="DK433">
            <v>509</v>
          </cell>
          <cell r="DL433">
            <v>507</v>
          </cell>
          <cell r="DM433">
            <v>871</v>
          </cell>
          <cell r="DN433">
            <v>329</v>
          </cell>
          <cell r="DO433">
            <v>7</v>
          </cell>
          <cell r="EB433" t="str">
            <v>Less current portion</v>
          </cell>
          <cell r="EH433">
            <v>853</v>
          </cell>
        </row>
        <row r="434">
          <cell r="CQ434" t="str">
            <v>ForeignTax Adjustment</v>
          </cell>
          <cell r="DA434" t="str">
            <v>Goodwill Amort</v>
          </cell>
          <cell r="DG434" t="str">
            <v>Long-Term Debt</v>
          </cell>
          <cell r="DH434">
            <v>3280</v>
          </cell>
          <cell r="DI434">
            <v>2791</v>
          </cell>
          <cell r="DJ434">
            <v>2790</v>
          </cell>
          <cell r="DK434">
            <v>2778</v>
          </cell>
          <cell r="DL434">
            <v>2778</v>
          </cell>
          <cell r="DM434">
            <v>2778</v>
          </cell>
          <cell r="DN434">
            <v>2778</v>
          </cell>
          <cell r="DO434">
            <v>2774</v>
          </cell>
          <cell r="EB434" t="str">
            <v>Long-Term Debt</v>
          </cell>
          <cell r="EH434">
            <v>169</v>
          </cell>
        </row>
        <row r="435">
          <cell r="CQ435" t="str">
            <v>Adjusted Statutory Tax Rate</v>
          </cell>
          <cell r="DA435" t="str">
            <v>Accumulated Goodwill Amort</v>
          </cell>
          <cell r="DG435" t="str">
            <v>check</v>
          </cell>
          <cell r="EB435" t="str">
            <v>check</v>
          </cell>
        </row>
        <row r="436">
          <cell r="DA436" t="str">
            <v>Unrecorded Goodwill from Poolings</v>
          </cell>
        </row>
        <row r="437">
          <cell r="CQ437" t="str">
            <v>Share Analysis</v>
          </cell>
          <cell r="DA437" t="str">
            <v>Unrecorded Goodwill from Poolings, Writeoffs &amp; Accum Amort.</v>
          </cell>
          <cell r="DG437" t="str">
            <v>Mean Interest Rate for Interest Expense</v>
          </cell>
          <cell r="EB437" t="str">
            <v>Mean Interest Rate for Interest Expense</v>
          </cell>
        </row>
        <row r="438">
          <cell r="CQ438" t="str">
            <v>Period End Basic Shares</v>
          </cell>
          <cell r="DA438" t="str">
            <v>Common Dividends, Accrual</v>
          </cell>
          <cell r="DG438" t="str">
            <v>Interest Expense</v>
          </cell>
          <cell r="DH438">
            <v>-38</v>
          </cell>
          <cell r="DI438">
            <v>-38</v>
          </cell>
          <cell r="DJ438">
            <v>-37</v>
          </cell>
          <cell r="DK438">
            <v>-41</v>
          </cell>
          <cell r="DL438">
            <v>-35</v>
          </cell>
          <cell r="DM438">
            <v>-41</v>
          </cell>
          <cell r="DN438">
            <v>-42</v>
          </cell>
          <cell r="DO438">
            <v>-38</v>
          </cell>
          <cell r="EB438" t="str">
            <v>Interest Expense</v>
          </cell>
          <cell r="EG438">
            <v>-40</v>
          </cell>
          <cell r="EH438">
            <v>-53</v>
          </cell>
        </row>
        <row r="439">
          <cell r="CQ439" t="str">
            <v>Average Basic Shares</v>
          </cell>
          <cell r="DG439" t="str">
            <v>Mean Interest Rate for Interest Income</v>
          </cell>
          <cell r="EB439" t="str">
            <v>Mean Interest Rate for Interest Income</v>
          </cell>
        </row>
        <row r="440">
          <cell r="CQ440" t="str">
            <v>Average Diluted Shares</v>
          </cell>
          <cell r="CV440">
            <v>199.7</v>
          </cell>
          <cell r="CW440">
            <v>198.6</v>
          </cell>
          <cell r="CX440">
            <v>199.02199999999999</v>
          </cell>
          <cell r="CY440">
            <v>199.553584</v>
          </cell>
          <cell r="DA440" t="str">
            <v>Tax Analysis</v>
          </cell>
          <cell r="DG440" t="str">
            <v>Interest Income</v>
          </cell>
          <cell r="DH440">
            <v>4</v>
          </cell>
          <cell r="DI440">
            <v>9</v>
          </cell>
          <cell r="DJ440">
            <v>7</v>
          </cell>
          <cell r="DK440">
            <v>16</v>
          </cell>
          <cell r="DL440">
            <v>18</v>
          </cell>
          <cell r="DM440">
            <v>18</v>
          </cell>
          <cell r="DN440">
            <v>8</v>
          </cell>
          <cell r="DO440">
            <v>11</v>
          </cell>
          <cell r="EB440" t="str">
            <v>Interest Income</v>
          </cell>
          <cell r="EG440">
            <v>23</v>
          </cell>
          <cell r="EH440">
            <v>19</v>
          </cell>
        </row>
        <row r="441">
          <cell r="CQ441" t="str">
            <v>Diluted/Basic Ratio</v>
          </cell>
          <cell r="DA441" t="str">
            <v>Federal Statuatory Tax Rate</v>
          </cell>
          <cell r="DG441" t="str">
            <v>Interest Expense, net</v>
          </cell>
          <cell r="DH441">
            <v>-34</v>
          </cell>
          <cell r="DI441">
            <v>-29</v>
          </cell>
          <cell r="DJ441">
            <v>-30</v>
          </cell>
          <cell r="DK441">
            <v>-25</v>
          </cell>
          <cell r="DL441">
            <v>-17</v>
          </cell>
          <cell r="DM441">
            <v>-23</v>
          </cell>
          <cell r="DN441">
            <v>-34</v>
          </cell>
          <cell r="DO441">
            <v>-27</v>
          </cell>
          <cell r="EB441" t="str">
            <v>Interest Expense, net</v>
          </cell>
          <cell r="EG441">
            <v>-17</v>
          </cell>
          <cell r="EH441">
            <v>-34</v>
          </cell>
        </row>
        <row r="442">
          <cell r="CQ442" t="str">
            <v>Share Repurchases</v>
          </cell>
          <cell r="DA442" t="str">
            <v>State Tax Adjustment</v>
          </cell>
        </row>
        <row r="443">
          <cell r="CQ443" t="str">
            <v>Number of Shares Repurchased</v>
          </cell>
          <cell r="DA443" t="str">
            <v>ForeignTax Adjustment</v>
          </cell>
          <cell r="DG443" t="str">
            <v>Goodwill Analysis</v>
          </cell>
          <cell r="EB443" t="str">
            <v>Goodwill Analysis</v>
          </cell>
        </row>
        <row r="444">
          <cell r="CQ444" t="str">
            <v>Total Cost</v>
          </cell>
          <cell r="DA444" t="str">
            <v>Adjusted Statutory Tax Rate</v>
          </cell>
          <cell r="DG444" t="str">
            <v>Goodwill Amort</v>
          </cell>
          <cell r="EB444" t="str">
            <v>Goodwill Amort</v>
          </cell>
          <cell r="EG444">
            <v>36</v>
          </cell>
          <cell r="EH444">
            <v>51</v>
          </cell>
        </row>
        <row r="445">
          <cell r="CQ445" t="str">
            <v>Average Share Price</v>
          </cell>
          <cell r="DG445" t="str">
            <v>Accumulated Goodwill Amort</v>
          </cell>
          <cell r="EB445" t="str">
            <v>Accumulated Goodwill Amort</v>
          </cell>
          <cell r="EG445">
            <v>44</v>
          </cell>
          <cell r="EH445">
            <v>80</v>
          </cell>
        </row>
        <row r="446">
          <cell r="CQ446" t="str">
            <v>Share Price Growth</v>
          </cell>
          <cell r="DA446" t="str">
            <v>Share Analysis</v>
          </cell>
          <cell r="DG446" t="str">
            <v>Unrecorded Goodwill from Poolings</v>
          </cell>
          <cell r="EB446" t="str">
            <v>Unrecorded Goodwill from Poolings</v>
          </cell>
          <cell r="EH446">
            <v>4557.1081038499997</v>
          </cell>
        </row>
        <row r="447">
          <cell r="CQ447" t="str">
            <v>Authorization Remaining (shares)</v>
          </cell>
          <cell r="CY447">
            <v>4.5068000000000001</v>
          </cell>
          <cell r="DA447" t="str">
            <v>Period End Basic Shares</v>
          </cell>
          <cell r="DD447">
            <v>400.32330999999999</v>
          </cell>
          <cell r="DE447">
            <v>402.066306</v>
          </cell>
          <cell r="DG447" t="str">
            <v>Unrecorded Goodwill from Poolings, Writeoffs &amp; Accum Amort.</v>
          </cell>
          <cell r="EB447" t="str">
            <v>Unrecorded Goodwill from Poolings, Writeoffs &amp; Accum Amort.</v>
          </cell>
          <cell r="EG447">
            <v>44</v>
          </cell>
          <cell r="EH447">
            <v>4637.1081038499997</v>
          </cell>
        </row>
        <row r="448">
          <cell r="CQ448" t="str">
            <v>Share Grants</v>
          </cell>
          <cell r="DA448" t="str">
            <v>Average Basic Shares</v>
          </cell>
          <cell r="DD448">
            <v>399.92846400000002</v>
          </cell>
          <cell r="DE448">
            <v>401.29614400000003</v>
          </cell>
          <cell r="DG448" t="str">
            <v>Common Dividends, Accrual</v>
          </cell>
          <cell r="EB448" t="str">
            <v>Common Dividends, Accrual</v>
          </cell>
          <cell r="EH448">
            <v>-156</v>
          </cell>
        </row>
        <row r="449">
          <cell r="CQ449" t="str">
            <v>Options Outstanding</v>
          </cell>
          <cell r="DA449" t="str">
            <v>Average Diluted Shares</v>
          </cell>
          <cell r="DB449">
            <v>400.60636399999999</v>
          </cell>
          <cell r="DC449">
            <v>402</v>
          </cell>
          <cell r="DD449">
            <v>403.70463599999999</v>
          </cell>
          <cell r="DE449">
            <v>405.15540199999998</v>
          </cell>
        </row>
        <row r="450">
          <cell r="CQ450" t="str">
            <v>Options Exercised</v>
          </cell>
          <cell r="DA450" t="str">
            <v>Diluted/Basic Ratio</v>
          </cell>
          <cell r="DG450" t="str">
            <v>Tax Analysis</v>
          </cell>
          <cell r="EB450" t="str">
            <v>Tax Analysis</v>
          </cell>
        </row>
        <row r="451">
          <cell r="CQ451" t="str">
            <v>Options Exercisable</v>
          </cell>
          <cell r="DA451" t="str">
            <v>Share Repurchases</v>
          </cell>
          <cell r="DG451" t="str">
            <v>Federal Statuatory Tax Rate</v>
          </cell>
          <cell r="EB451" t="str">
            <v>Federal Statuatory Tax Rate</v>
          </cell>
          <cell r="EC451">
            <v>0.35</v>
          </cell>
          <cell r="ED451">
            <v>0.35</v>
          </cell>
          <cell r="EE451">
            <v>0.35</v>
          </cell>
          <cell r="EF451">
            <v>0.35</v>
          </cell>
          <cell r="EG451">
            <v>0.35</v>
          </cell>
          <cell r="EH451">
            <v>0.35</v>
          </cell>
        </row>
        <row r="452">
          <cell r="CQ452" t="str">
            <v>Weighted Average Price</v>
          </cell>
          <cell r="DA452" t="str">
            <v>Number of Shares Repurchased</v>
          </cell>
          <cell r="DB452">
            <v>0</v>
          </cell>
          <cell r="DC452">
            <v>0</v>
          </cell>
          <cell r="DD452">
            <v>0</v>
          </cell>
          <cell r="DE452">
            <v>0</v>
          </cell>
          <cell r="DG452" t="str">
            <v>State Tax Adjustment</v>
          </cell>
          <cell r="EB452" t="str">
            <v>State Tax Adjustment</v>
          </cell>
          <cell r="EH452">
            <v>8.9999999999999993E-3</v>
          </cell>
        </row>
        <row r="453">
          <cell r="CQ453" t="str">
            <v>% Exercisable Options Exercised</v>
          </cell>
          <cell r="DA453" t="str">
            <v>Total Cost</v>
          </cell>
          <cell r="DB453">
            <v>0</v>
          </cell>
          <cell r="DC453">
            <v>0</v>
          </cell>
          <cell r="DD453">
            <v>0</v>
          </cell>
          <cell r="DE453">
            <v>0</v>
          </cell>
          <cell r="DG453" t="str">
            <v>ForeignTax Adjustment</v>
          </cell>
          <cell r="EB453" t="str">
            <v>ForeignTax Adjustment</v>
          </cell>
          <cell r="EH453">
            <v>0</v>
          </cell>
        </row>
        <row r="454">
          <cell r="CQ454" t="str">
            <v>Restricted Stock Awards</v>
          </cell>
          <cell r="DA454" t="str">
            <v>Average Share Price</v>
          </cell>
          <cell r="DG454" t="str">
            <v>Adjusted Statutory Tax Rate</v>
          </cell>
          <cell r="EB454" t="str">
            <v>Adjusted Statutory Tax Rate</v>
          </cell>
          <cell r="EH454">
            <v>0.35899999999999999</v>
          </cell>
        </row>
        <row r="455">
          <cell r="CQ455" t="str">
            <v>Average Price Restricted Stock</v>
          </cell>
          <cell r="DA455" t="str">
            <v>Share Price Growth</v>
          </cell>
        </row>
        <row r="456">
          <cell r="CQ456" t="str">
            <v>Shares Issued</v>
          </cell>
          <cell r="DA456" t="str">
            <v>Authorization Remaining (shares)</v>
          </cell>
          <cell r="DB456">
            <v>9.0136000000000003</v>
          </cell>
          <cell r="DC456">
            <v>9.0136000000000003</v>
          </cell>
          <cell r="DD456">
            <v>9.0136000000000003</v>
          </cell>
          <cell r="DE456">
            <v>9.0136000000000003</v>
          </cell>
          <cell r="DG456" t="str">
            <v>Share Analysis</v>
          </cell>
          <cell r="EB456" t="str">
            <v>Share Analysis</v>
          </cell>
        </row>
        <row r="457">
          <cell r="CQ457" t="str">
            <v>Number of Shares Issued</v>
          </cell>
          <cell r="DA457" t="str">
            <v>Share Grants</v>
          </cell>
          <cell r="DG457" t="str">
            <v>Period End Basic Shares</v>
          </cell>
          <cell r="DJ457">
            <v>402.49944799999997</v>
          </cell>
          <cell r="DK457">
            <v>400.36305399999998</v>
          </cell>
          <cell r="DL457">
            <v>403.34005500000001</v>
          </cell>
          <cell r="DM457">
            <v>403.16262799999998</v>
          </cell>
          <cell r="DN457">
            <v>404.430136</v>
          </cell>
          <cell r="DO457">
            <v>405.792438</v>
          </cell>
          <cell r="EB457" t="str">
            <v>Period End Basic Shares</v>
          </cell>
          <cell r="EF457">
            <v>400.6</v>
          </cell>
          <cell r="EG457">
            <v>398.6</v>
          </cell>
          <cell r="EH457">
            <v>402</v>
          </cell>
        </row>
        <row r="458">
          <cell r="CQ458" t="str">
            <v>Weighted Average Price</v>
          </cell>
          <cell r="DA458" t="str">
            <v>Options Outstanding</v>
          </cell>
          <cell r="DG458" t="str">
            <v>Average Basic Shares</v>
          </cell>
          <cell r="DH458">
            <v>401.11500000000001</v>
          </cell>
          <cell r="DI458">
            <v>401.416</v>
          </cell>
          <cell r="DJ458">
            <v>402.12028199999997</v>
          </cell>
          <cell r="DK458">
            <v>401.89684199999999</v>
          </cell>
          <cell r="DL458">
            <v>401.46899999999999</v>
          </cell>
          <cell r="DM458">
            <v>403.51799999999997</v>
          </cell>
          <cell r="DN458">
            <v>403.72302400000001</v>
          </cell>
          <cell r="DO458">
            <v>404.98395699999998</v>
          </cell>
          <cell r="EB458" t="str">
            <v>Average Basic Shares</v>
          </cell>
          <cell r="EF458">
            <v>399.6</v>
          </cell>
          <cell r="EG458">
            <v>399</v>
          </cell>
          <cell r="EH458">
            <v>399.99599999999998</v>
          </cell>
        </row>
        <row r="459">
          <cell r="CQ459" t="str">
            <v>Proceeds from Exercises</v>
          </cell>
          <cell r="DA459" t="str">
            <v>Options Exercised</v>
          </cell>
          <cell r="DG459" t="str">
            <v>Average Diluted Shares</v>
          </cell>
          <cell r="DH459">
            <v>404.04754800000001</v>
          </cell>
          <cell r="DI459">
            <v>404.39757400000002</v>
          </cell>
          <cell r="DJ459">
            <v>405.60674599999999</v>
          </cell>
          <cell r="DK459">
            <v>405.30242199999998</v>
          </cell>
          <cell r="DL459">
            <v>404.5</v>
          </cell>
          <cell r="DM459">
            <v>406.95760899999999</v>
          </cell>
          <cell r="DN459">
            <v>407.177077</v>
          </cell>
          <cell r="DO459">
            <v>408.66932600000001</v>
          </cell>
          <cell r="EB459" t="str">
            <v>Average Diluted Shares</v>
          </cell>
          <cell r="EC459">
            <v>253.6</v>
          </cell>
          <cell r="ED459">
            <v>252</v>
          </cell>
          <cell r="EE459">
            <v>254</v>
          </cell>
          <cell r="EF459">
            <v>409.4</v>
          </cell>
          <cell r="EG459">
            <v>404.4</v>
          </cell>
          <cell r="EH459">
            <v>404.2</v>
          </cell>
        </row>
        <row r="460">
          <cell r="CQ460" t="str">
            <v>Tax benefit from employee stock plans</v>
          </cell>
          <cell r="DA460" t="str">
            <v>Options Exercisable</v>
          </cell>
          <cell r="DG460" t="str">
            <v>Diluted/Basic Ratio</v>
          </cell>
          <cell r="DL460">
            <v>1.0075497734569792</v>
          </cell>
          <cell r="DM460">
            <v>1.008524053449908</v>
          </cell>
          <cell r="DN460">
            <v>1.0085555016550158</v>
          </cell>
          <cell r="DO460">
            <v>1.009100037017022</v>
          </cell>
          <cell r="EB460" t="str">
            <v>Diluted/Basic Ratio</v>
          </cell>
          <cell r="EF460">
            <v>1.0245245245245245</v>
          </cell>
          <cell r="EG460">
            <v>1.0135338345864662</v>
          </cell>
          <cell r="EH460">
            <v>1.010510105101051</v>
          </cell>
        </row>
        <row r="461">
          <cell r="CQ461" t="str">
            <v>Net Expenditures for Share Issuances</v>
          </cell>
          <cell r="DA461" t="str">
            <v>Weighted Average Price</v>
          </cell>
          <cell r="DG461" t="str">
            <v>Share Repurchases</v>
          </cell>
          <cell r="EB461" t="str">
            <v>Share Repurchases</v>
          </cell>
        </row>
        <row r="462">
          <cell r="CQ462" t="str">
            <v>Net Issuances (Repurchases)</v>
          </cell>
          <cell r="DA462" t="str">
            <v>% Exercisable Options Exercised</v>
          </cell>
          <cell r="DG462" t="str">
            <v>Number of Shares Repurchased</v>
          </cell>
          <cell r="DH462">
            <v>2.0044</v>
          </cell>
          <cell r="DI462">
            <v>1.9144000000000001</v>
          </cell>
          <cell r="DJ462">
            <v>0</v>
          </cell>
          <cell r="DK462">
            <v>2.74</v>
          </cell>
          <cell r="DL462">
            <v>0.14560000000000001</v>
          </cell>
          <cell r="DM462">
            <v>1.0481</v>
          </cell>
          <cell r="DN462">
            <v>0</v>
          </cell>
          <cell r="DO462">
            <v>0</v>
          </cell>
          <cell r="EB462" t="str">
            <v>Number of Shares Repurchased</v>
          </cell>
          <cell r="EH462">
            <v>2.6</v>
          </cell>
        </row>
        <row r="463">
          <cell r="CQ463" t="str">
            <v>Net Expenditures for Issuances/(Repurchases)</v>
          </cell>
          <cell r="DA463" t="str">
            <v>Restricted Stock Awards</v>
          </cell>
          <cell r="DG463" t="str">
            <v>Total Cost</v>
          </cell>
          <cell r="DH463">
            <v>99.979472000000001</v>
          </cell>
          <cell r="DI463">
            <v>99.997820000000004</v>
          </cell>
          <cell r="DJ463">
            <v>0</v>
          </cell>
          <cell r="DK463">
            <v>158</v>
          </cell>
          <cell r="DL463">
            <v>8.3297760000000007</v>
          </cell>
          <cell r="DM463">
            <v>66.483643999999998</v>
          </cell>
          <cell r="DN463">
            <v>0</v>
          </cell>
          <cell r="DO463">
            <v>0</v>
          </cell>
          <cell r="EB463" t="str">
            <v>Total Cost</v>
          </cell>
          <cell r="EH463">
            <v>58</v>
          </cell>
        </row>
        <row r="464">
          <cell r="DA464" t="str">
            <v>Average Price Restricted Stock</v>
          </cell>
          <cell r="DG464" t="str">
            <v>Average Share Price</v>
          </cell>
          <cell r="DH464">
            <v>49.88</v>
          </cell>
          <cell r="DI464">
            <v>52.234548683660677</v>
          </cell>
          <cell r="DJ464">
            <v>0</v>
          </cell>
          <cell r="DK464">
            <v>57.664233576642332</v>
          </cell>
          <cell r="DL464">
            <v>57.21</v>
          </cell>
          <cell r="DM464">
            <v>63.432538879877868</v>
          </cell>
          <cell r="DN464" t="str">
            <v>NA</v>
          </cell>
          <cell r="DO464" t="str">
            <v>NA</v>
          </cell>
          <cell r="EB464" t="str">
            <v>Average Share Price</v>
          </cell>
          <cell r="EH464">
            <v>22.307692307692307</v>
          </cell>
        </row>
        <row r="465">
          <cell r="CQ465" t="str">
            <v>Fixed Asset Analysis</v>
          </cell>
          <cell r="DA465" t="str">
            <v>Shares Issued</v>
          </cell>
          <cell r="DG465" t="str">
            <v>Share Price Growth</v>
          </cell>
          <cell r="EB465" t="str">
            <v>Share Price Growth</v>
          </cell>
        </row>
        <row r="466">
          <cell r="CQ466" t="str">
            <v>Gross PP&amp;E - beginning of period</v>
          </cell>
          <cell r="DA466" t="str">
            <v>Number of Shares Issued</v>
          </cell>
          <cell r="DG466" t="str">
            <v>Authorization Remaining (shares)</v>
          </cell>
          <cell r="DH466">
            <v>7.0091999999999999</v>
          </cell>
          <cell r="DI466">
            <v>5.0947999999999993</v>
          </cell>
          <cell r="DJ466">
            <v>5.0947999999999993</v>
          </cell>
          <cell r="DK466">
            <v>2.3547999999999991</v>
          </cell>
          <cell r="DL466">
            <v>2.2082000000000002</v>
          </cell>
          <cell r="DM466">
            <v>10</v>
          </cell>
          <cell r="DN466">
            <v>10</v>
          </cell>
          <cell r="DO466">
            <v>10</v>
          </cell>
          <cell r="EB466" t="str">
            <v>Authorization Remaining (shares)</v>
          </cell>
        </row>
        <row r="467">
          <cell r="CQ467" t="str">
            <v xml:space="preserve">   Additions - Capital spending</v>
          </cell>
          <cell r="DA467" t="str">
            <v>Weighted Average Price</v>
          </cell>
          <cell r="DG467" t="str">
            <v>Share Grants</v>
          </cell>
          <cell r="EB467" t="str">
            <v>Share Grants</v>
          </cell>
        </row>
        <row r="468">
          <cell r="CQ468" t="str">
            <v xml:space="preserve">   Additions - Acquisitions</v>
          </cell>
          <cell r="DA468" t="str">
            <v>Proceeds from Exercises</v>
          </cell>
          <cell r="DG468" t="str">
            <v>Options Outstanding</v>
          </cell>
          <cell r="EB468" t="str">
            <v>Options Outstanding</v>
          </cell>
          <cell r="EH468">
            <v>15.005762000000001</v>
          </cell>
        </row>
        <row r="469">
          <cell r="CQ469" t="str">
            <v xml:space="preserve">   Asset Retirements/Other</v>
          </cell>
          <cell r="DA469" t="str">
            <v>Tax benefit from employee stock plans</v>
          </cell>
          <cell r="DG469" t="str">
            <v>Options Exercised</v>
          </cell>
          <cell r="EB469" t="str">
            <v>Options Exercised</v>
          </cell>
          <cell r="EH469">
            <v>5.2441620000000002</v>
          </cell>
        </row>
        <row r="470">
          <cell r="CQ470" t="str">
            <v>Gross PP&amp;E - end of period</v>
          </cell>
          <cell r="DA470" t="str">
            <v>Net Expenditures for Share Issuances</v>
          </cell>
          <cell r="DG470" t="str">
            <v>Options Exercisable</v>
          </cell>
          <cell r="EB470" t="str">
            <v>Options Exercisable</v>
          </cell>
          <cell r="EH470">
            <v>10.838024000000001</v>
          </cell>
        </row>
        <row r="471">
          <cell r="DA471" t="str">
            <v>Net Issuances (Repurchases)</v>
          </cell>
          <cell r="DG471" t="str">
            <v>Weighted Average Price</v>
          </cell>
          <cell r="EB471" t="str">
            <v>Weighted Average Price</v>
          </cell>
          <cell r="EH471">
            <v>10.32</v>
          </cell>
        </row>
        <row r="472">
          <cell r="CQ472" t="str">
            <v>Accumulated Depreciation - beginning of period</v>
          </cell>
          <cell r="DA472" t="str">
            <v>Net Expenditures for Issuances/(Repurchases)</v>
          </cell>
          <cell r="DG472" t="str">
            <v>% Exercisable Options Exercised</v>
          </cell>
          <cell r="EB472" t="str">
            <v>% Exercisable Options Exercised</v>
          </cell>
        </row>
        <row r="473">
          <cell r="CQ473" t="str">
            <v xml:space="preserve">   Depreciation </v>
          </cell>
          <cell r="DG473" t="str">
            <v>Restricted Stock Awards</v>
          </cell>
          <cell r="EB473" t="str">
            <v>Restricted Stock Awards</v>
          </cell>
          <cell r="EH473">
            <v>1.0813219999999999</v>
          </cell>
        </row>
        <row r="474">
          <cell r="CQ474" t="str">
            <v xml:space="preserve">   Asset Retirements/Other</v>
          </cell>
          <cell r="DA474" t="str">
            <v>Fixed Asset Analysis</v>
          </cell>
          <cell r="DG474" t="str">
            <v>Average Price Restricted Stock</v>
          </cell>
          <cell r="EB474" t="str">
            <v>Average Price Restricted Stock</v>
          </cell>
          <cell r="EH474">
            <v>30.074999999999999</v>
          </cell>
        </row>
        <row r="475">
          <cell r="CQ475" t="str">
            <v>Accumulated Depreciation - end of period</v>
          </cell>
          <cell r="DA475" t="str">
            <v>Gross PP&amp;E - beginning of period</v>
          </cell>
          <cell r="DG475" t="str">
            <v>Shares Issued</v>
          </cell>
          <cell r="EB475" t="str">
            <v>Shares Issued</v>
          </cell>
        </row>
        <row r="476">
          <cell r="DA476" t="str">
            <v xml:space="preserve">   Additions - Capital spending</v>
          </cell>
          <cell r="DG476" t="str">
            <v>Number of Shares Issued</v>
          </cell>
          <cell r="EB476" t="str">
            <v>Number of Shares Issued</v>
          </cell>
          <cell r="EH476">
            <v>6.3254840000000003</v>
          </cell>
        </row>
        <row r="477">
          <cell r="CQ477" t="str">
            <v>Net Plant, Property &amp; Equipment</v>
          </cell>
          <cell r="DA477" t="str">
            <v xml:space="preserve">   Additions - Acquisitions</v>
          </cell>
          <cell r="DG477" t="str">
            <v>Weighted Average Price</v>
          </cell>
          <cell r="EB477" t="str">
            <v>Weighted Average Price</v>
          </cell>
        </row>
        <row r="478">
          <cell r="CQ478" t="str">
            <v>check from B/S</v>
          </cell>
          <cell r="DA478" t="str">
            <v xml:space="preserve">   Asset Retirements/Other</v>
          </cell>
          <cell r="DG478" t="str">
            <v>Proceeds from Exercises</v>
          </cell>
          <cell r="EB478" t="str">
            <v>Proceeds from Exercises</v>
          </cell>
          <cell r="EH478">
            <v>95</v>
          </cell>
        </row>
        <row r="479">
          <cell r="CQ479" t="str">
            <v>Implied/assumed depreciable life of PP&amp;E</v>
          </cell>
          <cell r="DA479" t="str">
            <v>Gross PP&amp;E - end of period</v>
          </cell>
        </row>
        <row r="480">
          <cell r="DG480" t="str">
            <v>Net Issuances (Repurchases)</v>
          </cell>
          <cell r="EB480" t="str">
            <v>Net Issuances (Repurchases)</v>
          </cell>
          <cell r="EH480">
            <v>3.7254840000000002</v>
          </cell>
        </row>
        <row r="481">
          <cell r="CQ481" t="str">
            <v>Capital Expenditures (Capex)</v>
          </cell>
          <cell r="DA481" t="str">
            <v>Accumulated Depreciation - beginning of period</v>
          </cell>
          <cell r="DG481" t="str">
            <v>Net Expenditures for Issuances/(Repurchases)</v>
          </cell>
          <cell r="EB481" t="str">
            <v>Net Expenditures for Issuances/(Repurchases)</v>
          </cell>
          <cell r="EH481">
            <v>37</v>
          </cell>
        </row>
        <row r="482">
          <cell r="CQ482" t="str">
            <v>Assumed avg. historical growth in Capex</v>
          </cell>
          <cell r="DA482" t="str">
            <v xml:space="preserve">   Depreciation </v>
          </cell>
        </row>
        <row r="483">
          <cell r="CQ483" t="str">
            <v>Capex/Depreciation</v>
          </cell>
          <cell r="DA483" t="str">
            <v xml:space="preserve">   Asset Retirements/Other</v>
          </cell>
          <cell r="DG483" t="str">
            <v>Fixed Asset Analysis</v>
          </cell>
          <cell r="EB483" t="str">
            <v>Fixed Asset Analysis</v>
          </cell>
        </row>
        <row r="484">
          <cell r="DA484" t="str">
            <v>Accumulated Depreciation - end of period</v>
          </cell>
          <cell r="DG484" t="str">
            <v>Gross PP&amp;E - beginning of period</v>
          </cell>
          <cell r="EB484" t="str">
            <v>Gross PP&amp;E - beginning of period</v>
          </cell>
        </row>
        <row r="485">
          <cell r="DG485" t="str">
            <v xml:space="preserve">   Additions - Capital spending</v>
          </cell>
          <cell r="EB485" t="str">
            <v xml:space="preserve">   Additions - Capital spending</v>
          </cell>
          <cell r="EH485">
            <v>197</v>
          </cell>
        </row>
        <row r="486">
          <cell r="DA486" t="str">
            <v>Net Plant, Property &amp; Equipment</v>
          </cell>
          <cell r="DG486" t="str">
            <v xml:space="preserve">   Additions - Acquisitions</v>
          </cell>
          <cell r="EB486" t="str">
            <v xml:space="preserve">   Additions - Acquisitions</v>
          </cell>
        </row>
        <row r="487">
          <cell r="DA487" t="str">
            <v>check from B/S</v>
          </cell>
          <cell r="DG487" t="str">
            <v xml:space="preserve">   Asset Retirements/Other</v>
          </cell>
          <cell r="EB487" t="str">
            <v xml:space="preserve">   Asset Retirements/Other</v>
          </cell>
        </row>
        <row r="488">
          <cell r="DA488" t="str">
            <v>Implied/assumed depreciable life of PP&amp;E</v>
          </cell>
          <cell r="DG488" t="str">
            <v>Gross PP&amp;E - end of period</v>
          </cell>
          <cell r="EB488" t="str">
            <v>Gross PP&amp;E - end of period</v>
          </cell>
          <cell r="EH488">
            <v>2388</v>
          </cell>
        </row>
        <row r="490">
          <cell r="DA490" t="str">
            <v>Amortization of Intangible Assets</v>
          </cell>
          <cell r="DG490" t="str">
            <v>Accumulated Depreciation - beginning of period</v>
          </cell>
          <cell r="EB490" t="str">
            <v>Accumulated Depreciation - beginning of period</v>
          </cell>
        </row>
        <row r="491">
          <cell r="DG491" t="str">
            <v xml:space="preserve">   Depreciation </v>
          </cell>
          <cell r="EB491" t="str">
            <v xml:space="preserve">   Depreciation </v>
          </cell>
          <cell r="EH491">
            <v>129</v>
          </cell>
        </row>
        <row r="492">
          <cell r="DG492" t="str">
            <v xml:space="preserve">   Asset Retirements/Other</v>
          </cell>
          <cell r="EB492" t="str">
            <v xml:space="preserve">   Asset Retirements/Other</v>
          </cell>
        </row>
        <row r="493">
          <cell r="DG493" t="str">
            <v>Accumulated Depreciation - end of period</v>
          </cell>
          <cell r="EB493" t="str">
            <v>Accumulated Depreciation - end of period</v>
          </cell>
          <cell r="EH493">
            <v>1219</v>
          </cell>
        </row>
        <row r="495">
          <cell r="DG495" t="str">
            <v>Net Plant, Property &amp; Equipment</v>
          </cell>
          <cell r="EB495" t="str">
            <v>Net Plant, Property &amp; Equipment</v>
          </cell>
          <cell r="EH495">
            <v>1169</v>
          </cell>
        </row>
        <row r="496">
          <cell r="DG496" t="str">
            <v>check from B/S</v>
          </cell>
          <cell r="EB496" t="str">
            <v>check from B/S</v>
          </cell>
          <cell r="EH496">
            <v>0</v>
          </cell>
        </row>
        <row r="497">
          <cell r="DG497" t="str">
            <v>Implied/assumed depreciable life of PP&amp;E</v>
          </cell>
          <cell r="EB497" t="str">
            <v>Implied/assumed depreciable life of PP&amp;E</v>
          </cell>
        </row>
        <row r="499">
          <cell r="DG499" t="str">
            <v>Amortization of Intangible Assets</v>
          </cell>
          <cell r="EB499" t="str">
            <v>Amortization of Intangible Assets</v>
          </cell>
        </row>
        <row r="500">
          <cell r="DL500">
            <v>0.92459826946847945</v>
          </cell>
          <cell r="DM500">
            <v>1.5628163374628046</v>
          </cell>
          <cell r="DN500">
            <v>1.0756990624990415</v>
          </cell>
          <cell r="DO500">
            <v>0.99828725226327375</v>
          </cell>
        </row>
        <row r="502">
          <cell r="DL502">
            <v>0.92459826946847945</v>
          </cell>
          <cell r="DM502">
            <v>1.5628163374628046</v>
          </cell>
          <cell r="DN502">
            <v>1.0756990624990415</v>
          </cell>
          <cell r="DO502">
            <v>0.99828725226327375</v>
          </cell>
        </row>
        <row r="503">
          <cell r="DL503">
            <v>0.95673671199011112</v>
          </cell>
          <cell r="DM503">
            <v>1.0320485247395879</v>
          </cell>
          <cell r="DN503">
            <v>1.0806109303643339</v>
          </cell>
          <cell r="DO503">
            <v>1.1328602887203327</v>
          </cell>
        </row>
      </sheetData>
      <sheetData sheetId="16">
        <row r="1">
          <cell r="E1" t="str">
            <v>last updated 9/04</v>
          </cell>
        </row>
        <row r="3">
          <cell r="A3" t="str">
            <v>Resources P&amp;L ($MM)</v>
          </cell>
        </row>
        <row r="5">
          <cell r="A5" t="str">
            <v>Sales ($USD Millions)</v>
          </cell>
          <cell r="B5">
            <v>1996</v>
          </cell>
          <cell r="C5">
            <v>1997</v>
          </cell>
          <cell r="D5">
            <v>1998</v>
          </cell>
          <cell r="E5">
            <v>1999</v>
          </cell>
          <cell r="F5">
            <v>2000</v>
          </cell>
          <cell r="G5">
            <v>2001</v>
          </cell>
          <cell r="H5">
            <v>2002</v>
          </cell>
          <cell r="I5" t="str">
            <v>2003A</v>
          </cell>
          <cell r="J5" t="str">
            <v>2004E</v>
          </cell>
          <cell r="K5" t="str">
            <v>2005E</v>
          </cell>
          <cell r="L5" t="str">
            <v>2006E</v>
          </cell>
          <cell r="M5" t="str">
            <v>2007E</v>
          </cell>
          <cell r="N5" t="str">
            <v>2008E</v>
          </cell>
        </row>
        <row r="6">
          <cell r="A6" t="str">
            <v>Aggregates</v>
          </cell>
          <cell r="B6">
            <v>87</v>
          </cell>
          <cell r="C6">
            <v>110</v>
          </cell>
          <cell r="D6">
            <v>123</v>
          </cell>
          <cell r="E6">
            <v>125</v>
          </cell>
          <cell r="F6">
            <v>126</v>
          </cell>
          <cell r="G6">
            <v>130</v>
          </cell>
          <cell r="H6">
            <v>140</v>
          </cell>
          <cell r="I6">
            <v>130</v>
          </cell>
          <cell r="J6">
            <v>129</v>
          </cell>
          <cell r="K6">
            <v>129</v>
          </cell>
          <cell r="L6">
            <v>129</v>
          </cell>
          <cell r="M6">
            <v>129</v>
          </cell>
          <cell r="N6">
            <v>129</v>
          </cell>
        </row>
        <row r="7">
          <cell r="A7" t="str">
            <v>Coal Mining</v>
          </cell>
          <cell r="B7">
            <v>111</v>
          </cell>
          <cell r="C7">
            <v>107</v>
          </cell>
          <cell r="D7">
            <v>88</v>
          </cell>
          <cell r="E7">
            <v>100</v>
          </cell>
          <cell r="F7">
            <v>106</v>
          </cell>
          <cell r="G7">
            <v>125</v>
          </cell>
          <cell r="H7">
            <v>125</v>
          </cell>
          <cell r="I7">
            <v>110</v>
          </cell>
          <cell r="J7">
            <v>125</v>
          </cell>
          <cell r="K7">
            <v>125</v>
          </cell>
          <cell r="L7">
            <v>125</v>
          </cell>
          <cell r="M7">
            <v>126</v>
          </cell>
          <cell r="N7">
            <v>125</v>
          </cell>
        </row>
        <row r="8">
          <cell r="A8" t="str">
            <v>Other (Patriots Financing)</v>
          </cell>
          <cell r="B8">
            <v>25</v>
          </cell>
          <cell r="C8">
            <v>25</v>
          </cell>
          <cell r="D8">
            <v>25</v>
          </cell>
          <cell r="E8">
            <v>25</v>
          </cell>
          <cell r="F8">
            <v>21</v>
          </cell>
          <cell r="G8">
            <v>21</v>
          </cell>
          <cell r="H8">
            <v>21</v>
          </cell>
          <cell r="I8">
            <v>16</v>
          </cell>
          <cell r="J8">
            <v>21</v>
          </cell>
          <cell r="K8">
            <v>21</v>
          </cell>
          <cell r="L8">
            <v>21</v>
          </cell>
          <cell r="M8">
            <v>21</v>
          </cell>
          <cell r="N8">
            <v>21</v>
          </cell>
        </row>
        <row r="9">
          <cell r="A9" t="str">
            <v>Total</v>
          </cell>
          <cell r="B9">
            <v>223</v>
          </cell>
          <cell r="C9">
            <v>242</v>
          </cell>
          <cell r="D9">
            <v>236</v>
          </cell>
          <cell r="E9">
            <v>250</v>
          </cell>
          <cell r="F9">
            <v>253</v>
          </cell>
          <cell r="G9">
            <v>276</v>
          </cell>
          <cell r="H9">
            <v>286</v>
          </cell>
          <cell r="I9">
            <v>256</v>
          </cell>
          <cell r="J9">
            <v>275</v>
          </cell>
          <cell r="K9">
            <v>275</v>
          </cell>
          <cell r="L9">
            <v>275</v>
          </cell>
          <cell r="M9">
            <v>276</v>
          </cell>
          <cell r="N9">
            <v>275</v>
          </cell>
        </row>
        <row r="10">
          <cell r="A10" t="str">
            <v>Cushion</v>
          </cell>
          <cell r="I10">
            <v>0</v>
          </cell>
          <cell r="J10">
            <v>-274</v>
          </cell>
          <cell r="K10">
            <v>-275</v>
          </cell>
          <cell r="L10">
            <v>-275</v>
          </cell>
          <cell r="M10">
            <v>-276</v>
          </cell>
          <cell r="N10">
            <v>-275</v>
          </cell>
        </row>
        <row r="11">
          <cell r="A11" t="str">
            <v>vs. Main</v>
          </cell>
          <cell r="B11">
            <v>223</v>
          </cell>
          <cell r="C11">
            <v>242</v>
          </cell>
          <cell r="D11">
            <v>236</v>
          </cell>
          <cell r="E11">
            <v>250</v>
          </cell>
          <cell r="F11">
            <v>253</v>
          </cell>
          <cell r="G11">
            <v>276</v>
          </cell>
          <cell r="H11">
            <v>286</v>
          </cell>
          <cell r="I11">
            <v>256</v>
          </cell>
          <cell r="J11">
            <v>1</v>
          </cell>
          <cell r="K11">
            <v>0</v>
          </cell>
          <cell r="L11">
            <v>0</v>
          </cell>
          <cell r="M11">
            <v>0</v>
          </cell>
          <cell r="N11">
            <v>0</v>
          </cell>
        </row>
        <row r="12">
          <cell r="A12" t="str">
            <v>Op Pr</v>
          </cell>
        </row>
        <row r="13">
          <cell r="A13" t="str">
            <v>Aggregates</v>
          </cell>
          <cell r="B13">
            <v>5</v>
          </cell>
          <cell r="C13">
            <v>5</v>
          </cell>
          <cell r="D13">
            <v>13</v>
          </cell>
          <cell r="E13">
            <v>12</v>
          </cell>
          <cell r="F13">
            <v>10</v>
          </cell>
          <cell r="G13">
            <v>15</v>
          </cell>
          <cell r="H13">
            <v>20</v>
          </cell>
          <cell r="I13">
            <v>10</v>
          </cell>
          <cell r="J13">
            <v>5</v>
          </cell>
          <cell r="K13">
            <v>10</v>
          </cell>
          <cell r="L13">
            <v>10</v>
          </cell>
          <cell r="M13">
            <v>10</v>
          </cell>
          <cell r="N13">
            <v>10</v>
          </cell>
        </row>
        <row r="14">
          <cell r="A14" t="str">
            <v>Coal Mining</v>
          </cell>
          <cell r="B14">
            <v>-10</v>
          </cell>
          <cell r="C14">
            <v>-6</v>
          </cell>
          <cell r="D14">
            <v>-6</v>
          </cell>
          <cell r="E14">
            <v>1</v>
          </cell>
          <cell r="F14">
            <v>-9</v>
          </cell>
          <cell r="G14">
            <v>3</v>
          </cell>
          <cell r="H14">
            <v>15</v>
          </cell>
          <cell r="I14">
            <v>-1</v>
          </cell>
          <cell r="J14">
            <v>5</v>
          </cell>
          <cell r="K14">
            <v>5</v>
          </cell>
          <cell r="L14">
            <v>7</v>
          </cell>
          <cell r="M14">
            <v>7</v>
          </cell>
          <cell r="N14">
            <v>7</v>
          </cell>
        </row>
        <row r="15">
          <cell r="A15" t="str">
            <v>Other (Patriots Financing)</v>
          </cell>
          <cell r="B15">
            <v>2</v>
          </cell>
          <cell r="C15">
            <v>26</v>
          </cell>
          <cell r="D15">
            <v>27</v>
          </cell>
          <cell r="E15">
            <v>33</v>
          </cell>
          <cell r="F15">
            <v>35</v>
          </cell>
          <cell r="G15">
            <v>34</v>
          </cell>
          <cell r="H15">
            <v>54</v>
          </cell>
          <cell r="I15">
            <v>23</v>
          </cell>
          <cell r="J15">
            <v>15</v>
          </cell>
          <cell r="K15">
            <v>30</v>
          </cell>
          <cell r="L15">
            <v>38</v>
          </cell>
          <cell r="M15">
            <v>38</v>
          </cell>
          <cell r="N15">
            <v>38</v>
          </cell>
        </row>
        <row r="16">
          <cell r="A16" t="str">
            <v>Total</v>
          </cell>
          <cell r="B16">
            <v>-3</v>
          </cell>
          <cell r="C16">
            <v>25</v>
          </cell>
          <cell r="D16">
            <v>34</v>
          </cell>
          <cell r="E16">
            <v>46</v>
          </cell>
          <cell r="F16">
            <v>36</v>
          </cell>
          <cell r="G16">
            <v>52</v>
          </cell>
          <cell r="H16">
            <v>89</v>
          </cell>
          <cell r="I16">
            <v>32</v>
          </cell>
          <cell r="J16">
            <v>25</v>
          </cell>
          <cell r="K16">
            <v>45</v>
          </cell>
          <cell r="L16">
            <v>55</v>
          </cell>
          <cell r="M16">
            <v>55</v>
          </cell>
          <cell r="N16">
            <v>55</v>
          </cell>
        </row>
        <row r="17">
          <cell r="A17" t="str">
            <v>vs. Main</v>
          </cell>
          <cell r="B17">
            <v>-3</v>
          </cell>
          <cell r="C17">
            <v>25</v>
          </cell>
          <cell r="D17">
            <v>32</v>
          </cell>
          <cell r="E17">
            <v>46</v>
          </cell>
          <cell r="F17">
            <v>36</v>
          </cell>
          <cell r="G17">
            <v>52</v>
          </cell>
          <cell r="H17">
            <v>89</v>
          </cell>
          <cell r="I17">
            <v>32</v>
          </cell>
          <cell r="J17">
            <v>6</v>
          </cell>
          <cell r="K17">
            <v>-6</v>
          </cell>
          <cell r="L17">
            <v>-47</v>
          </cell>
          <cell r="M17">
            <v>-61</v>
          </cell>
          <cell r="N17">
            <v>-75</v>
          </cell>
        </row>
        <row r="18">
          <cell r="A18" t="str">
            <v>% Sls</v>
          </cell>
          <cell r="B18">
            <v>-1.3452914798206279E-2</v>
          </cell>
          <cell r="C18">
            <v>0.10330578512396695</v>
          </cell>
          <cell r="D18">
            <v>0.13559322033898305</v>
          </cell>
          <cell r="E18">
            <v>0.184</v>
          </cell>
          <cell r="F18">
            <v>0.14229249011857709</v>
          </cell>
          <cell r="G18">
            <v>0.18840579710144928</v>
          </cell>
          <cell r="H18">
            <v>0.3111888111888112</v>
          </cell>
          <cell r="I18">
            <v>0.125</v>
          </cell>
          <cell r="J18">
            <v>6</v>
          </cell>
          <cell r="K18" t="str">
            <v>NA</v>
          </cell>
          <cell r="L18" t="str">
            <v>NA</v>
          </cell>
          <cell r="M18" t="str">
            <v>NA</v>
          </cell>
          <cell r="N18" t="str">
            <v>NA</v>
          </cell>
        </row>
        <row r="20">
          <cell r="A20" t="str">
            <v>DDA</v>
          </cell>
          <cell r="B20">
            <v>12</v>
          </cell>
          <cell r="C20">
            <v>17</v>
          </cell>
          <cell r="D20">
            <v>15</v>
          </cell>
          <cell r="E20">
            <v>17</v>
          </cell>
          <cell r="F20">
            <v>17</v>
          </cell>
          <cell r="G20">
            <v>16</v>
          </cell>
          <cell r="H20">
            <v>16</v>
          </cell>
          <cell r="I20">
            <v>16</v>
          </cell>
          <cell r="J20">
            <v>15</v>
          </cell>
          <cell r="K20">
            <v>15</v>
          </cell>
          <cell r="L20">
            <v>15</v>
          </cell>
          <cell r="M20">
            <v>15</v>
          </cell>
          <cell r="N20">
            <v>15</v>
          </cell>
        </row>
        <row r="21">
          <cell r="A21" t="str">
            <v>Capex</v>
          </cell>
          <cell r="B21">
            <v>12</v>
          </cell>
          <cell r="C21">
            <v>19</v>
          </cell>
          <cell r="D21">
            <v>16</v>
          </cell>
          <cell r="E21">
            <v>20</v>
          </cell>
          <cell r="F21">
            <v>25</v>
          </cell>
          <cell r="G21">
            <v>20</v>
          </cell>
          <cell r="H21">
            <v>15</v>
          </cell>
          <cell r="I21">
            <v>15</v>
          </cell>
          <cell r="J21">
            <v>15</v>
          </cell>
          <cell r="K21">
            <v>15</v>
          </cell>
          <cell r="L21">
            <v>15</v>
          </cell>
          <cell r="M21">
            <v>15</v>
          </cell>
          <cell r="N21">
            <v>15</v>
          </cell>
        </row>
        <row r="22">
          <cell r="A22" t="str">
            <v>(Capx/DDA)</v>
          </cell>
          <cell r="B22">
            <v>1</v>
          </cell>
          <cell r="C22">
            <v>1.1176470588235294</v>
          </cell>
          <cell r="D22">
            <v>1.0666666666666667</v>
          </cell>
          <cell r="E22">
            <v>1.1764705882352942</v>
          </cell>
          <cell r="F22">
            <v>1.4705882352941178</v>
          </cell>
          <cell r="G22">
            <v>1.25</v>
          </cell>
          <cell r="H22">
            <v>0.9375</v>
          </cell>
          <cell r="I22">
            <v>0.9375</v>
          </cell>
          <cell r="J22">
            <v>1</v>
          </cell>
          <cell r="K22">
            <v>1</v>
          </cell>
          <cell r="L22">
            <v>1</v>
          </cell>
          <cell r="M22">
            <v>1</v>
          </cell>
          <cell r="N22">
            <v>1</v>
          </cell>
        </row>
        <row r="24">
          <cell r="A24" t="str">
            <v>Assets</v>
          </cell>
          <cell r="B24">
            <v>388</v>
          </cell>
          <cell r="C24">
            <v>371</v>
          </cell>
          <cell r="D24">
            <v>406</v>
          </cell>
          <cell r="E24">
            <v>373</v>
          </cell>
          <cell r="F24">
            <v>317</v>
          </cell>
          <cell r="G24">
            <v>313</v>
          </cell>
          <cell r="H24">
            <v>293</v>
          </cell>
          <cell r="I24">
            <v>290</v>
          </cell>
          <cell r="J24">
            <v>288</v>
          </cell>
          <cell r="K24">
            <v>285</v>
          </cell>
          <cell r="L24">
            <v>286</v>
          </cell>
          <cell r="M24">
            <v>287</v>
          </cell>
          <cell r="N24">
            <v>288</v>
          </cell>
        </row>
        <row r="25">
          <cell r="A25" t="str">
            <v>Sales/Assets</v>
          </cell>
          <cell r="B25">
            <v>0.57474226804123707</v>
          </cell>
          <cell r="C25">
            <v>0.65229110512129385</v>
          </cell>
          <cell r="D25">
            <v>0.58128078817733986</v>
          </cell>
          <cell r="E25">
            <v>0.67024128686327078</v>
          </cell>
          <cell r="F25">
            <v>0.79810725552050477</v>
          </cell>
          <cell r="G25">
            <v>0.88178913738019171</v>
          </cell>
          <cell r="H25">
            <v>0.97610921501706482</v>
          </cell>
          <cell r="I25">
            <v>0.88275862068965516</v>
          </cell>
          <cell r="J25">
            <v>0.95486111111111116</v>
          </cell>
          <cell r="K25">
            <v>0.96491228070175439</v>
          </cell>
          <cell r="L25">
            <v>0.96153846153846156</v>
          </cell>
          <cell r="M25">
            <v>0.9616724738675958</v>
          </cell>
          <cell r="N25">
            <v>0.95486111111111116</v>
          </cell>
        </row>
        <row r="27">
          <cell r="A27" t="str">
            <v>Funded Backlog</v>
          </cell>
          <cell r="B27">
            <v>698</v>
          </cell>
          <cell r="C27">
            <v>578</v>
          </cell>
          <cell r="D27">
            <v>533</v>
          </cell>
          <cell r="E27">
            <v>494</v>
          </cell>
          <cell r="F27">
            <v>417</v>
          </cell>
          <cell r="G27">
            <v>305</v>
          </cell>
          <cell r="H27">
            <v>240</v>
          </cell>
        </row>
        <row r="28">
          <cell r="A28" t="str">
            <v>UnFunded  Backlog</v>
          </cell>
          <cell r="B28">
            <v>29</v>
          </cell>
          <cell r="C28">
            <v>29</v>
          </cell>
          <cell r="D28">
            <v>29</v>
          </cell>
          <cell r="E28">
            <v>29</v>
          </cell>
          <cell r="F28">
            <v>29</v>
          </cell>
          <cell r="G28">
            <v>29</v>
          </cell>
          <cell r="H28">
            <v>64</v>
          </cell>
        </row>
        <row r="29">
          <cell r="A29" t="str">
            <v>Total Backlog</v>
          </cell>
          <cell r="B29">
            <v>727</v>
          </cell>
          <cell r="C29">
            <v>607</v>
          </cell>
          <cell r="D29">
            <v>562</v>
          </cell>
          <cell r="E29">
            <v>523</v>
          </cell>
          <cell r="F29">
            <v>446</v>
          </cell>
          <cell r="G29">
            <v>334</v>
          </cell>
          <cell r="H29">
            <v>304</v>
          </cell>
        </row>
        <row r="31">
          <cell r="A31" t="str">
            <v>Warm weather in IL = better for the business, as it gets its boost from construction in the region; coal doesn't make up enough to offset</v>
          </cell>
        </row>
        <row r="33">
          <cell r="A33" t="str">
            <v>Freeman Energy</v>
          </cell>
        </row>
        <row r="35">
          <cell r="A35" t="str">
            <v>Active Sites</v>
          </cell>
        </row>
        <row r="36">
          <cell r="A36" t="str">
            <v>Name</v>
          </cell>
          <cell r="B36" t="str">
            <v>Location</v>
          </cell>
          <cell r="C36" t="str">
            <v>Type</v>
          </cell>
          <cell r="D36" t="str">
            <v>Annual Production</v>
          </cell>
          <cell r="E36" t="str">
            <v>Loading</v>
          </cell>
        </row>
        <row r="37">
          <cell r="A37" t="str">
            <v>Crown II</v>
          </cell>
          <cell r="B37" t="str">
            <v xml:space="preserve">Macoupin and Montgomery Counties, Illinois </v>
          </cell>
          <cell r="C37" t="str">
            <v>Underground - Continuous Miners</v>
          </cell>
          <cell r="D37" t="str">
            <v>2,000,000 tons</v>
          </cell>
          <cell r="E37" t="str">
            <v>Burlington Northern Rail</v>
          </cell>
        </row>
        <row r="38">
          <cell r="A38" t="str">
            <v>Crown III</v>
          </cell>
          <cell r="B38" t="str">
            <v xml:space="preserve">Macoupin and Montgomery Counties, Illinois </v>
          </cell>
          <cell r="C38" t="str">
            <v>Underground - Continuous Miners</v>
          </cell>
          <cell r="D38" t="str">
            <v>2,000,000 tons</v>
          </cell>
          <cell r="E38" t="str">
            <v>Illinois Central Rail</v>
          </cell>
        </row>
        <row r="39">
          <cell r="A39" t="str">
            <v>Industry</v>
          </cell>
          <cell r="B39" t="str">
            <v xml:space="preserve">McDonough and Schuyler Counties, Illinois </v>
          </cell>
          <cell r="C39" t="str">
            <v xml:space="preserve">Surface
</v>
          </cell>
          <cell r="D39" t="str">
            <v>500,000 tons</v>
          </cell>
          <cell r="E39" t="str">
            <v>Truck</v>
          </cell>
        </row>
        <row r="41">
          <cell r="A41" t="str">
            <v>550 Employees (75% Union covered under 5yr contract ratified in 01/03)</v>
          </cell>
        </row>
        <row r="42">
          <cell r="A42" t="str">
            <v>The coal is sold primarily to Midwest customers in the utility generation business and heavy industrial manufacturing.</v>
          </cell>
        </row>
        <row r="44">
          <cell r="A44" t="str">
            <v>Material Service Corporation</v>
          </cell>
        </row>
        <row r="46">
          <cell r="A46" t="str">
            <v xml:space="preserve">Material </v>
          </cell>
        </row>
        <row r="47">
          <cell r="A47" t="str">
            <v>Sand</v>
          </cell>
        </row>
        <row r="48">
          <cell r="A48" t="str">
            <v>Stone</v>
          </cell>
        </row>
        <row r="49">
          <cell r="A49" t="str">
            <v>Gravel</v>
          </cell>
        </row>
        <row r="50">
          <cell r="A50" t="str">
            <v>Services</v>
          </cell>
        </row>
        <row r="51">
          <cell r="A51" t="str">
            <v>Marine</v>
          </cell>
        </row>
        <row r="52">
          <cell r="A52" t="str">
            <v>Fabrication</v>
          </cell>
        </row>
        <row r="54">
          <cell r="A54" t="str">
            <v xml:space="preserve">Primary markets are in Northern and Central Illinois and Northwest Indiana. </v>
          </cell>
        </row>
        <row r="55">
          <cell r="A55" t="str">
            <v xml:space="preserve">Operates 11 stone quarries, 3 sand and gravel pits, 2 mineral filler plants, and a fleet of towboats and barges ; annual shipments are in excess of 20 Mil. tons.
</v>
          </cell>
        </row>
      </sheetData>
      <sheetData sheetId="17">
        <row r="1">
          <cell r="B1" t="str">
            <v>last updated 1/07</v>
          </cell>
          <cell r="D1" t="str">
            <v>Source: Airclaims</v>
          </cell>
        </row>
        <row r="2">
          <cell r="A2" t="str">
            <v>Gulfstream Backlog by Customer</v>
          </cell>
        </row>
        <row r="4">
          <cell r="A4" t="str">
            <v>a/o Jan 2007</v>
          </cell>
        </row>
        <row r="5">
          <cell r="A5" t="str">
            <v>Type</v>
          </cell>
          <cell r="B5" t="str">
            <v>DeliveryDate</v>
          </cell>
          <cell r="C5" t="str">
            <v>Operator</v>
          </cell>
          <cell r="D5" t="str">
            <v>OperatorArea</v>
          </cell>
          <cell r="E5" t="str">
            <v>OperatorCountry</v>
          </cell>
        </row>
        <row r="6">
          <cell r="A6" t="str">
            <v>Gulfstream G150</v>
          </cell>
          <cell r="B6">
            <v>39083</v>
          </cell>
          <cell r="C6" t="str">
            <v>Unconfirmed Corporate Operator</v>
          </cell>
          <cell r="D6" t="str">
            <v>Unknown area</v>
          </cell>
          <cell r="E6" t="str">
            <v>Unknown Country</v>
          </cell>
        </row>
        <row r="7">
          <cell r="A7" t="str">
            <v>Gulfstream G150</v>
          </cell>
          <cell r="B7">
            <v>39114</v>
          </cell>
          <cell r="C7" t="str">
            <v>Unconfirmed Corporate Operator</v>
          </cell>
          <cell r="D7" t="str">
            <v>Unknown area</v>
          </cell>
          <cell r="E7" t="str">
            <v>Unknown Country</v>
          </cell>
        </row>
        <row r="8">
          <cell r="A8" t="str">
            <v>Gulfstream G150</v>
          </cell>
          <cell r="B8">
            <v>39114</v>
          </cell>
          <cell r="C8" t="str">
            <v>Unconfirmed Corporate Operator</v>
          </cell>
          <cell r="D8" t="str">
            <v>Unknown area</v>
          </cell>
          <cell r="E8" t="str">
            <v>Unknown Country</v>
          </cell>
        </row>
        <row r="9">
          <cell r="A9" t="str">
            <v>Gulfstream G150</v>
          </cell>
          <cell r="B9">
            <v>39114</v>
          </cell>
          <cell r="C9" t="str">
            <v>Netjets</v>
          </cell>
          <cell r="D9" t="str">
            <v>North America</v>
          </cell>
          <cell r="E9" t="str">
            <v>USA</v>
          </cell>
        </row>
        <row r="10">
          <cell r="A10" t="str">
            <v>Gulfstream G150</v>
          </cell>
          <cell r="B10">
            <v>39114</v>
          </cell>
          <cell r="C10" t="str">
            <v>Netjets</v>
          </cell>
          <cell r="D10" t="str">
            <v>North America</v>
          </cell>
          <cell r="E10" t="str">
            <v>USA</v>
          </cell>
        </row>
        <row r="11">
          <cell r="A11" t="str">
            <v xml:space="preserve">Gulfstream G200 </v>
          </cell>
          <cell r="B11">
            <v>39114</v>
          </cell>
          <cell r="C11" t="str">
            <v>Business Aviation Asia</v>
          </cell>
          <cell r="D11" t="str">
            <v>Asia</v>
          </cell>
          <cell r="E11" t="str">
            <v>Hong Kong</v>
          </cell>
        </row>
        <row r="12">
          <cell r="A12" t="str">
            <v xml:space="preserve">Gulfstream G200 </v>
          </cell>
          <cell r="B12">
            <v>39114</v>
          </cell>
          <cell r="C12" t="str">
            <v>Unconfirmed Corporate Operator</v>
          </cell>
          <cell r="D12" t="str">
            <v>Unknown area</v>
          </cell>
          <cell r="E12" t="str">
            <v>Unknown Country</v>
          </cell>
        </row>
        <row r="13">
          <cell r="A13" t="str">
            <v xml:space="preserve">Gulfstream G200 </v>
          </cell>
          <cell r="B13">
            <v>39114</v>
          </cell>
          <cell r="C13" t="str">
            <v>Unconfirmed Corporate Operator</v>
          </cell>
          <cell r="D13" t="str">
            <v>Unknown area</v>
          </cell>
          <cell r="E13" t="str">
            <v>Unknown Country</v>
          </cell>
        </row>
        <row r="14">
          <cell r="A14" t="str">
            <v xml:space="preserve">Gulfstream G200 </v>
          </cell>
          <cell r="B14">
            <v>39114</v>
          </cell>
          <cell r="C14" t="str">
            <v>Netjets</v>
          </cell>
          <cell r="D14" t="str">
            <v>North America</v>
          </cell>
          <cell r="E14" t="str">
            <v>USA</v>
          </cell>
        </row>
        <row r="15">
          <cell r="A15" t="str">
            <v xml:space="preserve">Gulfstream G200 </v>
          </cell>
          <cell r="B15">
            <v>39114</v>
          </cell>
          <cell r="C15" t="str">
            <v>Netjets</v>
          </cell>
          <cell r="D15" t="str">
            <v>North America</v>
          </cell>
          <cell r="E15" t="str">
            <v>USA</v>
          </cell>
        </row>
        <row r="16">
          <cell r="A16" t="str">
            <v xml:space="preserve">Gulfstream G200 </v>
          </cell>
          <cell r="B16">
            <v>39114</v>
          </cell>
          <cell r="C16" t="str">
            <v>Netjets</v>
          </cell>
          <cell r="D16" t="str">
            <v>North America</v>
          </cell>
          <cell r="E16" t="str">
            <v>USA</v>
          </cell>
        </row>
        <row r="17">
          <cell r="A17" t="str">
            <v>Gulfstream G550</v>
          </cell>
          <cell r="B17">
            <v>39114</v>
          </cell>
          <cell r="C17" t="str">
            <v>Israel Air and Space Force</v>
          </cell>
          <cell r="D17" t="str">
            <v>Middle East</v>
          </cell>
          <cell r="E17" t="str">
            <v>Israel</v>
          </cell>
        </row>
        <row r="18">
          <cell r="A18" t="str">
            <v>Gulfstream G150</v>
          </cell>
          <cell r="B18">
            <v>39142</v>
          </cell>
          <cell r="C18" t="str">
            <v>Unconfirmed Corporate Operator</v>
          </cell>
          <cell r="D18" t="str">
            <v>Unknown area</v>
          </cell>
          <cell r="E18" t="str">
            <v>Unknown Country</v>
          </cell>
        </row>
        <row r="19">
          <cell r="A19" t="str">
            <v>Gulfstream G150</v>
          </cell>
          <cell r="B19">
            <v>39142</v>
          </cell>
          <cell r="C19" t="str">
            <v>Unconfirmed Corporate Operator</v>
          </cell>
          <cell r="D19" t="str">
            <v>Unknown area</v>
          </cell>
          <cell r="E19" t="str">
            <v>Unknown Country</v>
          </cell>
        </row>
        <row r="20">
          <cell r="A20" t="str">
            <v>Gulfstream G150</v>
          </cell>
          <cell r="B20">
            <v>39142</v>
          </cell>
          <cell r="C20" t="str">
            <v>Netjets</v>
          </cell>
          <cell r="D20" t="str">
            <v>North America</v>
          </cell>
          <cell r="E20" t="str">
            <v>USA</v>
          </cell>
        </row>
        <row r="21">
          <cell r="A21" t="str">
            <v>Gulfstream G150</v>
          </cell>
          <cell r="B21">
            <v>39142</v>
          </cell>
          <cell r="C21" t="str">
            <v>Netjets</v>
          </cell>
          <cell r="D21" t="str">
            <v>North America</v>
          </cell>
          <cell r="E21" t="str">
            <v>USA</v>
          </cell>
        </row>
        <row r="22">
          <cell r="A22" t="str">
            <v xml:space="preserve">Gulfstream G200 </v>
          </cell>
          <cell r="B22">
            <v>39142</v>
          </cell>
          <cell r="C22" t="str">
            <v>Gainjet</v>
          </cell>
          <cell r="D22" t="str">
            <v>Europe</v>
          </cell>
          <cell r="E22" t="str">
            <v>Greece</v>
          </cell>
        </row>
        <row r="23">
          <cell r="A23" t="str">
            <v xml:space="preserve">Gulfstream G200 </v>
          </cell>
          <cell r="B23">
            <v>39142</v>
          </cell>
          <cell r="C23" t="str">
            <v>Netjets</v>
          </cell>
          <cell r="D23" t="str">
            <v>North America</v>
          </cell>
          <cell r="E23" t="str">
            <v>USA</v>
          </cell>
        </row>
        <row r="24">
          <cell r="A24" t="str">
            <v xml:space="preserve">Gulfstream G200 </v>
          </cell>
          <cell r="B24">
            <v>39142</v>
          </cell>
          <cell r="C24" t="str">
            <v>Netjets</v>
          </cell>
          <cell r="D24" t="str">
            <v>North America</v>
          </cell>
          <cell r="E24" t="str">
            <v>USA</v>
          </cell>
        </row>
        <row r="25">
          <cell r="A25" t="str">
            <v xml:space="preserve">Gulfstream G200 </v>
          </cell>
          <cell r="B25">
            <v>39142</v>
          </cell>
          <cell r="C25" t="str">
            <v>Netjets</v>
          </cell>
          <cell r="D25" t="str">
            <v>North America</v>
          </cell>
          <cell r="E25" t="str">
            <v>USA</v>
          </cell>
        </row>
        <row r="26">
          <cell r="A26" t="str">
            <v xml:space="preserve">Gulfstream G200 </v>
          </cell>
          <cell r="B26">
            <v>39142</v>
          </cell>
          <cell r="C26" t="str">
            <v>Unconfirmed American Operator</v>
          </cell>
          <cell r="D26" t="str">
            <v>North America</v>
          </cell>
          <cell r="E26" t="str">
            <v>USA</v>
          </cell>
        </row>
        <row r="27">
          <cell r="A27" t="str">
            <v>Gulfstream G450</v>
          </cell>
          <cell r="B27">
            <v>39142</v>
          </cell>
          <cell r="C27" t="str">
            <v>DaimlerChrysler Aviation</v>
          </cell>
          <cell r="D27" t="str">
            <v>Europe</v>
          </cell>
          <cell r="E27" t="str">
            <v>Germany</v>
          </cell>
        </row>
        <row r="28">
          <cell r="A28" t="str">
            <v>Gulfstream G550</v>
          </cell>
          <cell r="B28">
            <v>39142</v>
          </cell>
          <cell r="C28" t="str">
            <v>DaimlerChrysler Aviation</v>
          </cell>
          <cell r="D28" t="str">
            <v>Europe</v>
          </cell>
          <cell r="E28" t="str">
            <v>Germany</v>
          </cell>
        </row>
        <row r="29">
          <cell r="A29" t="str">
            <v>Gulfstream G550</v>
          </cell>
          <cell r="B29">
            <v>39142</v>
          </cell>
          <cell r="C29" t="str">
            <v>NetJets Europe</v>
          </cell>
          <cell r="D29" t="str">
            <v>Europe</v>
          </cell>
          <cell r="E29" t="str">
            <v>Portugal</v>
          </cell>
        </row>
        <row r="30">
          <cell r="A30" t="str">
            <v>Gulfstream G550</v>
          </cell>
          <cell r="B30">
            <v>39142</v>
          </cell>
          <cell r="C30" t="str">
            <v>Unconfirmed Asian Corporate Operate</v>
          </cell>
          <cell r="D30" t="str">
            <v>Asia</v>
          </cell>
          <cell r="E30" t="str">
            <v>Unknown Asian Country</v>
          </cell>
        </row>
        <row r="31">
          <cell r="A31" t="str">
            <v>Gulfstream G550</v>
          </cell>
          <cell r="B31">
            <v>39142</v>
          </cell>
          <cell r="C31" t="str">
            <v>Unconfirmed Corporate Operator</v>
          </cell>
          <cell r="D31" t="str">
            <v>Unknown area</v>
          </cell>
          <cell r="E31" t="str">
            <v>Unknown Country</v>
          </cell>
        </row>
        <row r="32">
          <cell r="A32" t="str">
            <v>Gulfstream G550</v>
          </cell>
          <cell r="B32">
            <v>39142</v>
          </cell>
          <cell r="C32" t="str">
            <v>Netjets International</v>
          </cell>
          <cell r="D32" t="str">
            <v>North America</v>
          </cell>
          <cell r="E32" t="str">
            <v>USA</v>
          </cell>
        </row>
        <row r="33">
          <cell r="A33" t="str">
            <v>Gulfstream G150</v>
          </cell>
          <cell r="B33">
            <v>39173</v>
          </cell>
          <cell r="C33" t="str">
            <v>Unconfirmed Corporate Operator</v>
          </cell>
          <cell r="D33" t="str">
            <v>Unknown area</v>
          </cell>
          <cell r="E33" t="str">
            <v>Unknown Country</v>
          </cell>
        </row>
        <row r="34">
          <cell r="A34" t="str">
            <v>Gulfstream G150</v>
          </cell>
          <cell r="B34">
            <v>39173</v>
          </cell>
          <cell r="C34" t="str">
            <v>Unconfirmed Corporate Operator</v>
          </cell>
          <cell r="D34" t="str">
            <v>Unknown area</v>
          </cell>
          <cell r="E34" t="str">
            <v>Unknown Country</v>
          </cell>
        </row>
        <row r="35">
          <cell r="A35" t="str">
            <v>Gulfstream G150</v>
          </cell>
          <cell r="B35">
            <v>39173</v>
          </cell>
          <cell r="C35" t="str">
            <v>Netjets</v>
          </cell>
          <cell r="D35" t="str">
            <v>North America</v>
          </cell>
          <cell r="E35" t="str">
            <v>USA</v>
          </cell>
        </row>
        <row r="36">
          <cell r="A36" t="str">
            <v>Gulfstream G150</v>
          </cell>
          <cell r="B36">
            <v>39173</v>
          </cell>
          <cell r="C36" t="str">
            <v>Netjets</v>
          </cell>
          <cell r="D36" t="str">
            <v>North America</v>
          </cell>
          <cell r="E36" t="str">
            <v>USA</v>
          </cell>
        </row>
        <row r="37">
          <cell r="A37" t="str">
            <v xml:space="preserve">Gulfstream G200 </v>
          </cell>
          <cell r="B37">
            <v>39173</v>
          </cell>
          <cell r="C37" t="str">
            <v>Unconfirmed American Operator</v>
          </cell>
          <cell r="D37" t="str">
            <v>North America</v>
          </cell>
          <cell r="E37" t="str">
            <v>USA</v>
          </cell>
        </row>
        <row r="38">
          <cell r="A38" t="str">
            <v xml:space="preserve">Gulfstream G200 </v>
          </cell>
          <cell r="B38">
            <v>39173</v>
          </cell>
          <cell r="C38" t="str">
            <v>Unconfirmed American Operator</v>
          </cell>
          <cell r="D38" t="str">
            <v>North America</v>
          </cell>
          <cell r="E38" t="str">
            <v>USA</v>
          </cell>
        </row>
        <row r="39">
          <cell r="A39" t="str">
            <v xml:space="preserve">Gulfstream G200 </v>
          </cell>
          <cell r="B39">
            <v>39173</v>
          </cell>
          <cell r="C39" t="str">
            <v>Netjets</v>
          </cell>
          <cell r="D39" t="str">
            <v>North America</v>
          </cell>
          <cell r="E39" t="str">
            <v>USA</v>
          </cell>
        </row>
        <row r="40">
          <cell r="A40" t="str">
            <v xml:space="preserve">Gulfstream G200 </v>
          </cell>
          <cell r="B40">
            <v>39173</v>
          </cell>
          <cell r="C40" t="str">
            <v>Netjets</v>
          </cell>
          <cell r="D40" t="str">
            <v>North America</v>
          </cell>
          <cell r="E40" t="str">
            <v>USA</v>
          </cell>
        </row>
        <row r="41">
          <cell r="A41" t="str">
            <v xml:space="preserve">Gulfstream G200 </v>
          </cell>
          <cell r="B41">
            <v>39173</v>
          </cell>
          <cell r="C41" t="str">
            <v>Unconfirmed American Operator</v>
          </cell>
          <cell r="D41" t="str">
            <v>North America</v>
          </cell>
          <cell r="E41" t="str">
            <v>USA</v>
          </cell>
        </row>
        <row r="42">
          <cell r="A42" t="str">
            <v>Gulfstream G550</v>
          </cell>
          <cell r="B42">
            <v>39173</v>
          </cell>
          <cell r="C42" t="str">
            <v>Israel Air and Space Force</v>
          </cell>
          <cell r="D42" t="str">
            <v>Middle East</v>
          </cell>
          <cell r="E42" t="str">
            <v>Israel</v>
          </cell>
        </row>
        <row r="43">
          <cell r="A43" t="str">
            <v>Gulfstream G550</v>
          </cell>
          <cell r="B43">
            <v>39173</v>
          </cell>
          <cell r="C43" t="str">
            <v>Unconfirmed Corporate Operator</v>
          </cell>
          <cell r="D43" t="str">
            <v>Unknown area</v>
          </cell>
          <cell r="E43" t="str">
            <v>Unknown Country</v>
          </cell>
        </row>
        <row r="44">
          <cell r="A44" t="str">
            <v>Gulfstream G550</v>
          </cell>
          <cell r="B44">
            <v>39173</v>
          </cell>
          <cell r="C44" t="str">
            <v>Unconfirmed Corporate Operator</v>
          </cell>
          <cell r="D44" t="str">
            <v>Unknown area</v>
          </cell>
          <cell r="E44" t="str">
            <v>Unknown Country</v>
          </cell>
        </row>
        <row r="45">
          <cell r="A45" t="str">
            <v>Gulfstream G150</v>
          </cell>
          <cell r="B45">
            <v>39203</v>
          </cell>
          <cell r="C45" t="str">
            <v>Aerocardal</v>
          </cell>
          <cell r="D45" t="str">
            <v>Latin America and Caribbean</v>
          </cell>
          <cell r="E45" t="str">
            <v>Chile</v>
          </cell>
        </row>
        <row r="46">
          <cell r="A46" t="str">
            <v>Gulfstream G150</v>
          </cell>
          <cell r="B46">
            <v>39203</v>
          </cell>
          <cell r="C46" t="str">
            <v>Unconfirmed Corporate Operator</v>
          </cell>
          <cell r="D46" t="str">
            <v>Unknown area</v>
          </cell>
          <cell r="E46" t="str">
            <v>Unknown Country</v>
          </cell>
        </row>
        <row r="47">
          <cell r="A47" t="str">
            <v>Gulfstream G150</v>
          </cell>
          <cell r="B47">
            <v>39203</v>
          </cell>
          <cell r="C47" t="str">
            <v>Netjets</v>
          </cell>
          <cell r="D47" t="str">
            <v>North America</v>
          </cell>
          <cell r="E47" t="str">
            <v>USA</v>
          </cell>
        </row>
        <row r="48">
          <cell r="A48" t="str">
            <v xml:space="preserve">Gulfstream G200 </v>
          </cell>
          <cell r="B48">
            <v>39203</v>
          </cell>
          <cell r="C48" t="str">
            <v>Netjets</v>
          </cell>
          <cell r="D48" t="str">
            <v>North America</v>
          </cell>
          <cell r="E48" t="str">
            <v>USA</v>
          </cell>
        </row>
        <row r="49">
          <cell r="A49" t="str">
            <v xml:space="preserve">Gulfstream G200 </v>
          </cell>
          <cell r="B49">
            <v>39203</v>
          </cell>
          <cell r="C49" t="str">
            <v>Netjets</v>
          </cell>
          <cell r="D49" t="str">
            <v>North America</v>
          </cell>
          <cell r="E49" t="str">
            <v>USA</v>
          </cell>
        </row>
        <row r="50">
          <cell r="A50" t="str">
            <v xml:space="preserve">Gulfstream G200 </v>
          </cell>
          <cell r="B50">
            <v>39203</v>
          </cell>
          <cell r="C50" t="str">
            <v>Unconfirmed American Operator</v>
          </cell>
          <cell r="D50" t="str">
            <v>North America</v>
          </cell>
          <cell r="E50" t="str">
            <v>USA</v>
          </cell>
        </row>
        <row r="51">
          <cell r="A51" t="str">
            <v xml:space="preserve">Gulfstream G200 </v>
          </cell>
          <cell r="B51">
            <v>39203</v>
          </cell>
          <cell r="C51" t="str">
            <v>Unconfirmed American Operator</v>
          </cell>
          <cell r="D51" t="str">
            <v>North America</v>
          </cell>
          <cell r="E51" t="str">
            <v>USA</v>
          </cell>
        </row>
        <row r="52">
          <cell r="A52" t="str">
            <v>Gulfstream G450</v>
          </cell>
          <cell r="B52">
            <v>39203</v>
          </cell>
          <cell r="C52" t="str">
            <v>Unconfirmed Corporate Operator</v>
          </cell>
          <cell r="D52" t="str">
            <v>Unknown area</v>
          </cell>
          <cell r="E52" t="str">
            <v>Unknown Country</v>
          </cell>
        </row>
        <row r="53">
          <cell r="A53" t="str">
            <v>Gulfstream G450</v>
          </cell>
          <cell r="B53">
            <v>39203</v>
          </cell>
          <cell r="C53" t="str">
            <v>Unconfirmed Corporate Operator</v>
          </cell>
          <cell r="D53" t="str">
            <v>Unknown area</v>
          </cell>
          <cell r="E53" t="str">
            <v>Unknown Country</v>
          </cell>
        </row>
        <row r="54">
          <cell r="A54" t="str">
            <v>Gulfstream G550</v>
          </cell>
          <cell r="B54">
            <v>39203</v>
          </cell>
          <cell r="C54" t="str">
            <v>NetJets Europe</v>
          </cell>
          <cell r="D54" t="str">
            <v>Europe</v>
          </cell>
          <cell r="E54" t="str">
            <v>Portugal</v>
          </cell>
        </row>
        <row r="55">
          <cell r="A55" t="str">
            <v>Gulfstream G550</v>
          </cell>
          <cell r="B55">
            <v>39203</v>
          </cell>
          <cell r="C55" t="str">
            <v>Unconfirmed Corporate Operator</v>
          </cell>
          <cell r="D55" t="str">
            <v>Unknown area</v>
          </cell>
          <cell r="E55" t="str">
            <v>Unknown Country</v>
          </cell>
        </row>
        <row r="56">
          <cell r="A56" t="str">
            <v>Gulfstream G550</v>
          </cell>
          <cell r="B56">
            <v>39203</v>
          </cell>
          <cell r="C56" t="str">
            <v>Netjets International</v>
          </cell>
          <cell r="D56" t="str">
            <v>North America</v>
          </cell>
          <cell r="E56" t="str">
            <v>USA</v>
          </cell>
        </row>
        <row r="57">
          <cell r="A57" t="str">
            <v>Gulfstream G550</v>
          </cell>
          <cell r="B57">
            <v>39203</v>
          </cell>
          <cell r="C57" t="str">
            <v>The Coca-Cola Co</v>
          </cell>
          <cell r="D57" t="str">
            <v>North America</v>
          </cell>
          <cell r="E57" t="str">
            <v>USA</v>
          </cell>
        </row>
        <row r="58">
          <cell r="A58" t="str">
            <v>Gulfstream G150</v>
          </cell>
          <cell r="B58">
            <v>39234</v>
          </cell>
          <cell r="C58" t="str">
            <v>Netjets</v>
          </cell>
          <cell r="D58" t="str">
            <v>North America</v>
          </cell>
          <cell r="E58" t="str">
            <v>USA</v>
          </cell>
        </row>
        <row r="59">
          <cell r="A59" t="str">
            <v xml:space="preserve">Gulfstream G200 </v>
          </cell>
          <cell r="B59">
            <v>39234</v>
          </cell>
          <cell r="C59" t="str">
            <v>Want Want Holdings Ltd</v>
          </cell>
          <cell r="D59" t="str">
            <v>Asia</v>
          </cell>
          <cell r="E59" t="str">
            <v>Taiwan</v>
          </cell>
        </row>
        <row r="60">
          <cell r="A60" t="str">
            <v xml:space="preserve">Gulfstream G200 </v>
          </cell>
          <cell r="B60">
            <v>39234</v>
          </cell>
          <cell r="C60" t="str">
            <v>Unconfirmed American Operator</v>
          </cell>
          <cell r="D60" t="str">
            <v>North America</v>
          </cell>
          <cell r="E60" t="str">
            <v>USA</v>
          </cell>
        </row>
        <row r="61">
          <cell r="A61" t="str">
            <v xml:space="preserve">Gulfstream G200 </v>
          </cell>
          <cell r="B61">
            <v>39234</v>
          </cell>
          <cell r="C61" t="str">
            <v>Netjets</v>
          </cell>
          <cell r="D61" t="str">
            <v>North America</v>
          </cell>
          <cell r="E61" t="str">
            <v>USA</v>
          </cell>
        </row>
        <row r="62">
          <cell r="A62" t="str">
            <v xml:space="preserve">Gulfstream G200 </v>
          </cell>
          <cell r="B62">
            <v>39234</v>
          </cell>
          <cell r="C62" t="str">
            <v>Netjets</v>
          </cell>
          <cell r="D62" t="str">
            <v>North America</v>
          </cell>
          <cell r="E62" t="str">
            <v>USA</v>
          </cell>
        </row>
        <row r="63">
          <cell r="A63" t="str">
            <v xml:space="preserve">Gulfstream G200 </v>
          </cell>
          <cell r="B63">
            <v>39234</v>
          </cell>
          <cell r="C63" t="str">
            <v>Unconfirmed American Operator</v>
          </cell>
          <cell r="D63" t="str">
            <v>North America</v>
          </cell>
          <cell r="E63" t="str">
            <v>USA</v>
          </cell>
        </row>
        <row r="64">
          <cell r="A64" t="str">
            <v xml:space="preserve">Gulfstream G200 </v>
          </cell>
          <cell r="B64">
            <v>39234</v>
          </cell>
          <cell r="C64" t="str">
            <v>Unconfirmed American Operator</v>
          </cell>
          <cell r="D64" t="str">
            <v>North America</v>
          </cell>
          <cell r="E64" t="str">
            <v>USA</v>
          </cell>
        </row>
        <row r="65">
          <cell r="A65" t="str">
            <v>Gulfstream G350</v>
          </cell>
          <cell r="B65">
            <v>39234</v>
          </cell>
          <cell r="C65" t="str">
            <v>Unconfirmed Asian Corporate Operate</v>
          </cell>
          <cell r="D65" t="str">
            <v>Asia</v>
          </cell>
          <cell r="E65" t="str">
            <v>Unknown Asian Country</v>
          </cell>
        </row>
        <row r="66">
          <cell r="A66" t="str">
            <v>Gulfstream G450</v>
          </cell>
          <cell r="B66">
            <v>39234</v>
          </cell>
          <cell r="C66" t="str">
            <v>Unconfirmed Corporate Operator</v>
          </cell>
          <cell r="D66" t="str">
            <v>Unknown area</v>
          </cell>
          <cell r="E66" t="str">
            <v>Unknown Country</v>
          </cell>
        </row>
        <row r="67">
          <cell r="A67" t="str">
            <v>Gulfstream G550</v>
          </cell>
          <cell r="B67">
            <v>39234</v>
          </cell>
          <cell r="C67" t="str">
            <v>EFS European Flight Service</v>
          </cell>
          <cell r="D67" t="str">
            <v>Europe</v>
          </cell>
          <cell r="E67" t="str">
            <v>Sweden</v>
          </cell>
        </row>
        <row r="68">
          <cell r="A68" t="str">
            <v>Gulfstream G150</v>
          </cell>
          <cell r="B68">
            <v>39264</v>
          </cell>
          <cell r="C68" t="str">
            <v>Unconfirmed Corporate Operator</v>
          </cell>
          <cell r="D68" t="str">
            <v>Unknown area</v>
          </cell>
          <cell r="E68" t="str">
            <v>Unknown Country</v>
          </cell>
        </row>
        <row r="69">
          <cell r="A69" t="str">
            <v>Gulfstream G150</v>
          </cell>
          <cell r="B69">
            <v>39264</v>
          </cell>
          <cell r="C69" t="str">
            <v>Netjets</v>
          </cell>
          <cell r="D69" t="str">
            <v>North America</v>
          </cell>
          <cell r="E69" t="str">
            <v>USA</v>
          </cell>
        </row>
        <row r="70">
          <cell r="A70" t="str">
            <v xml:space="preserve">Gulfstream G200 </v>
          </cell>
          <cell r="B70">
            <v>39264</v>
          </cell>
          <cell r="C70" t="str">
            <v>Netjets</v>
          </cell>
          <cell r="D70" t="str">
            <v>North America</v>
          </cell>
          <cell r="E70" t="str">
            <v>USA</v>
          </cell>
        </row>
        <row r="71">
          <cell r="A71" t="str">
            <v xml:space="preserve">Gulfstream G200 </v>
          </cell>
          <cell r="B71">
            <v>39264</v>
          </cell>
          <cell r="C71" t="str">
            <v>Netjets</v>
          </cell>
          <cell r="D71" t="str">
            <v>North America</v>
          </cell>
          <cell r="E71" t="str">
            <v>USA</v>
          </cell>
        </row>
        <row r="72">
          <cell r="A72" t="str">
            <v>Gulfstream G450</v>
          </cell>
          <cell r="B72">
            <v>39264</v>
          </cell>
          <cell r="C72" t="str">
            <v>Unconfirmed Corporate Operator</v>
          </cell>
          <cell r="D72" t="str">
            <v>Unknown area</v>
          </cell>
          <cell r="E72" t="str">
            <v>Unknown Country</v>
          </cell>
        </row>
        <row r="73">
          <cell r="A73" t="str">
            <v>Gulfstream G450</v>
          </cell>
          <cell r="B73">
            <v>39264</v>
          </cell>
          <cell r="C73" t="str">
            <v>Unconfirmed Corporate Operator</v>
          </cell>
          <cell r="D73" t="str">
            <v>Unknown area</v>
          </cell>
          <cell r="E73" t="str">
            <v>Unknown Country</v>
          </cell>
        </row>
        <row r="74">
          <cell r="A74" t="str">
            <v>Gulfstream G450</v>
          </cell>
          <cell r="B74">
            <v>39264</v>
          </cell>
          <cell r="C74" t="str">
            <v>Unconfirmed Corporate Operator</v>
          </cell>
          <cell r="D74" t="str">
            <v>Unknown area</v>
          </cell>
          <cell r="E74" t="str">
            <v>Unknown Country</v>
          </cell>
        </row>
        <row r="75">
          <cell r="A75" t="str">
            <v>Gulfstream G550</v>
          </cell>
          <cell r="B75">
            <v>39264</v>
          </cell>
          <cell r="C75" t="str">
            <v>Unconfirmed Asian Corporate Operate</v>
          </cell>
          <cell r="D75" t="str">
            <v>Asia</v>
          </cell>
          <cell r="E75" t="str">
            <v>Unknown Asian Country</v>
          </cell>
        </row>
        <row r="76">
          <cell r="A76" t="str">
            <v>Gulfstream G550</v>
          </cell>
          <cell r="B76">
            <v>39264</v>
          </cell>
          <cell r="C76" t="str">
            <v>Unconfirmed Corporate Operator</v>
          </cell>
          <cell r="D76" t="str">
            <v>Unknown area</v>
          </cell>
          <cell r="E76" t="str">
            <v>Unknown Country</v>
          </cell>
        </row>
        <row r="77">
          <cell r="A77" t="str">
            <v>Gulfstream G150</v>
          </cell>
          <cell r="B77">
            <v>39295</v>
          </cell>
          <cell r="C77" t="str">
            <v>Netjets</v>
          </cell>
          <cell r="D77" t="str">
            <v>North America</v>
          </cell>
          <cell r="E77" t="str">
            <v>USA</v>
          </cell>
        </row>
        <row r="78">
          <cell r="A78" t="str">
            <v xml:space="preserve">Gulfstream G200 </v>
          </cell>
          <cell r="B78">
            <v>39295</v>
          </cell>
          <cell r="C78" t="str">
            <v>Netjets</v>
          </cell>
          <cell r="D78" t="str">
            <v>North America</v>
          </cell>
          <cell r="E78" t="str">
            <v>USA</v>
          </cell>
        </row>
        <row r="79">
          <cell r="A79" t="str">
            <v xml:space="preserve">Gulfstream G200 </v>
          </cell>
          <cell r="B79">
            <v>39295</v>
          </cell>
          <cell r="C79" t="str">
            <v>Netjets</v>
          </cell>
          <cell r="D79" t="str">
            <v>North America</v>
          </cell>
          <cell r="E79" t="str">
            <v>USA</v>
          </cell>
        </row>
        <row r="80">
          <cell r="A80" t="str">
            <v>Gulfstream G450</v>
          </cell>
          <cell r="B80">
            <v>39295</v>
          </cell>
          <cell r="C80" t="str">
            <v>Unconfirmed Corporate Operator</v>
          </cell>
          <cell r="D80" t="str">
            <v>Unknown area</v>
          </cell>
          <cell r="E80" t="str">
            <v>Unknown Country</v>
          </cell>
        </row>
        <row r="81">
          <cell r="A81" t="str">
            <v>Gulfstream G450</v>
          </cell>
          <cell r="B81">
            <v>39295</v>
          </cell>
          <cell r="C81" t="str">
            <v>Netjets International</v>
          </cell>
          <cell r="D81" t="str">
            <v>North America</v>
          </cell>
          <cell r="E81" t="str">
            <v>USA</v>
          </cell>
        </row>
        <row r="82">
          <cell r="A82" t="str">
            <v>Gulfstream G550</v>
          </cell>
          <cell r="B82">
            <v>39295</v>
          </cell>
          <cell r="C82" t="str">
            <v>Israel Air and Space Force</v>
          </cell>
          <cell r="D82" t="str">
            <v>Middle East</v>
          </cell>
          <cell r="E82" t="str">
            <v>Israel</v>
          </cell>
        </row>
        <row r="83">
          <cell r="A83" t="str">
            <v>Gulfstream G550</v>
          </cell>
          <cell r="B83">
            <v>39295</v>
          </cell>
          <cell r="C83" t="str">
            <v>Netjets International</v>
          </cell>
          <cell r="D83" t="str">
            <v>North America</v>
          </cell>
          <cell r="E83" t="str">
            <v>USA</v>
          </cell>
        </row>
        <row r="84">
          <cell r="A84" t="str">
            <v>Gulfstream G550</v>
          </cell>
          <cell r="B84">
            <v>39295</v>
          </cell>
          <cell r="C84" t="str">
            <v>The Coca-Cola Co</v>
          </cell>
          <cell r="D84" t="str">
            <v>North America</v>
          </cell>
          <cell r="E84" t="str">
            <v>USA</v>
          </cell>
        </row>
        <row r="85">
          <cell r="A85" t="str">
            <v xml:space="preserve">Gulfstream G200 </v>
          </cell>
          <cell r="B85">
            <v>39326</v>
          </cell>
          <cell r="C85" t="str">
            <v>Netjets</v>
          </cell>
          <cell r="D85" t="str">
            <v>North America</v>
          </cell>
          <cell r="E85" t="str">
            <v>USA</v>
          </cell>
        </row>
        <row r="86">
          <cell r="A86" t="str">
            <v>Gulfstream G450</v>
          </cell>
          <cell r="B86">
            <v>39326</v>
          </cell>
          <cell r="C86" t="str">
            <v>Business Aviation Asia</v>
          </cell>
          <cell r="D86" t="str">
            <v>Asia</v>
          </cell>
          <cell r="E86" t="str">
            <v>Hong Kong</v>
          </cell>
        </row>
        <row r="87">
          <cell r="A87" t="str">
            <v>Gulfstream G450</v>
          </cell>
          <cell r="B87">
            <v>39326</v>
          </cell>
          <cell r="C87" t="str">
            <v>Unconfirmed Corporate Operator</v>
          </cell>
          <cell r="D87" t="str">
            <v>Unknown area</v>
          </cell>
          <cell r="E87" t="str">
            <v>Unknown Country</v>
          </cell>
        </row>
        <row r="88">
          <cell r="A88" t="str">
            <v>Gulfstream G450</v>
          </cell>
          <cell r="B88">
            <v>39326</v>
          </cell>
          <cell r="C88" t="str">
            <v>Unconfirmed Corporate Operator</v>
          </cell>
          <cell r="D88" t="str">
            <v>Unknown area</v>
          </cell>
          <cell r="E88" t="str">
            <v>Unknown Country</v>
          </cell>
        </row>
        <row r="89">
          <cell r="A89" t="str">
            <v>Gulfstream G550</v>
          </cell>
          <cell r="B89">
            <v>39326</v>
          </cell>
          <cell r="C89" t="str">
            <v>Unconfirmed Asian Corporate Operate</v>
          </cell>
          <cell r="D89" t="str">
            <v>Asia</v>
          </cell>
          <cell r="E89" t="str">
            <v>Unknown Asian Country</v>
          </cell>
        </row>
        <row r="90">
          <cell r="A90" t="str">
            <v>Gulfstream G550</v>
          </cell>
          <cell r="B90">
            <v>39326</v>
          </cell>
          <cell r="C90" t="str">
            <v>Unconfirmed Corporate Operator</v>
          </cell>
          <cell r="D90" t="str">
            <v>Unknown area</v>
          </cell>
          <cell r="E90" t="str">
            <v>Unknown Country</v>
          </cell>
        </row>
        <row r="91">
          <cell r="A91" t="str">
            <v>Gulfstream G150</v>
          </cell>
          <cell r="B91">
            <v>39356</v>
          </cell>
          <cell r="C91" t="str">
            <v>Netjets</v>
          </cell>
          <cell r="D91" t="str">
            <v>North America</v>
          </cell>
          <cell r="E91" t="str">
            <v>USA</v>
          </cell>
        </row>
        <row r="92">
          <cell r="A92" t="str">
            <v xml:space="preserve">Gulfstream G200 </v>
          </cell>
          <cell r="B92">
            <v>39356</v>
          </cell>
          <cell r="C92" t="str">
            <v>Netjets</v>
          </cell>
          <cell r="D92" t="str">
            <v>North America</v>
          </cell>
          <cell r="E92" t="str">
            <v>USA</v>
          </cell>
        </row>
        <row r="93">
          <cell r="A93" t="str">
            <v>Gulfstream G450</v>
          </cell>
          <cell r="B93">
            <v>39356</v>
          </cell>
          <cell r="C93" t="str">
            <v>Unconfirmed Corporate Operator</v>
          </cell>
          <cell r="D93" t="str">
            <v>Unknown area</v>
          </cell>
          <cell r="E93" t="str">
            <v>Unknown Country</v>
          </cell>
        </row>
        <row r="94">
          <cell r="A94" t="str">
            <v>Gulfstream G450</v>
          </cell>
          <cell r="B94">
            <v>39356</v>
          </cell>
          <cell r="C94" t="str">
            <v>Unconfirmed Corporate Operator</v>
          </cell>
          <cell r="D94" t="str">
            <v>Unknown area</v>
          </cell>
          <cell r="E94" t="str">
            <v>Unknown Country</v>
          </cell>
        </row>
        <row r="95">
          <cell r="A95" t="str">
            <v>Gulfstream G550</v>
          </cell>
          <cell r="B95">
            <v>39356</v>
          </cell>
          <cell r="C95" t="str">
            <v>Unconfirmed Corporate Operator</v>
          </cell>
          <cell r="D95" t="str">
            <v>Unknown area</v>
          </cell>
          <cell r="E95" t="str">
            <v>Unknown Country</v>
          </cell>
        </row>
        <row r="96">
          <cell r="A96" t="str">
            <v>Gulfstream G550</v>
          </cell>
          <cell r="B96">
            <v>39356</v>
          </cell>
          <cell r="C96" t="str">
            <v>Unconfirmed Corporate Operator</v>
          </cell>
          <cell r="D96" t="str">
            <v>Unknown area</v>
          </cell>
          <cell r="E96" t="str">
            <v>Unknown Country</v>
          </cell>
        </row>
        <row r="97">
          <cell r="A97" t="str">
            <v>Gulfstream G550</v>
          </cell>
          <cell r="B97">
            <v>39356</v>
          </cell>
          <cell r="C97" t="str">
            <v>Netjets International</v>
          </cell>
          <cell r="D97" t="str">
            <v>North America</v>
          </cell>
          <cell r="E97" t="str">
            <v>USA</v>
          </cell>
        </row>
        <row r="98">
          <cell r="A98" t="str">
            <v>Gulfstream G150</v>
          </cell>
          <cell r="B98">
            <v>39387</v>
          </cell>
          <cell r="C98" t="str">
            <v>Netjets</v>
          </cell>
          <cell r="D98" t="str">
            <v>North America</v>
          </cell>
          <cell r="E98" t="str">
            <v>USA</v>
          </cell>
        </row>
        <row r="99">
          <cell r="A99" t="str">
            <v xml:space="preserve">Gulfstream G200 </v>
          </cell>
          <cell r="B99">
            <v>39387</v>
          </cell>
          <cell r="C99" t="str">
            <v>Netjets</v>
          </cell>
          <cell r="D99" t="str">
            <v>North America</v>
          </cell>
          <cell r="E99" t="str">
            <v>USA</v>
          </cell>
        </row>
        <row r="100">
          <cell r="A100" t="str">
            <v>Gulfstream G450</v>
          </cell>
          <cell r="B100">
            <v>39387</v>
          </cell>
          <cell r="C100" t="str">
            <v>Unconfirmed Corporate Operator</v>
          </cell>
          <cell r="D100" t="str">
            <v>Unknown area</v>
          </cell>
          <cell r="E100" t="str">
            <v>Unknown Country</v>
          </cell>
        </row>
        <row r="101">
          <cell r="A101" t="str">
            <v>Gulfstream G450</v>
          </cell>
          <cell r="B101">
            <v>39387</v>
          </cell>
          <cell r="C101" t="str">
            <v>Unconfirmed Corporate Operator</v>
          </cell>
          <cell r="D101" t="str">
            <v>Unknown area</v>
          </cell>
          <cell r="E101" t="str">
            <v>Unknown Country</v>
          </cell>
        </row>
        <row r="102">
          <cell r="A102" t="str">
            <v>Gulfstream G550</v>
          </cell>
          <cell r="B102">
            <v>39387</v>
          </cell>
          <cell r="C102" t="str">
            <v>Unconfirmed Corporate Operator</v>
          </cell>
          <cell r="D102" t="str">
            <v>Unknown area</v>
          </cell>
          <cell r="E102" t="str">
            <v>Unknown Country</v>
          </cell>
        </row>
        <row r="103">
          <cell r="A103" t="str">
            <v>Gulfstream G550</v>
          </cell>
          <cell r="B103">
            <v>39387</v>
          </cell>
          <cell r="C103" t="str">
            <v>Unconfirmed Corporate Operator</v>
          </cell>
          <cell r="D103" t="str">
            <v>Unknown area</v>
          </cell>
          <cell r="E103" t="str">
            <v>Unknown Country</v>
          </cell>
        </row>
        <row r="104">
          <cell r="A104" t="str">
            <v>Gulfstream G150</v>
          </cell>
          <cell r="B104">
            <v>39417</v>
          </cell>
          <cell r="C104" t="str">
            <v>Netjets</v>
          </cell>
          <cell r="D104" t="str">
            <v>North America</v>
          </cell>
          <cell r="E104" t="str">
            <v>USA</v>
          </cell>
        </row>
        <row r="105">
          <cell r="A105" t="str">
            <v>Gulfstream G450</v>
          </cell>
          <cell r="B105">
            <v>39417</v>
          </cell>
          <cell r="C105" t="str">
            <v>Unconfirmed Corporate Operator</v>
          </cell>
          <cell r="D105" t="str">
            <v>Unknown area</v>
          </cell>
          <cell r="E105" t="str">
            <v>Unknown Country</v>
          </cell>
        </row>
        <row r="106">
          <cell r="A106" t="str">
            <v>Gulfstream G450</v>
          </cell>
          <cell r="B106">
            <v>39417</v>
          </cell>
          <cell r="C106" t="str">
            <v>Unconfirmed Corporate Operator</v>
          </cell>
          <cell r="D106" t="str">
            <v>Unknown area</v>
          </cell>
          <cell r="E106" t="str">
            <v>Unknown Country</v>
          </cell>
        </row>
        <row r="107">
          <cell r="A107" t="str">
            <v>Gulfstream G550</v>
          </cell>
          <cell r="B107">
            <v>39417</v>
          </cell>
          <cell r="C107" t="str">
            <v>Unconfirmed Asian Corporate Operate</v>
          </cell>
          <cell r="D107" t="str">
            <v>Asia</v>
          </cell>
          <cell r="E107" t="str">
            <v>Unknown Asian Country</v>
          </cell>
        </row>
        <row r="108">
          <cell r="A108" t="str">
            <v>Gulfstream G550</v>
          </cell>
          <cell r="B108">
            <v>39417</v>
          </cell>
          <cell r="C108" t="str">
            <v>Unconfirmed Corporate Operator</v>
          </cell>
          <cell r="D108" t="str">
            <v>Unknown area</v>
          </cell>
          <cell r="E108" t="str">
            <v>Unknown Country</v>
          </cell>
        </row>
        <row r="109">
          <cell r="A109" t="str">
            <v>Gulfstream G550</v>
          </cell>
          <cell r="B109">
            <v>39417</v>
          </cell>
          <cell r="C109" t="str">
            <v>Unconfirmed Corporate Operator</v>
          </cell>
          <cell r="D109" t="str">
            <v>Unknown area</v>
          </cell>
          <cell r="E109" t="str">
            <v>Unknown Country</v>
          </cell>
        </row>
        <row r="110">
          <cell r="A110" t="str">
            <v xml:space="preserve">Gulfstream G200 </v>
          </cell>
          <cell r="B110">
            <v>39448</v>
          </cell>
          <cell r="C110" t="str">
            <v>Netjets</v>
          </cell>
          <cell r="D110" t="str">
            <v>North America</v>
          </cell>
          <cell r="E110" t="str">
            <v>USA</v>
          </cell>
        </row>
        <row r="111">
          <cell r="A111" t="str">
            <v>Gulfstream G350</v>
          </cell>
          <cell r="B111">
            <v>39448</v>
          </cell>
          <cell r="C111" t="str">
            <v>Unconfirmed Corporate Operator</v>
          </cell>
          <cell r="D111" t="str">
            <v>Unknown area</v>
          </cell>
          <cell r="E111" t="str">
            <v>Unknown Country</v>
          </cell>
        </row>
        <row r="112">
          <cell r="A112" t="str">
            <v>Gulfstream G450</v>
          </cell>
          <cell r="B112">
            <v>39448</v>
          </cell>
          <cell r="C112" t="str">
            <v>Unconfirmed Corporate Operator</v>
          </cell>
          <cell r="D112" t="str">
            <v>Unknown area</v>
          </cell>
          <cell r="E112" t="str">
            <v>Unknown Country</v>
          </cell>
        </row>
        <row r="113">
          <cell r="A113" t="str">
            <v>Gulfstream G550</v>
          </cell>
          <cell r="B113">
            <v>39448</v>
          </cell>
          <cell r="C113" t="str">
            <v>Unconfirmed Corporate Operator</v>
          </cell>
          <cell r="D113" t="str">
            <v>Unknown area</v>
          </cell>
          <cell r="E113" t="str">
            <v>Unknown Country</v>
          </cell>
        </row>
        <row r="114">
          <cell r="A114" t="str">
            <v>Gulfstream G550</v>
          </cell>
          <cell r="B114">
            <v>39448</v>
          </cell>
          <cell r="C114" t="str">
            <v>Unconfirmed Corporate Operator</v>
          </cell>
          <cell r="D114" t="str">
            <v>Unknown area</v>
          </cell>
          <cell r="E114" t="str">
            <v>Unknown Country</v>
          </cell>
        </row>
        <row r="115">
          <cell r="A115" t="str">
            <v>Gulfstream G150</v>
          </cell>
          <cell r="B115">
            <v>39479</v>
          </cell>
          <cell r="C115" t="str">
            <v>Netjets</v>
          </cell>
          <cell r="D115" t="str">
            <v>North America</v>
          </cell>
          <cell r="E115" t="str">
            <v>USA</v>
          </cell>
        </row>
        <row r="116">
          <cell r="A116" t="str">
            <v xml:space="preserve">Gulfstream G200 </v>
          </cell>
          <cell r="B116">
            <v>39479</v>
          </cell>
          <cell r="C116" t="str">
            <v>Netjets</v>
          </cell>
          <cell r="D116" t="str">
            <v>North America</v>
          </cell>
          <cell r="E116" t="str">
            <v>USA</v>
          </cell>
        </row>
        <row r="117">
          <cell r="A117" t="str">
            <v>Gulfstream G350</v>
          </cell>
          <cell r="B117">
            <v>39479</v>
          </cell>
          <cell r="C117" t="str">
            <v>Unconfirmed Corporate Operator</v>
          </cell>
          <cell r="D117" t="str">
            <v>Unknown area</v>
          </cell>
          <cell r="E117" t="str">
            <v>Unknown Country</v>
          </cell>
        </row>
        <row r="118">
          <cell r="A118" t="str">
            <v>Gulfstream G450</v>
          </cell>
          <cell r="B118">
            <v>39479</v>
          </cell>
          <cell r="C118" t="str">
            <v>Unconfirmed Corporate Operator</v>
          </cell>
          <cell r="D118" t="str">
            <v>Unknown area</v>
          </cell>
          <cell r="E118" t="str">
            <v>Unknown Country</v>
          </cell>
        </row>
        <row r="119">
          <cell r="A119" t="str">
            <v>Gulfstream G500</v>
          </cell>
          <cell r="B119">
            <v>39479</v>
          </cell>
          <cell r="C119" t="str">
            <v>Unconfirmed Corporate Operator</v>
          </cell>
          <cell r="D119" t="str">
            <v>Unknown area</v>
          </cell>
          <cell r="E119" t="str">
            <v>Unknown Country</v>
          </cell>
        </row>
        <row r="120">
          <cell r="A120" t="str">
            <v>Gulfstream G550</v>
          </cell>
          <cell r="B120">
            <v>39479</v>
          </cell>
          <cell r="C120" t="str">
            <v>Unconfirmed Corporate Operator</v>
          </cell>
          <cell r="D120" t="str">
            <v>Unknown area</v>
          </cell>
          <cell r="E120" t="str">
            <v>Unknown Country</v>
          </cell>
        </row>
        <row r="121">
          <cell r="A121" t="str">
            <v>Gulfstream G550</v>
          </cell>
          <cell r="B121">
            <v>39479</v>
          </cell>
          <cell r="C121" t="str">
            <v>TWC Aviation LLC</v>
          </cell>
          <cell r="D121" t="str">
            <v>North America</v>
          </cell>
          <cell r="E121" t="str">
            <v>USA</v>
          </cell>
        </row>
        <row r="122">
          <cell r="A122" t="str">
            <v>Gulfstream G150</v>
          </cell>
          <cell r="B122">
            <v>39508</v>
          </cell>
          <cell r="C122" t="str">
            <v>Netjets</v>
          </cell>
          <cell r="D122" t="str">
            <v>North America</v>
          </cell>
          <cell r="E122" t="str">
            <v>USA</v>
          </cell>
        </row>
        <row r="123">
          <cell r="A123" t="str">
            <v xml:space="preserve">Gulfstream G200 </v>
          </cell>
          <cell r="B123">
            <v>39508</v>
          </cell>
          <cell r="C123" t="str">
            <v>Netjets</v>
          </cell>
          <cell r="D123" t="str">
            <v>North America</v>
          </cell>
          <cell r="E123" t="str">
            <v>USA</v>
          </cell>
        </row>
        <row r="124">
          <cell r="A124" t="str">
            <v>Gulfstream G350</v>
          </cell>
          <cell r="B124">
            <v>39508</v>
          </cell>
          <cell r="C124" t="str">
            <v>Unconfirmed Corporate Operator</v>
          </cell>
          <cell r="D124" t="str">
            <v>Unknown area</v>
          </cell>
          <cell r="E124" t="str">
            <v>Unknown Country</v>
          </cell>
        </row>
        <row r="125">
          <cell r="A125" t="str">
            <v>Gulfstream G450</v>
          </cell>
          <cell r="B125">
            <v>39508</v>
          </cell>
          <cell r="C125" t="str">
            <v>Unconfirmed Corporate Operator</v>
          </cell>
          <cell r="D125" t="str">
            <v>Unknown area</v>
          </cell>
          <cell r="E125" t="str">
            <v>Unknown Country</v>
          </cell>
        </row>
        <row r="126">
          <cell r="A126" t="str">
            <v>Gulfstream G550</v>
          </cell>
          <cell r="B126">
            <v>39508</v>
          </cell>
          <cell r="C126" t="str">
            <v>Unconfirmed Corporate Operator</v>
          </cell>
          <cell r="D126" t="str">
            <v>Unknown area</v>
          </cell>
          <cell r="E126" t="str">
            <v>Unknown Country</v>
          </cell>
        </row>
        <row r="127">
          <cell r="A127" t="str">
            <v>Gulfstream G550</v>
          </cell>
          <cell r="B127">
            <v>39508</v>
          </cell>
          <cell r="C127" t="str">
            <v>Unconfirmed Corporate Operator</v>
          </cell>
          <cell r="D127" t="str">
            <v>Unknown area</v>
          </cell>
          <cell r="E127" t="str">
            <v>Unknown Country</v>
          </cell>
        </row>
        <row r="128">
          <cell r="A128" t="str">
            <v>Gulfstream G150</v>
          </cell>
          <cell r="B128">
            <v>39539</v>
          </cell>
          <cell r="C128" t="str">
            <v>Netjets</v>
          </cell>
          <cell r="D128" t="str">
            <v>North America</v>
          </cell>
          <cell r="E128" t="str">
            <v>USA</v>
          </cell>
        </row>
        <row r="129">
          <cell r="A129" t="str">
            <v>Gulfstream G450</v>
          </cell>
          <cell r="B129">
            <v>39539</v>
          </cell>
          <cell r="C129" t="str">
            <v>Unconfirmed Corporate Operator</v>
          </cell>
          <cell r="D129" t="str">
            <v>Unknown area</v>
          </cell>
          <cell r="E129" t="str">
            <v>Unknown Country</v>
          </cell>
        </row>
        <row r="130">
          <cell r="A130" t="str">
            <v>Gulfstream G450</v>
          </cell>
          <cell r="B130">
            <v>39539</v>
          </cell>
          <cell r="C130" t="str">
            <v>Unconfirmed Corporate Operator</v>
          </cell>
          <cell r="D130" t="str">
            <v>Unknown area</v>
          </cell>
          <cell r="E130" t="str">
            <v>Unknown Country</v>
          </cell>
        </row>
        <row r="131">
          <cell r="A131" t="str">
            <v>Gulfstream G500</v>
          </cell>
          <cell r="B131">
            <v>39539</v>
          </cell>
          <cell r="C131" t="str">
            <v>Unconfirmed Corporate Operator</v>
          </cell>
          <cell r="D131" t="str">
            <v>Unknown area</v>
          </cell>
          <cell r="E131" t="str">
            <v>Unknown Country</v>
          </cell>
        </row>
        <row r="132">
          <cell r="A132" t="str">
            <v>Gulfstream G550</v>
          </cell>
          <cell r="B132">
            <v>39539</v>
          </cell>
          <cell r="C132" t="str">
            <v>Unconfirmed Corporate Operator</v>
          </cell>
          <cell r="D132" t="str">
            <v>Unknown area</v>
          </cell>
          <cell r="E132" t="str">
            <v>Unknown Country</v>
          </cell>
        </row>
        <row r="133">
          <cell r="A133" t="str">
            <v>Gulfstream G550</v>
          </cell>
          <cell r="B133">
            <v>39539</v>
          </cell>
          <cell r="C133" t="str">
            <v>Netjets International</v>
          </cell>
          <cell r="D133" t="str">
            <v>North America</v>
          </cell>
          <cell r="E133" t="str">
            <v>USA</v>
          </cell>
        </row>
        <row r="134">
          <cell r="A134" t="str">
            <v xml:space="preserve">Gulfstream G200 </v>
          </cell>
          <cell r="B134">
            <v>39569</v>
          </cell>
          <cell r="C134" t="str">
            <v>Netjets</v>
          </cell>
          <cell r="D134" t="str">
            <v>North America</v>
          </cell>
          <cell r="E134" t="str">
            <v>USA</v>
          </cell>
        </row>
        <row r="135">
          <cell r="A135" t="str">
            <v>Gulfstream G350</v>
          </cell>
          <cell r="B135">
            <v>39569</v>
          </cell>
          <cell r="C135" t="str">
            <v>Unconfirmed Corporate Operator</v>
          </cell>
          <cell r="D135" t="str">
            <v>Unknown area</v>
          </cell>
          <cell r="E135" t="str">
            <v>Unknown Country</v>
          </cell>
        </row>
        <row r="136">
          <cell r="A136" t="str">
            <v>Gulfstream G450</v>
          </cell>
          <cell r="B136">
            <v>39569</v>
          </cell>
          <cell r="C136" t="str">
            <v>Unconfirmed Corporate Operator</v>
          </cell>
          <cell r="D136" t="str">
            <v>Unknown area</v>
          </cell>
          <cell r="E136" t="str">
            <v>Unknown Country</v>
          </cell>
        </row>
        <row r="137">
          <cell r="A137" t="str">
            <v>Gulfstream G550</v>
          </cell>
          <cell r="B137">
            <v>39569</v>
          </cell>
          <cell r="C137" t="str">
            <v>Sonnig SA</v>
          </cell>
          <cell r="D137" t="str">
            <v>Europe</v>
          </cell>
          <cell r="E137" t="str">
            <v>Switzerland</v>
          </cell>
        </row>
        <row r="138">
          <cell r="A138" t="str">
            <v>Gulfstream G550</v>
          </cell>
          <cell r="B138">
            <v>39569</v>
          </cell>
          <cell r="C138" t="str">
            <v>Unconfirmed Corporate Operator</v>
          </cell>
          <cell r="D138" t="str">
            <v>Unknown area</v>
          </cell>
          <cell r="E138" t="str">
            <v>Unknown Country</v>
          </cell>
        </row>
        <row r="139">
          <cell r="A139" t="str">
            <v>Gulfstream G150</v>
          </cell>
          <cell r="B139">
            <v>39600</v>
          </cell>
          <cell r="C139" t="str">
            <v>Netjets</v>
          </cell>
          <cell r="D139" t="str">
            <v>North America</v>
          </cell>
          <cell r="E139" t="str">
            <v>USA</v>
          </cell>
        </row>
        <row r="140">
          <cell r="A140" t="str">
            <v xml:space="preserve">Gulfstream G200 </v>
          </cell>
          <cell r="B140">
            <v>39600</v>
          </cell>
          <cell r="C140" t="str">
            <v>Netjets</v>
          </cell>
          <cell r="D140" t="str">
            <v>North America</v>
          </cell>
          <cell r="E140" t="str">
            <v>USA</v>
          </cell>
        </row>
        <row r="141">
          <cell r="A141" t="str">
            <v>Gulfstream G450</v>
          </cell>
          <cell r="B141">
            <v>39600</v>
          </cell>
          <cell r="C141" t="str">
            <v>Unconfirmed Corporate Operator</v>
          </cell>
          <cell r="D141" t="str">
            <v>Unknown area</v>
          </cell>
          <cell r="E141" t="str">
            <v>Unknown Country</v>
          </cell>
        </row>
        <row r="142">
          <cell r="A142" t="str">
            <v>Gulfstream G450</v>
          </cell>
          <cell r="B142">
            <v>39600</v>
          </cell>
          <cell r="C142" t="str">
            <v>Unconfirmed Corporate Operator</v>
          </cell>
          <cell r="D142" t="str">
            <v>Unknown area</v>
          </cell>
          <cell r="E142" t="str">
            <v>Unknown Country</v>
          </cell>
        </row>
        <row r="143">
          <cell r="A143" t="str">
            <v>Gulfstream G550</v>
          </cell>
          <cell r="B143">
            <v>39600</v>
          </cell>
          <cell r="C143" t="str">
            <v>Unconfirmed Corporate Operator</v>
          </cell>
          <cell r="D143" t="str">
            <v>Unknown area</v>
          </cell>
          <cell r="E143" t="str">
            <v>Unknown Country</v>
          </cell>
        </row>
        <row r="144">
          <cell r="A144" t="str">
            <v>Gulfstream G550</v>
          </cell>
          <cell r="B144">
            <v>39600</v>
          </cell>
          <cell r="C144" t="str">
            <v>Unconfirmed Corporate Operator</v>
          </cell>
          <cell r="D144" t="str">
            <v>Unknown area</v>
          </cell>
          <cell r="E144" t="str">
            <v>Unknown Country</v>
          </cell>
        </row>
        <row r="145">
          <cell r="A145" t="str">
            <v>Gulfstream G550</v>
          </cell>
          <cell r="B145">
            <v>39600</v>
          </cell>
          <cell r="C145" t="str">
            <v>Netjets International</v>
          </cell>
          <cell r="D145" t="str">
            <v>North America</v>
          </cell>
          <cell r="E145" t="str">
            <v>USA</v>
          </cell>
        </row>
        <row r="146">
          <cell r="A146" t="str">
            <v>Gulfstream G150</v>
          </cell>
          <cell r="B146">
            <v>39630</v>
          </cell>
          <cell r="C146" t="str">
            <v>Netjets</v>
          </cell>
          <cell r="D146" t="str">
            <v>North America</v>
          </cell>
          <cell r="E146" t="str">
            <v>USA</v>
          </cell>
        </row>
        <row r="147">
          <cell r="A147" t="str">
            <v xml:space="preserve">Gulfstream G200 </v>
          </cell>
          <cell r="B147">
            <v>39630</v>
          </cell>
          <cell r="C147" t="str">
            <v>Netjets</v>
          </cell>
          <cell r="D147" t="str">
            <v>North America</v>
          </cell>
          <cell r="E147" t="str">
            <v>USA</v>
          </cell>
        </row>
        <row r="148">
          <cell r="A148" t="str">
            <v>Gulfstream G350</v>
          </cell>
          <cell r="B148">
            <v>39630</v>
          </cell>
          <cell r="C148" t="str">
            <v>Unconfirmed Corporate Operator</v>
          </cell>
          <cell r="D148" t="str">
            <v>Unknown area</v>
          </cell>
          <cell r="E148" t="str">
            <v>Unknown Country</v>
          </cell>
        </row>
        <row r="149">
          <cell r="A149" t="str">
            <v>Gulfstream G450</v>
          </cell>
          <cell r="B149">
            <v>39630</v>
          </cell>
          <cell r="C149" t="str">
            <v>Unconfirmed Corporate Operator</v>
          </cell>
          <cell r="D149" t="str">
            <v>Unknown area</v>
          </cell>
          <cell r="E149" t="str">
            <v>Unknown Country</v>
          </cell>
        </row>
        <row r="150">
          <cell r="A150" t="str">
            <v>Gulfstream G550</v>
          </cell>
          <cell r="B150">
            <v>39630</v>
          </cell>
          <cell r="C150" t="str">
            <v>Unconfirmed Corporate Operator</v>
          </cell>
          <cell r="D150" t="str">
            <v>Unknown area</v>
          </cell>
          <cell r="E150" t="str">
            <v>Unknown Country</v>
          </cell>
        </row>
        <row r="151">
          <cell r="A151" t="str">
            <v>Gulfstream G550</v>
          </cell>
          <cell r="B151">
            <v>39630</v>
          </cell>
          <cell r="C151" t="str">
            <v>Unconfirmed Corporate Operator</v>
          </cell>
          <cell r="D151" t="str">
            <v>Unknown area</v>
          </cell>
          <cell r="E151" t="str">
            <v>Unknown Country</v>
          </cell>
        </row>
        <row r="152">
          <cell r="A152" t="str">
            <v>Gulfstream G450</v>
          </cell>
          <cell r="B152">
            <v>39661</v>
          </cell>
          <cell r="C152" t="str">
            <v>Unconfirmed Corporate Operator</v>
          </cell>
          <cell r="D152" t="str">
            <v>Unknown area</v>
          </cell>
          <cell r="E152" t="str">
            <v>Unknown Country</v>
          </cell>
        </row>
        <row r="153">
          <cell r="A153" t="str">
            <v>Gulfstream G450</v>
          </cell>
          <cell r="B153">
            <v>39661</v>
          </cell>
          <cell r="C153" t="str">
            <v>Unconfirmed Corporate Operator</v>
          </cell>
          <cell r="D153" t="str">
            <v>Unknown area</v>
          </cell>
          <cell r="E153" t="str">
            <v>Unknown Country</v>
          </cell>
        </row>
        <row r="154">
          <cell r="A154" t="str">
            <v>Gulfstream G550</v>
          </cell>
          <cell r="B154">
            <v>39661</v>
          </cell>
          <cell r="C154" t="str">
            <v>Unconfirmed Corporate Operator</v>
          </cell>
          <cell r="D154" t="str">
            <v>Unknown area</v>
          </cell>
          <cell r="E154" t="str">
            <v>Unknown Country</v>
          </cell>
        </row>
        <row r="155">
          <cell r="A155" t="str">
            <v>Gulfstream G550</v>
          </cell>
          <cell r="B155">
            <v>39661</v>
          </cell>
          <cell r="C155" t="str">
            <v>Unconfirmed Corporate Operator</v>
          </cell>
          <cell r="D155" t="str">
            <v>Unknown area</v>
          </cell>
          <cell r="E155" t="str">
            <v>Unknown Country</v>
          </cell>
        </row>
        <row r="156">
          <cell r="A156" t="str">
            <v>Gulfstream G550</v>
          </cell>
          <cell r="B156">
            <v>39661</v>
          </cell>
          <cell r="C156" t="str">
            <v>Netjets International</v>
          </cell>
          <cell r="D156" t="str">
            <v>North America</v>
          </cell>
          <cell r="E156" t="str">
            <v>USA</v>
          </cell>
        </row>
        <row r="157">
          <cell r="A157" t="str">
            <v>Gulfstream G150</v>
          </cell>
          <cell r="B157">
            <v>39692</v>
          </cell>
          <cell r="C157" t="str">
            <v>Netjets</v>
          </cell>
          <cell r="D157" t="str">
            <v>North America</v>
          </cell>
          <cell r="E157" t="str">
            <v>USA</v>
          </cell>
        </row>
        <row r="158">
          <cell r="A158" t="str">
            <v xml:space="preserve">Gulfstream G200 </v>
          </cell>
          <cell r="B158">
            <v>39692</v>
          </cell>
          <cell r="C158" t="str">
            <v>Netjets</v>
          </cell>
          <cell r="D158" t="str">
            <v>North America</v>
          </cell>
          <cell r="E158" t="str">
            <v>USA</v>
          </cell>
        </row>
        <row r="159">
          <cell r="A159" t="str">
            <v>Gulfstream G450</v>
          </cell>
          <cell r="B159">
            <v>39692</v>
          </cell>
          <cell r="C159" t="str">
            <v>Unconfirmed Corporate Operator</v>
          </cell>
          <cell r="D159" t="str">
            <v>Unknown area</v>
          </cell>
          <cell r="E159" t="str">
            <v>Unknown Country</v>
          </cell>
        </row>
        <row r="160">
          <cell r="A160" t="str">
            <v>Gulfstream G500</v>
          </cell>
          <cell r="B160">
            <v>39692</v>
          </cell>
          <cell r="C160" t="str">
            <v>Unconfirmed Corporate Operator</v>
          </cell>
          <cell r="D160" t="str">
            <v>Unknown area</v>
          </cell>
          <cell r="E160" t="str">
            <v>Unknown Country</v>
          </cell>
        </row>
        <row r="161">
          <cell r="A161" t="str">
            <v>Gulfstream G550</v>
          </cell>
          <cell r="B161">
            <v>39692</v>
          </cell>
          <cell r="C161" t="str">
            <v>Unconfirmed Corporate Operator</v>
          </cell>
          <cell r="D161" t="str">
            <v>Unknown area</v>
          </cell>
          <cell r="E161" t="str">
            <v>Unknown Country</v>
          </cell>
        </row>
        <row r="162">
          <cell r="A162" t="str">
            <v>Gulfstream G150</v>
          </cell>
          <cell r="B162">
            <v>39722</v>
          </cell>
          <cell r="C162" t="str">
            <v>Netjets</v>
          </cell>
          <cell r="D162" t="str">
            <v>North America</v>
          </cell>
          <cell r="E162" t="str">
            <v>USA</v>
          </cell>
        </row>
        <row r="163">
          <cell r="A163" t="str">
            <v xml:space="preserve">Gulfstream G200 </v>
          </cell>
          <cell r="B163">
            <v>39722</v>
          </cell>
          <cell r="C163" t="str">
            <v>Netjets</v>
          </cell>
          <cell r="D163" t="str">
            <v>North America</v>
          </cell>
          <cell r="E163" t="str">
            <v>USA</v>
          </cell>
        </row>
        <row r="164">
          <cell r="A164" t="str">
            <v>Gulfstream G550</v>
          </cell>
          <cell r="B164">
            <v>39722</v>
          </cell>
          <cell r="C164" t="str">
            <v>Unconfirmed Corporate Operator</v>
          </cell>
          <cell r="D164" t="str">
            <v>Unknown area</v>
          </cell>
          <cell r="E164" t="str">
            <v>Unknown Country</v>
          </cell>
        </row>
        <row r="165">
          <cell r="A165" t="str">
            <v>Gulfstream G550</v>
          </cell>
          <cell r="B165">
            <v>39722</v>
          </cell>
          <cell r="C165" t="str">
            <v>Unconfirmed Corporate Operator</v>
          </cell>
          <cell r="D165" t="str">
            <v>Unknown area</v>
          </cell>
          <cell r="E165" t="str">
            <v>Unknown Country</v>
          </cell>
        </row>
        <row r="166">
          <cell r="A166" t="str">
            <v>Gulfstream G550</v>
          </cell>
          <cell r="B166">
            <v>39722</v>
          </cell>
          <cell r="C166" t="str">
            <v>Netjets International</v>
          </cell>
          <cell r="D166" t="str">
            <v>North America</v>
          </cell>
          <cell r="E166" t="str">
            <v>USA</v>
          </cell>
        </row>
        <row r="167">
          <cell r="A167" t="str">
            <v>Gulfstream G150</v>
          </cell>
          <cell r="B167">
            <v>39753</v>
          </cell>
          <cell r="C167" t="str">
            <v>Netjets</v>
          </cell>
          <cell r="D167" t="str">
            <v>North America</v>
          </cell>
          <cell r="E167" t="str">
            <v>USA</v>
          </cell>
        </row>
        <row r="168">
          <cell r="A168" t="str">
            <v xml:space="preserve">Gulfstream G200 </v>
          </cell>
          <cell r="B168">
            <v>39753</v>
          </cell>
          <cell r="C168" t="str">
            <v>Netjets</v>
          </cell>
          <cell r="D168" t="str">
            <v>North America</v>
          </cell>
          <cell r="E168" t="str">
            <v>USA</v>
          </cell>
        </row>
        <row r="169">
          <cell r="A169" t="str">
            <v>Gulfstream G550</v>
          </cell>
          <cell r="B169">
            <v>39753</v>
          </cell>
          <cell r="C169" t="str">
            <v>Unconfirmed Corporate Operator</v>
          </cell>
          <cell r="D169" t="str">
            <v>Unknown area</v>
          </cell>
          <cell r="E169" t="str">
            <v>Unknown Country</v>
          </cell>
        </row>
        <row r="170">
          <cell r="A170" t="str">
            <v>Gulfstream G550</v>
          </cell>
          <cell r="B170">
            <v>39753</v>
          </cell>
          <cell r="C170" t="str">
            <v>Unconfirmed Corporate Operator</v>
          </cell>
          <cell r="D170" t="str">
            <v>Unknown area</v>
          </cell>
          <cell r="E170" t="str">
            <v>Unknown Country</v>
          </cell>
        </row>
        <row r="171">
          <cell r="A171" t="str">
            <v>Gulfstream G550</v>
          </cell>
          <cell r="B171">
            <v>39753</v>
          </cell>
          <cell r="C171" t="str">
            <v>Netjets International</v>
          </cell>
          <cell r="D171" t="str">
            <v>North America</v>
          </cell>
          <cell r="E171" t="str">
            <v>USA</v>
          </cell>
        </row>
        <row r="172">
          <cell r="A172" t="str">
            <v>Gulfstream G550</v>
          </cell>
          <cell r="B172">
            <v>39783</v>
          </cell>
          <cell r="C172" t="str">
            <v>Israel Air and Space Force</v>
          </cell>
          <cell r="D172" t="str">
            <v>Middle East</v>
          </cell>
          <cell r="E172" t="str">
            <v>Israel</v>
          </cell>
        </row>
        <row r="173">
          <cell r="A173" t="str">
            <v>Gulfstream G550</v>
          </cell>
          <cell r="B173">
            <v>39783</v>
          </cell>
          <cell r="C173" t="str">
            <v>Unconfirmed Corporate Operator</v>
          </cell>
          <cell r="D173" t="str">
            <v>Unknown area</v>
          </cell>
          <cell r="E173" t="str">
            <v>Unknown Country</v>
          </cell>
        </row>
        <row r="174">
          <cell r="A174" t="str">
            <v>Gulfstream G150</v>
          </cell>
          <cell r="B174">
            <v>39814</v>
          </cell>
          <cell r="C174" t="str">
            <v>Netjets</v>
          </cell>
          <cell r="D174" t="str">
            <v>North America</v>
          </cell>
          <cell r="E174" t="str">
            <v>USA</v>
          </cell>
        </row>
        <row r="175">
          <cell r="A175" t="str">
            <v>Gulfstream G550</v>
          </cell>
          <cell r="B175">
            <v>39814</v>
          </cell>
          <cell r="C175" t="str">
            <v>Netjets International</v>
          </cell>
          <cell r="D175" t="str">
            <v>North America</v>
          </cell>
          <cell r="E175" t="str">
            <v>USA</v>
          </cell>
        </row>
        <row r="176">
          <cell r="A176" t="str">
            <v>Gulfstream G150</v>
          </cell>
          <cell r="B176">
            <v>39845</v>
          </cell>
          <cell r="C176" t="str">
            <v>Netjets</v>
          </cell>
          <cell r="D176" t="str">
            <v>North America</v>
          </cell>
          <cell r="E176" t="str">
            <v>USA</v>
          </cell>
        </row>
        <row r="177">
          <cell r="A177" t="str">
            <v>Gulfstream G150</v>
          </cell>
          <cell r="B177">
            <v>39873</v>
          </cell>
          <cell r="C177" t="str">
            <v>Netjets</v>
          </cell>
          <cell r="D177" t="str">
            <v>North America</v>
          </cell>
          <cell r="E177" t="str">
            <v>USA</v>
          </cell>
        </row>
        <row r="178">
          <cell r="A178" t="str">
            <v>Gulfstream G550</v>
          </cell>
          <cell r="B178">
            <v>39904</v>
          </cell>
          <cell r="C178" t="str">
            <v>Netjets International</v>
          </cell>
          <cell r="D178" t="str">
            <v>North America</v>
          </cell>
          <cell r="E178" t="str">
            <v>USA</v>
          </cell>
        </row>
        <row r="179">
          <cell r="A179" t="str">
            <v>Gulfstream G150</v>
          </cell>
          <cell r="B179">
            <v>39934</v>
          </cell>
          <cell r="C179" t="str">
            <v>Netjets</v>
          </cell>
          <cell r="D179" t="str">
            <v>North America</v>
          </cell>
          <cell r="E179" t="str">
            <v>USA</v>
          </cell>
        </row>
        <row r="180">
          <cell r="A180" t="str">
            <v>Gulfstream G150</v>
          </cell>
          <cell r="B180">
            <v>39965</v>
          </cell>
          <cell r="C180" t="str">
            <v>Netjets</v>
          </cell>
          <cell r="D180" t="str">
            <v>North America</v>
          </cell>
          <cell r="E180" t="str">
            <v>USA</v>
          </cell>
        </row>
        <row r="181">
          <cell r="A181" t="str">
            <v>Gulfstream G150</v>
          </cell>
          <cell r="B181">
            <v>39995</v>
          </cell>
          <cell r="C181" t="str">
            <v>Netjets</v>
          </cell>
          <cell r="D181" t="str">
            <v>North America</v>
          </cell>
          <cell r="E181" t="str">
            <v>USA</v>
          </cell>
        </row>
        <row r="182">
          <cell r="A182" t="str">
            <v>Gulfstream G550</v>
          </cell>
          <cell r="B182">
            <v>39995</v>
          </cell>
          <cell r="C182" t="str">
            <v>Netjets International</v>
          </cell>
          <cell r="D182" t="str">
            <v>North America</v>
          </cell>
          <cell r="E182" t="str">
            <v>USA</v>
          </cell>
        </row>
        <row r="183">
          <cell r="A183" t="str">
            <v>Gulfstream G150</v>
          </cell>
          <cell r="B183">
            <v>40057</v>
          </cell>
          <cell r="C183" t="str">
            <v>Netjets</v>
          </cell>
          <cell r="D183" t="str">
            <v>North America</v>
          </cell>
          <cell r="E183" t="str">
            <v>USA</v>
          </cell>
        </row>
        <row r="184">
          <cell r="A184" t="str">
            <v>Gulfstream G150</v>
          </cell>
          <cell r="B184">
            <v>40087</v>
          </cell>
          <cell r="C184" t="str">
            <v>Netjets</v>
          </cell>
          <cell r="D184" t="str">
            <v>North America</v>
          </cell>
          <cell r="E184" t="str">
            <v>USA</v>
          </cell>
        </row>
        <row r="185">
          <cell r="A185" t="str">
            <v>Gulfstream G150</v>
          </cell>
          <cell r="B185">
            <v>40118</v>
          </cell>
          <cell r="C185" t="str">
            <v>Netjets</v>
          </cell>
          <cell r="D185" t="str">
            <v>North America</v>
          </cell>
          <cell r="E185" t="str">
            <v>USA</v>
          </cell>
        </row>
        <row r="186">
          <cell r="A186" t="str">
            <v>Gulfstream G150</v>
          </cell>
          <cell r="B186">
            <v>40179</v>
          </cell>
          <cell r="C186" t="str">
            <v>Netjets</v>
          </cell>
          <cell r="D186" t="str">
            <v>North America</v>
          </cell>
          <cell r="E186" t="str">
            <v>USA</v>
          </cell>
        </row>
        <row r="187">
          <cell r="A187" t="str">
            <v>Gulfstream G150</v>
          </cell>
          <cell r="B187">
            <v>40210</v>
          </cell>
          <cell r="C187" t="str">
            <v>Netjets</v>
          </cell>
          <cell r="D187" t="str">
            <v>North America</v>
          </cell>
          <cell r="E187" t="str">
            <v>USA</v>
          </cell>
        </row>
        <row r="188">
          <cell r="A188" t="str">
            <v>Gulfstream G150</v>
          </cell>
          <cell r="B188">
            <v>40238</v>
          </cell>
          <cell r="C188" t="str">
            <v>Netjets</v>
          </cell>
          <cell r="D188" t="str">
            <v>North America</v>
          </cell>
          <cell r="E188" t="str">
            <v>USA</v>
          </cell>
        </row>
        <row r="189">
          <cell r="A189" t="str">
            <v>Gulfstream G150</v>
          </cell>
          <cell r="B189">
            <v>40299</v>
          </cell>
          <cell r="C189" t="str">
            <v>Netjets</v>
          </cell>
          <cell r="D189" t="str">
            <v>North America</v>
          </cell>
          <cell r="E189" t="str">
            <v>USA</v>
          </cell>
        </row>
        <row r="190">
          <cell r="A190" t="str">
            <v>Gulfstream G150</v>
          </cell>
          <cell r="B190">
            <v>40330</v>
          </cell>
          <cell r="C190" t="str">
            <v>Netjets</v>
          </cell>
          <cell r="D190" t="str">
            <v>North America</v>
          </cell>
          <cell r="E190" t="str">
            <v>USA</v>
          </cell>
        </row>
        <row r="191">
          <cell r="A191" t="str">
            <v>Gulfstream G150</v>
          </cell>
          <cell r="B191">
            <v>40360</v>
          </cell>
          <cell r="C191" t="str">
            <v>Netjets</v>
          </cell>
          <cell r="D191" t="str">
            <v>North America</v>
          </cell>
          <cell r="E191" t="str">
            <v>USA</v>
          </cell>
        </row>
        <row r="192">
          <cell r="A192" t="str">
            <v>Gulfstream G150</v>
          </cell>
          <cell r="B192">
            <v>40422</v>
          </cell>
          <cell r="C192" t="str">
            <v>Netjets</v>
          </cell>
          <cell r="D192" t="str">
            <v>North America</v>
          </cell>
          <cell r="E192" t="str">
            <v>USA</v>
          </cell>
        </row>
        <row r="193">
          <cell r="A193" t="str">
            <v>Gulfstream G150</v>
          </cell>
          <cell r="B193">
            <v>40452</v>
          </cell>
          <cell r="C193" t="str">
            <v>Netjets</v>
          </cell>
          <cell r="D193" t="str">
            <v>North America</v>
          </cell>
          <cell r="E193" t="str">
            <v>USA</v>
          </cell>
        </row>
        <row r="194">
          <cell r="A194" t="str">
            <v>Gulfstream G150</v>
          </cell>
          <cell r="B194">
            <v>40483</v>
          </cell>
          <cell r="C194" t="str">
            <v>Netjets</v>
          </cell>
          <cell r="D194" t="str">
            <v>North America</v>
          </cell>
          <cell r="E194" t="str">
            <v>USA</v>
          </cell>
        </row>
        <row r="195">
          <cell r="A195" t="str">
            <v>Gulfstream G150</v>
          </cell>
          <cell r="B195">
            <v>40544</v>
          </cell>
          <cell r="C195" t="str">
            <v>Netjets</v>
          </cell>
          <cell r="D195" t="str">
            <v>North America</v>
          </cell>
          <cell r="E195" t="str">
            <v>USA</v>
          </cell>
        </row>
        <row r="196">
          <cell r="A196" t="str">
            <v>Gulfstream G150</v>
          </cell>
          <cell r="B196">
            <v>40575</v>
          </cell>
          <cell r="C196" t="str">
            <v>Netjets</v>
          </cell>
          <cell r="D196" t="str">
            <v>North America</v>
          </cell>
          <cell r="E196" t="str">
            <v>USA</v>
          </cell>
        </row>
        <row r="197">
          <cell r="A197" t="str">
            <v>Gulfstream G150</v>
          </cell>
          <cell r="B197">
            <v>40603</v>
          </cell>
          <cell r="C197" t="str">
            <v>Netjets</v>
          </cell>
          <cell r="D197" t="str">
            <v>North America</v>
          </cell>
          <cell r="E197" t="str">
            <v>USA</v>
          </cell>
        </row>
        <row r="198">
          <cell r="A198" t="str">
            <v>Gulfstream G150</v>
          </cell>
          <cell r="B198">
            <v>40634</v>
          </cell>
          <cell r="C198" t="str">
            <v>Netjets</v>
          </cell>
          <cell r="D198" t="str">
            <v>North America</v>
          </cell>
          <cell r="E198" t="str">
            <v>USA</v>
          </cell>
        </row>
        <row r="199">
          <cell r="A199" t="str">
            <v>Gulfstream G150</v>
          </cell>
          <cell r="B199">
            <v>40695</v>
          </cell>
          <cell r="C199" t="str">
            <v>Netjets</v>
          </cell>
          <cell r="D199" t="str">
            <v>North America</v>
          </cell>
          <cell r="E199" t="str">
            <v>USA</v>
          </cell>
        </row>
        <row r="200">
          <cell r="A200" t="str">
            <v>Gulfstream G150</v>
          </cell>
          <cell r="B200">
            <v>40756</v>
          </cell>
          <cell r="C200" t="str">
            <v>Netjets</v>
          </cell>
          <cell r="D200" t="str">
            <v>North America</v>
          </cell>
          <cell r="E200" t="str">
            <v>USA</v>
          </cell>
        </row>
        <row r="201">
          <cell r="A201" t="str">
            <v>Gulfstream G150</v>
          </cell>
          <cell r="B201">
            <v>40787</v>
          </cell>
          <cell r="C201" t="str">
            <v>Netjets</v>
          </cell>
          <cell r="D201" t="str">
            <v>North America</v>
          </cell>
          <cell r="E201" t="str">
            <v>USA</v>
          </cell>
        </row>
        <row r="202">
          <cell r="A202" t="str">
            <v>Gulfstream G150</v>
          </cell>
          <cell r="B202">
            <v>40817</v>
          </cell>
          <cell r="C202" t="str">
            <v>Netjets</v>
          </cell>
          <cell r="D202" t="str">
            <v>North America</v>
          </cell>
          <cell r="E202" t="str">
            <v>USA</v>
          </cell>
        </row>
        <row r="203">
          <cell r="A203" t="str">
            <v>Gulfstream G150</v>
          </cell>
          <cell r="B203">
            <v>40878</v>
          </cell>
          <cell r="C203" t="str">
            <v>Netjets</v>
          </cell>
          <cell r="D203" t="str">
            <v>North America</v>
          </cell>
          <cell r="E203" t="str">
            <v>USA</v>
          </cell>
        </row>
        <row r="204">
          <cell r="A204" t="str">
            <v>Gulfstream G150</v>
          </cell>
          <cell r="B204">
            <v>40909</v>
          </cell>
          <cell r="C204" t="str">
            <v>Netjets</v>
          </cell>
          <cell r="D204" t="str">
            <v>North America</v>
          </cell>
          <cell r="E204" t="str">
            <v>USA</v>
          </cell>
        </row>
        <row r="205">
          <cell r="A205" t="str">
            <v>Gulfstream G150</v>
          </cell>
          <cell r="B205">
            <v>40940</v>
          </cell>
          <cell r="C205" t="str">
            <v>Netjets</v>
          </cell>
          <cell r="D205" t="str">
            <v>North America</v>
          </cell>
          <cell r="E205" t="str">
            <v>USA</v>
          </cell>
        </row>
        <row r="207">
          <cell r="A207" t="str">
            <v>a/o Jan 2006</v>
          </cell>
        </row>
        <row r="208">
          <cell r="A208" t="str">
            <v>Type</v>
          </cell>
          <cell r="B208" t="str">
            <v>DeliveryDate</v>
          </cell>
          <cell r="C208" t="str">
            <v>Operator</v>
          </cell>
          <cell r="D208" t="str">
            <v>OperatorArea</v>
          </cell>
        </row>
        <row r="209">
          <cell r="A209" t="str">
            <v>Gulfstream G550</v>
          </cell>
          <cell r="B209">
            <v>38749</v>
          </cell>
          <cell r="C209" t="str">
            <v>Netjets International</v>
          </cell>
          <cell r="D209" t="str">
            <v>North America</v>
          </cell>
        </row>
        <row r="210">
          <cell r="A210" t="str">
            <v>Gulfstream G550</v>
          </cell>
          <cell r="B210">
            <v>38749</v>
          </cell>
          <cell r="C210" t="str">
            <v>Unconfirmed Corporate Operator</v>
          </cell>
          <cell r="D210" t="str">
            <v>Unknown area</v>
          </cell>
        </row>
        <row r="211">
          <cell r="A211" t="str">
            <v>Gulfstream G550</v>
          </cell>
          <cell r="B211">
            <v>38749</v>
          </cell>
          <cell r="C211" t="str">
            <v>NetJets Europe</v>
          </cell>
          <cell r="D211" t="str">
            <v>Europe</v>
          </cell>
        </row>
        <row r="212">
          <cell r="A212" t="str">
            <v>Gulfstream G550</v>
          </cell>
          <cell r="B212">
            <v>38749</v>
          </cell>
          <cell r="C212" t="str">
            <v>Unconfirmed Corporate Operator</v>
          </cell>
          <cell r="D212" t="str">
            <v>Unknown area</v>
          </cell>
        </row>
        <row r="213">
          <cell r="A213" t="str">
            <v>Gulfstream G450</v>
          </cell>
          <cell r="B213">
            <v>38749</v>
          </cell>
          <cell r="C213" t="str">
            <v>Netjets International</v>
          </cell>
          <cell r="D213" t="str">
            <v>North America</v>
          </cell>
        </row>
        <row r="214">
          <cell r="A214" t="str">
            <v>Gulfstream V</v>
          </cell>
          <cell r="B214">
            <v>38749</v>
          </cell>
          <cell r="C214" t="str">
            <v>Israeli Air Force</v>
          </cell>
          <cell r="D214" t="str">
            <v>Middle East</v>
          </cell>
        </row>
        <row r="215">
          <cell r="A215" t="str">
            <v>Gulfstream V</v>
          </cell>
          <cell r="B215">
            <v>38749</v>
          </cell>
          <cell r="C215" t="str">
            <v>Israeli Air Force</v>
          </cell>
          <cell r="D215" t="str">
            <v>Middle East</v>
          </cell>
        </row>
        <row r="216">
          <cell r="A216" t="str">
            <v>Gulfstream G550</v>
          </cell>
          <cell r="B216">
            <v>38777</v>
          </cell>
          <cell r="C216" t="str">
            <v>Unconfirmed Corporate Operator</v>
          </cell>
          <cell r="D216" t="str">
            <v>Unknown area</v>
          </cell>
        </row>
        <row r="217">
          <cell r="A217" t="str">
            <v>Gulfstream G550</v>
          </cell>
          <cell r="B217">
            <v>38777</v>
          </cell>
          <cell r="C217" t="str">
            <v>Unconfirmed Corporate Operator</v>
          </cell>
          <cell r="D217" t="str">
            <v>Unknown area</v>
          </cell>
        </row>
        <row r="218">
          <cell r="A218" t="str">
            <v>Gulfstream G450</v>
          </cell>
          <cell r="B218">
            <v>38777</v>
          </cell>
          <cell r="C218" t="str">
            <v>Unconfirmed Corporate Operator</v>
          </cell>
          <cell r="D218" t="str">
            <v>Unknown area</v>
          </cell>
        </row>
        <row r="219">
          <cell r="A219" t="str">
            <v>Gulfstream G550</v>
          </cell>
          <cell r="B219">
            <v>38808</v>
          </cell>
          <cell r="C219" t="str">
            <v>North Carolina Air &amp; Travel LLC</v>
          </cell>
          <cell r="D219" t="str">
            <v>North America</v>
          </cell>
        </row>
        <row r="220">
          <cell r="A220" t="str">
            <v>Gulfstream G450</v>
          </cell>
          <cell r="B220">
            <v>38808</v>
          </cell>
          <cell r="C220" t="str">
            <v>Unconfirmed Corporate Operator</v>
          </cell>
          <cell r="D220" t="str">
            <v>Unknown area</v>
          </cell>
        </row>
        <row r="221">
          <cell r="A221" t="str">
            <v>Gulfstream G450</v>
          </cell>
          <cell r="B221">
            <v>38808</v>
          </cell>
          <cell r="C221" t="str">
            <v>Unconfirmed Corporate Operator</v>
          </cell>
          <cell r="D221" t="str">
            <v>Unknown area</v>
          </cell>
        </row>
        <row r="222">
          <cell r="A222" t="str">
            <v>Gulfstream G450</v>
          </cell>
          <cell r="B222">
            <v>38838</v>
          </cell>
          <cell r="C222" t="str">
            <v>Hermes Express LLC</v>
          </cell>
          <cell r="D222" t="str">
            <v>North America</v>
          </cell>
        </row>
        <row r="223">
          <cell r="A223" t="str">
            <v>Gulfstream G550</v>
          </cell>
          <cell r="B223">
            <v>38838</v>
          </cell>
          <cell r="C223" t="str">
            <v>The Proctor &amp; Gamble Co</v>
          </cell>
          <cell r="D223" t="str">
            <v>North America</v>
          </cell>
        </row>
        <row r="224">
          <cell r="A224" t="str">
            <v>Gulfstream G550</v>
          </cell>
          <cell r="B224">
            <v>38838</v>
          </cell>
          <cell r="C224" t="str">
            <v>Israeli Air Force</v>
          </cell>
          <cell r="D224" t="str">
            <v>Middle East</v>
          </cell>
        </row>
        <row r="225">
          <cell r="A225" t="str">
            <v>Gulfstream G450</v>
          </cell>
          <cell r="B225">
            <v>38869</v>
          </cell>
          <cell r="C225" t="str">
            <v>Unconfirmed Corporate Operator</v>
          </cell>
          <cell r="D225" t="str">
            <v>Unknown area</v>
          </cell>
        </row>
        <row r="226">
          <cell r="A226" t="str">
            <v>Gulfstream G450</v>
          </cell>
          <cell r="B226">
            <v>38869</v>
          </cell>
          <cell r="C226" t="str">
            <v>Unconfirmed Corporate Operator</v>
          </cell>
          <cell r="D226" t="str">
            <v>Unknown area</v>
          </cell>
        </row>
        <row r="227">
          <cell r="A227" t="str">
            <v>Gulfstream G350</v>
          </cell>
          <cell r="B227">
            <v>38899</v>
          </cell>
          <cell r="C227" t="str">
            <v>Unconfirmed Corporate Operator</v>
          </cell>
          <cell r="D227" t="str">
            <v>Unknown area</v>
          </cell>
        </row>
        <row r="228">
          <cell r="A228" t="str">
            <v>Gulfstream G550</v>
          </cell>
          <cell r="B228">
            <v>38899</v>
          </cell>
          <cell r="C228" t="str">
            <v>Unconfirmed Corporate Operator</v>
          </cell>
          <cell r="D228" t="str">
            <v>Unknown area</v>
          </cell>
        </row>
        <row r="229">
          <cell r="A229" t="str">
            <v>Gulfstream G550</v>
          </cell>
          <cell r="B229">
            <v>38899</v>
          </cell>
          <cell r="C229" t="str">
            <v>Unconfirmed Corporate Operator</v>
          </cell>
          <cell r="D229" t="str">
            <v>Unknown area</v>
          </cell>
        </row>
        <row r="230">
          <cell r="A230" t="str">
            <v>Gulfstream G450</v>
          </cell>
          <cell r="B230">
            <v>38899</v>
          </cell>
          <cell r="C230" t="str">
            <v>Unconfirmed Corporate Operator</v>
          </cell>
          <cell r="D230" t="str">
            <v>Unknown area</v>
          </cell>
        </row>
        <row r="231">
          <cell r="A231" t="str">
            <v>Gulfstream G450</v>
          </cell>
          <cell r="B231">
            <v>38899</v>
          </cell>
          <cell r="C231" t="str">
            <v>Unconfirmed Corporate Operator</v>
          </cell>
          <cell r="D231" t="str">
            <v>Unknown area</v>
          </cell>
        </row>
        <row r="232">
          <cell r="A232" t="str">
            <v>Gulfstream G450</v>
          </cell>
          <cell r="B232">
            <v>38899</v>
          </cell>
          <cell r="C232" t="str">
            <v>Unconfirmed Corporate Operator</v>
          </cell>
          <cell r="D232" t="str">
            <v>Unknown area</v>
          </cell>
        </row>
        <row r="233">
          <cell r="A233" t="str">
            <v>Gulfstream G450</v>
          </cell>
          <cell r="B233">
            <v>38899</v>
          </cell>
          <cell r="C233" t="str">
            <v>Unconfirmed Corporate Operator</v>
          </cell>
          <cell r="D233" t="str">
            <v>Unknown area</v>
          </cell>
        </row>
        <row r="234">
          <cell r="A234" t="str">
            <v>Gulfstream G350</v>
          </cell>
          <cell r="B234">
            <v>38899</v>
          </cell>
          <cell r="C234" t="str">
            <v>Unconfirmed Corporate Operator</v>
          </cell>
          <cell r="D234" t="str">
            <v>Unknown area</v>
          </cell>
        </row>
        <row r="235">
          <cell r="A235" t="str">
            <v>Gulfstream G550</v>
          </cell>
          <cell r="B235">
            <v>38899</v>
          </cell>
          <cell r="C235" t="str">
            <v>Netjets International</v>
          </cell>
          <cell r="D235" t="str">
            <v>North America</v>
          </cell>
        </row>
        <row r="236">
          <cell r="A236" t="str">
            <v>Gulfstream G450</v>
          </cell>
          <cell r="B236">
            <v>38930</v>
          </cell>
          <cell r="C236" t="str">
            <v>Unconfirmed Corporate Operator</v>
          </cell>
          <cell r="D236" t="str">
            <v>Unknown area</v>
          </cell>
        </row>
        <row r="237">
          <cell r="A237" t="str">
            <v>Gulfstream G450</v>
          </cell>
          <cell r="B237">
            <v>38930</v>
          </cell>
          <cell r="C237" t="str">
            <v>Unconfirmed Corporate Operator</v>
          </cell>
          <cell r="D237" t="str">
            <v>Unknown area</v>
          </cell>
        </row>
        <row r="238">
          <cell r="A238" t="str">
            <v>Gulfstream G550</v>
          </cell>
          <cell r="B238">
            <v>38930</v>
          </cell>
          <cell r="C238" t="str">
            <v>Unconfirmed Corporate Operator</v>
          </cell>
          <cell r="D238" t="str">
            <v>Unknown area</v>
          </cell>
        </row>
        <row r="239">
          <cell r="A239" t="str">
            <v>Gulfstream G550</v>
          </cell>
          <cell r="B239">
            <v>38961</v>
          </cell>
          <cell r="C239" t="str">
            <v>Netjets International</v>
          </cell>
          <cell r="D239" t="str">
            <v>North America</v>
          </cell>
        </row>
        <row r="240">
          <cell r="A240" t="str">
            <v>Gulfstream G500</v>
          </cell>
          <cell r="B240">
            <v>38961</v>
          </cell>
          <cell r="C240" t="str">
            <v>Unconfirmed Corporate Operator</v>
          </cell>
          <cell r="D240" t="str">
            <v>Unknown area</v>
          </cell>
        </row>
        <row r="241">
          <cell r="A241" t="str">
            <v>Gulfstream G550</v>
          </cell>
          <cell r="B241">
            <v>38961</v>
          </cell>
          <cell r="C241" t="str">
            <v>Unconfirmed Corporate Operator</v>
          </cell>
          <cell r="D241" t="str">
            <v>Unknown area</v>
          </cell>
        </row>
        <row r="242">
          <cell r="A242" t="str">
            <v>Gulfstream G550</v>
          </cell>
          <cell r="B242">
            <v>38961</v>
          </cell>
          <cell r="C242" t="str">
            <v>Israeli Air Force</v>
          </cell>
          <cell r="D242" t="str">
            <v>Middle East</v>
          </cell>
        </row>
        <row r="243">
          <cell r="A243" t="str">
            <v>Gulfstream G450</v>
          </cell>
          <cell r="B243">
            <v>38961</v>
          </cell>
          <cell r="C243" t="str">
            <v>Unconfirmed Corporate Operator</v>
          </cell>
          <cell r="D243" t="str">
            <v>Unknown area</v>
          </cell>
        </row>
        <row r="244">
          <cell r="A244" t="str">
            <v>Gulfstream G550</v>
          </cell>
          <cell r="B244">
            <v>38961</v>
          </cell>
          <cell r="C244" t="str">
            <v>Unconfirmed Corporate Operator</v>
          </cell>
          <cell r="D244" t="str">
            <v>Unknown area</v>
          </cell>
        </row>
        <row r="245">
          <cell r="A245" t="str">
            <v>Gulfstream G450</v>
          </cell>
          <cell r="B245">
            <v>38961</v>
          </cell>
          <cell r="C245" t="str">
            <v>Unconfirmed Corporate Operator</v>
          </cell>
          <cell r="D245" t="str">
            <v>Unknown area</v>
          </cell>
        </row>
        <row r="246">
          <cell r="A246" t="str">
            <v>Gulfstream G550</v>
          </cell>
          <cell r="B246">
            <v>38991</v>
          </cell>
          <cell r="C246" t="str">
            <v>Unconfirmed Corporate Operator</v>
          </cell>
          <cell r="D246" t="str">
            <v>Unknown area</v>
          </cell>
        </row>
        <row r="247">
          <cell r="A247" t="str">
            <v>Gulfstream G450</v>
          </cell>
          <cell r="B247">
            <v>38991</v>
          </cell>
          <cell r="C247" t="str">
            <v>Unconfirmed Corporate Operator</v>
          </cell>
          <cell r="D247" t="str">
            <v>Unknown area</v>
          </cell>
        </row>
        <row r="248">
          <cell r="A248" t="str">
            <v>Gulfstream G450</v>
          </cell>
          <cell r="B248">
            <v>38991</v>
          </cell>
          <cell r="C248" t="str">
            <v>Unconfirmed Corporate Operator</v>
          </cell>
          <cell r="D248" t="str">
            <v>Unknown area</v>
          </cell>
        </row>
        <row r="249">
          <cell r="A249" t="str">
            <v>Gulfstream G550</v>
          </cell>
          <cell r="B249">
            <v>38991</v>
          </cell>
          <cell r="C249" t="str">
            <v>Unconfirmed Corporate Operator</v>
          </cell>
          <cell r="D249" t="str">
            <v>Unknown area</v>
          </cell>
        </row>
        <row r="250">
          <cell r="A250" t="str">
            <v>Gulfstream G450</v>
          </cell>
          <cell r="B250">
            <v>39022</v>
          </cell>
          <cell r="C250" t="str">
            <v>Unconfirmed Corporate Operator</v>
          </cell>
          <cell r="D250" t="str">
            <v>Unknown area</v>
          </cell>
        </row>
        <row r="251">
          <cell r="A251" t="str">
            <v>Gulfstream G450</v>
          </cell>
          <cell r="B251">
            <v>39022</v>
          </cell>
          <cell r="C251" t="str">
            <v>Unconfirmed Corporate Operator</v>
          </cell>
          <cell r="D251" t="str">
            <v>Unknown area</v>
          </cell>
        </row>
        <row r="252">
          <cell r="A252" t="str">
            <v>Gulfstream G450</v>
          </cell>
          <cell r="B252">
            <v>39022</v>
          </cell>
          <cell r="C252" t="str">
            <v>Unconfirmed Corporate Operator</v>
          </cell>
          <cell r="D252" t="str">
            <v>Unknown area</v>
          </cell>
        </row>
        <row r="253">
          <cell r="A253" t="str">
            <v>Gulfstream G550</v>
          </cell>
          <cell r="B253">
            <v>39022</v>
          </cell>
          <cell r="C253" t="str">
            <v>Unconfirmed Corporate Operator</v>
          </cell>
          <cell r="D253" t="str">
            <v>Unknown area</v>
          </cell>
        </row>
        <row r="254">
          <cell r="A254" t="str">
            <v>Gulfstream G550</v>
          </cell>
          <cell r="B254">
            <v>39022</v>
          </cell>
          <cell r="C254" t="str">
            <v>Unconfirmed Corporate Operator</v>
          </cell>
          <cell r="D254" t="str">
            <v>Unknown area</v>
          </cell>
        </row>
        <row r="255">
          <cell r="A255" t="str">
            <v>Gulfstream G550</v>
          </cell>
          <cell r="B255">
            <v>39052</v>
          </cell>
          <cell r="C255" t="str">
            <v>Unconfirmed Corporate Operator</v>
          </cell>
          <cell r="D255" t="str">
            <v>Unknown area</v>
          </cell>
        </row>
        <row r="256">
          <cell r="A256" t="str">
            <v>Gulfstream G450</v>
          </cell>
          <cell r="B256">
            <v>39052</v>
          </cell>
          <cell r="C256" t="str">
            <v>Unconfirmed Corporate Operator</v>
          </cell>
          <cell r="D256" t="str">
            <v>Unknown area</v>
          </cell>
        </row>
        <row r="257">
          <cell r="A257" t="str">
            <v>Gulfstream G550</v>
          </cell>
          <cell r="B257">
            <v>39052</v>
          </cell>
          <cell r="C257" t="str">
            <v>EFS European Flight Service</v>
          </cell>
          <cell r="D257" t="str">
            <v>Europe</v>
          </cell>
        </row>
        <row r="258">
          <cell r="A258" t="str">
            <v>Gulfstream G550</v>
          </cell>
          <cell r="B258">
            <v>39083</v>
          </cell>
          <cell r="C258" t="str">
            <v>Unconfirmed Corporate Operator</v>
          </cell>
          <cell r="D258" t="str">
            <v>Unknown area</v>
          </cell>
        </row>
        <row r="259">
          <cell r="A259" t="str">
            <v>Gulfstream G550</v>
          </cell>
          <cell r="B259">
            <v>39083</v>
          </cell>
          <cell r="C259" t="str">
            <v>Unconfirmed Corporate Operator</v>
          </cell>
          <cell r="D259" t="str">
            <v>Unknown area</v>
          </cell>
        </row>
        <row r="260">
          <cell r="A260" t="str">
            <v>Gulfstream G550</v>
          </cell>
          <cell r="B260">
            <v>39083</v>
          </cell>
          <cell r="C260" t="str">
            <v>Unconfirmed Asian Corporate Operate</v>
          </cell>
          <cell r="D260" t="str">
            <v>Asia</v>
          </cell>
        </row>
        <row r="261">
          <cell r="A261" t="str">
            <v>Gulfstream G550</v>
          </cell>
          <cell r="B261">
            <v>39114</v>
          </cell>
          <cell r="C261" t="str">
            <v>Unconfirmed Corporate Operator</v>
          </cell>
          <cell r="D261" t="str">
            <v>Unknown area</v>
          </cell>
        </row>
        <row r="262">
          <cell r="A262" t="str">
            <v>Gulfstream G550</v>
          </cell>
          <cell r="B262">
            <v>39114</v>
          </cell>
          <cell r="C262" t="str">
            <v>Unconfirmed Corporate Operator</v>
          </cell>
          <cell r="D262" t="str">
            <v>Unknown area</v>
          </cell>
        </row>
        <row r="263">
          <cell r="A263" t="str">
            <v>Gulfstream G550</v>
          </cell>
          <cell r="B263">
            <v>39142</v>
          </cell>
          <cell r="C263" t="str">
            <v>Unconfirmed Corporate Operator</v>
          </cell>
          <cell r="D263" t="str">
            <v>Unknown area</v>
          </cell>
        </row>
        <row r="264">
          <cell r="A264" t="str">
            <v>Gulfstream G550</v>
          </cell>
          <cell r="B264">
            <v>39142</v>
          </cell>
          <cell r="C264" t="str">
            <v>Netjets International</v>
          </cell>
          <cell r="D264" t="str">
            <v>North America</v>
          </cell>
        </row>
        <row r="265">
          <cell r="A265" t="str">
            <v>Gulfstream G550</v>
          </cell>
          <cell r="B265">
            <v>39142</v>
          </cell>
          <cell r="C265" t="str">
            <v>Unconfirmed Asian Corporate Operate</v>
          </cell>
          <cell r="D265" t="str">
            <v>Asia</v>
          </cell>
        </row>
        <row r="266">
          <cell r="A266" t="str">
            <v>Gulfstream G550</v>
          </cell>
          <cell r="B266">
            <v>39173</v>
          </cell>
          <cell r="C266" t="str">
            <v>Unconfirmed Corporate Operator</v>
          </cell>
          <cell r="D266" t="str">
            <v>Unknown area</v>
          </cell>
        </row>
        <row r="267">
          <cell r="A267" t="str">
            <v>Gulfstream G550</v>
          </cell>
          <cell r="B267">
            <v>39173</v>
          </cell>
          <cell r="C267" t="str">
            <v>Unconfirmed Corporate Operator</v>
          </cell>
          <cell r="D267" t="str">
            <v>Unknown area</v>
          </cell>
        </row>
        <row r="268">
          <cell r="A268" t="str">
            <v>Gulfstream G550</v>
          </cell>
          <cell r="B268">
            <v>39173</v>
          </cell>
          <cell r="C268" t="str">
            <v>Unconfirmed Corporate Operator</v>
          </cell>
          <cell r="D268" t="str">
            <v>Unknown area</v>
          </cell>
        </row>
        <row r="269">
          <cell r="A269" t="str">
            <v>Gulfstream G550</v>
          </cell>
          <cell r="B269">
            <v>39203</v>
          </cell>
          <cell r="C269" t="str">
            <v>Unconfirmed Corporate Operator</v>
          </cell>
          <cell r="D269" t="str">
            <v>Unknown area</v>
          </cell>
        </row>
        <row r="270">
          <cell r="A270" t="str">
            <v>Gulfstream G550</v>
          </cell>
          <cell r="B270">
            <v>39203</v>
          </cell>
          <cell r="C270" t="str">
            <v>Netjets International</v>
          </cell>
          <cell r="D270" t="str">
            <v>North America</v>
          </cell>
        </row>
        <row r="271">
          <cell r="A271" t="str">
            <v>Gulfstream G550</v>
          </cell>
          <cell r="B271">
            <v>39203</v>
          </cell>
          <cell r="C271" t="str">
            <v>Unconfirmed Corporate Operator</v>
          </cell>
          <cell r="D271" t="str">
            <v>Unknown area</v>
          </cell>
        </row>
        <row r="272">
          <cell r="A272" t="str">
            <v>Gulfstream G550</v>
          </cell>
          <cell r="B272">
            <v>39203</v>
          </cell>
          <cell r="C272" t="str">
            <v>Unconfirmed Corporate Operator</v>
          </cell>
          <cell r="D272" t="str">
            <v>Unknown area</v>
          </cell>
        </row>
        <row r="273">
          <cell r="A273" t="str">
            <v>Gulfstream G550</v>
          </cell>
          <cell r="B273">
            <v>39234</v>
          </cell>
          <cell r="C273" t="str">
            <v>Unconfirmed Corporate Operator</v>
          </cell>
          <cell r="D273" t="str">
            <v>Unknown area</v>
          </cell>
        </row>
        <row r="274">
          <cell r="A274" t="str">
            <v>Gulfstream G350</v>
          </cell>
          <cell r="B274">
            <v>39234</v>
          </cell>
          <cell r="C274" t="str">
            <v>Unconfirmed Asian Corporate Operate</v>
          </cell>
          <cell r="D274" t="str">
            <v>Asia</v>
          </cell>
        </row>
        <row r="275">
          <cell r="A275" t="str">
            <v>Gulfstream G550</v>
          </cell>
          <cell r="B275">
            <v>39264</v>
          </cell>
          <cell r="C275" t="str">
            <v>Unconfirmed Corporate Operator</v>
          </cell>
          <cell r="D275" t="str">
            <v>Unknown area</v>
          </cell>
        </row>
        <row r="276">
          <cell r="A276" t="str">
            <v>Gulfstream G550</v>
          </cell>
          <cell r="B276">
            <v>39264</v>
          </cell>
          <cell r="C276" t="str">
            <v>Unconfirmed Asian Corporate Operate</v>
          </cell>
          <cell r="D276" t="str">
            <v>Asia</v>
          </cell>
        </row>
        <row r="277">
          <cell r="A277" t="str">
            <v>Gulfstream G550</v>
          </cell>
          <cell r="B277">
            <v>39295</v>
          </cell>
          <cell r="C277" t="str">
            <v>Netjets International</v>
          </cell>
          <cell r="D277" t="str">
            <v>North America</v>
          </cell>
        </row>
        <row r="278">
          <cell r="A278" t="str">
            <v>Gulfstream G550</v>
          </cell>
          <cell r="B278">
            <v>39295</v>
          </cell>
          <cell r="C278" t="str">
            <v>Unconfirmed Corporate Operator</v>
          </cell>
          <cell r="D278" t="str">
            <v>Unknown area</v>
          </cell>
        </row>
        <row r="279">
          <cell r="A279" t="str">
            <v>Gulfstream G550</v>
          </cell>
          <cell r="B279">
            <v>39326</v>
          </cell>
          <cell r="C279" t="str">
            <v>Unconfirmed Corporate Operator</v>
          </cell>
          <cell r="D279" t="str">
            <v>Unknown area</v>
          </cell>
        </row>
        <row r="280">
          <cell r="A280" t="str">
            <v>Gulfstream G450</v>
          </cell>
          <cell r="B280">
            <v>39326</v>
          </cell>
          <cell r="C280" t="str">
            <v>Business Aviation Asia</v>
          </cell>
          <cell r="D280" t="str">
            <v>Asia</v>
          </cell>
        </row>
        <row r="281">
          <cell r="A281" t="str">
            <v>Gulfstream G550</v>
          </cell>
          <cell r="B281">
            <v>39326</v>
          </cell>
          <cell r="C281" t="str">
            <v>Unconfirmed Asian Corporate Operate</v>
          </cell>
          <cell r="D281" t="str">
            <v>Asia</v>
          </cell>
        </row>
        <row r="282">
          <cell r="A282" t="str">
            <v>Gulfstream G550</v>
          </cell>
          <cell r="B282">
            <v>39326</v>
          </cell>
          <cell r="C282" t="str">
            <v>Unconfirmed Corporate Operator</v>
          </cell>
          <cell r="D282" t="str">
            <v>Unknown area</v>
          </cell>
        </row>
        <row r="283">
          <cell r="A283" t="str">
            <v>Gulfstream G550</v>
          </cell>
          <cell r="B283">
            <v>39356</v>
          </cell>
          <cell r="C283" t="str">
            <v>Unconfirmed Corporate Operator</v>
          </cell>
          <cell r="D283" t="str">
            <v>Unknown area</v>
          </cell>
        </row>
        <row r="284">
          <cell r="A284" t="str">
            <v>Gulfstream G550</v>
          </cell>
          <cell r="B284">
            <v>39356</v>
          </cell>
          <cell r="C284" t="str">
            <v>Netjets International</v>
          </cell>
          <cell r="D284" t="str">
            <v>North America</v>
          </cell>
        </row>
        <row r="285">
          <cell r="A285" t="str">
            <v>Gulfstream G550</v>
          </cell>
          <cell r="B285">
            <v>39356</v>
          </cell>
          <cell r="C285" t="str">
            <v>Israeli Air Force</v>
          </cell>
          <cell r="D285" t="str">
            <v>Middle East</v>
          </cell>
        </row>
        <row r="286">
          <cell r="A286" t="str">
            <v>Gulfstream G550</v>
          </cell>
          <cell r="B286">
            <v>39387</v>
          </cell>
          <cell r="C286" t="str">
            <v>Unconfirmed Corporate Operator</v>
          </cell>
          <cell r="D286" t="str">
            <v>Unknown area</v>
          </cell>
        </row>
        <row r="287">
          <cell r="A287" t="str">
            <v>Gulfstream G550</v>
          </cell>
          <cell r="B287">
            <v>39387</v>
          </cell>
          <cell r="C287" t="str">
            <v>Unconfirmed Corporate Operator</v>
          </cell>
          <cell r="D287" t="str">
            <v>Unknown area</v>
          </cell>
        </row>
        <row r="288">
          <cell r="A288" t="str">
            <v>Gulfstream G550</v>
          </cell>
          <cell r="B288">
            <v>39417</v>
          </cell>
          <cell r="C288" t="str">
            <v>Unconfirmed Corporate Operator</v>
          </cell>
          <cell r="D288" t="str">
            <v>Unknown area</v>
          </cell>
        </row>
        <row r="289">
          <cell r="A289" t="str">
            <v>Gulfstream G550</v>
          </cell>
          <cell r="B289">
            <v>39417</v>
          </cell>
          <cell r="C289" t="str">
            <v>Unconfirmed Asian Corporate Operate</v>
          </cell>
          <cell r="D289" t="str">
            <v>Asia</v>
          </cell>
        </row>
        <row r="290">
          <cell r="A290" t="str">
            <v>Gulfstream G550</v>
          </cell>
          <cell r="B290">
            <v>39539</v>
          </cell>
          <cell r="C290" t="str">
            <v>Netjets International</v>
          </cell>
          <cell r="D290" t="str">
            <v>North America</v>
          </cell>
        </row>
        <row r="291">
          <cell r="A291" t="str">
            <v>Gulfstream G550</v>
          </cell>
          <cell r="B291">
            <v>39600</v>
          </cell>
          <cell r="C291" t="str">
            <v>Netjets International</v>
          </cell>
          <cell r="D291" t="str">
            <v>North America</v>
          </cell>
        </row>
        <row r="292">
          <cell r="A292" t="str">
            <v>Gulfstream G550</v>
          </cell>
          <cell r="B292">
            <v>39600</v>
          </cell>
          <cell r="C292" t="str">
            <v>DLR Flugbetriebe</v>
          </cell>
          <cell r="D292" t="str">
            <v>Europe</v>
          </cell>
        </row>
        <row r="293">
          <cell r="A293" t="str">
            <v>Gulfstream G550</v>
          </cell>
          <cell r="B293">
            <v>39661</v>
          </cell>
          <cell r="C293" t="str">
            <v>Netjets International</v>
          </cell>
          <cell r="D293" t="str">
            <v>North America</v>
          </cell>
        </row>
        <row r="294">
          <cell r="A294" t="str">
            <v>Gulfstream G550</v>
          </cell>
          <cell r="B294">
            <v>39722</v>
          </cell>
          <cell r="C294" t="str">
            <v>Netjets International</v>
          </cell>
          <cell r="D294" t="str">
            <v>North America</v>
          </cell>
        </row>
        <row r="295">
          <cell r="A295" t="str">
            <v>Gulfstream G550</v>
          </cell>
          <cell r="B295">
            <v>39753</v>
          </cell>
          <cell r="C295" t="str">
            <v>Netjets International</v>
          </cell>
          <cell r="D295" t="str">
            <v>North America</v>
          </cell>
        </row>
        <row r="296">
          <cell r="A296" t="str">
            <v>Gulfstream G550</v>
          </cell>
          <cell r="B296">
            <v>39783</v>
          </cell>
          <cell r="C296" t="str">
            <v>Israeli Air Force</v>
          </cell>
          <cell r="D296" t="str">
            <v>Middle East</v>
          </cell>
        </row>
        <row r="297">
          <cell r="A297" t="str">
            <v>Gulfstream G550</v>
          </cell>
          <cell r="B297">
            <v>39814</v>
          </cell>
          <cell r="C297" t="str">
            <v>Netjets International</v>
          </cell>
          <cell r="D297" t="str">
            <v>North America</v>
          </cell>
        </row>
        <row r="298">
          <cell r="A298" t="str">
            <v>Gulfstream G550</v>
          </cell>
          <cell r="B298">
            <v>39904</v>
          </cell>
          <cell r="C298" t="str">
            <v>Netjets International</v>
          </cell>
          <cell r="D298" t="str">
            <v>North America</v>
          </cell>
        </row>
        <row r="299">
          <cell r="A299" t="str">
            <v>Gulfstream G550</v>
          </cell>
          <cell r="B299">
            <v>39995</v>
          </cell>
          <cell r="C299" t="str">
            <v>Netjets International</v>
          </cell>
          <cell r="D299" t="str">
            <v>North America</v>
          </cell>
        </row>
      </sheetData>
      <sheetData sheetId="18">
        <row r="1">
          <cell r="G1" t="str">
            <v>last updated 1/06</v>
          </cell>
        </row>
        <row r="2">
          <cell r="G2" t="str">
            <v>Source: Airclaims</v>
          </cell>
        </row>
        <row r="3">
          <cell r="A3" t="str">
            <v>Gulfstream Deliveries by Customer</v>
          </cell>
        </row>
        <row r="5">
          <cell r="A5" t="str">
            <v>2006 Detail</v>
          </cell>
        </row>
        <row r="6">
          <cell r="A6" t="str">
            <v>Type</v>
          </cell>
          <cell r="B6" t="str">
            <v>Variant</v>
          </cell>
          <cell r="C6" t="str">
            <v>Operator</v>
          </cell>
          <cell r="D6" t="str">
            <v>DeliveryDate</v>
          </cell>
          <cell r="E6" t="str">
            <v>OperatorArea</v>
          </cell>
          <cell r="F6" t="str">
            <v>OperatorCountry</v>
          </cell>
          <cell r="G6" t="str">
            <v>Usage</v>
          </cell>
          <cell r="N6" t="str">
            <v xml:space="preserve"> </v>
          </cell>
          <cell r="O6">
            <v>2000</v>
          </cell>
          <cell r="P6">
            <v>2001</v>
          </cell>
          <cell r="Q6">
            <v>2002</v>
          </cell>
          <cell r="R6">
            <v>2003</v>
          </cell>
          <cell r="S6">
            <v>2004</v>
          </cell>
          <cell r="T6">
            <v>2005</v>
          </cell>
          <cell r="U6" t="str">
            <v>2006A</v>
          </cell>
        </row>
        <row r="7">
          <cell r="A7" t="str">
            <v>Astra/G100</v>
          </cell>
          <cell r="B7" t="str">
            <v>G100</v>
          </cell>
          <cell r="C7" t="str">
            <v>Executive Airlines SA</v>
          </cell>
          <cell r="D7">
            <v>38944</v>
          </cell>
          <cell r="E7" t="str">
            <v>Europe</v>
          </cell>
          <cell r="F7" t="str">
            <v>Spain</v>
          </cell>
          <cell r="G7" t="str">
            <v>Business / Corporate / Executive</v>
          </cell>
          <cell r="N7" t="str">
            <v>Corp/High Net Worth</v>
          </cell>
          <cell r="O7">
            <v>63</v>
          </cell>
          <cell r="P7">
            <v>54</v>
          </cell>
          <cell r="Q7">
            <v>56</v>
          </cell>
          <cell r="R7">
            <v>50</v>
          </cell>
          <cell r="S7">
            <v>43</v>
          </cell>
          <cell r="T7">
            <v>68</v>
          </cell>
          <cell r="U7">
            <v>88</v>
          </cell>
        </row>
        <row r="8">
          <cell r="A8" t="str">
            <v>Gulfstream G150</v>
          </cell>
          <cell r="C8" t="str">
            <v>Mary Rose Aviation Inc</v>
          </cell>
          <cell r="D8">
            <v>39008</v>
          </cell>
          <cell r="E8" t="str">
            <v>North America</v>
          </cell>
          <cell r="F8" t="str">
            <v>USA</v>
          </cell>
          <cell r="G8" t="str">
            <v>Business / Corporate / Executive</v>
          </cell>
          <cell r="N8" t="str">
            <v>U.S. Government</v>
          </cell>
          <cell r="O8">
            <v>2</v>
          </cell>
          <cell r="P8">
            <v>3</v>
          </cell>
          <cell r="Q8">
            <v>5</v>
          </cell>
          <cell r="R8">
            <v>1</v>
          </cell>
          <cell r="S8">
            <v>0</v>
          </cell>
          <cell r="T8">
            <v>3</v>
          </cell>
          <cell r="U8">
            <v>1</v>
          </cell>
        </row>
        <row r="9">
          <cell r="A9" t="str">
            <v>Gulfstream G150</v>
          </cell>
          <cell r="C9" t="str">
            <v>La Costa Village Inc</v>
          </cell>
          <cell r="D9">
            <v>39013</v>
          </cell>
          <cell r="E9" t="str">
            <v>North America</v>
          </cell>
          <cell r="F9" t="str">
            <v>USA</v>
          </cell>
          <cell r="G9" t="str">
            <v>Business / Corporate / Executive</v>
          </cell>
          <cell r="N9" t="str">
            <v>Foreign Government</v>
          </cell>
          <cell r="O9">
            <v>5</v>
          </cell>
          <cell r="P9">
            <v>4</v>
          </cell>
          <cell r="Q9">
            <v>2</v>
          </cell>
          <cell r="R9">
            <v>2</v>
          </cell>
          <cell r="S9">
            <v>2</v>
          </cell>
          <cell r="T9">
            <v>1</v>
          </cell>
          <cell r="U9">
            <v>3</v>
          </cell>
        </row>
        <row r="10">
          <cell r="A10" t="str">
            <v>Gulfstream G150</v>
          </cell>
          <cell r="C10" t="str">
            <v>Georgia-Pacific Corp</v>
          </cell>
          <cell r="D10">
            <v>39015</v>
          </cell>
          <cell r="E10" t="str">
            <v>North America</v>
          </cell>
          <cell r="F10" t="str">
            <v>USA</v>
          </cell>
          <cell r="G10" t="str">
            <v>Business / Corporate / Executive</v>
          </cell>
          <cell r="N10" t="str">
            <v>NetJets</v>
          </cell>
          <cell r="O10">
            <v>8</v>
          </cell>
          <cell r="P10">
            <v>9</v>
          </cell>
          <cell r="Q10">
            <v>5</v>
          </cell>
          <cell r="R10">
            <v>1</v>
          </cell>
          <cell r="S10">
            <v>2</v>
          </cell>
          <cell r="T10">
            <v>13</v>
          </cell>
          <cell r="U10">
            <v>12</v>
          </cell>
        </row>
        <row r="11">
          <cell r="A11" t="str">
            <v>Gulfstream G150</v>
          </cell>
          <cell r="C11" t="str">
            <v>Unconfirmed American Operator</v>
          </cell>
          <cell r="D11">
            <v>39021</v>
          </cell>
          <cell r="E11" t="str">
            <v>North America</v>
          </cell>
          <cell r="F11" t="str">
            <v>USA</v>
          </cell>
          <cell r="G11" t="str">
            <v>Business / Corporate / Executive</v>
          </cell>
          <cell r="N11" t="str">
            <v>Total</v>
          </cell>
          <cell r="O11">
            <v>78</v>
          </cell>
          <cell r="P11">
            <v>70</v>
          </cell>
          <cell r="Q11">
            <v>68</v>
          </cell>
          <cell r="R11">
            <v>54</v>
          </cell>
          <cell r="S11">
            <v>47</v>
          </cell>
          <cell r="T11">
            <v>85</v>
          </cell>
          <cell r="U11">
            <v>104</v>
          </cell>
        </row>
        <row r="12">
          <cell r="A12" t="str">
            <v>Gulfstream G150</v>
          </cell>
          <cell r="C12" t="str">
            <v>Aledo Sub LLC</v>
          </cell>
          <cell r="D12">
            <v>39025</v>
          </cell>
          <cell r="E12" t="str">
            <v>North America</v>
          </cell>
          <cell r="F12" t="str">
            <v>USA</v>
          </cell>
          <cell r="G12" t="str">
            <v>Business / Corporate / Executive</v>
          </cell>
        </row>
        <row r="13">
          <cell r="A13" t="str">
            <v>Gulfstream G150</v>
          </cell>
          <cell r="C13" t="str">
            <v>Unconfirmed Corporate Operator</v>
          </cell>
          <cell r="D13">
            <v>39049</v>
          </cell>
          <cell r="E13" t="str">
            <v>Unknown area</v>
          </cell>
          <cell r="F13" t="str">
            <v>Unknown</v>
          </cell>
          <cell r="G13" t="str">
            <v>Business / Corporate / Executive</v>
          </cell>
          <cell r="N13" t="str">
            <v>United States</v>
          </cell>
          <cell r="O13">
            <v>68</v>
          </cell>
          <cell r="P13">
            <v>59</v>
          </cell>
          <cell r="Q13">
            <v>54</v>
          </cell>
          <cell r="R13">
            <v>44</v>
          </cell>
          <cell r="S13">
            <v>36</v>
          </cell>
          <cell r="T13">
            <v>64</v>
          </cell>
          <cell r="U13">
            <v>80</v>
          </cell>
        </row>
        <row r="14">
          <cell r="A14" t="str">
            <v>Gulfstream G150</v>
          </cell>
          <cell r="C14" t="str">
            <v>Penske Jet Inc</v>
          </cell>
          <cell r="D14">
            <v>39049</v>
          </cell>
          <cell r="E14" t="str">
            <v>North America</v>
          </cell>
          <cell r="F14" t="str">
            <v>USA</v>
          </cell>
          <cell r="G14" t="str">
            <v>Business / Corporate / Executive</v>
          </cell>
          <cell r="N14" t="str">
            <v xml:space="preserve">Foreign </v>
          </cell>
          <cell r="O14">
            <v>10</v>
          </cell>
          <cell r="P14">
            <v>11</v>
          </cell>
          <cell r="Q14">
            <v>14</v>
          </cell>
          <cell r="R14">
            <v>10</v>
          </cell>
          <cell r="S14">
            <v>11</v>
          </cell>
          <cell r="T14">
            <v>19</v>
          </cell>
          <cell r="U14">
            <v>23</v>
          </cell>
        </row>
        <row r="15">
          <cell r="A15" t="str">
            <v>Gulfstream G150</v>
          </cell>
          <cell r="C15" t="str">
            <v>Business Aircraft Leasing Inc</v>
          </cell>
          <cell r="D15">
            <v>39070</v>
          </cell>
          <cell r="E15" t="str">
            <v>North America</v>
          </cell>
          <cell r="F15" t="str">
            <v>USA</v>
          </cell>
          <cell r="G15" t="str">
            <v>Business / Corporate / Executive</v>
          </cell>
          <cell r="N15" t="str">
            <v>N/A</v>
          </cell>
          <cell r="O15">
            <v>0</v>
          </cell>
          <cell r="P15">
            <v>0</v>
          </cell>
          <cell r="Q15">
            <v>0</v>
          </cell>
          <cell r="R15">
            <v>0</v>
          </cell>
          <cell r="S15">
            <v>0</v>
          </cell>
          <cell r="T15">
            <v>2</v>
          </cell>
          <cell r="U15">
            <v>1</v>
          </cell>
        </row>
        <row r="16">
          <cell r="A16" t="str">
            <v xml:space="preserve">Gulfstream G200 </v>
          </cell>
          <cell r="B16" t="str">
            <v xml:space="preserve"> </v>
          </cell>
          <cell r="C16" t="str">
            <v>Miami Jet Professionals LLC</v>
          </cell>
          <cell r="D16">
            <v>38742</v>
          </cell>
          <cell r="E16" t="str">
            <v>North America</v>
          </cell>
          <cell r="F16" t="str">
            <v>USA</v>
          </cell>
          <cell r="G16" t="str">
            <v>Business / Corporate / Executive</v>
          </cell>
          <cell r="N16" t="str">
            <v>Total</v>
          </cell>
          <cell r="O16">
            <v>78</v>
          </cell>
          <cell r="P16">
            <v>70</v>
          </cell>
          <cell r="Q16">
            <v>68</v>
          </cell>
          <cell r="R16">
            <v>54</v>
          </cell>
          <cell r="S16">
            <v>47</v>
          </cell>
          <cell r="T16">
            <v>85</v>
          </cell>
          <cell r="U16">
            <v>104</v>
          </cell>
        </row>
        <row r="17">
          <cell r="A17" t="str">
            <v xml:space="preserve">Gulfstream G200 </v>
          </cell>
          <cell r="B17" t="str">
            <v xml:space="preserve"> </v>
          </cell>
          <cell r="C17" t="str">
            <v>Netjets</v>
          </cell>
          <cell r="D17">
            <v>38754</v>
          </cell>
          <cell r="E17" t="str">
            <v>North America</v>
          </cell>
          <cell r="F17" t="str">
            <v>USA</v>
          </cell>
          <cell r="G17" t="str">
            <v>Business / Corporate / Executive</v>
          </cell>
          <cell r="N17" t="str">
            <v>% Ch Y/Y</v>
          </cell>
          <cell r="P17">
            <v>-0.10256410256410253</v>
          </cell>
          <cell r="Q17">
            <v>-2.8571428571428581E-2</v>
          </cell>
          <cell r="R17">
            <v>-0.20588235294117652</v>
          </cell>
          <cell r="S17">
            <v>-0.12962962962962965</v>
          </cell>
          <cell r="T17">
            <v>0.8085106382978724</v>
          </cell>
          <cell r="U17">
            <v>0.22352941176470598</v>
          </cell>
        </row>
        <row r="18">
          <cell r="A18" t="str">
            <v xml:space="preserve">Gulfstream G200 </v>
          </cell>
          <cell r="B18" t="str">
            <v xml:space="preserve"> </v>
          </cell>
          <cell r="C18" t="str">
            <v>Federated Department Stores Inc</v>
          </cell>
          <cell r="D18">
            <v>38769</v>
          </cell>
          <cell r="E18" t="str">
            <v>North America</v>
          </cell>
          <cell r="F18" t="str">
            <v>USA</v>
          </cell>
          <cell r="G18" t="str">
            <v>Business / Corporate / Executive</v>
          </cell>
        </row>
        <row r="19">
          <cell r="A19" t="str">
            <v xml:space="preserve">Gulfstream G200 </v>
          </cell>
          <cell r="B19" t="str">
            <v xml:space="preserve"> </v>
          </cell>
          <cell r="C19" t="str">
            <v>Executive Airlines SA</v>
          </cell>
          <cell r="D19">
            <v>38776</v>
          </cell>
          <cell r="E19" t="str">
            <v>Europe</v>
          </cell>
          <cell r="F19" t="str">
            <v>Spain</v>
          </cell>
          <cell r="G19" t="str">
            <v>Business / Corporate / Executive</v>
          </cell>
        </row>
        <row r="20">
          <cell r="A20" t="str">
            <v xml:space="preserve">Gulfstream G200 </v>
          </cell>
          <cell r="B20" t="str">
            <v xml:space="preserve"> </v>
          </cell>
          <cell r="C20" t="str">
            <v>Green Reed Enterprises Inc</v>
          </cell>
          <cell r="D20">
            <v>38805</v>
          </cell>
          <cell r="E20" t="str">
            <v>North America</v>
          </cell>
          <cell r="F20" t="str">
            <v>USA</v>
          </cell>
          <cell r="G20" t="str">
            <v>Business / Corporate / Executive</v>
          </cell>
        </row>
        <row r="21">
          <cell r="A21" t="str">
            <v xml:space="preserve">Gulfstream G200 </v>
          </cell>
          <cell r="B21" t="str">
            <v xml:space="preserve"> </v>
          </cell>
          <cell r="C21" t="str">
            <v>Netjets</v>
          </cell>
          <cell r="D21">
            <v>38813</v>
          </cell>
          <cell r="E21" t="str">
            <v>North America</v>
          </cell>
          <cell r="F21" t="str">
            <v>USA</v>
          </cell>
          <cell r="G21" t="str">
            <v>Business / Corporate / Executive</v>
          </cell>
        </row>
        <row r="22">
          <cell r="A22" t="str">
            <v xml:space="preserve">Gulfstream G200 </v>
          </cell>
          <cell r="B22" t="str">
            <v xml:space="preserve"> </v>
          </cell>
          <cell r="C22" t="str">
            <v>Netjets</v>
          </cell>
          <cell r="D22">
            <v>38832</v>
          </cell>
          <cell r="E22" t="str">
            <v>North America</v>
          </cell>
          <cell r="F22" t="str">
            <v>USA</v>
          </cell>
          <cell r="G22" t="str">
            <v>Business / Corporate / Executive</v>
          </cell>
        </row>
        <row r="23">
          <cell r="A23" t="str">
            <v xml:space="preserve">Gulfstream G200 </v>
          </cell>
          <cell r="B23" t="str">
            <v xml:space="preserve"> </v>
          </cell>
          <cell r="C23" t="str">
            <v>Sanchez Management Corp &amp; Int'l Bank of Commerce</v>
          </cell>
          <cell r="D23">
            <v>38868</v>
          </cell>
          <cell r="E23" t="str">
            <v>North America</v>
          </cell>
          <cell r="F23" t="str">
            <v>USA</v>
          </cell>
          <cell r="G23" t="str">
            <v>Business / Corporate / Executive</v>
          </cell>
        </row>
        <row r="24">
          <cell r="A24" t="str">
            <v xml:space="preserve">Gulfstream G200 </v>
          </cell>
          <cell r="B24" t="str">
            <v xml:space="preserve"> </v>
          </cell>
          <cell r="C24" t="str">
            <v>Trans Jet Equipment LLC</v>
          </cell>
          <cell r="D24">
            <v>38869</v>
          </cell>
          <cell r="E24" t="str">
            <v>North America</v>
          </cell>
          <cell r="F24" t="str">
            <v>USA</v>
          </cell>
          <cell r="G24" t="str">
            <v>Business / Corporate / Executive</v>
          </cell>
        </row>
        <row r="25">
          <cell r="A25" t="str">
            <v xml:space="preserve">Gulfstream G200 </v>
          </cell>
          <cell r="B25" t="str">
            <v xml:space="preserve"> </v>
          </cell>
          <cell r="C25" t="str">
            <v>Hong Kong Aviation Inc</v>
          </cell>
          <cell r="D25">
            <v>38869</v>
          </cell>
          <cell r="E25" t="str">
            <v>North America</v>
          </cell>
          <cell r="F25" t="str">
            <v>USA</v>
          </cell>
          <cell r="G25" t="str">
            <v>Business / Corporate / Executive</v>
          </cell>
        </row>
        <row r="26">
          <cell r="A26" t="str">
            <v xml:space="preserve">Gulfstream G200 </v>
          </cell>
          <cell r="B26" t="str">
            <v xml:space="preserve"> </v>
          </cell>
          <cell r="C26" t="str">
            <v>Netjets</v>
          </cell>
          <cell r="D26">
            <v>38869</v>
          </cell>
          <cell r="E26" t="str">
            <v>North America</v>
          </cell>
          <cell r="F26" t="str">
            <v>USA</v>
          </cell>
          <cell r="G26" t="str">
            <v>Business / Corporate / Executive</v>
          </cell>
        </row>
        <row r="27">
          <cell r="A27" t="str">
            <v xml:space="preserve">Gulfstream G200 </v>
          </cell>
          <cell r="B27" t="str">
            <v xml:space="preserve"> </v>
          </cell>
          <cell r="C27" t="str">
            <v>Emperor Entertainment Group</v>
          </cell>
          <cell r="D27">
            <v>38917</v>
          </cell>
          <cell r="E27" t="str">
            <v>Asia</v>
          </cell>
          <cell r="F27" t="str">
            <v>Hong Kong</v>
          </cell>
          <cell r="G27" t="str">
            <v>Business / Corporate / Executive</v>
          </cell>
        </row>
        <row r="28">
          <cell r="A28" t="str">
            <v xml:space="preserve">Gulfstream G200 </v>
          </cell>
          <cell r="B28" t="str">
            <v xml:space="preserve"> </v>
          </cell>
          <cell r="C28" t="str">
            <v>Want Want Group</v>
          </cell>
          <cell r="D28">
            <v>38945</v>
          </cell>
          <cell r="E28" t="str">
            <v>Asia</v>
          </cell>
          <cell r="F28" t="str">
            <v>China</v>
          </cell>
          <cell r="G28" t="str">
            <v>Business / Corporate / Executive</v>
          </cell>
        </row>
        <row r="29">
          <cell r="A29" t="str">
            <v xml:space="preserve">Gulfstream G200 </v>
          </cell>
          <cell r="B29" t="str">
            <v xml:space="preserve"> </v>
          </cell>
          <cell r="C29" t="str">
            <v>Netjets</v>
          </cell>
          <cell r="D29">
            <v>38946</v>
          </cell>
          <cell r="E29" t="str">
            <v>North America</v>
          </cell>
          <cell r="F29" t="str">
            <v>USA</v>
          </cell>
          <cell r="G29" t="str">
            <v>Business / Corporate / Executive</v>
          </cell>
        </row>
        <row r="30">
          <cell r="A30" t="str">
            <v xml:space="preserve">Gulfstream G200 </v>
          </cell>
          <cell r="B30" t="str">
            <v xml:space="preserve"> </v>
          </cell>
          <cell r="C30" t="str">
            <v>G137 LLC</v>
          </cell>
          <cell r="D30">
            <v>38947</v>
          </cell>
          <cell r="E30" t="str">
            <v>North America</v>
          </cell>
          <cell r="F30" t="str">
            <v>USA</v>
          </cell>
          <cell r="G30" t="str">
            <v>Business / Corporate / Executive</v>
          </cell>
        </row>
        <row r="31">
          <cell r="A31" t="str">
            <v xml:space="preserve">Gulfstream G200 </v>
          </cell>
          <cell r="B31" t="str">
            <v xml:space="preserve"> </v>
          </cell>
          <cell r="C31" t="str">
            <v>Aviation Management Services Ltd</v>
          </cell>
          <cell r="D31">
            <v>38966</v>
          </cell>
          <cell r="E31" t="str">
            <v>North America</v>
          </cell>
          <cell r="F31" t="str">
            <v>USA</v>
          </cell>
          <cell r="G31" t="str">
            <v>Business / Corporate / Executive</v>
          </cell>
        </row>
        <row r="32">
          <cell r="A32" t="str">
            <v xml:space="preserve">Gulfstream G200 </v>
          </cell>
          <cell r="B32" t="str">
            <v xml:space="preserve"> </v>
          </cell>
          <cell r="C32" t="str">
            <v>Orange Crimson Aviation LLC</v>
          </cell>
          <cell r="D32">
            <v>38974</v>
          </cell>
          <cell r="E32" t="str">
            <v>North America</v>
          </cell>
          <cell r="F32" t="str">
            <v>USA</v>
          </cell>
          <cell r="G32" t="str">
            <v>Business / Corporate / Executive</v>
          </cell>
        </row>
        <row r="33">
          <cell r="A33" t="str">
            <v xml:space="preserve">Gulfstream G200 </v>
          </cell>
          <cell r="B33" t="str">
            <v xml:space="preserve"> </v>
          </cell>
          <cell r="C33" t="str">
            <v>Passaro Azul Taxi Aereo LTDA.</v>
          </cell>
          <cell r="D33">
            <v>39017</v>
          </cell>
          <cell r="E33" t="str">
            <v>Latin America and Caribbean</v>
          </cell>
          <cell r="F33" t="str">
            <v>Brazil</v>
          </cell>
          <cell r="G33" t="str">
            <v>Business / Corporate / Executive</v>
          </cell>
        </row>
        <row r="34">
          <cell r="A34" t="str">
            <v xml:space="preserve">Gulfstream G200 </v>
          </cell>
          <cell r="B34" t="str">
            <v xml:space="preserve"> </v>
          </cell>
          <cell r="C34" t="str">
            <v>Netjets</v>
          </cell>
          <cell r="D34">
            <v>39030</v>
          </cell>
          <cell r="E34" t="str">
            <v>North America</v>
          </cell>
          <cell r="F34" t="str">
            <v>USA</v>
          </cell>
          <cell r="G34" t="str">
            <v>Business / Corporate / Executive</v>
          </cell>
        </row>
        <row r="35">
          <cell r="A35" t="str">
            <v xml:space="preserve">Gulfstream G200 </v>
          </cell>
          <cell r="B35" t="str">
            <v xml:space="preserve"> </v>
          </cell>
          <cell r="C35" t="str">
            <v>HCE Leasing LLC</v>
          </cell>
          <cell r="D35">
            <v>39041</v>
          </cell>
          <cell r="E35" t="str">
            <v>North America</v>
          </cell>
          <cell r="F35" t="str">
            <v>USA</v>
          </cell>
          <cell r="G35" t="str">
            <v>Business / Corporate / Executive</v>
          </cell>
        </row>
        <row r="36">
          <cell r="A36" t="str">
            <v xml:space="preserve">Gulfstream G200 </v>
          </cell>
          <cell r="B36" t="str">
            <v xml:space="preserve"> </v>
          </cell>
          <cell r="C36" t="str">
            <v>Global Aviation LP</v>
          </cell>
          <cell r="D36">
            <v>39051</v>
          </cell>
          <cell r="E36" t="str">
            <v>North America</v>
          </cell>
          <cell r="F36" t="str">
            <v>USA</v>
          </cell>
          <cell r="G36" t="str">
            <v>Business / Corporate / Executive</v>
          </cell>
        </row>
        <row r="37">
          <cell r="A37" t="str">
            <v xml:space="preserve">Gulfstream G200 </v>
          </cell>
          <cell r="B37" t="str">
            <v xml:space="preserve"> </v>
          </cell>
          <cell r="C37" t="str">
            <v>Max Aviation Group Inc</v>
          </cell>
          <cell r="D37">
            <v>39058</v>
          </cell>
          <cell r="E37" t="str">
            <v>North America</v>
          </cell>
          <cell r="F37" t="str">
            <v>USA</v>
          </cell>
          <cell r="G37" t="str">
            <v>Business / Corporate / Executive</v>
          </cell>
        </row>
        <row r="38">
          <cell r="A38" t="str">
            <v>Gulfstream G350</v>
          </cell>
          <cell r="C38" t="str">
            <v>G350 Leasing LLC</v>
          </cell>
          <cell r="D38">
            <v>38791</v>
          </cell>
          <cell r="E38" t="str">
            <v>North America</v>
          </cell>
          <cell r="F38" t="str">
            <v>USA</v>
          </cell>
          <cell r="G38" t="str">
            <v>Business / Corporate / Executive</v>
          </cell>
        </row>
        <row r="39">
          <cell r="A39" t="str">
            <v>Gulfstream G350</v>
          </cell>
          <cell r="C39" t="str">
            <v>EJS-Executive Jet Shares III Inc</v>
          </cell>
          <cell r="D39">
            <v>38918</v>
          </cell>
          <cell r="E39" t="str">
            <v>North America</v>
          </cell>
          <cell r="F39" t="str">
            <v>USA</v>
          </cell>
          <cell r="G39" t="str">
            <v>Business / Corporate / Executive</v>
          </cell>
        </row>
        <row r="40">
          <cell r="A40" t="str">
            <v>Gulfstream G450</v>
          </cell>
          <cell r="C40" t="str">
            <v>Netjets International</v>
          </cell>
          <cell r="D40">
            <v>38762</v>
          </cell>
          <cell r="E40" t="str">
            <v>North America</v>
          </cell>
          <cell r="F40" t="str">
            <v>USA</v>
          </cell>
          <cell r="G40" t="str">
            <v>Business / Corporate / Executive</v>
          </cell>
        </row>
        <row r="41">
          <cell r="A41" t="str">
            <v>Gulfstream G450</v>
          </cell>
          <cell r="C41" t="str">
            <v>Haworth Transportation Services LLC</v>
          </cell>
          <cell r="D41">
            <v>38769</v>
          </cell>
          <cell r="E41" t="str">
            <v>North America</v>
          </cell>
          <cell r="F41" t="str">
            <v>USA</v>
          </cell>
          <cell r="G41" t="str">
            <v>Business / Corporate / Executive</v>
          </cell>
        </row>
        <row r="42">
          <cell r="A42" t="str">
            <v>Gulfstream G450</v>
          </cell>
          <cell r="C42" t="str">
            <v>Starship Enterprise Leasing LLC</v>
          </cell>
          <cell r="D42">
            <v>38791</v>
          </cell>
          <cell r="E42" t="str">
            <v>North America</v>
          </cell>
          <cell r="F42" t="str">
            <v>USA</v>
          </cell>
          <cell r="G42" t="str">
            <v>Business / Corporate / Executive</v>
          </cell>
        </row>
        <row r="43">
          <cell r="A43" t="str">
            <v>Gulfstream G450</v>
          </cell>
          <cell r="C43" t="str">
            <v>G5 Executive</v>
          </cell>
          <cell r="D43">
            <v>38799</v>
          </cell>
          <cell r="E43" t="str">
            <v>Europe</v>
          </cell>
          <cell r="F43" t="str">
            <v>Switzerland</v>
          </cell>
          <cell r="G43" t="str">
            <v>Business / Corporate / Executive</v>
          </cell>
        </row>
        <row r="44">
          <cell r="A44" t="str">
            <v>Gulfstream G450</v>
          </cell>
          <cell r="C44" t="str">
            <v>Easy Flight LLC</v>
          </cell>
          <cell r="D44">
            <v>38806</v>
          </cell>
          <cell r="E44" t="str">
            <v>North America</v>
          </cell>
          <cell r="F44" t="str">
            <v>USA</v>
          </cell>
          <cell r="G44" t="str">
            <v>Business / Corporate / Executive</v>
          </cell>
        </row>
        <row r="45">
          <cell r="A45" t="str">
            <v>Gulfstream G450</v>
          </cell>
          <cell r="C45" t="str">
            <v>Iridium LLC</v>
          </cell>
          <cell r="D45">
            <v>38835</v>
          </cell>
          <cell r="E45" t="str">
            <v>North America</v>
          </cell>
          <cell r="F45" t="str">
            <v>USA</v>
          </cell>
          <cell r="G45" t="str">
            <v>Business / Corporate / Executive</v>
          </cell>
        </row>
        <row r="46">
          <cell r="A46" t="str">
            <v>Gulfstream G450</v>
          </cell>
          <cell r="C46" t="str">
            <v>Hermes Express LLC</v>
          </cell>
          <cell r="D46">
            <v>38848</v>
          </cell>
          <cell r="E46" t="str">
            <v>North America</v>
          </cell>
          <cell r="F46" t="str">
            <v>USA</v>
          </cell>
          <cell r="G46" t="str">
            <v>Business / Corporate / Executive</v>
          </cell>
        </row>
        <row r="47">
          <cell r="A47" t="str">
            <v>Gulfstream G450</v>
          </cell>
          <cell r="C47" t="str">
            <v>MVOC LLC</v>
          </cell>
          <cell r="D47">
            <v>38880</v>
          </cell>
          <cell r="E47" t="str">
            <v>North America</v>
          </cell>
          <cell r="F47" t="str">
            <v>USA</v>
          </cell>
          <cell r="G47" t="str">
            <v>Business / Corporate / Executive</v>
          </cell>
        </row>
        <row r="48">
          <cell r="A48" t="str">
            <v>Gulfstream G450</v>
          </cell>
          <cell r="C48" t="str">
            <v>Netjets International</v>
          </cell>
          <cell r="D48">
            <v>38885</v>
          </cell>
          <cell r="E48" t="str">
            <v>North America</v>
          </cell>
          <cell r="F48" t="str">
            <v>USA</v>
          </cell>
          <cell r="G48" t="str">
            <v>Business / Corporate / Executive</v>
          </cell>
        </row>
        <row r="49">
          <cell r="A49" t="str">
            <v>Gulfstream G450</v>
          </cell>
          <cell r="C49" t="str">
            <v>Warbler I LLC</v>
          </cell>
          <cell r="D49">
            <v>38898</v>
          </cell>
          <cell r="E49" t="str">
            <v>North America</v>
          </cell>
          <cell r="F49" t="str">
            <v>USA</v>
          </cell>
          <cell r="G49" t="str">
            <v>Business / Corporate / Executive</v>
          </cell>
        </row>
        <row r="50">
          <cell r="A50" t="str">
            <v>Gulfstream G450</v>
          </cell>
          <cell r="C50" t="str">
            <v>Wilderness Point Associates LLC</v>
          </cell>
          <cell r="D50">
            <v>38898</v>
          </cell>
          <cell r="E50" t="str">
            <v>North America</v>
          </cell>
          <cell r="F50" t="str">
            <v>USA</v>
          </cell>
          <cell r="G50" t="str">
            <v>Business / Corporate / Executive</v>
          </cell>
        </row>
        <row r="51">
          <cell r="A51" t="str">
            <v>Gulfstream G450</v>
          </cell>
          <cell r="C51" t="str">
            <v>Honeywell International Inc</v>
          </cell>
          <cell r="D51">
            <v>38917</v>
          </cell>
          <cell r="E51" t="str">
            <v>North America</v>
          </cell>
          <cell r="F51" t="str">
            <v>USA</v>
          </cell>
          <cell r="G51" t="str">
            <v>Business / Corporate / Executive</v>
          </cell>
        </row>
        <row r="52">
          <cell r="A52" t="str">
            <v>Gulfstream G450</v>
          </cell>
          <cell r="C52" t="str">
            <v>ConocoPhillips Co</v>
          </cell>
          <cell r="D52">
            <v>38933</v>
          </cell>
          <cell r="E52" t="str">
            <v>North America</v>
          </cell>
          <cell r="F52" t="str">
            <v>USA</v>
          </cell>
          <cell r="G52" t="str">
            <v>Business / Corporate / Executive</v>
          </cell>
        </row>
        <row r="53">
          <cell r="A53" t="str">
            <v>Gulfstream G450</v>
          </cell>
          <cell r="C53" t="str">
            <v>Blue Vista LLC</v>
          </cell>
          <cell r="D53">
            <v>38958</v>
          </cell>
          <cell r="E53" t="str">
            <v>North America</v>
          </cell>
          <cell r="F53" t="str">
            <v>USA</v>
          </cell>
          <cell r="G53" t="str">
            <v>Business / Corporate / Executive</v>
          </cell>
        </row>
        <row r="54">
          <cell r="A54" t="str">
            <v>Gulfstream G450</v>
          </cell>
          <cell r="C54" t="str">
            <v>Netjets International</v>
          </cell>
          <cell r="D54">
            <v>38973</v>
          </cell>
          <cell r="E54" t="str">
            <v>North America</v>
          </cell>
          <cell r="F54" t="str">
            <v>USA</v>
          </cell>
          <cell r="G54" t="str">
            <v>Business / Corporate / Executive</v>
          </cell>
        </row>
        <row r="55">
          <cell r="A55" t="str">
            <v>Gulfstream G450</v>
          </cell>
          <cell r="C55" t="str">
            <v>Brown Flight Properties LLC</v>
          </cell>
          <cell r="D55">
            <v>38973</v>
          </cell>
          <cell r="E55" t="str">
            <v>North America</v>
          </cell>
          <cell r="F55" t="str">
            <v>USA</v>
          </cell>
          <cell r="G55" t="str">
            <v>Business / Corporate / Executive</v>
          </cell>
        </row>
        <row r="56">
          <cell r="A56" t="str">
            <v>Gulfstream G450</v>
          </cell>
          <cell r="C56" t="str">
            <v>Abbott Laboratories Purchasing Co LLC</v>
          </cell>
          <cell r="D56">
            <v>38989</v>
          </cell>
          <cell r="E56" t="str">
            <v>North America</v>
          </cell>
          <cell r="F56" t="str">
            <v>USA</v>
          </cell>
          <cell r="G56" t="str">
            <v>Business / Corporate / Executive</v>
          </cell>
        </row>
        <row r="57">
          <cell r="A57" t="str">
            <v>Gulfstream G450</v>
          </cell>
          <cell r="C57" t="str">
            <v>Brown Flight Properties LLC</v>
          </cell>
          <cell r="D57">
            <v>38989</v>
          </cell>
          <cell r="E57" t="str">
            <v>North America</v>
          </cell>
          <cell r="F57" t="str">
            <v>USA</v>
          </cell>
          <cell r="G57" t="str">
            <v>Business / Corporate / Executive</v>
          </cell>
        </row>
        <row r="58">
          <cell r="A58" t="str">
            <v>Gulfstream G450</v>
          </cell>
          <cell r="C58" t="str">
            <v>Canal Air LLC</v>
          </cell>
          <cell r="D58">
            <v>38994</v>
          </cell>
          <cell r="E58" t="str">
            <v>North America</v>
          </cell>
          <cell r="F58" t="str">
            <v>USA</v>
          </cell>
          <cell r="G58" t="str">
            <v>Business / Corporate / Executive</v>
          </cell>
        </row>
        <row r="59">
          <cell r="A59" t="str">
            <v>Gulfstream G450</v>
          </cell>
          <cell r="C59" t="str">
            <v>Silk Way Airlines</v>
          </cell>
          <cell r="D59">
            <v>38996</v>
          </cell>
          <cell r="E59" t="str">
            <v>Europe</v>
          </cell>
          <cell r="F59" t="str">
            <v>Azerbaijan</v>
          </cell>
          <cell r="G59" t="str">
            <v>Business / Corporate / Executive</v>
          </cell>
        </row>
        <row r="60">
          <cell r="A60" t="str">
            <v>Gulfstream G450</v>
          </cell>
          <cell r="C60" t="str">
            <v>Johnson &amp; Johnson</v>
          </cell>
          <cell r="D60">
            <v>39024</v>
          </cell>
          <cell r="E60" t="str">
            <v>North America</v>
          </cell>
          <cell r="F60" t="str">
            <v>USA</v>
          </cell>
          <cell r="G60" t="str">
            <v>Business / Corporate / Executive</v>
          </cell>
        </row>
        <row r="61">
          <cell r="A61" t="str">
            <v>Gulfstream G450</v>
          </cell>
          <cell r="C61" t="str">
            <v>General Dynamics Corp</v>
          </cell>
          <cell r="D61">
            <v>39028</v>
          </cell>
          <cell r="E61" t="str">
            <v>North America</v>
          </cell>
          <cell r="F61" t="str">
            <v>USA</v>
          </cell>
          <cell r="G61" t="str">
            <v>Business / Corporate / Executive</v>
          </cell>
        </row>
        <row r="62">
          <cell r="A62" t="str">
            <v>Gulfstream G450</v>
          </cell>
          <cell r="C62" t="str">
            <v>Verizon Corporate Services Group Inc</v>
          </cell>
          <cell r="D62">
            <v>39031</v>
          </cell>
          <cell r="E62" t="str">
            <v>North America</v>
          </cell>
          <cell r="F62" t="str">
            <v>USA</v>
          </cell>
          <cell r="G62" t="str">
            <v>Business / Corporate / Executive</v>
          </cell>
        </row>
        <row r="63">
          <cell r="A63" t="str">
            <v>Gulfstream G450</v>
          </cell>
          <cell r="C63" t="str">
            <v>DS Aviation Inc</v>
          </cell>
          <cell r="D63">
            <v>39035</v>
          </cell>
          <cell r="E63" t="str">
            <v>North America</v>
          </cell>
          <cell r="F63" t="str">
            <v>USA</v>
          </cell>
          <cell r="G63" t="str">
            <v>Business / Corporate / Executive</v>
          </cell>
        </row>
        <row r="64">
          <cell r="A64" t="str">
            <v>Gulfstream G450</v>
          </cell>
          <cell r="C64" t="str">
            <v>Sunbird Aviation</v>
          </cell>
          <cell r="D64">
            <v>39058</v>
          </cell>
          <cell r="E64" t="str">
            <v>North America</v>
          </cell>
          <cell r="F64" t="str">
            <v>USA</v>
          </cell>
          <cell r="G64" t="str">
            <v>Business / Corporate / Executive</v>
          </cell>
        </row>
        <row r="65">
          <cell r="A65" t="str">
            <v>Gulfstream G450</v>
          </cell>
          <cell r="C65" t="str">
            <v>Twin Oaks LLC</v>
          </cell>
          <cell r="D65">
            <v>39059</v>
          </cell>
          <cell r="E65" t="str">
            <v>North America</v>
          </cell>
          <cell r="F65" t="str">
            <v>USA</v>
          </cell>
          <cell r="G65" t="str">
            <v>Business / Corporate / Executive</v>
          </cell>
        </row>
        <row r="66">
          <cell r="A66" t="str">
            <v>Gulfstream G450</v>
          </cell>
          <cell r="C66" t="str">
            <v>Netjets International</v>
          </cell>
          <cell r="D66">
            <v>39063</v>
          </cell>
          <cell r="E66" t="str">
            <v>North America</v>
          </cell>
          <cell r="F66" t="str">
            <v>USA</v>
          </cell>
          <cell r="G66" t="str">
            <v>Business / Corporate / Executive</v>
          </cell>
        </row>
        <row r="67">
          <cell r="A67" t="str">
            <v>Gulfstream G450</v>
          </cell>
          <cell r="C67" t="str">
            <v>1226 Enterprises LLC</v>
          </cell>
          <cell r="D67">
            <v>39069</v>
          </cell>
          <cell r="E67" t="str">
            <v>North America</v>
          </cell>
          <cell r="F67" t="str">
            <v>USA</v>
          </cell>
          <cell r="G67" t="str">
            <v>Business / Corporate / Executive</v>
          </cell>
        </row>
        <row r="68">
          <cell r="A68" t="str">
            <v>Gulfstream G450</v>
          </cell>
          <cell r="C68" t="str">
            <v>Triple Two Aviation Inc</v>
          </cell>
          <cell r="D68">
            <v>39072</v>
          </cell>
          <cell r="E68" t="str">
            <v>North America</v>
          </cell>
          <cell r="F68" t="str">
            <v>USA</v>
          </cell>
          <cell r="G68" t="str">
            <v>Business / Corporate / Executive</v>
          </cell>
        </row>
        <row r="69">
          <cell r="A69" t="str">
            <v>Gulfstream G500</v>
          </cell>
          <cell r="C69" t="str">
            <v>Ferrell Schultz Aviation LLC</v>
          </cell>
          <cell r="D69">
            <v>38882</v>
          </cell>
          <cell r="E69" t="str">
            <v>North America</v>
          </cell>
          <cell r="F69" t="str">
            <v>USA</v>
          </cell>
          <cell r="G69" t="str">
            <v>Business / Corporate / Executive</v>
          </cell>
        </row>
        <row r="70">
          <cell r="A70" t="str">
            <v>Gulfstream G500</v>
          </cell>
          <cell r="C70" t="str">
            <v>Oakmont Corp</v>
          </cell>
          <cell r="D70">
            <v>38897</v>
          </cell>
          <cell r="E70" t="str">
            <v>North America</v>
          </cell>
          <cell r="F70" t="str">
            <v>USA</v>
          </cell>
          <cell r="G70" t="str">
            <v>Business / Corporate / Executive</v>
          </cell>
        </row>
        <row r="71">
          <cell r="A71" t="str">
            <v>Gulfstream G550</v>
          </cell>
          <cell r="C71" t="str">
            <v>Falconcrest G550 LLC</v>
          </cell>
          <cell r="D71">
            <v>38741</v>
          </cell>
          <cell r="E71" t="str">
            <v>North America</v>
          </cell>
          <cell r="F71" t="str">
            <v>USA</v>
          </cell>
          <cell r="G71" t="str">
            <v>Business / Corporate / Executive</v>
          </cell>
        </row>
        <row r="72">
          <cell r="A72" t="str">
            <v>Gulfstream G550</v>
          </cell>
          <cell r="C72" t="str">
            <v>Telefonica Internacional SA</v>
          </cell>
          <cell r="D72">
            <v>38743</v>
          </cell>
          <cell r="E72" t="str">
            <v>Europe</v>
          </cell>
          <cell r="F72" t="str">
            <v>Spain</v>
          </cell>
          <cell r="G72" t="str">
            <v>Business / Corporate / Executive</v>
          </cell>
        </row>
        <row r="73">
          <cell r="A73" t="str">
            <v>Gulfstream G550</v>
          </cell>
          <cell r="C73" t="str">
            <v>SeaFlight Aviation Ltd</v>
          </cell>
          <cell r="D73">
            <v>38750</v>
          </cell>
          <cell r="E73" t="str">
            <v>Latin America and Caribbean</v>
          </cell>
          <cell r="F73" t="str">
            <v>Bermuda</v>
          </cell>
          <cell r="G73" t="str">
            <v>Business / Corporate / Executive</v>
          </cell>
        </row>
        <row r="74">
          <cell r="A74" t="str">
            <v>Gulfstream G550</v>
          </cell>
          <cell r="C74" t="str">
            <v>EWS LLC</v>
          </cell>
          <cell r="D74">
            <v>38755</v>
          </cell>
          <cell r="E74" t="str">
            <v>North America</v>
          </cell>
          <cell r="F74" t="str">
            <v>USA</v>
          </cell>
          <cell r="G74" t="str">
            <v>Business / Corporate / Executive</v>
          </cell>
        </row>
        <row r="75">
          <cell r="A75" t="str">
            <v>Gulfstream G550</v>
          </cell>
          <cell r="C75" t="str">
            <v>St Thomas Energy Exports Inc</v>
          </cell>
          <cell r="D75">
            <v>38758</v>
          </cell>
          <cell r="E75" t="str">
            <v>Latin America and Caribbean</v>
          </cell>
          <cell r="F75" t="str">
            <v>Virgin Islands (US)</v>
          </cell>
          <cell r="G75" t="str">
            <v>Business / Corporate / Executive</v>
          </cell>
        </row>
        <row r="76">
          <cell r="A76" t="str">
            <v>Gulfstream G550</v>
          </cell>
          <cell r="C76" t="str">
            <v>N811BP Inc</v>
          </cell>
          <cell r="D76">
            <v>38764</v>
          </cell>
          <cell r="E76" t="str">
            <v>North America</v>
          </cell>
          <cell r="F76" t="str">
            <v>USA</v>
          </cell>
          <cell r="G76" t="str">
            <v>Business / Corporate / Executive</v>
          </cell>
        </row>
        <row r="77">
          <cell r="A77" t="str">
            <v>Gulfstream G550</v>
          </cell>
          <cell r="C77" t="str">
            <v>G F Management Co LLC</v>
          </cell>
          <cell r="D77">
            <v>38793</v>
          </cell>
          <cell r="E77" t="str">
            <v>North America</v>
          </cell>
          <cell r="F77" t="str">
            <v>USA</v>
          </cell>
          <cell r="G77" t="str">
            <v>Business / Corporate / Executive</v>
          </cell>
        </row>
        <row r="78">
          <cell r="A78" t="str">
            <v>Gulfstream G550</v>
          </cell>
          <cell r="C78" t="str">
            <v>Altria Aviation</v>
          </cell>
          <cell r="D78">
            <v>38810</v>
          </cell>
          <cell r="E78" t="str">
            <v>North America</v>
          </cell>
          <cell r="F78" t="str">
            <v>USA</v>
          </cell>
          <cell r="G78" t="str">
            <v>Business / Corporate / Executive</v>
          </cell>
        </row>
        <row r="79">
          <cell r="A79" t="str">
            <v>Gulfstream G550</v>
          </cell>
          <cell r="C79" t="str">
            <v>Jet Aviation Business Jets</v>
          </cell>
          <cell r="D79">
            <v>38812</v>
          </cell>
          <cell r="E79" t="str">
            <v>Europe</v>
          </cell>
          <cell r="F79" t="str">
            <v>Switzerland</v>
          </cell>
          <cell r="G79" t="str">
            <v>Business / Corporate / Executive</v>
          </cell>
        </row>
        <row r="80">
          <cell r="A80" t="str">
            <v>Gulfstream G550</v>
          </cell>
          <cell r="C80" t="str">
            <v>DLR Flugbetriebe</v>
          </cell>
          <cell r="D80">
            <v>38822</v>
          </cell>
          <cell r="E80" t="str">
            <v>Europe</v>
          </cell>
          <cell r="F80" t="str">
            <v>Germany</v>
          </cell>
          <cell r="G80" t="str">
            <v>Weather / Atmospheric / Environmental Research</v>
          </cell>
        </row>
        <row r="81">
          <cell r="A81" t="str">
            <v>Gulfstream G550</v>
          </cell>
          <cell r="C81" t="str">
            <v>The Proctor &amp; Gamble Co</v>
          </cell>
          <cell r="D81">
            <v>38826</v>
          </cell>
          <cell r="E81" t="str">
            <v>North America</v>
          </cell>
          <cell r="F81" t="str">
            <v>USA</v>
          </cell>
          <cell r="G81" t="str">
            <v>Business / Corporate / Executive</v>
          </cell>
        </row>
        <row r="82">
          <cell r="A82" t="str">
            <v>Gulfstream G550</v>
          </cell>
          <cell r="C82" t="str">
            <v>771 JT LLC</v>
          </cell>
          <cell r="D82">
            <v>38835</v>
          </cell>
          <cell r="E82" t="str">
            <v>North America</v>
          </cell>
          <cell r="F82" t="str">
            <v>USA</v>
          </cell>
          <cell r="G82" t="str">
            <v>Business / Corporate / Executive</v>
          </cell>
        </row>
        <row r="83">
          <cell r="A83" t="str">
            <v>Gulfstream G550</v>
          </cell>
          <cell r="C83" t="str">
            <v>NetJets Europe</v>
          </cell>
          <cell r="D83">
            <v>38839</v>
          </cell>
          <cell r="E83" t="str">
            <v>Europe</v>
          </cell>
          <cell r="F83" t="str">
            <v>Portugal</v>
          </cell>
          <cell r="G83" t="str">
            <v>Business / Corporate / Executive</v>
          </cell>
        </row>
        <row r="84">
          <cell r="A84" t="str">
            <v>Gulfstream G550</v>
          </cell>
          <cell r="C84" t="str">
            <v>Kraft Foods Aviation LLC</v>
          </cell>
          <cell r="D84">
            <v>38849</v>
          </cell>
          <cell r="E84" t="str">
            <v>North America</v>
          </cell>
          <cell r="F84" t="str">
            <v>USA</v>
          </cell>
          <cell r="G84" t="str">
            <v>Business / Corporate / Executive</v>
          </cell>
        </row>
        <row r="85">
          <cell r="A85" t="str">
            <v>Gulfstream G550</v>
          </cell>
          <cell r="C85" t="str">
            <v>Casden Aircraft LLC</v>
          </cell>
          <cell r="D85">
            <v>38849</v>
          </cell>
          <cell r="E85" t="str">
            <v>North America</v>
          </cell>
          <cell r="F85" t="str">
            <v>USA</v>
          </cell>
          <cell r="G85" t="str">
            <v>Business / Corporate / Executive</v>
          </cell>
        </row>
        <row r="86">
          <cell r="A86" t="str">
            <v>Gulfstream G550</v>
          </cell>
          <cell r="C86" t="str">
            <v>US Navy</v>
          </cell>
          <cell r="D86">
            <v>38859</v>
          </cell>
          <cell r="E86" t="str">
            <v>North America</v>
          </cell>
          <cell r="F86" t="str">
            <v>USA</v>
          </cell>
          <cell r="G86" t="str">
            <v>Business / Corporate / Executive</v>
          </cell>
        </row>
        <row r="87">
          <cell r="A87" t="str">
            <v>Gulfstream G550</v>
          </cell>
          <cell r="C87" t="str">
            <v>NetJets Europe</v>
          </cell>
          <cell r="D87">
            <v>38873</v>
          </cell>
          <cell r="E87" t="str">
            <v>Europe</v>
          </cell>
          <cell r="F87" t="str">
            <v>Portugal</v>
          </cell>
          <cell r="G87" t="str">
            <v>Business / Corporate / Executive</v>
          </cell>
        </row>
        <row r="88">
          <cell r="A88" t="str">
            <v>Gulfstream G550</v>
          </cell>
          <cell r="C88" t="str">
            <v>Netjets International</v>
          </cell>
          <cell r="D88">
            <v>38881</v>
          </cell>
          <cell r="E88" t="str">
            <v>North America</v>
          </cell>
          <cell r="F88" t="str">
            <v>USA</v>
          </cell>
          <cell r="G88" t="str">
            <v>Business / Corporate / Executive</v>
          </cell>
        </row>
        <row r="89">
          <cell r="A89" t="str">
            <v>Gulfstream G550</v>
          </cell>
          <cell r="C89" t="str">
            <v>Unconfirmed Cayman Islands Operator</v>
          </cell>
          <cell r="D89">
            <v>38890</v>
          </cell>
          <cell r="E89" t="str">
            <v>Latin America and Caribbean</v>
          </cell>
          <cell r="F89" t="str">
            <v>Cayman Islands</v>
          </cell>
          <cell r="G89" t="str">
            <v>Business / Corporate / Executive</v>
          </cell>
        </row>
        <row r="90">
          <cell r="A90" t="str">
            <v>Gulfstream G550</v>
          </cell>
          <cell r="C90" t="str">
            <v>Motorola Inc</v>
          </cell>
          <cell r="D90">
            <v>38895</v>
          </cell>
          <cell r="E90" t="str">
            <v>North America</v>
          </cell>
          <cell r="F90" t="str">
            <v>USA</v>
          </cell>
          <cell r="G90" t="str">
            <v>Business / Corporate / Executive</v>
          </cell>
        </row>
        <row r="91">
          <cell r="A91" t="str">
            <v>Gulfstream G550</v>
          </cell>
          <cell r="C91" t="str">
            <v>ConocoPhillips Co</v>
          </cell>
          <cell r="D91">
            <v>38927</v>
          </cell>
          <cell r="E91" t="str">
            <v>North America</v>
          </cell>
          <cell r="F91" t="str">
            <v>USA</v>
          </cell>
          <cell r="G91" t="str">
            <v>Business / Corporate / Executive</v>
          </cell>
        </row>
        <row r="92">
          <cell r="A92" t="str">
            <v>Gulfstream G550</v>
          </cell>
          <cell r="C92" t="str">
            <v>ConocoPhillips Co</v>
          </cell>
          <cell r="D92">
            <v>38939</v>
          </cell>
          <cell r="E92" t="str">
            <v>North America</v>
          </cell>
          <cell r="F92" t="str">
            <v>USA</v>
          </cell>
          <cell r="G92" t="str">
            <v>Business / Corporate / Executive</v>
          </cell>
        </row>
        <row r="93">
          <cell r="A93" t="str">
            <v>Gulfstream G550</v>
          </cell>
          <cell r="C93" t="str">
            <v>Skybird Aviation</v>
          </cell>
          <cell r="D93">
            <v>38946</v>
          </cell>
          <cell r="E93" t="str">
            <v>North America</v>
          </cell>
          <cell r="F93" t="str">
            <v>USA</v>
          </cell>
          <cell r="G93" t="str">
            <v>Business / Corporate / Executive</v>
          </cell>
        </row>
        <row r="94">
          <cell r="A94" t="str">
            <v>Gulfstream G550</v>
          </cell>
          <cell r="C94" t="str">
            <v>Crimson Aviation Co LLC</v>
          </cell>
          <cell r="D94">
            <v>38969</v>
          </cell>
          <cell r="E94" t="str">
            <v>North America</v>
          </cell>
          <cell r="F94" t="str">
            <v>USA</v>
          </cell>
          <cell r="G94" t="str">
            <v>Business / Corporate / Executive</v>
          </cell>
        </row>
        <row r="95">
          <cell r="A95" t="str">
            <v>Gulfstream G550</v>
          </cell>
          <cell r="C95" t="str">
            <v>Ropa Two Corp</v>
          </cell>
          <cell r="D95">
            <v>38971</v>
          </cell>
          <cell r="E95" t="str">
            <v>North America</v>
          </cell>
          <cell r="F95" t="str">
            <v>USA</v>
          </cell>
          <cell r="G95" t="str">
            <v>Business / Corporate / Executive</v>
          </cell>
        </row>
        <row r="96">
          <cell r="A96" t="str">
            <v>Gulfstream G550</v>
          </cell>
          <cell r="C96" t="str">
            <v>Avenir Worldwide (Bermuda) Ltd</v>
          </cell>
          <cell r="D96">
            <v>38973</v>
          </cell>
          <cell r="E96" t="str">
            <v>Latin America and Caribbean</v>
          </cell>
          <cell r="F96" t="str">
            <v>Bermuda</v>
          </cell>
          <cell r="G96" t="str">
            <v>Business / Corporate / Executive</v>
          </cell>
        </row>
        <row r="97">
          <cell r="A97" t="str">
            <v>Gulfstream G550</v>
          </cell>
          <cell r="C97" t="str">
            <v>Israel Air and Space Force</v>
          </cell>
          <cell r="D97">
            <v>38979</v>
          </cell>
          <cell r="E97" t="str">
            <v>Middle East</v>
          </cell>
          <cell r="F97" t="str">
            <v>Israel</v>
          </cell>
          <cell r="G97" t="str">
            <v>ASW / AEW / AWACS /Surveillance / Recce / Patrol</v>
          </cell>
        </row>
        <row r="98">
          <cell r="A98" t="str">
            <v>Gulfstream G550</v>
          </cell>
          <cell r="C98" t="str">
            <v>Jet Aviation Business Jets</v>
          </cell>
          <cell r="D98">
            <v>38994</v>
          </cell>
          <cell r="E98" t="str">
            <v>Asia</v>
          </cell>
          <cell r="F98" t="str">
            <v>Hong Kong</v>
          </cell>
          <cell r="G98" t="str">
            <v>Business / Corporate / Executive</v>
          </cell>
        </row>
        <row r="99">
          <cell r="A99" t="str">
            <v>Gulfstream G550</v>
          </cell>
          <cell r="C99" t="str">
            <v>Rashid Engineering</v>
          </cell>
          <cell r="D99">
            <v>39009</v>
          </cell>
          <cell r="E99" t="str">
            <v>Middle East</v>
          </cell>
          <cell r="F99" t="str">
            <v>Saudi Arabia</v>
          </cell>
          <cell r="G99" t="str">
            <v>Business / Corporate / Executive</v>
          </cell>
        </row>
        <row r="100">
          <cell r="A100" t="str">
            <v>Gulfstream G550</v>
          </cell>
          <cell r="C100" t="str">
            <v>ARAMCO Associated Co</v>
          </cell>
          <cell r="D100">
            <v>39010</v>
          </cell>
          <cell r="E100" t="str">
            <v>North America</v>
          </cell>
          <cell r="F100" t="str">
            <v>USA</v>
          </cell>
          <cell r="G100" t="str">
            <v>Business / Corporate / Executive</v>
          </cell>
        </row>
        <row r="101">
          <cell r="A101" t="str">
            <v>Gulfstream G550</v>
          </cell>
          <cell r="C101" t="str">
            <v>US Navy</v>
          </cell>
          <cell r="D101">
            <v>39017</v>
          </cell>
          <cell r="E101" t="str">
            <v>North America</v>
          </cell>
          <cell r="F101" t="str">
            <v>USA</v>
          </cell>
          <cell r="G101" t="str">
            <v>VIP / Government operated</v>
          </cell>
        </row>
        <row r="102">
          <cell r="A102" t="str">
            <v>Gulfstream G550</v>
          </cell>
          <cell r="C102" t="str">
            <v>Donizetti International Ltd</v>
          </cell>
          <cell r="D102">
            <v>39025</v>
          </cell>
          <cell r="E102" t="str">
            <v>Asia</v>
          </cell>
          <cell r="F102" t="str">
            <v>Hong Kong</v>
          </cell>
          <cell r="G102" t="str">
            <v>Business / Corporate / Executive</v>
          </cell>
        </row>
        <row r="103">
          <cell r="A103" t="str">
            <v>Gulfstream G550</v>
          </cell>
          <cell r="C103" t="str">
            <v>Executive Airlines SA</v>
          </cell>
          <cell r="D103">
            <v>39027</v>
          </cell>
          <cell r="E103" t="str">
            <v>Europe</v>
          </cell>
          <cell r="F103" t="str">
            <v>Spain</v>
          </cell>
          <cell r="G103" t="str">
            <v>Business / Corporate / Executive</v>
          </cell>
        </row>
        <row r="104">
          <cell r="A104" t="str">
            <v>Gulfstream G550</v>
          </cell>
          <cell r="C104" t="str">
            <v>AA5 LLC</v>
          </cell>
          <cell r="D104">
            <v>39041</v>
          </cell>
          <cell r="E104" t="str">
            <v>North America</v>
          </cell>
          <cell r="F104" t="str">
            <v>USA</v>
          </cell>
          <cell r="G104" t="str">
            <v>Business / Corporate / Executive</v>
          </cell>
        </row>
        <row r="105">
          <cell r="A105" t="str">
            <v>Gulfstream G550</v>
          </cell>
          <cell r="C105" t="str">
            <v>General Dynamics Corp</v>
          </cell>
          <cell r="D105">
            <v>39051</v>
          </cell>
          <cell r="E105" t="str">
            <v>North America</v>
          </cell>
          <cell r="F105" t="str">
            <v>USA</v>
          </cell>
          <cell r="G105" t="str">
            <v>Business / Corporate / Executive</v>
          </cell>
        </row>
        <row r="106">
          <cell r="A106" t="str">
            <v>Gulfstream G550</v>
          </cell>
          <cell r="C106" t="str">
            <v>Surgutneftegas</v>
          </cell>
          <cell r="D106">
            <v>39056</v>
          </cell>
          <cell r="E106" t="str">
            <v>Europe</v>
          </cell>
          <cell r="F106" t="str">
            <v>Russia</v>
          </cell>
          <cell r="G106" t="str">
            <v>Business / Corporate / Executive</v>
          </cell>
        </row>
        <row r="107">
          <cell r="A107" t="str">
            <v>Gulfstream G550</v>
          </cell>
          <cell r="C107" t="str">
            <v>ARAMCO Associated Co</v>
          </cell>
          <cell r="D107">
            <v>39063</v>
          </cell>
          <cell r="E107" t="str">
            <v>North America</v>
          </cell>
          <cell r="F107" t="str">
            <v>USA</v>
          </cell>
          <cell r="G107" t="str">
            <v>Business / Corporate / Executive</v>
          </cell>
        </row>
        <row r="108">
          <cell r="A108" t="str">
            <v>Gulfstream G550</v>
          </cell>
          <cell r="C108" t="str">
            <v>JMI Services Inc</v>
          </cell>
          <cell r="D108">
            <v>39070</v>
          </cell>
          <cell r="E108" t="str">
            <v>North America</v>
          </cell>
          <cell r="F108" t="str">
            <v>USA</v>
          </cell>
          <cell r="G108" t="str">
            <v>Business / Corporate / Executive</v>
          </cell>
        </row>
        <row r="109">
          <cell r="A109" t="str">
            <v>Gulfstream V</v>
          </cell>
          <cell r="B109" t="str">
            <v xml:space="preserve"> </v>
          </cell>
          <cell r="C109" t="str">
            <v>Israel Air and Space Force</v>
          </cell>
          <cell r="D109">
            <v>38764</v>
          </cell>
          <cell r="E109" t="str">
            <v>Middle East</v>
          </cell>
          <cell r="F109" t="str">
            <v>Israel</v>
          </cell>
          <cell r="G109" t="str">
            <v>ELINT / ECM / Electronics</v>
          </cell>
        </row>
        <row r="110">
          <cell r="A110" t="str">
            <v>Gulfstream V</v>
          </cell>
          <cell r="B110" t="str">
            <v xml:space="preserve"> </v>
          </cell>
          <cell r="C110" t="str">
            <v>Israel Air and Space Force</v>
          </cell>
          <cell r="D110">
            <v>38959</v>
          </cell>
          <cell r="E110" t="str">
            <v>Middle East</v>
          </cell>
          <cell r="F110" t="str">
            <v>Israel</v>
          </cell>
          <cell r="G110" t="str">
            <v>ELINT / ECM / Electronics</v>
          </cell>
        </row>
        <row r="112">
          <cell r="A112" t="str">
            <v>2005 Detail</v>
          </cell>
        </row>
        <row r="113">
          <cell r="A113" t="str">
            <v>Type</v>
          </cell>
          <cell r="B113" t="str">
            <v>Variant</v>
          </cell>
          <cell r="C113" t="str">
            <v>Operator</v>
          </cell>
          <cell r="D113" t="str">
            <v>DeliveryDate</v>
          </cell>
          <cell r="E113" t="str">
            <v>OperatorArea</v>
          </cell>
          <cell r="F113" t="str">
            <v>OperatorCountry</v>
          </cell>
          <cell r="G113" t="str">
            <v>Usage</v>
          </cell>
        </row>
        <row r="114">
          <cell r="A114" t="str">
            <v>Gulfstream G100</v>
          </cell>
          <cell r="C114" t="str">
            <v>AK Steel Corp</v>
          </cell>
          <cell r="D114">
            <v>38567</v>
          </cell>
          <cell r="E114" t="str">
            <v>North America</v>
          </cell>
          <cell r="F114" t="str">
            <v>USA</v>
          </cell>
          <cell r="G114" t="str">
            <v>Business / Corporate / Executive</v>
          </cell>
        </row>
        <row r="115">
          <cell r="A115" t="str">
            <v>Gulfstream G100</v>
          </cell>
          <cell r="C115" t="str">
            <v>AML Leasing LLC</v>
          </cell>
          <cell r="D115">
            <v>38583</v>
          </cell>
          <cell r="E115" t="str">
            <v>North America</v>
          </cell>
          <cell r="F115" t="str">
            <v>USA</v>
          </cell>
          <cell r="G115" t="str">
            <v>Business / Corporate / Executive</v>
          </cell>
        </row>
        <row r="116">
          <cell r="A116" t="str">
            <v>Gulfstream G100</v>
          </cell>
          <cell r="C116" t="str">
            <v>LMI LLC</v>
          </cell>
          <cell r="D116">
            <v>38685</v>
          </cell>
          <cell r="E116" t="str">
            <v>North America</v>
          </cell>
          <cell r="F116" t="str">
            <v>USA</v>
          </cell>
          <cell r="G116" t="str">
            <v>Business / Corporate / Executive</v>
          </cell>
        </row>
        <row r="117">
          <cell r="A117" t="str">
            <v>Gulfstream G100</v>
          </cell>
          <cell r="C117" t="str">
            <v>Jetport Inc</v>
          </cell>
          <cell r="D117">
            <v>38694</v>
          </cell>
          <cell r="E117" t="str">
            <v>North America</v>
          </cell>
          <cell r="F117" t="str">
            <v>Canada</v>
          </cell>
          <cell r="G117" t="str">
            <v>Business / Corporate / Executive</v>
          </cell>
        </row>
        <row r="118">
          <cell r="A118" t="str">
            <v>Gulfstream G200</v>
          </cell>
          <cell r="C118" t="str">
            <v>MMD LLC</v>
          </cell>
          <cell r="D118">
            <v>38377</v>
          </cell>
          <cell r="E118" t="str">
            <v>North America</v>
          </cell>
          <cell r="F118" t="str">
            <v>USA</v>
          </cell>
          <cell r="G118" t="str">
            <v>Business / Corporate / Executive</v>
          </cell>
        </row>
        <row r="119">
          <cell r="A119" t="str">
            <v>Gulfstream G200</v>
          </cell>
          <cell r="C119" t="str">
            <v>Pleasant Aircraft Leasing LLC</v>
          </cell>
          <cell r="D119">
            <v>38432</v>
          </cell>
          <cell r="E119" t="str">
            <v>North America</v>
          </cell>
          <cell r="F119" t="str">
            <v>USA</v>
          </cell>
          <cell r="G119" t="str">
            <v>Business / Corporate / Executive</v>
          </cell>
        </row>
        <row r="120">
          <cell r="A120" t="str">
            <v>Gulfstream G200</v>
          </cell>
          <cell r="C120" t="str">
            <v>Gestair</v>
          </cell>
          <cell r="D120">
            <v>38443</v>
          </cell>
          <cell r="E120" t="str">
            <v>Europe</v>
          </cell>
          <cell r="F120" t="str">
            <v>Spain</v>
          </cell>
          <cell r="G120" t="str">
            <v>Business / Corporate / Executive</v>
          </cell>
        </row>
        <row r="121">
          <cell r="A121" t="str">
            <v>Gulfstream G200</v>
          </cell>
          <cell r="C121" t="str">
            <v>Netjets</v>
          </cell>
          <cell r="D121">
            <v>38454</v>
          </cell>
          <cell r="E121" t="str">
            <v>North America</v>
          </cell>
          <cell r="F121" t="str">
            <v>USA</v>
          </cell>
          <cell r="G121" t="str">
            <v>Business / Corporate / Executive</v>
          </cell>
        </row>
        <row r="122">
          <cell r="A122" t="str">
            <v>Gulfstream G200</v>
          </cell>
          <cell r="C122" t="str">
            <v>Del Valle Capital Corp</v>
          </cell>
          <cell r="D122">
            <v>38463</v>
          </cell>
          <cell r="E122" t="str">
            <v>North America</v>
          </cell>
          <cell r="F122" t="str">
            <v>USA</v>
          </cell>
          <cell r="G122" t="str">
            <v>Business / Corporate / Executive</v>
          </cell>
        </row>
        <row r="123">
          <cell r="A123" t="str">
            <v>Gulfstream G200</v>
          </cell>
          <cell r="C123" t="str">
            <v>Westwind Acquisition Co LLC</v>
          </cell>
          <cell r="D123">
            <v>38463</v>
          </cell>
          <cell r="E123" t="str">
            <v>North America</v>
          </cell>
          <cell r="F123" t="str">
            <v>USA</v>
          </cell>
          <cell r="G123" t="str">
            <v>Business / Corporate / Executive</v>
          </cell>
        </row>
        <row r="124">
          <cell r="A124" t="str">
            <v>Gulfstream G200</v>
          </cell>
          <cell r="C124" t="str">
            <v>Netjets</v>
          </cell>
          <cell r="D124">
            <v>38489</v>
          </cell>
          <cell r="E124" t="str">
            <v>North America</v>
          </cell>
          <cell r="F124" t="str">
            <v>USA</v>
          </cell>
          <cell r="G124" t="str">
            <v>Business / Corporate / Executive</v>
          </cell>
        </row>
        <row r="125">
          <cell r="A125" t="str">
            <v>Gulfstream G200</v>
          </cell>
          <cell r="C125" t="str">
            <v>Matadoro Management Investments LLC &amp; Aosky Corp</v>
          </cell>
          <cell r="D125">
            <v>38509</v>
          </cell>
          <cell r="E125" t="str">
            <v>North America</v>
          </cell>
          <cell r="F125" t="str">
            <v>USA</v>
          </cell>
          <cell r="G125" t="str">
            <v>Business / Corporate / Executive</v>
          </cell>
        </row>
        <row r="126">
          <cell r="A126" t="str">
            <v>Gulfstream G200</v>
          </cell>
          <cell r="C126" t="str">
            <v>Volante LLC</v>
          </cell>
          <cell r="D126">
            <v>38530</v>
          </cell>
          <cell r="E126" t="str">
            <v>North America</v>
          </cell>
          <cell r="F126" t="str">
            <v>USA</v>
          </cell>
          <cell r="G126" t="str">
            <v>Business / Corporate / Executive</v>
          </cell>
        </row>
        <row r="127">
          <cell r="A127" t="str">
            <v>Gulfstream G200</v>
          </cell>
          <cell r="C127" t="str">
            <v>Sky King &amp; Co LLC</v>
          </cell>
          <cell r="D127">
            <v>38533</v>
          </cell>
          <cell r="E127" t="str">
            <v>North America</v>
          </cell>
          <cell r="F127" t="str">
            <v>USA</v>
          </cell>
          <cell r="G127" t="str">
            <v>Business / Corporate / Executive</v>
          </cell>
        </row>
        <row r="128">
          <cell r="A128" t="str">
            <v>Gulfstream G200</v>
          </cell>
          <cell r="C128" t="str">
            <v>Partner Jet Inc</v>
          </cell>
          <cell r="D128">
            <v>38583</v>
          </cell>
          <cell r="E128" t="str">
            <v>North America</v>
          </cell>
          <cell r="F128" t="str">
            <v>Canada</v>
          </cell>
          <cell r="G128" t="str">
            <v>Business / Corporate / Executive</v>
          </cell>
        </row>
        <row r="129">
          <cell r="A129" t="str">
            <v>Gulfstream G200</v>
          </cell>
          <cell r="C129" t="str">
            <v>Netjets</v>
          </cell>
          <cell r="D129">
            <v>38621</v>
          </cell>
          <cell r="E129" t="str">
            <v>North America</v>
          </cell>
          <cell r="F129" t="str">
            <v>USA</v>
          </cell>
          <cell r="G129" t="str">
            <v>Business / Corporate / Executive</v>
          </cell>
        </row>
        <row r="130">
          <cell r="A130" t="str">
            <v>Gulfstream G200</v>
          </cell>
          <cell r="C130" t="str">
            <v>Unconfirmed Corporate Operator</v>
          </cell>
          <cell r="D130">
            <v>38624</v>
          </cell>
          <cell r="E130" t="str">
            <v>Unknown area</v>
          </cell>
          <cell r="F130" t="str">
            <v>Unknown Country</v>
          </cell>
          <cell r="G130" t="str">
            <v>Business / Corporate / Executive</v>
          </cell>
        </row>
        <row r="131">
          <cell r="A131" t="str">
            <v>Gulfstream G200</v>
          </cell>
          <cell r="C131" t="str">
            <v>ASNY Aviation LLC</v>
          </cell>
          <cell r="D131">
            <v>38644</v>
          </cell>
          <cell r="E131" t="str">
            <v>North America</v>
          </cell>
          <cell r="F131" t="str">
            <v>USA</v>
          </cell>
          <cell r="G131" t="str">
            <v>Business / Corporate / Executive</v>
          </cell>
        </row>
        <row r="132">
          <cell r="A132" t="str">
            <v>Gulfstream G200</v>
          </cell>
          <cell r="C132" t="str">
            <v>Netjets</v>
          </cell>
          <cell r="D132">
            <v>38644</v>
          </cell>
          <cell r="E132" t="str">
            <v>North America</v>
          </cell>
          <cell r="F132" t="str">
            <v>USA</v>
          </cell>
          <cell r="G132" t="str">
            <v>Business / Corporate / Executive</v>
          </cell>
        </row>
        <row r="133">
          <cell r="A133" t="str">
            <v>Gulfstream G200</v>
          </cell>
          <cell r="C133" t="str">
            <v>Graham Brothers Construction Co Inc</v>
          </cell>
          <cell r="D133">
            <v>38659</v>
          </cell>
          <cell r="E133" t="str">
            <v>North America</v>
          </cell>
          <cell r="F133" t="str">
            <v>USA</v>
          </cell>
          <cell r="G133" t="str">
            <v>Business / Corporate / Executive</v>
          </cell>
        </row>
        <row r="134">
          <cell r="A134" t="str">
            <v>Gulfstream G200</v>
          </cell>
          <cell r="C134" t="str">
            <v>Partner Jet Inc</v>
          </cell>
          <cell r="D134">
            <v>38672</v>
          </cell>
          <cell r="E134" t="str">
            <v>North America</v>
          </cell>
          <cell r="F134" t="str">
            <v>Canada</v>
          </cell>
          <cell r="G134" t="str">
            <v>Business / Corporate / Executive</v>
          </cell>
        </row>
        <row r="135">
          <cell r="A135" t="str">
            <v>Gulfstream G200</v>
          </cell>
          <cell r="C135" t="str">
            <v>Netjets</v>
          </cell>
          <cell r="D135">
            <v>38673</v>
          </cell>
          <cell r="E135" t="str">
            <v>North America</v>
          </cell>
          <cell r="F135" t="str">
            <v>USA</v>
          </cell>
          <cell r="G135" t="str">
            <v>Business / Corporate / Executive</v>
          </cell>
        </row>
        <row r="136">
          <cell r="A136" t="str">
            <v>Gulfstream G200</v>
          </cell>
          <cell r="C136" t="str">
            <v>Jeld-Wen Inc</v>
          </cell>
          <cell r="D136">
            <v>38701</v>
          </cell>
          <cell r="E136" t="str">
            <v>North America</v>
          </cell>
          <cell r="F136" t="str">
            <v>USA</v>
          </cell>
          <cell r="G136" t="str">
            <v>Business / Corporate / Executive</v>
          </cell>
        </row>
        <row r="137">
          <cell r="A137" t="str">
            <v>Gulfstream G200</v>
          </cell>
          <cell r="C137" t="str">
            <v>Netjets</v>
          </cell>
          <cell r="D137">
            <v>38706</v>
          </cell>
          <cell r="E137" t="str">
            <v>North America</v>
          </cell>
          <cell r="F137" t="str">
            <v>USA</v>
          </cell>
          <cell r="G137" t="str">
            <v>Business / Corporate / Executive</v>
          </cell>
        </row>
        <row r="138">
          <cell r="A138" t="str">
            <v>Gulfstream G300</v>
          </cell>
          <cell r="C138" t="str">
            <v>Toyota Industries North America</v>
          </cell>
          <cell r="D138">
            <v>38419</v>
          </cell>
          <cell r="E138" t="str">
            <v>North America</v>
          </cell>
          <cell r="F138" t="str">
            <v>USA</v>
          </cell>
          <cell r="G138" t="str">
            <v>Business / Corporate / Executive</v>
          </cell>
        </row>
        <row r="139">
          <cell r="A139" t="str">
            <v>Gulfstream G300</v>
          </cell>
          <cell r="C139" t="str">
            <v>National Air Service</v>
          </cell>
          <cell r="D139">
            <v>38503</v>
          </cell>
          <cell r="E139" t="str">
            <v>Middle East</v>
          </cell>
          <cell r="F139" t="str">
            <v>Saudi Arabia</v>
          </cell>
          <cell r="G139" t="str">
            <v>Business / Corporate / Executive</v>
          </cell>
        </row>
        <row r="140">
          <cell r="A140" t="str">
            <v>Gulfstream G350</v>
          </cell>
          <cell r="C140" t="str">
            <v>General Motors Corp</v>
          </cell>
          <cell r="D140">
            <v>38533</v>
          </cell>
          <cell r="E140" t="str">
            <v>North America</v>
          </cell>
          <cell r="F140" t="str">
            <v>USA</v>
          </cell>
          <cell r="G140" t="str">
            <v>Business / Corporate / Executive</v>
          </cell>
        </row>
        <row r="141">
          <cell r="A141" t="str">
            <v>Gulfstream G350</v>
          </cell>
          <cell r="C141" t="str">
            <v>General Motors Corp</v>
          </cell>
          <cell r="D141">
            <v>38596</v>
          </cell>
          <cell r="E141" t="str">
            <v>North America</v>
          </cell>
          <cell r="F141" t="str">
            <v>USA</v>
          </cell>
          <cell r="G141" t="str">
            <v>Business / Corporate / Executive</v>
          </cell>
        </row>
        <row r="142">
          <cell r="A142" t="str">
            <v>Gulfstream G350</v>
          </cell>
          <cell r="C142" t="str">
            <v>Whiskey Romeo Owner LLC</v>
          </cell>
          <cell r="D142">
            <v>38617</v>
          </cell>
          <cell r="E142" t="str">
            <v>North America</v>
          </cell>
          <cell r="F142" t="str">
            <v>USA</v>
          </cell>
          <cell r="G142" t="str">
            <v>Business / Corporate / Executive</v>
          </cell>
        </row>
        <row r="143">
          <cell r="A143" t="str">
            <v>Gulfstream G350</v>
          </cell>
          <cell r="C143" t="str">
            <v>General Motors Corp</v>
          </cell>
          <cell r="D143">
            <v>38649</v>
          </cell>
          <cell r="E143" t="str">
            <v>North America</v>
          </cell>
          <cell r="F143" t="str">
            <v>USA</v>
          </cell>
          <cell r="G143" t="str">
            <v>Business / Corporate / Executive</v>
          </cell>
        </row>
        <row r="144">
          <cell r="A144" t="str">
            <v>Gulfstream G350</v>
          </cell>
          <cell r="C144" t="str">
            <v>General Motors Corp</v>
          </cell>
          <cell r="D144">
            <v>38672</v>
          </cell>
          <cell r="E144" t="str">
            <v>North America</v>
          </cell>
          <cell r="F144" t="str">
            <v>USA</v>
          </cell>
          <cell r="G144" t="str">
            <v>Business / Corporate / Executive</v>
          </cell>
        </row>
        <row r="145">
          <cell r="A145" t="str">
            <v>Gulfstream G350</v>
          </cell>
          <cell r="C145" t="str">
            <v>General Motors Corp</v>
          </cell>
          <cell r="D145">
            <v>38705</v>
          </cell>
          <cell r="E145" t="str">
            <v>North America</v>
          </cell>
          <cell r="F145" t="str">
            <v>USA</v>
          </cell>
          <cell r="G145" t="str">
            <v>Business / Corporate / Executive</v>
          </cell>
        </row>
        <row r="146">
          <cell r="A146" t="str">
            <v>Gulfstream G400</v>
          </cell>
          <cell r="C146" t="str">
            <v>Netjets International</v>
          </cell>
          <cell r="D146">
            <v>38385</v>
          </cell>
          <cell r="E146" t="str">
            <v>North America</v>
          </cell>
          <cell r="F146" t="str">
            <v>USA</v>
          </cell>
          <cell r="G146" t="str">
            <v>Business / Corporate / Executive</v>
          </cell>
        </row>
        <row r="147">
          <cell r="A147" t="str">
            <v>Gulfstream G400</v>
          </cell>
          <cell r="C147" t="str">
            <v>AirKraft One LLC</v>
          </cell>
          <cell r="D147">
            <v>38394</v>
          </cell>
          <cell r="E147" t="str">
            <v>North America</v>
          </cell>
          <cell r="F147" t="str">
            <v>USA</v>
          </cell>
          <cell r="G147" t="str">
            <v>Business / Corporate / Executive</v>
          </cell>
        </row>
        <row r="148">
          <cell r="A148" t="str">
            <v>Gulfstream G450</v>
          </cell>
          <cell r="C148" t="str">
            <v>Kilmer Management Limited Partnership</v>
          </cell>
          <cell r="D148">
            <v>38436</v>
          </cell>
          <cell r="E148" t="str">
            <v>North America</v>
          </cell>
          <cell r="F148" t="str">
            <v>Canada</v>
          </cell>
          <cell r="G148" t="str">
            <v>Business / Corporate / Executive</v>
          </cell>
        </row>
        <row r="149">
          <cell r="A149" t="str">
            <v>Gulfstream G450</v>
          </cell>
          <cell r="C149" t="str">
            <v>Delta Jet Ltd</v>
          </cell>
          <cell r="D149">
            <v>38517</v>
          </cell>
          <cell r="E149" t="str">
            <v>North America</v>
          </cell>
          <cell r="F149" t="str">
            <v>USA</v>
          </cell>
          <cell r="G149" t="str">
            <v>Business / Corporate / Executive</v>
          </cell>
        </row>
        <row r="150">
          <cell r="A150" t="str">
            <v>Gulfstream G450</v>
          </cell>
          <cell r="C150" t="str">
            <v>United States Steel Corp</v>
          </cell>
          <cell r="D150">
            <v>38565</v>
          </cell>
          <cell r="E150" t="str">
            <v>North America</v>
          </cell>
          <cell r="F150" t="str">
            <v>USA</v>
          </cell>
          <cell r="G150" t="str">
            <v>Business / Corporate / Executive</v>
          </cell>
        </row>
        <row r="151">
          <cell r="A151" t="str">
            <v>Gulfstream G450</v>
          </cell>
          <cell r="C151" t="str">
            <v>Netjets International</v>
          </cell>
          <cell r="D151">
            <v>38595</v>
          </cell>
          <cell r="E151" t="str">
            <v>North America</v>
          </cell>
          <cell r="F151" t="str">
            <v>USA</v>
          </cell>
          <cell r="G151" t="str">
            <v>Business / Corporate / Executive</v>
          </cell>
        </row>
        <row r="152">
          <cell r="A152" t="str">
            <v>Gulfstream G450</v>
          </cell>
          <cell r="C152" t="str">
            <v>JP Morgan Aircraft Holdings Inc</v>
          </cell>
          <cell r="D152">
            <v>38615</v>
          </cell>
          <cell r="E152" t="str">
            <v>North America</v>
          </cell>
          <cell r="F152" t="str">
            <v>USA</v>
          </cell>
          <cell r="G152" t="str">
            <v>Business / Corporate / Executive</v>
          </cell>
        </row>
        <row r="153">
          <cell r="A153" t="str">
            <v>Gulfstream G450</v>
          </cell>
          <cell r="C153" t="str">
            <v>General Motors Corp</v>
          </cell>
          <cell r="D153">
            <v>38616</v>
          </cell>
          <cell r="E153" t="str">
            <v>North America</v>
          </cell>
          <cell r="F153" t="str">
            <v>USA</v>
          </cell>
          <cell r="G153" t="str">
            <v>Business / Corporate / Executive</v>
          </cell>
        </row>
        <row r="154">
          <cell r="A154" t="str">
            <v>Gulfstream G450</v>
          </cell>
          <cell r="C154" t="str">
            <v>Unconfirmed Corporate Operator</v>
          </cell>
          <cell r="D154">
            <v>38624</v>
          </cell>
          <cell r="E154" t="str">
            <v>Unknown area</v>
          </cell>
          <cell r="F154" t="str">
            <v>Unknown Country</v>
          </cell>
          <cell r="G154" t="str">
            <v>Business / Corporate / Executive</v>
          </cell>
        </row>
        <row r="155">
          <cell r="A155" t="str">
            <v>Gulfstream G450</v>
          </cell>
          <cell r="C155" t="str">
            <v>IMS Health Transportation Services Corp</v>
          </cell>
          <cell r="D155">
            <v>38642</v>
          </cell>
          <cell r="E155" t="str">
            <v>North America</v>
          </cell>
          <cell r="F155" t="str">
            <v>USA</v>
          </cell>
          <cell r="G155" t="str">
            <v>Business / Corporate / Executive</v>
          </cell>
        </row>
        <row r="156">
          <cell r="A156" t="str">
            <v>Gulfstream G450</v>
          </cell>
          <cell r="C156" t="str">
            <v>Netjets International</v>
          </cell>
          <cell r="D156">
            <v>38643</v>
          </cell>
          <cell r="E156" t="str">
            <v>North America</v>
          </cell>
          <cell r="F156" t="str">
            <v>USA</v>
          </cell>
          <cell r="G156" t="str">
            <v>Business / Corporate / Executive</v>
          </cell>
        </row>
        <row r="157">
          <cell r="A157" t="str">
            <v>Gulfstream G450</v>
          </cell>
          <cell r="C157" t="str">
            <v>Pegasus North Inc</v>
          </cell>
          <cell r="D157">
            <v>38653</v>
          </cell>
          <cell r="E157" t="str">
            <v>North America</v>
          </cell>
          <cell r="F157" t="str">
            <v>USA</v>
          </cell>
          <cell r="G157" t="str">
            <v>Business / Corporate / Executive</v>
          </cell>
        </row>
        <row r="158">
          <cell r="A158" t="str">
            <v>Gulfstream G450</v>
          </cell>
          <cell r="C158" t="str">
            <v>Netjets International</v>
          </cell>
          <cell r="D158">
            <v>38664</v>
          </cell>
          <cell r="E158" t="str">
            <v>North America</v>
          </cell>
          <cell r="F158" t="str">
            <v>USA</v>
          </cell>
          <cell r="G158" t="str">
            <v>Business / Corporate / Executive</v>
          </cell>
        </row>
        <row r="159">
          <cell r="A159" t="str">
            <v>Gulfstream G450</v>
          </cell>
          <cell r="C159" t="str">
            <v>Maywind LLC</v>
          </cell>
          <cell r="D159">
            <v>38671</v>
          </cell>
          <cell r="E159" t="str">
            <v>North America</v>
          </cell>
          <cell r="F159" t="str">
            <v>USA</v>
          </cell>
          <cell r="G159" t="str">
            <v>Business / Corporate / Executive</v>
          </cell>
        </row>
        <row r="160">
          <cell r="A160" t="str">
            <v>Gulfstream G450</v>
          </cell>
          <cell r="C160" t="str">
            <v>Willis Stein &amp; Partners Manegement II LLC</v>
          </cell>
          <cell r="D160">
            <v>38672</v>
          </cell>
          <cell r="E160" t="str">
            <v>North America</v>
          </cell>
          <cell r="F160" t="str">
            <v>USA</v>
          </cell>
          <cell r="G160" t="str">
            <v>Business / Corporate / Executive</v>
          </cell>
        </row>
        <row r="161">
          <cell r="A161" t="str">
            <v>Gulfstream G450</v>
          </cell>
          <cell r="C161" t="str">
            <v>L&amp;L Leasing IV LLC et al</v>
          </cell>
          <cell r="D161">
            <v>38677</v>
          </cell>
          <cell r="E161" t="str">
            <v>North America</v>
          </cell>
          <cell r="F161" t="str">
            <v>USA</v>
          </cell>
          <cell r="G161" t="str">
            <v>Business / Corporate / Executive</v>
          </cell>
        </row>
        <row r="162">
          <cell r="A162" t="str">
            <v>Gulfstream G450</v>
          </cell>
          <cell r="C162" t="str">
            <v>TRT Leasing Inc</v>
          </cell>
          <cell r="D162">
            <v>38687</v>
          </cell>
          <cell r="E162" t="str">
            <v>North America</v>
          </cell>
          <cell r="F162" t="str">
            <v>USA</v>
          </cell>
          <cell r="G162" t="str">
            <v>Business / Corporate / Executive</v>
          </cell>
        </row>
        <row r="163">
          <cell r="A163" t="str">
            <v>Gulfstream G450</v>
          </cell>
          <cell r="C163" t="str">
            <v>JM Family Enterprises Inc</v>
          </cell>
          <cell r="D163">
            <v>38694</v>
          </cell>
          <cell r="E163" t="str">
            <v>North America</v>
          </cell>
          <cell r="F163" t="str">
            <v>USA</v>
          </cell>
          <cell r="G163" t="str">
            <v>Business / Corporate / Executive</v>
          </cell>
        </row>
        <row r="164">
          <cell r="A164" t="str">
            <v>Gulfstream G500</v>
          </cell>
          <cell r="C164" t="str">
            <v>Wachovia Bank NA</v>
          </cell>
          <cell r="D164">
            <v>38580</v>
          </cell>
          <cell r="E164" t="str">
            <v>North America</v>
          </cell>
          <cell r="F164" t="str">
            <v>USA</v>
          </cell>
          <cell r="G164" t="str">
            <v>Business / Corporate / Executive</v>
          </cell>
        </row>
        <row r="165">
          <cell r="A165" t="str">
            <v>Gulfstream G550</v>
          </cell>
          <cell r="C165" t="str">
            <v>US Army</v>
          </cell>
          <cell r="D165">
            <v>38376</v>
          </cell>
          <cell r="E165" t="str">
            <v>North America</v>
          </cell>
          <cell r="F165" t="str">
            <v>USA</v>
          </cell>
          <cell r="G165" t="str">
            <v>VIP / Government operated</v>
          </cell>
        </row>
        <row r="166">
          <cell r="A166" t="str">
            <v>Gulfstream G550</v>
          </cell>
          <cell r="C166" t="str">
            <v>The Proctor &amp; Gamble Co</v>
          </cell>
          <cell r="D166">
            <v>38392</v>
          </cell>
          <cell r="E166" t="str">
            <v>North America</v>
          </cell>
          <cell r="F166" t="str">
            <v>USA</v>
          </cell>
          <cell r="G166" t="str">
            <v>Business / Corporate / Executive</v>
          </cell>
        </row>
        <row r="167">
          <cell r="A167" t="str">
            <v>Gulfstream G550</v>
          </cell>
          <cell r="C167" t="str">
            <v>US Navy</v>
          </cell>
          <cell r="D167">
            <v>38401</v>
          </cell>
          <cell r="E167" t="str">
            <v>North America</v>
          </cell>
          <cell r="F167" t="str">
            <v>USA</v>
          </cell>
          <cell r="G167" t="str">
            <v>VIP / Government operated</v>
          </cell>
        </row>
        <row r="168">
          <cell r="A168" t="str">
            <v>Gulfstream G550</v>
          </cell>
          <cell r="C168" t="str">
            <v>TAG Aviation USA</v>
          </cell>
          <cell r="D168">
            <v>38427</v>
          </cell>
          <cell r="E168" t="str">
            <v>North America</v>
          </cell>
          <cell r="F168" t="str">
            <v>USA</v>
          </cell>
          <cell r="G168" t="str">
            <v>Business / Corporate / Executive</v>
          </cell>
        </row>
        <row r="169">
          <cell r="A169" t="str">
            <v>Gulfstream G550</v>
          </cell>
          <cell r="C169" t="str">
            <v>Todd Wagner</v>
          </cell>
          <cell r="D169">
            <v>38427</v>
          </cell>
          <cell r="E169" t="str">
            <v>North America</v>
          </cell>
          <cell r="F169" t="str">
            <v>USA</v>
          </cell>
          <cell r="G169" t="str">
            <v>Business / Corporate / Executive</v>
          </cell>
        </row>
        <row r="170">
          <cell r="A170" t="str">
            <v>Gulfstream G550</v>
          </cell>
          <cell r="C170" t="str">
            <v>Natascha Establishment Ltd</v>
          </cell>
          <cell r="D170">
            <v>38432</v>
          </cell>
          <cell r="E170" t="str">
            <v>Latin America and Caribbean</v>
          </cell>
          <cell r="F170" t="str">
            <v>Bermuda</v>
          </cell>
          <cell r="G170" t="str">
            <v>Business / Corporate / Executive</v>
          </cell>
        </row>
        <row r="171">
          <cell r="A171" t="str">
            <v>Gulfstream G550</v>
          </cell>
          <cell r="C171" t="str">
            <v>Unconfirmed Russian Operator</v>
          </cell>
          <cell r="D171">
            <v>38436</v>
          </cell>
          <cell r="E171" t="str">
            <v>Europe</v>
          </cell>
          <cell r="F171" t="str">
            <v>Russia</v>
          </cell>
          <cell r="G171" t="str">
            <v>Business / Corporate / Executive</v>
          </cell>
        </row>
        <row r="172">
          <cell r="A172" t="str">
            <v>Gulfstream G550</v>
          </cell>
          <cell r="C172" t="str">
            <v>Time Value Property Exchange Inc</v>
          </cell>
          <cell r="D172">
            <v>38467</v>
          </cell>
          <cell r="E172" t="str">
            <v>North America</v>
          </cell>
          <cell r="F172" t="str">
            <v>USA</v>
          </cell>
          <cell r="G172" t="str">
            <v>Business / Corporate / Executive</v>
          </cell>
        </row>
        <row r="173">
          <cell r="A173" t="str">
            <v>Gulfstream G550</v>
          </cell>
          <cell r="C173" t="str">
            <v>Sheridan Aviation LLC</v>
          </cell>
          <cell r="D173">
            <v>38491</v>
          </cell>
          <cell r="E173" t="str">
            <v>North America</v>
          </cell>
          <cell r="F173" t="str">
            <v>USA</v>
          </cell>
          <cell r="G173" t="str">
            <v>Business / Corporate / Executive</v>
          </cell>
        </row>
        <row r="174">
          <cell r="A174" t="str">
            <v>Gulfstream G550</v>
          </cell>
          <cell r="C174" t="str">
            <v>AC Executive G550 Bermuda Ltd</v>
          </cell>
          <cell r="D174">
            <v>38498</v>
          </cell>
          <cell r="E174" t="str">
            <v>Latin America and Caribbean</v>
          </cell>
          <cell r="F174" t="str">
            <v>Bermuda</v>
          </cell>
          <cell r="G174" t="str">
            <v>Business / Corporate / Executive</v>
          </cell>
        </row>
        <row r="175">
          <cell r="A175" t="str">
            <v>Gulfstream G550</v>
          </cell>
          <cell r="C175" t="str">
            <v>Aerofrisco SA de CV</v>
          </cell>
          <cell r="D175">
            <v>38504</v>
          </cell>
          <cell r="E175" t="str">
            <v>North America</v>
          </cell>
          <cell r="F175" t="str">
            <v>USA</v>
          </cell>
          <cell r="G175" t="str">
            <v>Business / Corporate / Executive</v>
          </cell>
        </row>
        <row r="176">
          <cell r="A176" t="str">
            <v>Gulfstream G550</v>
          </cell>
          <cell r="C176" t="str">
            <v>Mark Cuban</v>
          </cell>
          <cell r="D176">
            <v>38504</v>
          </cell>
          <cell r="E176" t="str">
            <v>North America</v>
          </cell>
          <cell r="F176" t="str">
            <v>USA</v>
          </cell>
          <cell r="G176" t="str">
            <v>Business / Corporate / Executive</v>
          </cell>
        </row>
        <row r="177">
          <cell r="A177" t="str">
            <v>Gulfstream G550</v>
          </cell>
          <cell r="C177" t="str">
            <v>ST Aviation LLC</v>
          </cell>
          <cell r="D177">
            <v>38511</v>
          </cell>
          <cell r="E177" t="str">
            <v>North America</v>
          </cell>
          <cell r="F177" t="str">
            <v>USA</v>
          </cell>
          <cell r="G177" t="str">
            <v>Business / Corporate / Executive</v>
          </cell>
        </row>
        <row r="178">
          <cell r="A178" t="str">
            <v>Gulfstream G550</v>
          </cell>
          <cell r="C178" t="str">
            <v>eBay Inc</v>
          </cell>
          <cell r="D178">
            <v>38524</v>
          </cell>
          <cell r="E178" t="str">
            <v>North America</v>
          </cell>
          <cell r="F178" t="str">
            <v>USA</v>
          </cell>
          <cell r="G178" t="str">
            <v>Business / Corporate / Executive</v>
          </cell>
        </row>
        <row r="179">
          <cell r="A179" t="str">
            <v>Gulfstream G550</v>
          </cell>
          <cell r="C179" t="str">
            <v>Consortium of AOL Time Warner Companies</v>
          </cell>
          <cell r="D179">
            <v>38525</v>
          </cell>
          <cell r="E179" t="str">
            <v>North America</v>
          </cell>
          <cell r="F179" t="str">
            <v>USA</v>
          </cell>
          <cell r="G179" t="str">
            <v>Business / Corporate / Executive</v>
          </cell>
        </row>
        <row r="180">
          <cell r="A180" t="str">
            <v>Gulfstream G550</v>
          </cell>
          <cell r="C180" t="str">
            <v>NetJets Europe</v>
          </cell>
          <cell r="D180">
            <v>38527</v>
          </cell>
          <cell r="E180" t="str">
            <v>Europe</v>
          </cell>
          <cell r="F180" t="str">
            <v>Portugal</v>
          </cell>
          <cell r="G180" t="str">
            <v>Business / Corporate / Executive</v>
          </cell>
        </row>
        <row r="181">
          <cell r="A181" t="str">
            <v>Gulfstream G550</v>
          </cell>
          <cell r="C181" t="str">
            <v>Sea Pioneer Shipping Corp</v>
          </cell>
          <cell r="D181">
            <v>38533</v>
          </cell>
          <cell r="E181" t="str">
            <v>Europe</v>
          </cell>
          <cell r="F181" t="str">
            <v>Greece</v>
          </cell>
          <cell r="G181" t="str">
            <v>Business / Corporate / Executive</v>
          </cell>
        </row>
        <row r="182">
          <cell r="A182" t="str">
            <v>Gulfstream G550</v>
          </cell>
          <cell r="C182" t="str">
            <v>JCB Aviation Department</v>
          </cell>
          <cell r="D182">
            <v>38567</v>
          </cell>
          <cell r="E182" t="str">
            <v>Europe</v>
          </cell>
          <cell r="F182" t="str">
            <v>United Kingdom</v>
          </cell>
          <cell r="G182" t="str">
            <v>Business / Corporate / Executive</v>
          </cell>
        </row>
        <row r="183">
          <cell r="A183" t="str">
            <v>Gulfstream G550</v>
          </cell>
          <cell r="C183" t="str">
            <v>Westair Aviation</v>
          </cell>
          <cell r="D183">
            <v>38574</v>
          </cell>
          <cell r="E183" t="str">
            <v>Europe</v>
          </cell>
          <cell r="F183" t="str">
            <v>Ireland</v>
          </cell>
          <cell r="G183" t="str">
            <v>Business / Corporate / Executive</v>
          </cell>
        </row>
        <row r="184">
          <cell r="A184" t="str">
            <v>Gulfstream G550</v>
          </cell>
          <cell r="C184" t="str">
            <v>Inter-Americas Transport Inc</v>
          </cell>
          <cell r="D184">
            <v>38618</v>
          </cell>
          <cell r="E184" t="str">
            <v>North America</v>
          </cell>
          <cell r="F184" t="str">
            <v>USA</v>
          </cell>
          <cell r="G184" t="str">
            <v>Business / Corporate / Executive</v>
          </cell>
        </row>
        <row r="185">
          <cell r="A185" t="str">
            <v>Gulfstream G550</v>
          </cell>
          <cell r="C185" t="str">
            <v>Transworld Oil America</v>
          </cell>
          <cell r="D185">
            <v>38621</v>
          </cell>
          <cell r="E185" t="str">
            <v>North America</v>
          </cell>
          <cell r="F185" t="str">
            <v>USA</v>
          </cell>
          <cell r="G185" t="str">
            <v>Business / Corporate / Executive</v>
          </cell>
        </row>
        <row r="186">
          <cell r="A186" t="str">
            <v>Gulfstream G550</v>
          </cell>
          <cell r="C186" t="str">
            <v>Farner Airwings AG</v>
          </cell>
          <cell r="D186">
            <v>38622</v>
          </cell>
          <cell r="E186" t="str">
            <v>Europe</v>
          </cell>
          <cell r="F186" t="str">
            <v>Switzerland</v>
          </cell>
          <cell r="G186" t="str">
            <v>Business / Corporate / Executive</v>
          </cell>
        </row>
        <row r="187">
          <cell r="A187" t="str">
            <v>Gulfstream G550</v>
          </cell>
          <cell r="C187" t="str">
            <v>RDV Aviation LLC</v>
          </cell>
          <cell r="D187">
            <v>38623</v>
          </cell>
          <cell r="E187" t="str">
            <v>North America</v>
          </cell>
          <cell r="F187" t="str">
            <v>USA</v>
          </cell>
          <cell r="G187" t="str">
            <v>Business / Corporate / Executive</v>
          </cell>
        </row>
        <row r="188">
          <cell r="A188" t="str">
            <v>Gulfstream G550</v>
          </cell>
          <cell r="C188" t="str">
            <v>Luxottica Leasing SpA</v>
          </cell>
          <cell r="D188">
            <v>38624</v>
          </cell>
          <cell r="E188" t="str">
            <v>Europe</v>
          </cell>
          <cell r="F188" t="str">
            <v>Italy</v>
          </cell>
          <cell r="G188" t="str">
            <v>Business / Corporate / Executive</v>
          </cell>
        </row>
        <row r="189">
          <cell r="A189" t="str">
            <v>Gulfstream G550</v>
          </cell>
          <cell r="C189" t="str">
            <v>Time Value Property Exchange Inc</v>
          </cell>
          <cell r="D189">
            <v>38650</v>
          </cell>
          <cell r="E189" t="str">
            <v>North America</v>
          </cell>
          <cell r="F189" t="str">
            <v>USA</v>
          </cell>
          <cell r="G189" t="str">
            <v>Business / Corporate / Executive</v>
          </cell>
        </row>
        <row r="190">
          <cell r="A190" t="str">
            <v>Gulfstream G550</v>
          </cell>
          <cell r="C190" t="str">
            <v>Netjets International</v>
          </cell>
          <cell r="D190">
            <v>38657</v>
          </cell>
          <cell r="E190" t="str">
            <v>North America</v>
          </cell>
          <cell r="F190" t="str">
            <v>USA</v>
          </cell>
          <cell r="G190" t="str">
            <v>Business / Corporate / Executive</v>
          </cell>
        </row>
        <row r="191">
          <cell r="A191" t="str">
            <v>Gulfstream G550</v>
          </cell>
          <cell r="C191" t="str">
            <v>ALA Services LLC</v>
          </cell>
          <cell r="D191">
            <v>38671</v>
          </cell>
          <cell r="E191" t="str">
            <v>North America</v>
          </cell>
          <cell r="F191" t="str">
            <v>USA</v>
          </cell>
          <cell r="G191" t="str">
            <v>Business / Corporate / Executive</v>
          </cell>
        </row>
        <row r="192">
          <cell r="A192" t="str">
            <v>Gulfstream G550</v>
          </cell>
          <cell r="C192" t="str">
            <v>Caremark Aviation LLC</v>
          </cell>
          <cell r="D192">
            <v>38671</v>
          </cell>
          <cell r="E192" t="str">
            <v>North America</v>
          </cell>
          <cell r="F192" t="str">
            <v>USA</v>
          </cell>
          <cell r="G192" t="str">
            <v>Business / Corporate / Executive</v>
          </cell>
        </row>
        <row r="193">
          <cell r="A193" t="str">
            <v>Gulfstream G550</v>
          </cell>
          <cell r="C193" t="str">
            <v>Mawarid Ltd</v>
          </cell>
          <cell r="D193">
            <v>38673</v>
          </cell>
          <cell r="E193" t="str">
            <v>Middle East</v>
          </cell>
          <cell r="F193" t="str">
            <v>Saudi Arabia</v>
          </cell>
          <cell r="G193" t="str">
            <v>Business / Corporate / Executive</v>
          </cell>
        </row>
        <row r="194">
          <cell r="A194" t="str">
            <v>Gulfstream G550</v>
          </cell>
          <cell r="C194" t="str">
            <v>NetJets Europe</v>
          </cell>
          <cell r="D194">
            <v>38693</v>
          </cell>
          <cell r="E194" t="str">
            <v>Europe</v>
          </cell>
          <cell r="F194" t="str">
            <v>Portugal</v>
          </cell>
          <cell r="G194" t="str">
            <v>Business / Corporate / Executive</v>
          </cell>
        </row>
        <row r="195">
          <cell r="A195" t="str">
            <v>Gulfstream G550</v>
          </cell>
          <cell r="C195" t="str">
            <v>EFS European Flight Service</v>
          </cell>
          <cell r="D195">
            <v>38694</v>
          </cell>
          <cell r="E195" t="str">
            <v>Europe</v>
          </cell>
          <cell r="F195" t="str">
            <v>Sweden</v>
          </cell>
          <cell r="G195" t="str">
            <v>Business / Corporate / Executive</v>
          </cell>
        </row>
        <row r="196">
          <cell r="A196" t="str">
            <v>Gulfstream G550</v>
          </cell>
          <cell r="C196" t="str">
            <v>Honeywell International Inc</v>
          </cell>
          <cell r="D196">
            <v>38708</v>
          </cell>
          <cell r="E196" t="str">
            <v>North America</v>
          </cell>
          <cell r="F196" t="str">
            <v>USA</v>
          </cell>
          <cell r="G196" t="str">
            <v>Business / Corporate / Executive</v>
          </cell>
        </row>
        <row r="197">
          <cell r="A197" t="str">
            <v>Gulfstream V</v>
          </cell>
          <cell r="C197" t="str">
            <v>National Science Foundation</v>
          </cell>
          <cell r="D197">
            <v>38422</v>
          </cell>
          <cell r="E197" t="str">
            <v>North America</v>
          </cell>
          <cell r="F197" t="str">
            <v>USA</v>
          </cell>
          <cell r="G197" t="str">
            <v>Weather / Atmospheric / Environmental Research</v>
          </cell>
        </row>
        <row r="198">
          <cell r="A198" t="str">
            <v>Gulfstream V</v>
          </cell>
          <cell r="C198" t="str">
            <v>Israeli Air Force</v>
          </cell>
          <cell r="D198">
            <v>38495</v>
          </cell>
          <cell r="E198" t="str">
            <v>Middle East</v>
          </cell>
          <cell r="F198" t="str">
            <v>Israel</v>
          </cell>
          <cell r="G198" t="str">
            <v>ELINT / ECM / Electronics</v>
          </cell>
        </row>
        <row r="200">
          <cell r="A200" t="str">
            <v>2004 Detail</v>
          </cell>
        </row>
        <row r="201">
          <cell r="A201" t="str">
            <v>Mfr &amp; Type</v>
          </cell>
          <cell r="B201" t="str">
            <v>Variant</v>
          </cell>
          <cell r="C201" t="str">
            <v>Operator</v>
          </cell>
          <cell r="D201" t="str">
            <v>DeliveryDate</v>
          </cell>
          <cell r="E201" t="str">
            <v>OperatorArea</v>
          </cell>
          <cell r="F201" t="str">
            <v>OperatorCountry</v>
          </cell>
          <cell r="G201" t="str">
            <v>Usage</v>
          </cell>
        </row>
        <row r="202">
          <cell r="A202" t="str">
            <v>Gulfstream G300</v>
          </cell>
          <cell r="C202" t="str">
            <v>Medco Health Solutions Inc</v>
          </cell>
          <cell r="D202">
            <v>38065</v>
          </cell>
          <cell r="E202" t="str">
            <v>North America</v>
          </cell>
          <cell r="F202" t="str">
            <v>USA</v>
          </cell>
          <cell r="G202" t="str">
            <v>Business / Corporate / Executive</v>
          </cell>
        </row>
        <row r="203">
          <cell r="A203" t="str">
            <v>Gulfstream G300</v>
          </cell>
          <cell r="C203" t="str">
            <v>TAI Leasing Inc</v>
          </cell>
          <cell r="D203">
            <v>38233</v>
          </cell>
          <cell r="E203" t="str">
            <v>North America</v>
          </cell>
          <cell r="F203" t="str">
            <v>USA</v>
          </cell>
          <cell r="G203" t="str">
            <v>Business / Corporate / Executive</v>
          </cell>
        </row>
        <row r="204">
          <cell r="A204" t="str">
            <v>Gulfstream G300</v>
          </cell>
          <cell r="C204" t="str">
            <v>National Air Service</v>
          </cell>
          <cell r="D204">
            <v>38260</v>
          </cell>
          <cell r="E204" t="str">
            <v>Middle East</v>
          </cell>
          <cell r="F204" t="str">
            <v>Saudi Arabia</v>
          </cell>
          <cell r="G204" t="str">
            <v>Business / Corporate / Executive</v>
          </cell>
        </row>
        <row r="205">
          <cell r="A205" t="str">
            <v>Gulfstream G300</v>
          </cell>
          <cell r="C205" t="str">
            <v>National Air Service</v>
          </cell>
          <cell r="D205">
            <v>38307</v>
          </cell>
          <cell r="E205" t="str">
            <v>Middle East</v>
          </cell>
          <cell r="F205" t="str">
            <v>Saudi Arabia</v>
          </cell>
          <cell r="G205" t="str">
            <v>Business / Corporate / Executive</v>
          </cell>
        </row>
        <row r="206">
          <cell r="A206" t="str">
            <v>Gulfstream G400</v>
          </cell>
          <cell r="C206" t="str">
            <v>Mozart Investments LLC</v>
          </cell>
          <cell r="D206">
            <v>38051</v>
          </cell>
          <cell r="E206" t="str">
            <v>North America</v>
          </cell>
          <cell r="F206" t="str">
            <v>USA</v>
          </cell>
          <cell r="G206" t="str">
            <v>Business / Corporate / Executive</v>
          </cell>
        </row>
        <row r="207">
          <cell r="A207" t="str">
            <v>Gulfstream G400</v>
          </cell>
          <cell r="C207" t="str">
            <v>RDV Properties Inc</v>
          </cell>
          <cell r="D207">
            <v>38069</v>
          </cell>
          <cell r="E207" t="str">
            <v>North America</v>
          </cell>
          <cell r="F207" t="str">
            <v>USA</v>
          </cell>
          <cell r="G207" t="str">
            <v>Business / Corporate / Executive</v>
          </cell>
        </row>
        <row r="208">
          <cell r="A208" t="str">
            <v>Gulfstream G400</v>
          </cell>
          <cell r="C208" t="str">
            <v>CMA Services LLC</v>
          </cell>
          <cell r="D208">
            <v>38161</v>
          </cell>
          <cell r="E208" t="str">
            <v>North America</v>
          </cell>
          <cell r="F208" t="str">
            <v>USA</v>
          </cell>
          <cell r="G208" t="str">
            <v>Business / Corporate / Executive</v>
          </cell>
        </row>
        <row r="209">
          <cell r="A209" t="str">
            <v>Gulfstream G400</v>
          </cell>
          <cell r="C209" t="str">
            <v>Government of Egypt</v>
          </cell>
          <cell r="D209">
            <v>38203</v>
          </cell>
          <cell r="E209" t="str">
            <v>Africa</v>
          </cell>
          <cell r="F209" t="str">
            <v>Egypt</v>
          </cell>
          <cell r="G209" t="str">
            <v>VIP / Government operated</v>
          </cell>
        </row>
        <row r="210">
          <cell r="A210" t="str">
            <v>Gulfstream G400</v>
          </cell>
          <cell r="C210" t="str">
            <v>Netjets International</v>
          </cell>
          <cell r="D210">
            <v>38209</v>
          </cell>
          <cell r="E210" t="str">
            <v>North America</v>
          </cell>
          <cell r="F210" t="str">
            <v>USA</v>
          </cell>
          <cell r="G210" t="str">
            <v>Business / Corporate / Executive</v>
          </cell>
        </row>
        <row r="211">
          <cell r="A211" t="str">
            <v>Gulfstream G400</v>
          </cell>
          <cell r="C211" t="str">
            <v>RDV Aviation LLC</v>
          </cell>
          <cell r="D211">
            <v>38218</v>
          </cell>
          <cell r="E211" t="str">
            <v>North America</v>
          </cell>
          <cell r="F211" t="str">
            <v>USA</v>
          </cell>
          <cell r="G211" t="str">
            <v>Business / Corporate / Executive</v>
          </cell>
        </row>
        <row r="212">
          <cell r="A212" t="str">
            <v>Gulfstream G400</v>
          </cell>
          <cell r="C212" t="str">
            <v>EJS - Executive Jet Shares Inc</v>
          </cell>
          <cell r="D212">
            <v>38259</v>
          </cell>
          <cell r="E212" t="str">
            <v>North America</v>
          </cell>
          <cell r="F212" t="str">
            <v>USA</v>
          </cell>
          <cell r="G212" t="str">
            <v>Business / Corporate / Executive</v>
          </cell>
        </row>
        <row r="213">
          <cell r="A213" t="str">
            <v>Gulfstream G400</v>
          </cell>
          <cell r="C213" t="str">
            <v>Executive Jet Shares II Inc</v>
          </cell>
          <cell r="D213">
            <v>38310</v>
          </cell>
          <cell r="E213" t="str">
            <v>North America</v>
          </cell>
          <cell r="F213" t="str">
            <v>USA</v>
          </cell>
          <cell r="G213" t="str">
            <v>Business / Corporate / Executive</v>
          </cell>
        </row>
        <row r="214">
          <cell r="A214" t="str">
            <v>Gulfstream G400</v>
          </cell>
          <cell r="C214" t="str">
            <v>Pegasus Leasing LLC</v>
          </cell>
          <cell r="D214">
            <v>38310</v>
          </cell>
          <cell r="E214" t="str">
            <v>North America</v>
          </cell>
          <cell r="F214" t="str">
            <v>USA</v>
          </cell>
          <cell r="G214" t="str">
            <v>Business / Corporate / Executive</v>
          </cell>
        </row>
        <row r="215">
          <cell r="A215" t="str">
            <v>Gulfstream G400</v>
          </cell>
          <cell r="C215" t="str">
            <v>United Services Automobile Association</v>
          </cell>
          <cell r="D215">
            <v>38322</v>
          </cell>
          <cell r="E215" t="str">
            <v>North America</v>
          </cell>
          <cell r="F215" t="str">
            <v>USA</v>
          </cell>
          <cell r="G215" t="str">
            <v>Business / Corporate / Executive</v>
          </cell>
        </row>
        <row r="216">
          <cell r="A216" t="str">
            <v>Gulfstream G400</v>
          </cell>
          <cell r="C216" t="str">
            <v>Verizon Corporate Services Group Inc</v>
          </cell>
          <cell r="D216">
            <v>38337</v>
          </cell>
          <cell r="E216" t="str">
            <v>North America</v>
          </cell>
          <cell r="F216" t="str">
            <v>USA</v>
          </cell>
          <cell r="G216" t="str">
            <v>Business / Corporate / Executive</v>
          </cell>
        </row>
        <row r="217">
          <cell r="A217" t="str">
            <v>Gulfstream G400</v>
          </cell>
          <cell r="C217" t="str">
            <v>Bohemian Air 400 LLC</v>
          </cell>
          <cell r="D217">
            <v>38341</v>
          </cell>
          <cell r="E217" t="str">
            <v>North America</v>
          </cell>
          <cell r="F217" t="str">
            <v>USA</v>
          </cell>
          <cell r="G217" t="str">
            <v>Business / Corporate / Executive</v>
          </cell>
        </row>
        <row r="218">
          <cell r="A218" t="str">
            <v>Gulfstream G450</v>
          </cell>
          <cell r="C218" t="str">
            <v>Professional Jet II LLC</v>
          </cell>
          <cell r="D218">
            <v>38301</v>
          </cell>
          <cell r="E218" t="str">
            <v>North America</v>
          </cell>
          <cell r="F218" t="str">
            <v>USA</v>
          </cell>
          <cell r="G218" t="str">
            <v>Business / Corporate / Executive</v>
          </cell>
        </row>
        <row r="219">
          <cell r="A219" t="str">
            <v>Gulfstream G450</v>
          </cell>
          <cell r="C219" t="str">
            <v>Fidelity National Financial inc</v>
          </cell>
          <cell r="D219">
            <v>38336</v>
          </cell>
          <cell r="E219" t="str">
            <v>North America</v>
          </cell>
          <cell r="F219" t="str">
            <v>USA</v>
          </cell>
          <cell r="G219" t="str">
            <v>Business / Corporate / Executive</v>
          </cell>
        </row>
        <row r="220">
          <cell r="A220" t="str">
            <v>Gulfstream G450</v>
          </cell>
          <cell r="C220" t="str">
            <v>Rabbit Run LLC</v>
          </cell>
          <cell r="D220">
            <v>38341</v>
          </cell>
          <cell r="E220" t="str">
            <v>North America</v>
          </cell>
          <cell r="F220" t="str">
            <v>USA</v>
          </cell>
          <cell r="G220" t="str">
            <v>Business / Corporate / Executive</v>
          </cell>
        </row>
        <row r="221">
          <cell r="A221" t="str">
            <v>Gulfstream G500</v>
          </cell>
          <cell r="C221" t="str">
            <v>ALII Aviation LLC</v>
          </cell>
          <cell r="D221">
            <v>38125</v>
          </cell>
          <cell r="E221" t="str">
            <v>North America</v>
          </cell>
          <cell r="F221" t="str">
            <v>USA</v>
          </cell>
          <cell r="G221" t="str">
            <v>Business / Corporate / Executive</v>
          </cell>
        </row>
        <row r="222">
          <cell r="A222" t="str">
            <v>Gulfstream G550</v>
          </cell>
          <cell r="C222" t="str">
            <v>RL Wings LLC</v>
          </cell>
          <cell r="D222">
            <v>38009</v>
          </cell>
          <cell r="E222" t="str">
            <v>North America</v>
          </cell>
          <cell r="F222" t="str">
            <v>USA</v>
          </cell>
          <cell r="G222" t="str">
            <v>Business / Corporate / Executive</v>
          </cell>
        </row>
        <row r="223">
          <cell r="A223" t="str">
            <v>Gulfstream G550</v>
          </cell>
          <cell r="C223" t="str">
            <v>Fayair</v>
          </cell>
          <cell r="D223">
            <v>38042</v>
          </cell>
          <cell r="E223" t="str">
            <v>Europe</v>
          </cell>
          <cell r="F223" t="str">
            <v>United Kingdom</v>
          </cell>
          <cell r="G223" t="str">
            <v>Business / Corporate / Executive</v>
          </cell>
        </row>
        <row r="224">
          <cell r="A224" t="str">
            <v>Gulfstream G550</v>
          </cell>
          <cell r="C224" t="str">
            <v>JM Family Enterprises Inc</v>
          </cell>
          <cell r="D224">
            <v>38072</v>
          </cell>
          <cell r="E224" t="str">
            <v>North America</v>
          </cell>
          <cell r="F224" t="str">
            <v>USA</v>
          </cell>
          <cell r="G224" t="str">
            <v>Business / Corporate / Executive</v>
          </cell>
        </row>
        <row r="225">
          <cell r="A225" t="str">
            <v>Gulfstream G550</v>
          </cell>
          <cell r="C225" t="str">
            <v>The David Geffen Co</v>
          </cell>
          <cell r="D225">
            <v>38106</v>
          </cell>
          <cell r="E225" t="str">
            <v xml:space="preserve"> </v>
          </cell>
          <cell r="F225" t="str">
            <v>USA</v>
          </cell>
          <cell r="G225" t="str">
            <v>Business / Corporate / Executive</v>
          </cell>
        </row>
        <row r="226">
          <cell r="A226" t="str">
            <v>Gulfstream G550</v>
          </cell>
          <cell r="C226" t="str">
            <v>EFS European Flight Service</v>
          </cell>
          <cell r="D226">
            <v>38112</v>
          </cell>
          <cell r="E226" t="str">
            <v>Europe</v>
          </cell>
          <cell r="F226" t="str">
            <v>Sweden</v>
          </cell>
          <cell r="G226" t="str">
            <v>Business / Corporate / Executive</v>
          </cell>
        </row>
        <row r="227">
          <cell r="A227" t="str">
            <v>Gulfstream G550</v>
          </cell>
          <cell r="C227" t="str">
            <v>Honeywell International Inc</v>
          </cell>
          <cell r="D227">
            <v>38113</v>
          </cell>
          <cell r="E227" t="str">
            <v>North America</v>
          </cell>
          <cell r="F227" t="str">
            <v>USA</v>
          </cell>
          <cell r="G227" t="str">
            <v>Business / Corporate / Executive</v>
          </cell>
        </row>
        <row r="228">
          <cell r="A228" t="str">
            <v>Gulfstream G550</v>
          </cell>
          <cell r="C228" t="str">
            <v>Ivanhoe Capital Aviation LLC</v>
          </cell>
          <cell r="D228">
            <v>38133</v>
          </cell>
          <cell r="E228" t="str">
            <v>North America</v>
          </cell>
          <cell r="F228" t="str">
            <v>USA</v>
          </cell>
          <cell r="G228" t="str">
            <v>Business / Corporate / Executive</v>
          </cell>
        </row>
        <row r="229">
          <cell r="A229" t="str">
            <v>Gulfstream G550</v>
          </cell>
          <cell r="C229" t="str">
            <v>Nissan North America Inc</v>
          </cell>
          <cell r="D229">
            <v>38156</v>
          </cell>
          <cell r="E229" t="str">
            <v>North America</v>
          </cell>
          <cell r="F229" t="str">
            <v>USA</v>
          </cell>
          <cell r="G229" t="str">
            <v>Business / Corporate / Executive</v>
          </cell>
        </row>
        <row r="230">
          <cell r="A230" t="str">
            <v>Gulfstream G550</v>
          </cell>
          <cell r="C230" t="str">
            <v>Fly Away Ltd</v>
          </cell>
          <cell r="D230">
            <v>38160</v>
          </cell>
          <cell r="E230" t="str">
            <v>Latin America and Caribbean</v>
          </cell>
          <cell r="F230" t="str">
            <v>Bermuda</v>
          </cell>
          <cell r="G230" t="str">
            <v>Business / Corporate / Executive</v>
          </cell>
        </row>
        <row r="231">
          <cell r="A231" t="str">
            <v>Gulfstream G550</v>
          </cell>
          <cell r="C231" t="str">
            <v>Adam Aviation Acquisition II LLC</v>
          </cell>
          <cell r="D231">
            <v>38167</v>
          </cell>
          <cell r="E231" t="str">
            <v>North America</v>
          </cell>
          <cell r="F231" t="str">
            <v>USA</v>
          </cell>
          <cell r="G231" t="str">
            <v>Business / Corporate / Executive</v>
          </cell>
        </row>
        <row r="232">
          <cell r="A232" t="str">
            <v>Gulfstream G550</v>
          </cell>
          <cell r="C232" t="str">
            <v>United Healthcare Services Inc</v>
          </cell>
          <cell r="D232">
            <v>38168</v>
          </cell>
          <cell r="E232" t="str">
            <v>North America</v>
          </cell>
          <cell r="F232" t="str">
            <v>USA</v>
          </cell>
          <cell r="G232" t="str">
            <v>Business / Corporate / Executive</v>
          </cell>
        </row>
        <row r="233">
          <cell r="A233" t="str">
            <v>Gulfstream G550</v>
          </cell>
          <cell r="C233" t="str">
            <v>Cleopatra Group Inc</v>
          </cell>
          <cell r="D233">
            <v>38201</v>
          </cell>
          <cell r="E233" t="str">
            <v>Africa</v>
          </cell>
          <cell r="F233" t="str">
            <v>Egypt</v>
          </cell>
          <cell r="G233" t="str">
            <v>Business / Corporate / Executive</v>
          </cell>
        </row>
        <row r="234">
          <cell r="A234" t="str">
            <v>Gulfstream G550</v>
          </cell>
          <cell r="C234" t="str">
            <v>Ispat Ltd</v>
          </cell>
          <cell r="D234">
            <v>38208</v>
          </cell>
          <cell r="E234" t="str">
            <v>Europe</v>
          </cell>
          <cell r="F234" t="str">
            <v>United Kingdom</v>
          </cell>
          <cell r="G234" t="str">
            <v>Business / Corporate / Executive</v>
          </cell>
        </row>
        <row r="235">
          <cell r="A235" t="str">
            <v>Gulfstream G550</v>
          </cell>
          <cell r="C235" t="str">
            <v>Iliad Leasing Inc</v>
          </cell>
          <cell r="D235">
            <v>38230</v>
          </cell>
          <cell r="E235" t="str">
            <v>North America</v>
          </cell>
          <cell r="F235" t="str">
            <v>USA</v>
          </cell>
          <cell r="G235" t="str">
            <v>Business / Corporate / Executive</v>
          </cell>
        </row>
        <row r="236">
          <cell r="A236" t="str">
            <v>Gulfstream G550</v>
          </cell>
          <cell r="C236" t="str">
            <v>Government of Tanzania</v>
          </cell>
          <cell r="D236">
            <v>38252</v>
          </cell>
          <cell r="E236" t="str">
            <v>Africa</v>
          </cell>
          <cell r="F236" t="str">
            <v>Tanzania</v>
          </cell>
          <cell r="G236" t="str">
            <v>VIP / Government operated</v>
          </cell>
        </row>
        <row r="237">
          <cell r="A237" t="str">
            <v>Gulfstream G550</v>
          </cell>
          <cell r="C237" t="str">
            <v>GST Test Flight Svs/FCI Test Flight/FAI Test Fligh</v>
          </cell>
          <cell r="D237">
            <v>38254</v>
          </cell>
          <cell r="E237" t="str">
            <v>North America</v>
          </cell>
          <cell r="F237" t="str">
            <v>USA</v>
          </cell>
          <cell r="G237" t="str">
            <v>Business / Corporate / Executive</v>
          </cell>
        </row>
        <row r="238">
          <cell r="A238" t="str">
            <v>Gulfstream G550</v>
          </cell>
          <cell r="C238" t="str">
            <v>Bank of America NA</v>
          </cell>
          <cell r="D238">
            <v>38260</v>
          </cell>
          <cell r="E238" t="str">
            <v>North America</v>
          </cell>
          <cell r="F238" t="str">
            <v>USA</v>
          </cell>
          <cell r="G238" t="str">
            <v>Business / Corporate / Executive</v>
          </cell>
        </row>
        <row r="239">
          <cell r="A239" t="str">
            <v>Gulfstream G550</v>
          </cell>
          <cell r="C239" t="str">
            <v>Aviation 604 AG</v>
          </cell>
          <cell r="D239">
            <v>38261</v>
          </cell>
          <cell r="E239" t="str">
            <v>Europe</v>
          </cell>
          <cell r="F239" t="str">
            <v>Switzerland</v>
          </cell>
          <cell r="G239" t="str">
            <v>Business / Corporate / Executive</v>
          </cell>
        </row>
        <row r="240">
          <cell r="A240" t="str">
            <v>Gulfstream G550</v>
          </cell>
          <cell r="C240" t="str">
            <v>AEC Aircraft Inc</v>
          </cell>
          <cell r="D240">
            <v>38264</v>
          </cell>
          <cell r="E240" t="str">
            <v>North America</v>
          </cell>
          <cell r="F240" t="str">
            <v>USA</v>
          </cell>
          <cell r="G240" t="str">
            <v>Business / Corporate / Executive</v>
          </cell>
        </row>
        <row r="241">
          <cell r="A241" t="str">
            <v>Gulfstream G550</v>
          </cell>
          <cell r="C241" t="str">
            <v>Beehawk Aviation Inc</v>
          </cell>
          <cell r="D241">
            <v>38286</v>
          </cell>
          <cell r="E241" t="str">
            <v>North America</v>
          </cell>
          <cell r="F241" t="str">
            <v>USA</v>
          </cell>
          <cell r="G241" t="str">
            <v>Business / Corporate / Executive</v>
          </cell>
        </row>
        <row r="242">
          <cell r="A242" t="str">
            <v>Gulfstream G550</v>
          </cell>
          <cell r="C242" t="str">
            <v>Indigo Management Co</v>
          </cell>
          <cell r="D242">
            <v>38308</v>
          </cell>
          <cell r="E242" t="str">
            <v>North America</v>
          </cell>
          <cell r="F242" t="str">
            <v>USA</v>
          </cell>
          <cell r="G242" t="str">
            <v>Business / Corporate / Executive</v>
          </cell>
        </row>
        <row r="243">
          <cell r="A243" t="str">
            <v>Gulfstream G550</v>
          </cell>
          <cell r="C243" t="str">
            <v>Contrail Aviation LLC</v>
          </cell>
          <cell r="D243">
            <v>38323</v>
          </cell>
          <cell r="E243" t="str">
            <v>North America</v>
          </cell>
          <cell r="F243" t="str">
            <v>USA</v>
          </cell>
          <cell r="G243" t="str">
            <v>Business / Corporate / Executive</v>
          </cell>
        </row>
        <row r="244">
          <cell r="A244" t="str">
            <v>Gulfstream G550</v>
          </cell>
          <cell r="C244" t="str">
            <v>White Lotus LLC</v>
          </cell>
          <cell r="D244">
            <v>38337</v>
          </cell>
          <cell r="E244" t="str">
            <v>North America</v>
          </cell>
          <cell r="F244" t="str">
            <v>USA</v>
          </cell>
          <cell r="G244" t="str">
            <v>Business / Corporate / Executive</v>
          </cell>
        </row>
        <row r="245">
          <cell r="A245" t="str">
            <v>Gulfstream G550</v>
          </cell>
          <cell r="C245" t="str">
            <v>Black Diamond Aviation Inc</v>
          </cell>
          <cell r="D245">
            <v>38338</v>
          </cell>
          <cell r="E245" t="str">
            <v>North America</v>
          </cell>
          <cell r="F245" t="str">
            <v>USA</v>
          </cell>
          <cell r="G245" t="str">
            <v>Business / Corporate / Executive</v>
          </cell>
        </row>
        <row r="246">
          <cell r="A246" t="str">
            <v>Gulfstream G550</v>
          </cell>
          <cell r="C246" t="str">
            <v>Yellowstone Development LLC</v>
          </cell>
          <cell r="D246">
            <v>38338</v>
          </cell>
          <cell r="E246" t="str">
            <v>North America</v>
          </cell>
          <cell r="F246" t="str">
            <v>USA</v>
          </cell>
          <cell r="G246" t="str">
            <v>Business / Corporate / Executive</v>
          </cell>
        </row>
        <row r="247">
          <cell r="A247" t="str">
            <v>Gulfstream G550</v>
          </cell>
          <cell r="C247" t="str">
            <v>Rashid Engineering</v>
          </cell>
          <cell r="D247">
            <v>38341</v>
          </cell>
          <cell r="E247" t="str">
            <v>Middle East</v>
          </cell>
          <cell r="F247" t="str">
            <v>Saudi Arabia</v>
          </cell>
          <cell r="G247" t="str">
            <v>Business / Corporate / Executive</v>
          </cell>
        </row>
        <row r="248">
          <cell r="A248" t="str">
            <v>Gulfstream G550</v>
          </cell>
          <cell r="C248" t="str">
            <v>Netjets International</v>
          </cell>
          <cell r="D248">
            <v>38342</v>
          </cell>
          <cell r="E248" t="str">
            <v>North America</v>
          </cell>
          <cell r="F248" t="str">
            <v>USA</v>
          </cell>
          <cell r="G248" t="str">
            <v>Business / Corporate / Executive</v>
          </cell>
        </row>
        <row r="250">
          <cell r="A250" t="str">
            <v>2003 Detail</v>
          </cell>
        </row>
        <row r="251">
          <cell r="A251" t="str">
            <v>Mfr &amp; Type</v>
          </cell>
          <cell r="B251" t="str">
            <v>Variant</v>
          </cell>
          <cell r="C251" t="str">
            <v>Operator</v>
          </cell>
          <cell r="D251" t="str">
            <v>DeliveryDate</v>
          </cell>
          <cell r="E251" t="str">
            <v>OperatorArea</v>
          </cell>
          <cell r="F251" t="str">
            <v>OperatorCountry</v>
          </cell>
          <cell r="G251" t="str">
            <v>Usage</v>
          </cell>
        </row>
        <row r="252">
          <cell r="A252" t="str">
            <v>Gulfstream V</v>
          </cell>
          <cell r="B252" t="str">
            <v xml:space="preserve"> </v>
          </cell>
          <cell r="C252" t="str">
            <v>TAI Leasing Inc</v>
          </cell>
          <cell r="D252">
            <v>37624</v>
          </cell>
          <cell r="E252" t="str">
            <v>North America</v>
          </cell>
          <cell r="F252" t="str">
            <v>USA</v>
          </cell>
          <cell r="G252" t="str">
            <v>Business / Corporate / Executive</v>
          </cell>
        </row>
        <row r="253">
          <cell r="A253" t="str">
            <v>Gulfstream V</v>
          </cell>
          <cell r="B253" t="str">
            <v xml:space="preserve"> </v>
          </cell>
          <cell r="C253" t="str">
            <v>US Air Force</v>
          </cell>
          <cell r="D253">
            <v>37636</v>
          </cell>
          <cell r="E253" t="str">
            <v>North America</v>
          </cell>
          <cell r="F253" t="str">
            <v>USA</v>
          </cell>
          <cell r="G253" t="str">
            <v>VIP / Government operated</v>
          </cell>
        </row>
        <row r="254">
          <cell r="A254" t="str">
            <v>Gulfstream IV</v>
          </cell>
          <cell r="B254" t="str">
            <v>SP</v>
          </cell>
          <cell r="C254" t="str">
            <v>Delta Jet Ltd</v>
          </cell>
          <cell r="D254">
            <v>37651</v>
          </cell>
          <cell r="E254" t="str">
            <v>North America</v>
          </cell>
          <cell r="F254" t="str">
            <v>USA</v>
          </cell>
          <cell r="G254" t="str">
            <v>Business / Corporate / Executive</v>
          </cell>
        </row>
        <row r="255">
          <cell r="A255" t="str">
            <v>Gulfstream IV</v>
          </cell>
          <cell r="B255" t="str">
            <v>SP</v>
          </cell>
          <cell r="C255" t="str">
            <v>Eastman Chemical Co</v>
          </cell>
          <cell r="D255">
            <v>37666</v>
          </cell>
          <cell r="E255" t="str">
            <v>North America</v>
          </cell>
          <cell r="F255" t="str">
            <v>USA</v>
          </cell>
          <cell r="G255" t="str">
            <v>Business / Corporate / Executive</v>
          </cell>
        </row>
        <row r="256">
          <cell r="A256" t="str">
            <v>Gulfstream V</v>
          </cell>
          <cell r="B256" t="str">
            <v xml:space="preserve"> </v>
          </cell>
          <cell r="C256" t="str">
            <v>Aventis Pharmaceuticals Inc</v>
          </cell>
          <cell r="D256">
            <v>37671</v>
          </cell>
          <cell r="E256" t="str">
            <v>North America</v>
          </cell>
          <cell r="F256" t="str">
            <v>USA</v>
          </cell>
          <cell r="G256" t="str">
            <v>Business / Corporate / Executive</v>
          </cell>
        </row>
        <row r="257">
          <cell r="A257" t="str">
            <v>Gulfstream V</v>
          </cell>
          <cell r="B257" t="str">
            <v xml:space="preserve"> </v>
          </cell>
          <cell r="C257" t="str">
            <v>Greek Air Force</v>
          </cell>
          <cell r="D257">
            <v>37680</v>
          </cell>
          <cell r="E257" t="str">
            <v>Europe</v>
          </cell>
          <cell r="F257" t="str">
            <v>Greece</v>
          </cell>
          <cell r="G257" t="str">
            <v>VIP / Government operated</v>
          </cell>
        </row>
        <row r="258">
          <cell r="A258" t="str">
            <v>Gulfstream V</v>
          </cell>
          <cell r="B258" t="str">
            <v xml:space="preserve"> </v>
          </cell>
          <cell r="C258" t="str">
            <v>Enterprise Aviation LLC</v>
          </cell>
          <cell r="D258">
            <v>37686</v>
          </cell>
          <cell r="E258" t="str">
            <v>North America</v>
          </cell>
          <cell r="F258" t="str">
            <v>USA</v>
          </cell>
          <cell r="G258" t="str">
            <v>Business / Corporate / Executive</v>
          </cell>
        </row>
        <row r="259">
          <cell r="A259" t="str">
            <v>Gulfstream IV</v>
          </cell>
          <cell r="B259" t="str">
            <v>SP</v>
          </cell>
          <cell r="C259" t="str">
            <v>Fletcher Jones Management Group Inc</v>
          </cell>
          <cell r="D259">
            <v>37694</v>
          </cell>
          <cell r="E259" t="str">
            <v>North America</v>
          </cell>
          <cell r="F259" t="str">
            <v>USA</v>
          </cell>
          <cell r="G259" t="str">
            <v>Business / Corporate / Executive</v>
          </cell>
        </row>
        <row r="260">
          <cell r="A260" t="str">
            <v>Gulfstream IV</v>
          </cell>
          <cell r="B260" t="str">
            <v>SP</v>
          </cell>
          <cell r="C260" t="str">
            <v>Mandalay Resort Group</v>
          </cell>
          <cell r="D260">
            <v>37697</v>
          </cell>
          <cell r="E260" t="str">
            <v>North America</v>
          </cell>
          <cell r="F260" t="str">
            <v>USA</v>
          </cell>
          <cell r="G260" t="str">
            <v>Business / Corporate / Executive</v>
          </cell>
        </row>
        <row r="261">
          <cell r="A261" t="str">
            <v>Gulfstream V</v>
          </cell>
          <cell r="B261" t="str">
            <v xml:space="preserve"> </v>
          </cell>
          <cell r="C261" t="str">
            <v>American Home Products Inc</v>
          </cell>
          <cell r="D261">
            <v>37705</v>
          </cell>
          <cell r="E261" t="str">
            <v>North America</v>
          </cell>
          <cell r="F261" t="str">
            <v>USA</v>
          </cell>
          <cell r="G261" t="str">
            <v>Business / Corporate / Executive</v>
          </cell>
        </row>
        <row r="262">
          <cell r="A262" t="str">
            <v>Gulfstream V</v>
          </cell>
          <cell r="B262" t="str">
            <v xml:space="preserve"> </v>
          </cell>
          <cell r="C262" t="str">
            <v>ITT Industries Inc</v>
          </cell>
          <cell r="D262">
            <v>37706</v>
          </cell>
          <cell r="E262" t="str">
            <v>North America</v>
          </cell>
          <cell r="F262" t="str">
            <v>USA</v>
          </cell>
          <cell r="G262" t="str">
            <v>Business / Corporate / Executive</v>
          </cell>
        </row>
        <row r="263">
          <cell r="A263" t="str">
            <v>Gulfstream IV</v>
          </cell>
          <cell r="B263" t="str">
            <v>SP</v>
          </cell>
          <cell r="C263" t="str">
            <v>Netjets International</v>
          </cell>
          <cell r="D263">
            <v>37707</v>
          </cell>
          <cell r="E263" t="str">
            <v>North America</v>
          </cell>
          <cell r="F263" t="str">
            <v>USA</v>
          </cell>
          <cell r="G263" t="str">
            <v>Business / Corporate / Executive</v>
          </cell>
        </row>
        <row r="264">
          <cell r="A264" t="str">
            <v>Gulfstream IV</v>
          </cell>
          <cell r="B264" t="str">
            <v>SP</v>
          </cell>
          <cell r="C264" t="str">
            <v>Marsico Aviation LLC</v>
          </cell>
          <cell r="D264">
            <v>37708</v>
          </cell>
          <cell r="E264" t="str">
            <v>North America</v>
          </cell>
          <cell r="F264" t="str">
            <v>USA</v>
          </cell>
          <cell r="G264" t="str">
            <v>Business / Corporate / Executive</v>
          </cell>
        </row>
        <row r="265">
          <cell r="A265" t="str">
            <v>Gulfstream IV</v>
          </cell>
          <cell r="B265" t="str">
            <v>SP</v>
          </cell>
          <cell r="C265" t="str">
            <v>Prime Jet LLC</v>
          </cell>
          <cell r="D265">
            <v>37708</v>
          </cell>
          <cell r="E265" t="str">
            <v>North America</v>
          </cell>
          <cell r="F265" t="str">
            <v>USA</v>
          </cell>
          <cell r="G265" t="str">
            <v>Business / Corporate / Executive</v>
          </cell>
        </row>
        <row r="266">
          <cell r="A266" t="str">
            <v>Gulfstream IV</v>
          </cell>
          <cell r="B266" t="str">
            <v>SP</v>
          </cell>
          <cell r="C266" t="str">
            <v>Windsor Locks LLC</v>
          </cell>
          <cell r="D266">
            <v>37734</v>
          </cell>
          <cell r="E266" t="str">
            <v>North America</v>
          </cell>
          <cell r="F266" t="str">
            <v>USA</v>
          </cell>
          <cell r="G266" t="str">
            <v>Business / Corporate / Executive</v>
          </cell>
        </row>
        <row r="267">
          <cell r="A267" t="str">
            <v>Gulfstream G550</v>
          </cell>
          <cell r="C267" t="str">
            <v>Deerport Aviation Corp</v>
          </cell>
          <cell r="D267">
            <v>37754</v>
          </cell>
          <cell r="E267" t="str">
            <v>North America</v>
          </cell>
          <cell r="F267" t="str">
            <v>USA</v>
          </cell>
          <cell r="G267" t="str">
            <v>Business / Corporate / Executive</v>
          </cell>
        </row>
        <row r="268">
          <cell r="A268" t="str">
            <v>Gulfstream V</v>
          </cell>
          <cell r="B268" t="str">
            <v xml:space="preserve"> </v>
          </cell>
          <cell r="C268" t="str">
            <v>RDV Properties Inc</v>
          </cell>
          <cell r="D268">
            <v>37763</v>
          </cell>
          <cell r="E268" t="str">
            <v>North America</v>
          </cell>
          <cell r="F268" t="str">
            <v>USA</v>
          </cell>
          <cell r="G268" t="str">
            <v>Business / Corporate / Executive</v>
          </cell>
        </row>
        <row r="269">
          <cell r="A269" t="str">
            <v>Gulfstream V</v>
          </cell>
          <cell r="B269" t="str">
            <v xml:space="preserve"> </v>
          </cell>
          <cell r="C269" t="str">
            <v>J B Ivley &amp; Co</v>
          </cell>
          <cell r="D269">
            <v>37770</v>
          </cell>
          <cell r="E269" t="str">
            <v>North America</v>
          </cell>
          <cell r="F269" t="str">
            <v>USA</v>
          </cell>
          <cell r="G269" t="str">
            <v>Business / Corporate / Executive</v>
          </cell>
        </row>
        <row r="270">
          <cell r="A270" t="str">
            <v>Gulfstream IV</v>
          </cell>
          <cell r="B270" t="str">
            <v>SP</v>
          </cell>
          <cell r="C270" t="str">
            <v>Northrop Grumman Aviation Inc</v>
          </cell>
          <cell r="D270">
            <v>37770</v>
          </cell>
          <cell r="E270" t="str">
            <v>North America</v>
          </cell>
          <cell r="F270" t="str">
            <v>USA</v>
          </cell>
          <cell r="G270" t="str">
            <v>Business / Corporate / Executive</v>
          </cell>
        </row>
        <row r="271">
          <cell r="A271" t="str">
            <v>Gulfstream IV</v>
          </cell>
          <cell r="B271" t="str">
            <v>SP</v>
          </cell>
          <cell r="C271" t="str">
            <v>Dacion Corp</v>
          </cell>
          <cell r="D271">
            <v>37771</v>
          </cell>
          <cell r="E271" t="str">
            <v>North America</v>
          </cell>
          <cell r="F271" t="str">
            <v>USA</v>
          </cell>
          <cell r="G271" t="str">
            <v>Business / Corporate / Executive</v>
          </cell>
        </row>
        <row r="272">
          <cell r="A272" t="str">
            <v>Gulfstream G550</v>
          </cell>
          <cell r="C272" t="str">
            <v>Air Simon Inc</v>
          </cell>
          <cell r="D272">
            <v>37784</v>
          </cell>
          <cell r="E272" t="str">
            <v>North America</v>
          </cell>
          <cell r="F272" t="str">
            <v>USA</v>
          </cell>
          <cell r="G272" t="str">
            <v>Business / Corporate / Executive</v>
          </cell>
        </row>
        <row r="273">
          <cell r="A273" t="str">
            <v>Gulfstream V</v>
          </cell>
          <cell r="B273" t="str">
            <v xml:space="preserve"> </v>
          </cell>
          <cell r="C273" t="str">
            <v>Hewlett-Packard Co</v>
          </cell>
          <cell r="D273">
            <v>37792</v>
          </cell>
          <cell r="E273" t="str">
            <v>North America</v>
          </cell>
          <cell r="F273" t="str">
            <v>USA</v>
          </cell>
          <cell r="G273" t="str">
            <v>Business / Corporate / Executive</v>
          </cell>
        </row>
        <row r="274">
          <cell r="A274" t="str">
            <v>Gulfstream IV</v>
          </cell>
          <cell r="B274" t="str">
            <v>SP</v>
          </cell>
          <cell r="C274" t="str">
            <v>GEH Air Transportation LLC</v>
          </cell>
          <cell r="D274">
            <v>37797</v>
          </cell>
          <cell r="E274" t="str">
            <v>North America</v>
          </cell>
          <cell r="F274" t="str">
            <v>USA</v>
          </cell>
          <cell r="G274" t="str">
            <v>Business / Corporate / Executive</v>
          </cell>
        </row>
        <row r="275">
          <cell r="A275" t="str">
            <v>Gulfstream V</v>
          </cell>
          <cell r="B275" t="str">
            <v xml:space="preserve"> </v>
          </cell>
          <cell r="C275" t="str">
            <v>Hewlett-Packard Co</v>
          </cell>
          <cell r="D275">
            <v>37799</v>
          </cell>
          <cell r="E275" t="str">
            <v>North America</v>
          </cell>
          <cell r="F275" t="str">
            <v>USA</v>
          </cell>
          <cell r="G275" t="str">
            <v>Business / Corporate / Executive</v>
          </cell>
        </row>
        <row r="276">
          <cell r="A276" t="str">
            <v>Gulfstream G400</v>
          </cell>
          <cell r="C276" t="str">
            <v>Chouest Air Inc</v>
          </cell>
          <cell r="D276">
            <v>37802</v>
          </cell>
          <cell r="E276" t="str">
            <v>North America</v>
          </cell>
          <cell r="F276" t="str">
            <v>USA</v>
          </cell>
          <cell r="G276" t="str">
            <v>Business / Corporate / Executive</v>
          </cell>
        </row>
        <row r="277">
          <cell r="A277" t="str">
            <v>Gulfstream G400</v>
          </cell>
          <cell r="C277" t="str">
            <v>The Upper Deck Co LLC</v>
          </cell>
          <cell r="D277">
            <v>37802</v>
          </cell>
          <cell r="E277" t="str">
            <v>North America</v>
          </cell>
          <cell r="F277" t="str">
            <v>USA</v>
          </cell>
          <cell r="G277" t="str">
            <v>Business / Corporate / Executive</v>
          </cell>
        </row>
        <row r="278">
          <cell r="A278" t="str">
            <v>Gulfstream V</v>
          </cell>
          <cell r="B278" t="str">
            <v xml:space="preserve"> </v>
          </cell>
          <cell r="C278" t="str">
            <v>JCB Aviation Department</v>
          </cell>
          <cell r="D278">
            <v>37818</v>
          </cell>
          <cell r="E278" t="str">
            <v>Europe</v>
          </cell>
          <cell r="F278" t="str">
            <v>United Kingdom</v>
          </cell>
          <cell r="G278" t="str">
            <v>Business / Corporate / Executive</v>
          </cell>
        </row>
        <row r="279">
          <cell r="A279" t="str">
            <v>Gulfstream G300</v>
          </cell>
          <cell r="C279" t="str">
            <v>Royal Jet</v>
          </cell>
          <cell r="D279">
            <v>37838</v>
          </cell>
          <cell r="E279" t="str">
            <v>Middle East</v>
          </cell>
          <cell r="F279" t="str">
            <v>United Arab Emirates</v>
          </cell>
          <cell r="G279" t="str">
            <v>Business / Corporate / Executive</v>
          </cell>
        </row>
        <row r="280">
          <cell r="A280" t="str">
            <v>Gulfstream G550</v>
          </cell>
          <cell r="C280" t="str">
            <v>Simon Aviation Inc</v>
          </cell>
          <cell r="D280">
            <v>37860</v>
          </cell>
          <cell r="E280" t="str">
            <v>North America</v>
          </cell>
          <cell r="F280" t="str">
            <v>USA</v>
          </cell>
          <cell r="G280" t="str">
            <v>Business / Corporate / Executive</v>
          </cell>
        </row>
        <row r="281">
          <cell r="A281" t="str">
            <v>Gulfstream G400</v>
          </cell>
          <cell r="C281" t="str">
            <v>Idaho Associates LLC</v>
          </cell>
          <cell r="D281">
            <v>37862</v>
          </cell>
          <cell r="E281" t="str">
            <v>North America</v>
          </cell>
          <cell r="F281" t="str">
            <v>USA</v>
          </cell>
          <cell r="G281" t="str">
            <v>Business / Corporate / Executive</v>
          </cell>
        </row>
        <row r="282">
          <cell r="A282" t="str">
            <v>Gulfstream G400</v>
          </cell>
          <cell r="C282" t="str">
            <v>Prime Jet LLC</v>
          </cell>
          <cell r="D282">
            <v>37862</v>
          </cell>
          <cell r="E282" t="str">
            <v>North America</v>
          </cell>
          <cell r="F282" t="str">
            <v>USA</v>
          </cell>
          <cell r="G282" t="str">
            <v>Business / Corporate / Executive</v>
          </cell>
        </row>
        <row r="283">
          <cell r="A283" t="str">
            <v>Gulfstream G550</v>
          </cell>
          <cell r="C283" t="str">
            <v>Leucadia Aviation Inc</v>
          </cell>
          <cell r="D283">
            <v>37881</v>
          </cell>
          <cell r="E283" t="str">
            <v>North America</v>
          </cell>
          <cell r="F283" t="str">
            <v>USA</v>
          </cell>
          <cell r="G283" t="str">
            <v>Business / Corporate / Executive</v>
          </cell>
        </row>
        <row r="284">
          <cell r="A284" t="str">
            <v>Gulfstream G300</v>
          </cell>
          <cell r="C284" t="str">
            <v>Royal Jet</v>
          </cell>
          <cell r="D284">
            <v>37881</v>
          </cell>
          <cell r="E284" t="str">
            <v>Middle East</v>
          </cell>
          <cell r="F284" t="str">
            <v>United Arab Emirates</v>
          </cell>
          <cell r="G284" t="str">
            <v>Business / Corporate / Executive</v>
          </cell>
        </row>
        <row r="285">
          <cell r="A285" t="str">
            <v>Gulfstream V</v>
          </cell>
          <cell r="B285" t="str">
            <v xml:space="preserve"> </v>
          </cell>
          <cell r="C285" t="str">
            <v>GM Air Ltd</v>
          </cell>
          <cell r="D285">
            <v>37887</v>
          </cell>
          <cell r="E285" t="str">
            <v>Europe</v>
          </cell>
          <cell r="F285" t="str">
            <v>Gibraltar</v>
          </cell>
          <cell r="G285" t="str">
            <v>Business / Corporate / Executive</v>
          </cell>
        </row>
        <row r="286">
          <cell r="A286" t="str">
            <v>Gulfstream G400</v>
          </cell>
          <cell r="C286" t="str">
            <v>United Aviation Holdings Inc</v>
          </cell>
          <cell r="D286">
            <v>37888</v>
          </cell>
          <cell r="E286" t="str">
            <v>North America</v>
          </cell>
          <cell r="F286" t="str">
            <v>USA</v>
          </cell>
          <cell r="G286" t="str">
            <v>Business / Corporate / Executive</v>
          </cell>
        </row>
        <row r="287">
          <cell r="A287" t="str">
            <v>Gulfstream G300</v>
          </cell>
          <cell r="C287" t="str">
            <v>TAI Leasing Inc</v>
          </cell>
          <cell r="D287">
            <v>37890</v>
          </cell>
          <cell r="E287" t="str">
            <v>North America</v>
          </cell>
          <cell r="F287" t="str">
            <v>USA</v>
          </cell>
          <cell r="G287" t="str">
            <v>Business / Corporate / Executive</v>
          </cell>
        </row>
        <row r="288">
          <cell r="A288" t="str">
            <v>Gulfstream G550</v>
          </cell>
          <cell r="C288" t="str">
            <v>Wotan America Inc</v>
          </cell>
          <cell r="D288">
            <v>37893</v>
          </cell>
          <cell r="E288" t="str">
            <v>North America</v>
          </cell>
          <cell r="F288" t="str">
            <v>USA</v>
          </cell>
          <cell r="G288" t="str">
            <v>Business / Corporate / Executive</v>
          </cell>
        </row>
        <row r="289">
          <cell r="A289" t="str">
            <v>Gulfstream G300</v>
          </cell>
          <cell r="C289" t="str">
            <v>Altria Corporate Services Inc</v>
          </cell>
          <cell r="D289">
            <v>37894</v>
          </cell>
          <cell r="E289" t="str">
            <v>North America</v>
          </cell>
          <cell r="F289" t="str">
            <v>USA</v>
          </cell>
          <cell r="G289" t="str">
            <v>Business / Corporate / Executive</v>
          </cell>
        </row>
        <row r="290">
          <cell r="A290" t="str">
            <v>Gulfstream G550</v>
          </cell>
          <cell r="C290" t="str">
            <v>Pfizer Inc</v>
          </cell>
          <cell r="D290">
            <v>37894</v>
          </cell>
          <cell r="E290" t="str">
            <v>North America</v>
          </cell>
          <cell r="F290" t="str">
            <v>USA</v>
          </cell>
          <cell r="G290" t="str">
            <v>Business / Corporate / Executive</v>
          </cell>
        </row>
        <row r="291">
          <cell r="A291" t="str">
            <v>Gulfstream G550</v>
          </cell>
          <cell r="C291" t="str">
            <v>Grand Warehouse Inc</v>
          </cell>
          <cell r="D291">
            <v>37917</v>
          </cell>
          <cell r="E291" t="str">
            <v>Asia</v>
          </cell>
          <cell r="F291" t="str">
            <v>Japan</v>
          </cell>
          <cell r="G291" t="str">
            <v>Business / Corporate / Executive</v>
          </cell>
        </row>
        <row r="292">
          <cell r="A292" t="str">
            <v>Gulfstream G550</v>
          </cell>
          <cell r="C292" t="str">
            <v>Bank of America NA</v>
          </cell>
          <cell r="D292">
            <v>37937</v>
          </cell>
          <cell r="E292" t="str">
            <v>North America</v>
          </cell>
          <cell r="F292" t="str">
            <v>USA</v>
          </cell>
          <cell r="G292" t="str">
            <v>Business / Corporate / Executive</v>
          </cell>
        </row>
        <row r="293">
          <cell r="A293" t="str">
            <v>Gulfstream G550</v>
          </cell>
          <cell r="C293" t="str">
            <v>Jets Ejecutivos</v>
          </cell>
          <cell r="D293">
            <v>37942</v>
          </cell>
          <cell r="E293" t="str">
            <v>Latin America and Caribbean</v>
          </cell>
          <cell r="F293" t="str">
            <v>Mexico</v>
          </cell>
          <cell r="G293" t="str">
            <v>Business / Corporate / Executive</v>
          </cell>
        </row>
        <row r="294">
          <cell r="A294" t="str">
            <v>Gulfstream G300</v>
          </cell>
          <cell r="C294" t="str">
            <v>L&amp;L Manufacturing Co</v>
          </cell>
          <cell r="D294">
            <v>37944</v>
          </cell>
          <cell r="E294" t="str">
            <v>North America</v>
          </cell>
          <cell r="F294" t="str">
            <v>USA</v>
          </cell>
          <cell r="G294" t="str">
            <v>Business / Corporate / Executive</v>
          </cell>
        </row>
        <row r="295">
          <cell r="A295" t="str">
            <v>Gulfstream G400</v>
          </cell>
          <cell r="C295" t="str">
            <v>Government of Egypt</v>
          </cell>
          <cell r="D295">
            <v>37947</v>
          </cell>
          <cell r="E295" t="str">
            <v>Africa</v>
          </cell>
          <cell r="F295" t="str">
            <v>Egypt</v>
          </cell>
          <cell r="G295" t="str">
            <v>VIP / Government operated</v>
          </cell>
        </row>
        <row r="296">
          <cell r="A296" t="str">
            <v>Gulfstream G550</v>
          </cell>
          <cell r="C296" t="str">
            <v>Leucadia Aviation Inc</v>
          </cell>
          <cell r="D296">
            <v>37958</v>
          </cell>
          <cell r="E296" t="str">
            <v>North America</v>
          </cell>
          <cell r="F296" t="str">
            <v>USA</v>
          </cell>
          <cell r="G296" t="str">
            <v>Business / Corporate / Executive</v>
          </cell>
        </row>
        <row r="297">
          <cell r="A297" t="str">
            <v>Gulfstream G400</v>
          </cell>
          <cell r="C297" t="str">
            <v>Pleasant Aircraft Leasing LLC</v>
          </cell>
          <cell r="D297">
            <v>37959</v>
          </cell>
          <cell r="E297" t="str">
            <v>North America</v>
          </cell>
          <cell r="F297" t="str">
            <v>USA</v>
          </cell>
          <cell r="G297" t="str">
            <v>Business / Corporate / Executive</v>
          </cell>
        </row>
        <row r="298">
          <cell r="A298" t="str">
            <v>Gulfstream G550</v>
          </cell>
          <cell r="C298" t="str">
            <v>United States Aviation Co</v>
          </cell>
          <cell r="D298">
            <v>37959</v>
          </cell>
          <cell r="E298" t="str">
            <v>North America</v>
          </cell>
          <cell r="F298" t="str">
            <v>USA</v>
          </cell>
          <cell r="G298" t="str">
            <v>Business / Corporate / Executive</v>
          </cell>
        </row>
        <row r="299">
          <cell r="A299" t="str">
            <v>Gulfstream G550</v>
          </cell>
          <cell r="C299" t="str">
            <v>G5 Executive</v>
          </cell>
          <cell r="D299">
            <v>37970</v>
          </cell>
          <cell r="E299" t="str">
            <v>Europe</v>
          </cell>
          <cell r="F299" t="str">
            <v>Switzerland</v>
          </cell>
          <cell r="G299" t="str">
            <v>Business / Corporate / Executive</v>
          </cell>
        </row>
        <row r="300">
          <cell r="A300" t="str">
            <v>Gulfstream G300</v>
          </cell>
          <cell r="C300" t="str">
            <v>Altria Corporate Services Inc</v>
          </cell>
          <cell r="D300">
            <v>37974</v>
          </cell>
          <cell r="E300" t="str">
            <v>North America</v>
          </cell>
          <cell r="F300" t="str">
            <v>USA</v>
          </cell>
          <cell r="G300" t="str">
            <v>Business / Corporate / Executive</v>
          </cell>
        </row>
        <row r="301">
          <cell r="A301" t="str">
            <v>Gulfstream G300</v>
          </cell>
          <cell r="C301" t="str">
            <v>Altria Corporate Services Inc</v>
          </cell>
          <cell r="D301">
            <v>37977</v>
          </cell>
          <cell r="E301" t="str">
            <v>North America</v>
          </cell>
          <cell r="F301" t="str">
            <v>USA</v>
          </cell>
          <cell r="G301" t="str">
            <v>Business / Corporate / Executive</v>
          </cell>
        </row>
        <row r="302">
          <cell r="A302" t="str">
            <v>Gulfstream G400</v>
          </cell>
          <cell r="C302" t="str">
            <v>Gibbs International Inc</v>
          </cell>
          <cell r="D302">
            <v>37977</v>
          </cell>
          <cell r="E302" t="str">
            <v>North America</v>
          </cell>
          <cell r="F302" t="str">
            <v>USA</v>
          </cell>
          <cell r="G302" t="str">
            <v>Business / Corporate / Executive</v>
          </cell>
        </row>
        <row r="303">
          <cell r="A303" t="str">
            <v>Gulfstream G550</v>
          </cell>
          <cell r="C303" t="str">
            <v>Norman Aircraft Leasing Inc</v>
          </cell>
          <cell r="D303">
            <v>37978</v>
          </cell>
          <cell r="E303" t="str">
            <v>North America</v>
          </cell>
          <cell r="F303" t="str">
            <v>USA</v>
          </cell>
          <cell r="G303" t="str">
            <v>Business / Corporate / Executive</v>
          </cell>
        </row>
        <row r="304">
          <cell r="A304" t="str">
            <v>Gulfstream G550</v>
          </cell>
          <cell r="C304" t="str">
            <v>Rockfield Holdings Ltd</v>
          </cell>
          <cell r="D304">
            <v>37978</v>
          </cell>
          <cell r="E304" t="str">
            <v>Latin America and Caribbean</v>
          </cell>
          <cell r="F304" t="str">
            <v>Bermuda</v>
          </cell>
          <cell r="G304" t="str">
            <v>Business / Corporate / Executive</v>
          </cell>
        </row>
        <row r="305">
          <cell r="A305" t="str">
            <v>Gulfstream G400</v>
          </cell>
          <cell r="C305" t="str">
            <v>Aircraft Properties LLC</v>
          </cell>
          <cell r="D305">
            <v>37984</v>
          </cell>
          <cell r="E305" t="str">
            <v>North America</v>
          </cell>
          <cell r="F305" t="str">
            <v>USA</v>
          </cell>
          <cell r="G305" t="str">
            <v>Business / Corporate / Executive</v>
          </cell>
        </row>
        <row r="307">
          <cell r="A307" t="str">
            <v>2002 Detail</v>
          </cell>
        </row>
        <row r="308">
          <cell r="A308" t="str">
            <v>Mfr &amp; Type</v>
          </cell>
          <cell r="B308" t="str">
            <v>Variant</v>
          </cell>
          <cell r="C308" t="str">
            <v>Operator</v>
          </cell>
          <cell r="D308" t="str">
            <v>DeliveryDate</v>
          </cell>
          <cell r="E308" t="str">
            <v>OperatorArea</v>
          </cell>
          <cell r="F308" t="str">
            <v>OperatorCountry</v>
          </cell>
          <cell r="G308" t="str">
            <v>Usage</v>
          </cell>
        </row>
        <row r="309">
          <cell r="A309" t="str">
            <v>Gulfstream IV</v>
          </cell>
          <cell r="B309" t="str">
            <v>SP</v>
          </cell>
          <cell r="C309" t="str">
            <v>AMFM Air Services Inc</v>
          </cell>
          <cell r="D309">
            <v>37258</v>
          </cell>
          <cell r="E309" t="str">
            <v>North America</v>
          </cell>
          <cell r="F309" t="str">
            <v>USA</v>
          </cell>
          <cell r="G309" t="str">
            <v>Hospital / Ambulance / Medevac</v>
          </cell>
        </row>
        <row r="310">
          <cell r="A310" t="str">
            <v>Gulfstream V</v>
          </cell>
          <cell r="B310" t="str">
            <v xml:space="preserve"> </v>
          </cell>
          <cell r="C310" t="str">
            <v>Calpoint Funding LLC</v>
          </cell>
          <cell r="D310">
            <v>37258</v>
          </cell>
          <cell r="E310" t="str">
            <v>North America</v>
          </cell>
          <cell r="F310" t="str">
            <v>USA</v>
          </cell>
          <cell r="G310" t="str">
            <v>Business / Corporate / Executive</v>
          </cell>
        </row>
        <row r="311">
          <cell r="A311" t="str">
            <v>Gulfstream V</v>
          </cell>
          <cell r="B311" t="str">
            <v xml:space="preserve"> </v>
          </cell>
          <cell r="C311" t="str">
            <v>Federal Government of Nigeria</v>
          </cell>
          <cell r="D311">
            <v>37266</v>
          </cell>
          <cell r="E311" t="str">
            <v>Africa</v>
          </cell>
          <cell r="F311" t="str">
            <v>Nigeria</v>
          </cell>
          <cell r="G311" t="str">
            <v>Business / Corporate / Executive</v>
          </cell>
        </row>
        <row r="312">
          <cell r="A312" t="str">
            <v>Gulfstream IV</v>
          </cell>
          <cell r="B312" t="str">
            <v>SP</v>
          </cell>
          <cell r="C312" t="str">
            <v>Netjets International</v>
          </cell>
          <cell r="D312">
            <v>37271</v>
          </cell>
          <cell r="E312" t="str">
            <v>North America</v>
          </cell>
          <cell r="F312" t="str">
            <v>USA</v>
          </cell>
          <cell r="G312" t="str">
            <v>Business / Corporate / Executive</v>
          </cell>
        </row>
        <row r="313">
          <cell r="A313" t="str">
            <v>Gulfstream V</v>
          </cell>
          <cell r="B313" t="str">
            <v xml:space="preserve"> </v>
          </cell>
          <cell r="C313" t="str">
            <v>US Air Force</v>
          </cell>
          <cell r="D313">
            <v>37286</v>
          </cell>
          <cell r="E313" t="str">
            <v>North America</v>
          </cell>
          <cell r="F313" t="str">
            <v>USA</v>
          </cell>
          <cell r="G313" t="str">
            <v>Business / Corporate / Executive</v>
          </cell>
        </row>
        <row r="314">
          <cell r="A314" t="str">
            <v>Gulfstream IV</v>
          </cell>
          <cell r="B314" t="str">
            <v>SP</v>
          </cell>
          <cell r="C314" t="str">
            <v>Philip Morris Management Corp &amp; CDEC 717051 LLC</v>
          </cell>
          <cell r="D314">
            <v>37287</v>
          </cell>
          <cell r="E314" t="str">
            <v>North America</v>
          </cell>
          <cell r="F314" t="str">
            <v>USA</v>
          </cell>
          <cell r="G314" t="str">
            <v>Business / Corporate / Executive</v>
          </cell>
        </row>
        <row r="315">
          <cell r="A315" t="str">
            <v>Gulfstream V</v>
          </cell>
          <cell r="B315" t="str">
            <v xml:space="preserve"> </v>
          </cell>
          <cell r="C315" t="str">
            <v>Aviation G5 Ltd</v>
          </cell>
          <cell r="D315">
            <v>37298</v>
          </cell>
          <cell r="E315" t="str">
            <v>Europe</v>
          </cell>
          <cell r="F315" t="str">
            <v>Switzerland</v>
          </cell>
          <cell r="G315" t="str">
            <v>Business / Corporate / Executive</v>
          </cell>
        </row>
        <row r="316">
          <cell r="A316" t="str">
            <v>Gulfstream V</v>
          </cell>
          <cell r="B316" t="str">
            <v xml:space="preserve"> </v>
          </cell>
          <cell r="C316" t="str">
            <v>Netjets International</v>
          </cell>
          <cell r="D316">
            <v>37302</v>
          </cell>
          <cell r="E316" t="str">
            <v>North America</v>
          </cell>
          <cell r="F316" t="str">
            <v>USA</v>
          </cell>
          <cell r="G316" t="str">
            <v>Business / Corporate / Executive</v>
          </cell>
        </row>
        <row r="317">
          <cell r="A317" t="str">
            <v>Gulfstream IV</v>
          </cell>
          <cell r="B317" t="str">
            <v>SP</v>
          </cell>
          <cell r="C317" t="str">
            <v>Kirchman Aviation Inc</v>
          </cell>
          <cell r="D317">
            <v>37314</v>
          </cell>
          <cell r="E317" t="str">
            <v>North America</v>
          </cell>
          <cell r="F317" t="str">
            <v>USA</v>
          </cell>
          <cell r="G317" t="str">
            <v>Demonstrator</v>
          </cell>
        </row>
        <row r="318">
          <cell r="A318" t="str">
            <v>Gulfstream IV</v>
          </cell>
          <cell r="B318" t="str">
            <v>SP</v>
          </cell>
          <cell r="C318" t="str">
            <v>Limited Service Corp</v>
          </cell>
          <cell r="D318">
            <v>37315</v>
          </cell>
          <cell r="E318" t="str">
            <v>North America</v>
          </cell>
          <cell r="F318" t="str">
            <v>USA</v>
          </cell>
          <cell r="G318" t="str">
            <v>Business / Corporate / Executive</v>
          </cell>
        </row>
        <row r="319">
          <cell r="A319" t="str">
            <v>Gulfstream IV</v>
          </cell>
          <cell r="B319" t="str">
            <v>SP</v>
          </cell>
          <cell r="C319" t="str">
            <v>Madison Leasing Corp</v>
          </cell>
          <cell r="D319">
            <v>37335</v>
          </cell>
          <cell r="E319" t="str">
            <v>North America</v>
          </cell>
          <cell r="F319" t="str">
            <v>USA</v>
          </cell>
          <cell r="G319" t="str">
            <v>Business / Corporate / Executive</v>
          </cell>
        </row>
        <row r="320">
          <cell r="A320" t="str">
            <v>Gulfstream V</v>
          </cell>
          <cell r="B320" t="str">
            <v xml:space="preserve"> </v>
          </cell>
          <cell r="C320" t="str">
            <v>Gulfstream GATX Leasing Co LLC</v>
          </cell>
          <cell r="D320">
            <v>37344</v>
          </cell>
          <cell r="E320" t="str">
            <v>North America</v>
          </cell>
          <cell r="F320" t="str">
            <v>USA</v>
          </cell>
          <cell r="G320" t="str">
            <v>Business / Corporate / Executive</v>
          </cell>
        </row>
        <row r="321">
          <cell r="A321" t="str">
            <v>Gulfstream IV</v>
          </cell>
          <cell r="B321" t="str">
            <v>SP</v>
          </cell>
          <cell r="C321" t="str">
            <v>Skybird Aviation</v>
          </cell>
          <cell r="D321">
            <v>37344</v>
          </cell>
          <cell r="E321" t="str">
            <v>North America</v>
          </cell>
          <cell r="F321" t="str">
            <v>USA</v>
          </cell>
          <cell r="G321" t="str">
            <v>Business / Corporate / Executive</v>
          </cell>
        </row>
        <row r="322">
          <cell r="A322" t="str">
            <v>Gulfstream IV</v>
          </cell>
          <cell r="B322" t="str">
            <v>SP</v>
          </cell>
          <cell r="C322" t="str">
            <v>Jet Aviation Business Jets</v>
          </cell>
          <cell r="D322">
            <v>37345</v>
          </cell>
          <cell r="E322" t="str">
            <v>Europe</v>
          </cell>
          <cell r="F322" t="str">
            <v>Switzerland</v>
          </cell>
          <cell r="G322" t="str">
            <v>Business / Corporate / Executive</v>
          </cell>
        </row>
        <row r="323">
          <cell r="A323" t="str">
            <v>Gulfstream V</v>
          </cell>
          <cell r="B323" t="str">
            <v xml:space="preserve"> </v>
          </cell>
          <cell r="C323" t="str">
            <v>Bank of America NA</v>
          </cell>
          <cell r="D323">
            <v>37348</v>
          </cell>
          <cell r="E323" t="str">
            <v>North America</v>
          </cell>
          <cell r="F323" t="str">
            <v>USA</v>
          </cell>
          <cell r="G323" t="str">
            <v>VIP / Government operated</v>
          </cell>
        </row>
        <row r="324">
          <cell r="A324" t="str">
            <v>Gulfstream V</v>
          </cell>
          <cell r="B324" t="str">
            <v xml:space="preserve"> </v>
          </cell>
          <cell r="C324" t="str">
            <v>US Air Force</v>
          </cell>
          <cell r="D324">
            <v>37361</v>
          </cell>
          <cell r="E324" t="str">
            <v>North America</v>
          </cell>
          <cell r="F324" t="str">
            <v>USA</v>
          </cell>
          <cell r="G324" t="str">
            <v>VIP / Government operated</v>
          </cell>
        </row>
        <row r="325">
          <cell r="A325" t="str">
            <v>Gulfstream IV</v>
          </cell>
          <cell r="B325" t="str">
            <v>SP</v>
          </cell>
          <cell r="C325" t="str">
            <v>Executive Services Inc</v>
          </cell>
          <cell r="D325">
            <v>37376</v>
          </cell>
          <cell r="E325" t="str">
            <v>North America</v>
          </cell>
          <cell r="F325" t="str">
            <v>USA</v>
          </cell>
          <cell r="G325" t="str">
            <v>VIP / Government operated</v>
          </cell>
        </row>
        <row r="326">
          <cell r="A326" t="str">
            <v>Gulfstream V</v>
          </cell>
          <cell r="B326" t="str">
            <v xml:space="preserve"> </v>
          </cell>
          <cell r="C326" t="str">
            <v>US Air Force</v>
          </cell>
          <cell r="D326">
            <v>37391</v>
          </cell>
          <cell r="E326" t="str">
            <v>North America</v>
          </cell>
          <cell r="F326" t="str">
            <v>USA</v>
          </cell>
          <cell r="G326" t="str">
            <v>Business / Corporate / Executive</v>
          </cell>
        </row>
        <row r="327">
          <cell r="A327" t="str">
            <v>Gulfstream V</v>
          </cell>
          <cell r="B327" t="str">
            <v xml:space="preserve"> </v>
          </cell>
          <cell r="C327" t="str">
            <v>Aviation 604 AG</v>
          </cell>
          <cell r="D327">
            <v>37393</v>
          </cell>
          <cell r="E327" t="str">
            <v>Europe</v>
          </cell>
          <cell r="F327" t="str">
            <v>Switzerland</v>
          </cell>
          <cell r="G327" t="str">
            <v>Business / Corporate / Executive</v>
          </cell>
        </row>
        <row r="328">
          <cell r="A328" t="str">
            <v>Gulfstream V</v>
          </cell>
          <cell r="B328" t="str">
            <v xml:space="preserve"> </v>
          </cell>
          <cell r="C328" t="str">
            <v>Penobscot Properties LLC</v>
          </cell>
          <cell r="D328">
            <v>37397</v>
          </cell>
          <cell r="E328" t="str">
            <v>North America</v>
          </cell>
          <cell r="F328" t="str">
            <v>USA</v>
          </cell>
          <cell r="G328" t="str">
            <v>Business / Corporate / Executive</v>
          </cell>
        </row>
        <row r="329">
          <cell r="A329" t="str">
            <v>Gulfstream IV</v>
          </cell>
          <cell r="B329" t="str">
            <v>SP</v>
          </cell>
          <cell r="C329" t="str">
            <v>Windrose Air Jetcharter</v>
          </cell>
          <cell r="D329">
            <v>37407</v>
          </cell>
          <cell r="E329" t="str">
            <v>Europe</v>
          </cell>
          <cell r="F329" t="str">
            <v>Germany</v>
          </cell>
          <cell r="G329" t="str">
            <v>Business / Corporate / Executive</v>
          </cell>
        </row>
        <row r="330">
          <cell r="A330" t="str">
            <v>Gulfstream IV</v>
          </cell>
          <cell r="B330" t="str">
            <v>SP</v>
          </cell>
          <cell r="C330" t="str">
            <v xml:space="preserve">M &amp; P Co </v>
          </cell>
          <cell r="D330">
            <v>37421</v>
          </cell>
          <cell r="E330" t="str">
            <v>North America</v>
          </cell>
          <cell r="F330" t="str">
            <v>USA</v>
          </cell>
          <cell r="G330" t="str">
            <v>Business / Corporate / Executive</v>
          </cell>
        </row>
        <row r="331">
          <cell r="A331" t="str">
            <v>Gulfstream V</v>
          </cell>
          <cell r="B331" t="str">
            <v xml:space="preserve"> </v>
          </cell>
          <cell r="C331" t="str">
            <v>US Coast Guard</v>
          </cell>
          <cell r="D331">
            <v>37422</v>
          </cell>
          <cell r="E331" t="str">
            <v>North America</v>
          </cell>
          <cell r="F331" t="str">
            <v>USA</v>
          </cell>
          <cell r="G331" t="str">
            <v>Business / Corporate / Executive</v>
          </cell>
        </row>
        <row r="332">
          <cell r="A332" t="str">
            <v>Gulfstream V</v>
          </cell>
          <cell r="B332" t="str">
            <v xml:space="preserve"> </v>
          </cell>
          <cell r="C332" t="str">
            <v>US Navy</v>
          </cell>
          <cell r="D332">
            <v>37422</v>
          </cell>
          <cell r="E332" t="str">
            <v>North America</v>
          </cell>
          <cell r="F332" t="str">
            <v>USA</v>
          </cell>
          <cell r="G332" t="str">
            <v>Business / Corporate / Executive</v>
          </cell>
        </row>
        <row r="333">
          <cell r="A333" t="str">
            <v>Gulfstream V</v>
          </cell>
          <cell r="B333" t="str">
            <v xml:space="preserve"> </v>
          </cell>
          <cell r="C333" t="str">
            <v>Air Tiger I LLC</v>
          </cell>
          <cell r="D333">
            <v>37428</v>
          </cell>
          <cell r="E333" t="str">
            <v>North America</v>
          </cell>
          <cell r="F333" t="str">
            <v>USA</v>
          </cell>
          <cell r="G333" t="str">
            <v>Business / Corporate / Executive</v>
          </cell>
        </row>
        <row r="334">
          <cell r="A334" t="str">
            <v>Gulfstream V</v>
          </cell>
          <cell r="B334" t="str">
            <v xml:space="preserve"> </v>
          </cell>
          <cell r="C334" t="str">
            <v>Cox Communications Inc</v>
          </cell>
          <cell r="D334">
            <v>37432</v>
          </cell>
          <cell r="E334" t="str">
            <v>North America</v>
          </cell>
          <cell r="F334" t="str">
            <v>USA</v>
          </cell>
          <cell r="G334" t="str">
            <v>Business / Corporate / Executive</v>
          </cell>
        </row>
        <row r="335">
          <cell r="A335" t="str">
            <v>Gulfstream V</v>
          </cell>
          <cell r="B335" t="str">
            <v xml:space="preserve"> </v>
          </cell>
          <cell r="C335" t="str">
            <v>Jetvette LLC</v>
          </cell>
          <cell r="D335">
            <v>37433</v>
          </cell>
          <cell r="E335" t="str">
            <v>North America</v>
          </cell>
          <cell r="F335" t="str">
            <v>USA</v>
          </cell>
          <cell r="G335" t="str">
            <v>Business / Corporate / Executive</v>
          </cell>
        </row>
        <row r="336">
          <cell r="A336" t="str">
            <v>Gulfstream V</v>
          </cell>
          <cell r="B336" t="str">
            <v xml:space="preserve"> </v>
          </cell>
          <cell r="C336" t="str">
            <v>Netjets International</v>
          </cell>
          <cell r="D336">
            <v>37433</v>
          </cell>
          <cell r="E336" t="str">
            <v>North America</v>
          </cell>
          <cell r="F336" t="str">
            <v>USA</v>
          </cell>
          <cell r="G336" t="str">
            <v>Business / Corporate / Executive</v>
          </cell>
        </row>
        <row r="337">
          <cell r="A337" t="str">
            <v>Gulfstream IV</v>
          </cell>
          <cell r="B337" t="str">
            <v>SP</v>
          </cell>
          <cell r="C337" t="str">
            <v>Adam Aviation Acquisitions LLC</v>
          </cell>
          <cell r="D337">
            <v>37434</v>
          </cell>
          <cell r="E337" t="str">
            <v>North America</v>
          </cell>
          <cell r="F337" t="str">
            <v>USA</v>
          </cell>
          <cell r="G337" t="str">
            <v>Business / Corporate / Executive</v>
          </cell>
        </row>
        <row r="338">
          <cell r="A338" t="str">
            <v>Gulfstream IV</v>
          </cell>
          <cell r="B338" t="str">
            <v>SP</v>
          </cell>
          <cell r="C338" t="str">
            <v>Netjets International</v>
          </cell>
          <cell r="D338">
            <v>37434</v>
          </cell>
          <cell r="E338" t="str">
            <v>North America</v>
          </cell>
          <cell r="F338" t="str">
            <v>USA</v>
          </cell>
          <cell r="G338" t="str">
            <v>Business / Corporate / Executive</v>
          </cell>
        </row>
        <row r="339">
          <cell r="A339" t="str">
            <v>Gulfstream V</v>
          </cell>
          <cell r="B339" t="str">
            <v xml:space="preserve"> </v>
          </cell>
          <cell r="C339" t="str">
            <v>Gulfstream GATX Leasing Co LLC</v>
          </cell>
          <cell r="D339">
            <v>37435</v>
          </cell>
          <cell r="E339" t="str">
            <v>North America</v>
          </cell>
          <cell r="F339" t="str">
            <v>USA</v>
          </cell>
          <cell r="G339" t="str">
            <v>Business / Corporate / Executive</v>
          </cell>
        </row>
        <row r="340">
          <cell r="A340" t="str">
            <v>Gulfstream IV</v>
          </cell>
          <cell r="B340" t="str">
            <v>SP</v>
          </cell>
          <cell r="C340" t="str">
            <v>Sandler Management Group LLC</v>
          </cell>
          <cell r="D340">
            <v>37435</v>
          </cell>
          <cell r="E340" t="str">
            <v>North America</v>
          </cell>
          <cell r="F340" t="str">
            <v>USA</v>
          </cell>
          <cell r="G340" t="str">
            <v>Business / Corporate / Executive</v>
          </cell>
        </row>
        <row r="341">
          <cell r="A341" t="str">
            <v>Gulfstream V</v>
          </cell>
          <cell r="B341" t="str">
            <v xml:space="preserve"> </v>
          </cell>
          <cell r="C341" t="str">
            <v>Toyota Motor Sales USA Inc</v>
          </cell>
          <cell r="D341">
            <v>37435</v>
          </cell>
          <cell r="E341" t="str">
            <v>North America</v>
          </cell>
          <cell r="F341" t="str">
            <v>USA</v>
          </cell>
          <cell r="G341" t="str">
            <v>Business / Corporate / Executive</v>
          </cell>
        </row>
        <row r="342">
          <cell r="A342" t="str">
            <v>Gulfstream V</v>
          </cell>
          <cell r="B342" t="str">
            <v xml:space="preserve"> </v>
          </cell>
          <cell r="C342" t="str">
            <v>Beachwood Aircraft Leasing LLC</v>
          </cell>
          <cell r="D342">
            <v>37436</v>
          </cell>
          <cell r="E342" t="str">
            <v>North America</v>
          </cell>
          <cell r="F342" t="str">
            <v>USA</v>
          </cell>
          <cell r="G342" t="str">
            <v>Business / Corporate / Executive</v>
          </cell>
        </row>
        <row r="343">
          <cell r="A343" t="str">
            <v>Gulfstream V</v>
          </cell>
          <cell r="B343" t="str">
            <v xml:space="preserve"> </v>
          </cell>
          <cell r="C343" t="str">
            <v>Saudi Aeromedical Evacuation</v>
          </cell>
          <cell r="D343">
            <v>37442</v>
          </cell>
          <cell r="E343" t="str">
            <v>Middle East</v>
          </cell>
          <cell r="F343" t="str">
            <v>Saudi Arabia</v>
          </cell>
          <cell r="G343" t="str">
            <v>Business / Corporate / Executive</v>
          </cell>
        </row>
        <row r="344">
          <cell r="A344" t="str">
            <v>Gulfstream V</v>
          </cell>
          <cell r="B344" t="str">
            <v xml:space="preserve"> </v>
          </cell>
          <cell r="C344" t="str">
            <v>Ispat Ltd</v>
          </cell>
          <cell r="D344">
            <v>37452</v>
          </cell>
          <cell r="E344" t="str">
            <v>Europe</v>
          </cell>
          <cell r="F344" t="str">
            <v>United Kingdom</v>
          </cell>
          <cell r="G344" t="str">
            <v>Business / Corporate / Executive</v>
          </cell>
        </row>
        <row r="345">
          <cell r="A345" t="str">
            <v>Gulfstream IV</v>
          </cell>
          <cell r="B345" t="str">
            <v>SP</v>
          </cell>
          <cell r="C345" t="str">
            <v>Shell Aircraft Ltd</v>
          </cell>
          <cell r="D345">
            <v>37461</v>
          </cell>
          <cell r="E345" t="str">
            <v>Europe</v>
          </cell>
          <cell r="F345" t="str">
            <v>United Kingdom</v>
          </cell>
          <cell r="G345" t="str">
            <v>Business / Corporate / Executive</v>
          </cell>
        </row>
        <row r="346">
          <cell r="A346" t="str">
            <v>Gulfstream IV</v>
          </cell>
          <cell r="B346" t="str">
            <v>SP</v>
          </cell>
          <cell r="C346" t="str">
            <v>Prime Jet LLC</v>
          </cell>
          <cell r="D346">
            <v>37463</v>
          </cell>
          <cell r="E346" t="str">
            <v>North America</v>
          </cell>
          <cell r="F346" t="str">
            <v>USA</v>
          </cell>
          <cell r="G346" t="str">
            <v>Business / Corporate / Executive</v>
          </cell>
        </row>
        <row r="347">
          <cell r="A347" t="str">
            <v>Gulfstream IV</v>
          </cell>
          <cell r="B347" t="str">
            <v>SP</v>
          </cell>
          <cell r="C347" t="str">
            <v>Educap Inc</v>
          </cell>
          <cell r="D347">
            <v>37468</v>
          </cell>
          <cell r="E347" t="str">
            <v>North America</v>
          </cell>
          <cell r="F347" t="str">
            <v>USA</v>
          </cell>
          <cell r="G347" t="str">
            <v>Business / Corporate / Executive</v>
          </cell>
        </row>
        <row r="348">
          <cell r="A348" t="str">
            <v>Gulfstream IV</v>
          </cell>
          <cell r="B348" t="str">
            <v>SP</v>
          </cell>
          <cell r="C348" t="str">
            <v>Computer Sciences Corp</v>
          </cell>
          <cell r="D348">
            <v>37471</v>
          </cell>
          <cell r="E348" t="str">
            <v>North America</v>
          </cell>
          <cell r="F348" t="str">
            <v>USA</v>
          </cell>
          <cell r="G348" t="str">
            <v>Business / Corporate / Executive</v>
          </cell>
        </row>
        <row r="349">
          <cell r="A349" t="str">
            <v>Gulfstream V</v>
          </cell>
          <cell r="B349" t="str">
            <v xml:space="preserve"> </v>
          </cell>
          <cell r="C349" t="str">
            <v>Servicios Aeronauticos Z SA de CV</v>
          </cell>
          <cell r="D349">
            <v>37488</v>
          </cell>
          <cell r="E349" t="str">
            <v>Latin America and Caribbean</v>
          </cell>
          <cell r="F349" t="str">
            <v>Mexico</v>
          </cell>
          <cell r="G349" t="str">
            <v>Business / Corporate / Executive</v>
          </cell>
        </row>
        <row r="350">
          <cell r="A350" t="str">
            <v>Gulfstream IV</v>
          </cell>
          <cell r="B350" t="str">
            <v>SP</v>
          </cell>
          <cell r="C350" t="str">
            <v>DS Aviation Inc</v>
          </cell>
          <cell r="D350">
            <v>37498</v>
          </cell>
          <cell r="E350" t="str">
            <v>North America</v>
          </cell>
          <cell r="F350" t="str">
            <v>USA</v>
          </cell>
          <cell r="G350" t="str">
            <v>VIP / Government operated</v>
          </cell>
        </row>
        <row r="351">
          <cell r="A351" t="str">
            <v>Gulfstream IV</v>
          </cell>
          <cell r="B351" t="str">
            <v>SP</v>
          </cell>
          <cell r="C351" t="str">
            <v>Kaisen LLC</v>
          </cell>
          <cell r="D351">
            <v>37502</v>
          </cell>
          <cell r="E351" t="str">
            <v>North America</v>
          </cell>
          <cell r="F351" t="str">
            <v>USA</v>
          </cell>
          <cell r="G351" t="str">
            <v>Business / Corporate / Executive</v>
          </cell>
        </row>
        <row r="352">
          <cell r="A352" t="str">
            <v>Gulfstream IV</v>
          </cell>
          <cell r="B352" t="str">
            <v>SP</v>
          </cell>
          <cell r="C352" t="str">
            <v>UTair Aviation</v>
          </cell>
          <cell r="D352">
            <v>37514</v>
          </cell>
          <cell r="E352" t="str">
            <v>Europe</v>
          </cell>
          <cell r="F352" t="str">
            <v>Russia</v>
          </cell>
          <cell r="G352" t="str">
            <v>VIP / Government operated</v>
          </cell>
        </row>
        <row r="353">
          <cell r="A353" t="str">
            <v>Gulfstream V</v>
          </cell>
          <cell r="B353" t="str">
            <v xml:space="preserve"> </v>
          </cell>
          <cell r="C353" t="str">
            <v>Transworld Oil America</v>
          </cell>
          <cell r="D353">
            <v>37516</v>
          </cell>
          <cell r="E353" t="str">
            <v>North America</v>
          </cell>
          <cell r="F353" t="str">
            <v>USA</v>
          </cell>
          <cell r="G353" t="str">
            <v>Business / Corporate / Executive</v>
          </cell>
        </row>
        <row r="354">
          <cell r="A354" t="str">
            <v>Gulfstream IV</v>
          </cell>
          <cell r="B354" t="str">
            <v>SP</v>
          </cell>
          <cell r="C354" t="str">
            <v>Braxton Management Services LLC</v>
          </cell>
          <cell r="D354">
            <v>37519</v>
          </cell>
          <cell r="E354" t="str">
            <v>North America</v>
          </cell>
          <cell r="F354" t="str">
            <v>USA</v>
          </cell>
          <cell r="G354" t="str">
            <v>Business / Corporate / Executive</v>
          </cell>
        </row>
        <row r="355">
          <cell r="A355" t="str">
            <v>Gulfstream V</v>
          </cell>
          <cell r="B355" t="str">
            <v xml:space="preserve"> </v>
          </cell>
          <cell r="C355" t="str">
            <v>Sheridan Aviation LLC</v>
          </cell>
          <cell r="D355">
            <v>37519</v>
          </cell>
          <cell r="E355" t="str">
            <v>North America</v>
          </cell>
          <cell r="F355" t="str">
            <v>USA</v>
          </cell>
          <cell r="G355" t="str">
            <v>Business / Corporate / Executive</v>
          </cell>
        </row>
        <row r="356">
          <cell r="A356" t="str">
            <v>Gulfstream IV</v>
          </cell>
          <cell r="B356" t="str">
            <v>SP</v>
          </cell>
          <cell r="C356" t="str">
            <v>Veridian Aviation Services</v>
          </cell>
          <cell r="D356">
            <v>37523</v>
          </cell>
          <cell r="E356" t="str">
            <v>North America</v>
          </cell>
          <cell r="F356" t="str">
            <v>USA</v>
          </cell>
          <cell r="G356" t="str">
            <v>Business / Corporate / Executive</v>
          </cell>
        </row>
        <row r="357">
          <cell r="A357" t="str">
            <v>Gulfstream V</v>
          </cell>
          <cell r="B357" t="str">
            <v xml:space="preserve"> </v>
          </cell>
          <cell r="C357" t="str">
            <v>BG Aviation LLC</v>
          </cell>
          <cell r="D357">
            <v>37524</v>
          </cell>
          <cell r="E357" t="str">
            <v>North America</v>
          </cell>
          <cell r="F357" t="str">
            <v>USA</v>
          </cell>
          <cell r="G357" t="str">
            <v>Business / Corporate / Executive</v>
          </cell>
        </row>
        <row r="358">
          <cell r="A358" t="str">
            <v>Gulfstream V</v>
          </cell>
          <cell r="B358" t="str">
            <v xml:space="preserve"> </v>
          </cell>
          <cell r="C358" t="str">
            <v>Japan Coast Guard</v>
          </cell>
          <cell r="D358">
            <v>37524</v>
          </cell>
          <cell r="E358" t="str">
            <v>Asia</v>
          </cell>
          <cell r="F358" t="str">
            <v>Japan</v>
          </cell>
          <cell r="G358" t="str">
            <v>Business / Corporate / Executive</v>
          </cell>
        </row>
        <row r="359">
          <cell r="A359" t="str">
            <v>Gulfstream V</v>
          </cell>
          <cell r="B359" t="str">
            <v xml:space="preserve"> </v>
          </cell>
          <cell r="C359" t="str">
            <v>Alcoa Aircraft Operations</v>
          </cell>
          <cell r="D359">
            <v>37526</v>
          </cell>
          <cell r="E359" t="str">
            <v>North America</v>
          </cell>
          <cell r="F359" t="str">
            <v>USA</v>
          </cell>
          <cell r="G359" t="str">
            <v>Business / Corporate / Executive</v>
          </cell>
        </row>
        <row r="360">
          <cell r="A360" t="str">
            <v>Gulfstream IV</v>
          </cell>
          <cell r="B360" t="str">
            <v>SP</v>
          </cell>
          <cell r="C360" t="str">
            <v>Chelsea Holdings LLC</v>
          </cell>
          <cell r="D360">
            <v>37526</v>
          </cell>
          <cell r="E360" t="str">
            <v>North America</v>
          </cell>
          <cell r="F360" t="str">
            <v>USA</v>
          </cell>
          <cell r="G360" t="str">
            <v>Business / Corporate / Executive</v>
          </cell>
        </row>
        <row r="361">
          <cell r="A361" t="str">
            <v>Gulfstream V</v>
          </cell>
          <cell r="B361" t="str">
            <v xml:space="preserve"> </v>
          </cell>
          <cell r="C361" t="str">
            <v>Healthsouth Leasing Co LLC</v>
          </cell>
          <cell r="D361">
            <v>37526</v>
          </cell>
          <cell r="E361" t="str">
            <v>North America</v>
          </cell>
          <cell r="F361" t="str">
            <v>USA</v>
          </cell>
          <cell r="G361" t="str">
            <v>Business / Corporate / Executive</v>
          </cell>
        </row>
        <row r="362">
          <cell r="A362" t="str">
            <v>Gulfstream IV</v>
          </cell>
          <cell r="B362" t="str">
            <v>SP</v>
          </cell>
          <cell r="C362" t="str">
            <v>Netjets International</v>
          </cell>
          <cell r="D362">
            <v>37541</v>
          </cell>
          <cell r="E362" t="str">
            <v>North America</v>
          </cell>
          <cell r="F362" t="str">
            <v>USA</v>
          </cell>
          <cell r="G362" t="str">
            <v>Business / Corporate / Executive</v>
          </cell>
        </row>
        <row r="363">
          <cell r="A363" t="str">
            <v>Gulfstream IV</v>
          </cell>
          <cell r="B363" t="str">
            <v>SP</v>
          </cell>
          <cell r="C363" t="str">
            <v>Jets Ejecutivos</v>
          </cell>
          <cell r="D363">
            <v>37550</v>
          </cell>
          <cell r="E363" t="str">
            <v>Latin America and Caribbean</v>
          </cell>
          <cell r="F363" t="str">
            <v>Mexico</v>
          </cell>
          <cell r="G363" t="str">
            <v>Business / Corporate / Executive</v>
          </cell>
        </row>
        <row r="364">
          <cell r="A364" t="str">
            <v>Gulfstream V</v>
          </cell>
          <cell r="B364" t="str">
            <v xml:space="preserve"> </v>
          </cell>
          <cell r="C364" t="str">
            <v>Odyssey Aviation Inc</v>
          </cell>
          <cell r="D364">
            <v>37554</v>
          </cell>
          <cell r="E364" t="str">
            <v>North America</v>
          </cell>
          <cell r="F364" t="str">
            <v>USA</v>
          </cell>
          <cell r="G364" t="str">
            <v>VIP / Government operated</v>
          </cell>
        </row>
        <row r="365">
          <cell r="A365" t="str">
            <v>Gulfstream V</v>
          </cell>
          <cell r="B365" t="str">
            <v xml:space="preserve"> </v>
          </cell>
          <cell r="C365" t="str">
            <v>Starbucks Capital Asset Leasing Co LLC</v>
          </cell>
          <cell r="D365">
            <v>37557</v>
          </cell>
          <cell r="E365" t="str">
            <v>North America</v>
          </cell>
          <cell r="F365" t="str">
            <v>USA</v>
          </cell>
          <cell r="G365" t="str">
            <v>Business / Corporate / Executive</v>
          </cell>
        </row>
        <row r="366">
          <cell r="A366" t="str">
            <v>Gulfstream IV</v>
          </cell>
          <cell r="B366" t="str">
            <v>SP</v>
          </cell>
          <cell r="C366" t="str">
            <v>TAI Leasing Inc</v>
          </cell>
          <cell r="D366">
            <v>37561</v>
          </cell>
          <cell r="E366" t="str">
            <v>North America</v>
          </cell>
          <cell r="F366" t="str">
            <v>USA</v>
          </cell>
          <cell r="G366" t="str">
            <v>Business / Corporate / Executive</v>
          </cell>
        </row>
        <row r="367">
          <cell r="A367" t="str">
            <v>Gulfstream V</v>
          </cell>
          <cell r="B367" t="str">
            <v xml:space="preserve"> </v>
          </cell>
          <cell r="C367" t="str">
            <v>MTVRN LLC</v>
          </cell>
          <cell r="D367">
            <v>37566</v>
          </cell>
          <cell r="E367" t="str">
            <v>North America</v>
          </cell>
          <cell r="F367" t="str">
            <v>USA</v>
          </cell>
          <cell r="G367" t="str">
            <v>Business / Corporate / Executive</v>
          </cell>
        </row>
        <row r="368">
          <cell r="A368" t="str">
            <v>Gulfstream V</v>
          </cell>
          <cell r="B368" t="str">
            <v xml:space="preserve"> </v>
          </cell>
          <cell r="C368" t="str">
            <v>East Coast Aviation II LLC</v>
          </cell>
          <cell r="D368">
            <v>37575</v>
          </cell>
          <cell r="E368" t="str">
            <v>North America</v>
          </cell>
          <cell r="F368" t="str">
            <v>USA</v>
          </cell>
          <cell r="G368" t="str">
            <v>Business / Corporate / Executive</v>
          </cell>
        </row>
        <row r="369">
          <cell r="A369" t="str">
            <v>Gulfstream V</v>
          </cell>
          <cell r="B369" t="str">
            <v xml:space="preserve"> </v>
          </cell>
          <cell r="C369" t="str">
            <v>North Carolina Air &amp; Travel LLC</v>
          </cell>
          <cell r="D369">
            <v>37585</v>
          </cell>
          <cell r="E369" t="str">
            <v>North America</v>
          </cell>
          <cell r="F369" t="str">
            <v>USA</v>
          </cell>
          <cell r="G369" t="str">
            <v>Business / Corporate / Executive</v>
          </cell>
        </row>
        <row r="370">
          <cell r="A370" t="str">
            <v>Gulfstream IV</v>
          </cell>
          <cell r="B370" t="str">
            <v>SP</v>
          </cell>
          <cell r="C370" t="str">
            <v>HG Wells Aviation II LLC</v>
          </cell>
          <cell r="D370">
            <v>37601</v>
          </cell>
          <cell r="E370" t="str">
            <v>North America</v>
          </cell>
          <cell r="F370" t="str">
            <v>USA</v>
          </cell>
          <cell r="G370" t="str">
            <v>Business / Corporate / Executive</v>
          </cell>
        </row>
        <row r="371">
          <cell r="A371" t="str">
            <v>Gulfstream IV</v>
          </cell>
          <cell r="B371" t="str">
            <v>SP</v>
          </cell>
          <cell r="C371" t="str">
            <v>SCS Services LLC</v>
          </cell>
          <cell r="D371">
            <v>37607</v>
          </cell>
          <cell r="E371" t="str">
            <v>North America</v>
          </cell>
          <cell r="F371" t="str">
            <v>USA</v>
          </cell>
          <cell r="G371" t="str">
            <v>Business / Corporate / Executive</v>
          </cell>
        </row>
        <row r="372">
          <cell r="A372" t="str">
            <v>Gulfstream IV</v>
          </cell>
          <cell r="B372" t="str">
            <v>SP</v>
          </cell>
          <cell r="C372" t="str">
            <v>Philip Morris Management/CDED 713504 LLC</v>
          </cell>
          <cell r="D372">
            <v>37609</v>
          </cell>
          <cell r="E372" t="str">
            <v>North America</v>
          </cell>
          <cell r="F372" t="str">
            <v>USA</v>
          </cell>
          <cell r="G372" t="str">
            <v>Business / Corporate / Executive</v>
          </cell>
        </row>
        <row r="373">
          <cell r="A373" t="str">
            <v>Gulfstream V</v>
          </cell>
          <cell r="B373" t="str">
            <v xml:space="preserve"> </v>
          </cell>
          <cell r="C373" t="str">
            <v>Encledon Enterprises Ltd</v>
          </cell>
          <cell r="D373">
            <v>37610</v>
          </cell>
          <cell r="E373" t="str">
            <v>Europe</v>
          </cell>
          <cell r="F373" t="str">
            <v>Cyprus</v>
          </cell>
          <cell r="G373" t="str">
            <v>Business / Corporate / Executive</v>
          </cell>
        </row>
        <row r="374">
          <cell r="A374" t="str">
            <v>Gulfstream V</v>
          </cell>
          <cell r="B374" t="str">
            <v xml:space="preserve"> </v>
          </cell>
          <cell r="C374" t="str">
            <v>Japan Coast Guard</v>
          </cell>
          <cell r="D374">
            <v>37610</v>
          </cell>
          <cell r="E374" t="str">
            <v>Asia</v>
          </cell>
          <cell r="F374" t="str">
            <v>Japan</v>
          </cell>
          <cell r="G374" t="str">
            <v>Business / Corporate / Executive</v>
          </cell>
        </row>
        <row r="375">
          <cell r="A375" t="str">
            <v>Gulfstream IV</v>
          </cell>
          <cell r="B375" t="str">
            <v>SP</v>
          </cell>
          <cell r="C375" t="str">
            <v>Fertitta Enterprises</v>
          </cell>
          <cell r="D375">
            <v>37613</v>
          </cell>
          <cell r="E375" t="str">
            <v>North America</v>
          </cell>
          <cell r="F375" t="str">
            <v>USA</v>
          </cell>
          <cell r="G375" t="str">
            <v>Business / Corporate / Executive</v>
          </cell>
        </row>
        <row r="376">
          <cell r="A376" t="str">
            <v>Gulfstream IV</v>
          </cell>
          <cell r="B376" t="str">
            <v>SP</v>
          </cell>
          <cell r="C376" t="str">
            <v>Dick's Sporting Goods Inc</v>
          </cell>
          <cell r="D376">
            <v>37621</v>
          </cell>
          <cell r="E376" t="str">
            <v>North America</v>
          </cell>
          <cell r="F376" t="str">
            <v>USA</v>
          </cell>
          <cell r="G376" t="str">
            <v>Business / Corporate / Executive</v>
          </cell>
        </row>
        <row r="378">
          <cell r="A378" t="str">
            <v>2001 Detail</v>
          </cell>
        </row>
        <row r="379">
          <cell r="A379" t="str">
            <v>Mfr &amp; Type</v>
          </cell>
          <cell r="B379" t="str">
            <v>Variant</v>
          </cell>
          <cell r="C379" t="str">
            <v>Operator</v>
          </cell>
          <cell r="D379" t="str">
            <v>DeliveryDate</v>
          </cell>
          <cell r="E379" t="str">
            <v>OperatorArea</v>
          </cell>
          <cell r="F379" t="str">
            <v>OperatorCountry</v>
          </cell>
          <cell r="G379" t="str">
            <v>Usage</v>
          </cell>
        </row>
        <row r="380">
          <cell r="A380" t="str">
            <v>Gulfstream V</v>
          </cell>
          <cell r="B380" t="str">
            <v xml:space="preserve"> </v>
          </cell>
          <cell r="C380" t="str">
            <v>Ivanhoe Capital Aviation LLC</v>
          </cell>
          <cell r="D380">
            <v>36907</v>
          </cell>
          <cell r="E380" t="str">
            <v>North America &amp; Caribbean</v>
          </cell>
          <cell r="F380" t="str">
            <v>USA</v>
          </cell>
          <cell r="G380" t="str">
            <v>Business / Corporate / Executive</v>
          </cell>
        </row>
        <row r="381">
          <cell r="A381" t="str">
            <v>Gulfstream IV</v>
          </cell>
          <cell r="B381" t="str">
            <v>SP</v>
          </cell>
          <cell r="C381" t="str">
            <v>Limited Service Corp</v>
          </cell>
          <cell r="D381">
            <v>36914</v>
          </cell>
          <cell r="E381" t="str">
            <v>North America &amp; Caribbean</v>
          </cell>
          <cell r="F381" t="str">
            <v>USA</v>
          </cell>
          <cell r="G381" t="str">
            <v>Business / Corporate / Executive</v>
          </cell>
        </row>
        <row r="382">
          <cell r="A382" t="str">
            <v>Gulfstream V</v>
          </cell>
          <cell r="B382" t="str">
            <v xml:space="preserve"> </v>
          </cell>
          <cell r="C382" t="str">
            <v>MESH II LLC</v>
          </cell>
          <cell r="D382">
            <v>36920</v>
          </cell>
          <cell r="E382" t="str">
            <v>North America &amp; Caribbean</v>
          </cell>
          <cell r="F382" t="str">
            <v>USA</v>
          </cell>
          <cell r="G382" t="str">
            <v>Business / Corporate / Executive</v>
          </cell>
        </row>
        <row r="383">
          <cell r="A383" t="str">
            <v>Gulfstream IV</v>
          </cell>
          <cell r="B383" t="str">
            <v>SP</v>
          </cell>
          <cell r="C383" t="str">
            <v>W A Reaud</v>
          </cell>
          <cell r="D383">
            <v>36922</v>
          </cell>
          <cell r="E383" t="str">
            <v>North America &amp; Caribbean</v>
          </cell>
          <cell r="F383" t="str">
            <v>USA</v>
          </cell>
          <cell r="G383" t="str">
            <v>Business / Corporate / Executive</v>
          </cell>
        </row>
        <row r="384">
          <cell r="A384" t="str">
            <v>Gulfstream IV</v>
          </cell>
          <cell r="B384" t="str">
            <v>SP</v>
          </cell>
          <cell r="C384" t="str">
            <v>Cape Clear LLC</v>
          </cell>
          <cell r="D384">
            <v>36931</v>
          </cell>
          <cell r="E384" t="str">
            <v>North America &amp; Caribbean</v>
          </cell>
          <cell r="F384" t="str">
            <v>USA</v>
          </cell>
          <cell r="G384" t="str">
            <v>Business / Corporate / Executive</v>
          </cell>
        </row>
        <row r="385">
          <cell r="A385" t="str">
            <v>Gulfstream V</v>
          </cell>
          <cell r="B385" t="str">
            <v xml:space="preserve"> </v>
          </cell>
          <cell r="C385" t="str">
            <v>Rikio Co Ltd</v>
          </cell>
          <cell r="D385">
            <v>36962</v>
          </cell>
          <cell r="E385" t="str">
            <v>Asia</v>
          </cell>
          <cell r="F385" t="str">
            <v>Japan</v>
          </cell>
          <cell r="G385" t="str">
            <v>Business / Corporate / Executive</v>
          </cell>
        </row>
        <row r="386">
          <cell r="A386" t="str">
            <v>Gulfstream IV</v>
          </cell>
          <cell r="B386" t="str">
            <v>SP</v>
          </cell>
          <cell r="C386" t="str">
            <v>N811BP Inc</v>
          </cell>
          <cell r="D386">
            <v>36962</v>
          </cell>
          <cell r="E386" t="str">
            <v>North America &amp; Caribbean</v>
          </cell>
          <cell r="F386" t="str">
            <v>USA</v>
          </cell>
          <cell r="G386" t="str">
            <v>Business / Corporate / Executive</v>
          </cell>
        </row>
        <row r="387">
          <cell r="A387" t="str">
            <v>Gulfstream V</v>
          </cell>
          <cell r="B387" t="str">
            <v xml:space="preserve"> </v>
          </cell>
          <cell r="C387" t="str">
            <v>Netjets International</v>
          </cell>
          <cell r="D387">
            <v>36973</v>
          </cell>
          <cell r="E387" t="str">
            <v>North America &amp; Caribbean</v>
          </cell>
          <cell r="F387" t="str">
            <v>USA</v>
          </cell>
          <cell r="G387" t="str">
            <v>Business / Corporate / Executive</v>
          </cell>
        </row>
        <row r="388">
          <cell r="A388" t="str">
            <v>Gulfstream V</v>
          </cell>
          <cell r="B388" t="str">
            <v xml:space="preserve"> </v>
          </cell>
          <cell r="C388" t="str">
            <v>Enron Corp</v>
          </cell>
          <cell r="D388">
            <v>36977</v>
          </cell>
          <cell r="E388" t="str">
            <v>North America &amp; Caribbean</v>
          </cell>
          <cell r="F388" t="str">
            <v>USA</v>
          </cell>
          <cell r="G388" t="str">
            <v>Business / Corporate / Executive</v>
          </cell>
        </row>
        <row r="389">
          <cell r="A389" t="str">
            <v>Gulfstream IV</v>
          </cell>
          <cell r="B389" t="str">
            <v>SP</v>
          </cell>
          <cell r="C389" t="str">
            <v>Netjets International</v>
          </cell>
          <cell r="D389">
            <v>36980</v>
          </cell>
          <cell r="E389" t="str">
            <v>North America &amp; Caribbean</v>
          </cell>
          <cell r="F389" t="str">
            <v>USA</v>
          </cell>
          <cell r="G389" t="str">
            <v>Business / Corporate / Executive</v>
          </cell>
        </row>
        <row r="390">
          <cell r="A390" t="str">
            <v>Gulfstream V</v>
          </cell>
          <cell r="B390" t="str">
            <v xml:space="preserve"> </v>
          </cell>
          <cell r="C390" t="str">
            <v>General Electric Capital Corp</v>
          </cell>
          <cell r="D390">
            <v>36987</v>
          </cell>
          <cell r="E390" t="str">
            <v>North America &amp; Caribbean</v>
          </cell>
          <cell r="F390" t="str">
            <v>USA</v>
          </cell>
          <cell r="G390" t="str">
            <v>Business / Corporate / Executive</v>
          </cell>
        </row>
        <row r="391">
          <cell r="A391" t="str">
            <v>Gulfstream IV</v>
          </cell>
          <cell r="B391" t="str">
            <v>SP</v>
          </cell>
          <cell r="C391" t="str">
            <v>AC Executive Aircraft Leasing Ltd</v>
          </cell>
          <cell r="D391">
            <v>36987</v>
          </cell>
          <cell r="E391" t="str">
            <v>Europe</v>
          </cell>
          <cell r="F391" t="str">
            <v>United Kingdom</v>
          </cell>
          <cell r="G391" t="str">
            <v>Business / Corporate / Executive</v>
          </cell>
        </row>
        <row r="392">
          <cell r="A392" t="str">
            <v>Gulfstream V</v>
          </cell>
          <cell r="B392" t="str">
            <v xml:space="preserve"> </v>
          </cell>
          <cell r="C392" t="str">
            <v>Macair Jet SA</v>
          </cell>
          <cell r="D392">
            <v>36996</v>
          </cell>
          <cell r="E392" t="str">
            <v>South &amp; Central America</v>
          </cell>
          <cell r="F392" t="str">
            <v>Argentina</v>
          </cell>
          <cell r="G392" t="str">
            <v>Business / Corporate / Executive</v>
          </cell>
        </row>
        <row r="393">
          <cell r="A393" t="str">
            <v>Gulfstream IV</v>
          </cell>
          <cell r="B393" t="str">
            <v>SP</v>
          </cell>
          <cell r="C393" t="str">
            <v>Government of Algeria</v>
          </cell>
          <cell r="D393">
            <v>37001</v>
          </cell>
          <cell r="E393" t="str">
            <v>Africa</v>
          </cell>
          <cell r="F393" t="str">
            <v>Algeria</v>
          </cell>
          <cell r="G393" t="str">
            <v>VIP / Government operated</v>
          </cell>
        </row>
        <row r="394">
          <cell r="A394" t="str">
            <v>Gulfstream IV</v>
          </cell>
          <cell r="B394" t="str">
            <v>SP</v>
          </cell>
          <cell r="C394" t="str">
            <v>GEP I LLC</v>
          </cell>
          <cell r="D394">
            <v>37021</v>
          </cell>
          <cell r="E394" t="str">
            <v>North America &amp; Caribbean</v>
          </cell>
          <cell r="F394" t="str">
            <v>USA</v>
          </cell>
          <cell r="G394" t="str">
            <v>Business / Corporate / Executive</v>
          </cell>
        </row>
        <row r="395">
          <cell r="A395" t="str">
            <v>Gulfstream IV</v>
          </cell>
          <cell r="B395" t="str">
            <v>SP</v>
          </cell>
          <cell r="C395" t="str">
            <v>Phillips Petroleum Co</v>
          </cell>
          <cell r="D395">
            <v>37022</v>
          </cell>
          <cell r="E395" t="str">
            <v>North America &amp; Caribbean</v>
          </cell>
          <cell r="F395" t="str">
            <v>USA</v>
          </cell>
          <cell r="G395" t="str">
            <v>Business / Corporate / Executive</v>
          </cell>
        </row>
        <row r="396">
          <cell r="A396" t="str">
            <v>Gulfstream V</v>
          </cell>
          <cell r="B396" t="str">
            <v xml:space="preserve"> </v>
          </cell>
          <cell r="C396" t="str">
            <v>Steven Jobs</v>
          </cell>
          <cell r="D396">
            <v>37036</v>
          </cell>
          <cell r="E396" t="str">
            <v>North America &amp; Caribbean</v>
          </cell>
          <cell r="F396" t="str">
            <v>USA</v>
          </cell>
          <cell r="G396" t="str">
            <v>Business / Corporate / Executive</v>
          </cell>
        </row>
        <row r="397">
          <cell r="A397" t="str">
            <v>Gulfstream V</v>
          </cell>
          <cell r="B397" t="str">
            <v xml:space="preserve"> </v>
          </cell>
          <cell r="C397" t="str">
            <v>Netjets International</v>
          </cell>
          <cell r="D397">
            <v>37042</v>
          </cell>
          <cell r="E397" t="str">
            <v>North America &amp; Caribbean</v>
          </cell>
          <cell r="F397" t="str">
            <v>USA</v>
          </cell>
          <cell r="G397" t="str">
            <v>Business / Corporate / Executive</v>
          </cell>
        </row>
        <row r="398">
          <cell r="A398" t="str">
            <v>Gulfstream IV</v>
          </cell>
          <cell r="B398" t="str">
            <v>SP</v>
          </cell>
          <cell r="C398" t="str">
            <v>ConocoPhillips Co</v>
          </cell>
          <cell r="D398">
            <v>37046</v>
          </cell>
          <cell r="E398" t="str">
            <v>North America &amp; Caribbean</v>
          </cell>
          <cell r="F398" t="str">
            <v>USA</v>
          </cell>
          <cell r="G398" t="str">
            <v>Business / Corporate / Executive</v>
          </cell>
        </row>
        <row r="399">
          <cell r="A399" t="str">
            <v>Gulfstream V</v>
          </cell>
          <cell r="B399" t="str">
            <v xml:space="preserve"> </v>
          </cell>
          <cell r="C399" t="str">
            <v>Meadowlark Acquisitions Inc</v>
          </cell>
          <cell r="D399">
            <v>37046</v>
          </cell>
          <cell r="E399" t="str">
            <v>North America &amp; Caribbean</v>
          </cell>
          <cell r="F399" t="str">
            <v>USA</v>
          </cell>
          <cell r="G399" t="str">
            <v>Business / Corporate / Executive</v>
          </cell>
        </row>
        <row r="400">
          <cell r="A400" t="str">
            <v>Gulfstream IV</v>
          </cell>
          <cell r="B400" t="str">
            <v>SP</v>
          </cell>
          <cell r="C400" t="str">
            <v>Aeromundo Ejecutivo SA de CV</v>
          </cell>
          <cell r="D400">
            <v>37061</v>
          </cell>
          <cell r="E400" t="str">
            <v>South &amp; Central America</v>
          </cell>
          <cell r="F400" t="str">
            <v>Mexico</v>
          </cell>
          <cell r="G400" t="str">
            <v>Business / Corporate / Executive</v>
          </cell>
        </row>
        <row r="401">
          <cell r="A401" t="str">
            <v>Gulfstream V</v>
          </cell>
          <cell r="B401" t="str">
            <v xml:space="preserve"> </v>
          </cell>
          <cell r="C401" t="str">
            <v>CYMI Investments Sub Inc</v>
          </cell>
          <cell r="D401">
            <v>37063</v>
          </cell>
          <cell r="E401" t="str">
            <v>North America &amp; Caribbean</v>
          </cell>
          <cell r="F401" t="str">
            <v>USA</v>
          </cell>
          <cell r="G401" t="str">
            <v>Business / Corporate / Executive</v>
          </cell>
        </row>
        <row r="402">
          <cell r="A402" t="str">
            <v>Gulfstream IV</v>
          </cell>
          <cell r="B402" t="str">
            <v>SP</v>
          </cell>
          <cell r="C402" t="str">
            <v>Kohler &amp; Co</v>
          </cell>
          <cell r="D402">
            <v>37067</v>
          </cell>
          <cell r="E402" t="str">
            <v>North America &amp; Caribbean</v>
          </cell>
          <cell r="F402" t="str">
            <v>USA</v>
          </cell>
          <cell r="G402" t="str">
            <v>Business / Corporate / Executive</v>
          </cell>
        </row>
        <row r="403">
          <cell r="A403" t="str">
            <v>Gulfstream V</v>
          </cell>
          <cell r="B403" t="str">
            <v xml:space="preserve"> </v>
          </cell>
          <cell r="C403" t="str">
            <v>Netjets International</v>
          </cell>
          <cell r="D403">
            <v>37069</v>
          </cell>
          <cell r="E403" t="str">
            <v>North America &amp; Caribbean</v>
          </cell>
          <cell r="F403" t="str">
            <v>USA</v>
          </cell>
          <cell r="G403" t="str">
            <v>Business / Corporate / Executive</v>
          </cell>
        </row>
        <row r="404">
          <cell r="A404" t="str">
            <v>Gulfstream IV</v>
          </cell>
          <cell r="B404" t="str">
            <v>SP</v>
          </cell>
          <cell r="C404" t="str">
            <v>Netjets International</v>
          </cell>
          <cell r="D404">
            <v>37069</v>
          </cell>
          <cell r="E404" t="str">
            <v>North America &amp; Caribbean</v>
          </cell>
          <cell r="F404" t="str">
            <v>USA</v>
          </cell>
          <cell r="G404" t="str">
            <v>Business / Corporate / Executive</v>
          </cell>
        </row>
        <row r="405">
          <cell r="A405" t="str">
            <v>Gulfstream V</v>
          </cell>
          <cell r="B405" t="str">
            <v xml:space="preserve"> </v>
          </cell>
          <cell r="C405" t="str">
            <v>Metromedia Aircraft Co</v>
          </cell>
          <cell r="D405">
            <v>37070</v>
          </cell>
          <cell r="E405" t="str">
            <v>North America &amp; Caribbean</v>
          </cell>
          <cell r="F405" t="str">
            <v>USA</v>
          </cell>
          <cell r="G405" t="str">
            <v>Business / Corporate / Executive</v>
          </cell>
        </row>
        <row r="406">
          <cell r="A406" t="str">
            <v>Gulfstream V</v>
          </cell>
          <cell r="B406" t="str">
            <v xml:space="preserve"> </v>
          </cell>
          <cell r="C406" t="str">
            <v>United States Aviation Co</v>
          </cell>
          <cell r="D406">
            <v>37071</v>
          </cell>
          <cell r="E406" t="str">
            <v>North America &amp; Caribbean</v>
          </cell>
          <cell r="F406" t="str">
            <v>USA</v>
          </cell>
          <cell r="G406" t="str">
            <v>Business / Corporate / Executive</v>
          </cell>
        </row>
        <row r="407">
          <cell r="A407" t="str">
            <v>Gulfstream IV</v>
          </cell>
          <cell r="B407" t="str">
            <v>SP</v>
          </cell>
          <cell r="C407" t="str">
            <v>Bandwidth LLC</v>
          </cell>
          <cell r="D407">
            <v>37071</v>
          </cell>
          <cell r="E407" t="str">
            <v>North America &amp; Caribbean</v>
          </cell>
          <cell r="F407" t="str">
            <v>USA</v>
          </cell>
          <cell r="G407" t="str">
            <v>Business / Corporate / Executive</v>
          </cell>
        </row>
        <row r="408">
          <cell r="A408" t="str">
            <v>Gulfstream V</v>
          </cell>
          <cell r="B408" t="str">
            <v xml:space="preserve"> </v>
          </cell>
          <cell r="C408" t="str">
            <v>Government of Algeria</v>
          </cell>
          <cell r="D408">
            <v>37071</v>
          </cell>
          <cell r="E408" t="str">
            <v>Africa</v>
          </cell>
          <cell r="F408" t="str">
            <v>Algeria</v>
          </cell>
          <cell r="G408" t="str">
            <v>VIP / Government operated</v>
          </cell>
        </row>
        <row r="409">
          <cell r="A409" t="str">
            <v>Gulfstream IV</v>
          </cell>
          <cell r="B409" t="str">
            <v>SP</v>
          </cell>
          <cell r="C409" t="str">
            <v>Government of Egypt</v>
          </cell>
          <cell r="D409">
            <v>37081</v>
          </cell>
          <cell r="E409" t="str">
            <v>Africa</v>
          </cell>
          <cell r="F409" t="str">
            <v>Egypt</v>
          </cell>
          <cell r="G409" t="str">
            <v>VIP / Government operated</v>
          </cell>
        </row>
        <row r="410">
          <cell r="A410" t="str">
            <v>Gulfstream V</v>
          </cell>
          <cell r="B410" t="str">
            <v xml:space="preserve"> </v>
          </cell>
          <cell r="C410" t="str">
            <v>Ford Motor Co</v>
          </cell>
          <cell r="D410">
            <v>37091</v>
          </cell>
          <cell r="E410" t="str">
            <v>North America &amp; Caribbean</v>
          </cell>
          <cell r="F410" t="str">
            <v>USA</v>
          </cell>
          <cell r="G410" t="str">
            <v>Business / Corporate / Executive</v>
          </cell>
        </row>
        <row r="411">
          <cell r="A411" t="str">
            <v>Gulfstream V</v>
          </cell>
          <cell r="B411" t="str">
            <v xml:space="preserve"> </v>
          </cell>
          <cell r="C411" t="str">
            <v>US Air Force</v>
          </cell>
          <cell r="D411">
            <v>37097</v>
          </cell>
          <cell r="E411" t="str">
            <v>North America &amp; Caribbean</v>
          </cell>
          <cell r="F411" t="str">
            <v>USA</v>
          </cell>
          <cell r="G411" t="str">
            <v>VIP / Government operated</v>
          </cell>
        </row>
        <row r="412">
          <cell r="A412" t="str">
            <v>Gulfstream IV</v>
          </cell>
          <cell r="B412" t="str">
            <v>SP</v>
          </cell>
          <cell r="C412" t="str">
            <v>Hagadone Aviation LLC</v>
          </cell>
          <cell r="D412">
            <v>37098</v>
          </cell>
          <cell r="E412" t="str">
            <v>North America &amp; Caribbean</v>
          </cell>
          <cell r="F412" t="str">
            <v>USA</v>
          </cell>
          <cell r="G412" t="str">
            <v>Business / Corporate / Executive</v>
          </cell>
        </row>
        <row r="413">
          <cell r="A413" t="str">
            <v>Gulfstream V</v>
          </cell>
          <cell r="B413" t="str">
            <v xml:space="preserve"> </v>
          </cell>
          <cell r="C413" t="str">
            <v>AEC Aircraft Inc</v>
          </cell>
          <cell r="D413">
            <v>37104</v>
          </cell>
          <cell r="E413" t="str">
            <v>North America &amp; Caribbean</v>
          </cell>
          <cell r="F413" t="str">
            <v>USA</v>
          </cell>
          <cell r="G413" t="str">
            <v>Business / Corporate / Executive</v>
          </cell>
        </row>
        <row r="414">
          <cell r="A414" t="str">
            <v>Gulfstream IV</v>
          </cell>
          <cell r="B414" t="str">
            <v>SP</v>
          </cell>
          <cell r="C414" t="str">
            <v>Government of Algeria</v>
          </cell>
          <cell r="D414">
            <v>37132</v>
          </cell>
          <cell r="E414" t="str">
            <v>Africa</v>
          </cell>
          <cell r="F414" t="str">
            <v>Algeria</v>
          </cell>
          <cell r="G414" t="str">
            <v>VIP / Government operated</v>
          </cell>
        </row>
        <row r="415">
          <cell r="A415" t="str">
            <v>Gulfstream V</v>
          </cell>
          <cell r="B415" t="str">
            <v xml:space="preserve"> </v>
          </cell>
          <cell r="C415" t="str">
            <v>US Department of Justice - US Marshals Service</v>
          </cell>
          <cell r="D415">
            <v>37146</v>
          </cell>
          <cell r="E415" t="str">
            <v>North America &amp; Caribbean</v>
          </cell>
          <cell r="F415" t="str">
            <v>USA</v>
          </cell>
          <cell r="G415" t="str">
            <v>Business / Corporate / Executive</v>
          </cell>
        </row>
        <row r="416">
          <cell r="A416" t="str">
            <v>Gulfstream V</v>
          </cell>
          <cell r="B416" t="str">
            <v xml:space="preserve"> </v>
          </cell>
          <cell r="C416" t="str">
            <v>EDS Information Services LLC</v>
          </cell>
          <cell r="D416">
            <v>37161</v>
          </cell>
          <cell r="E416" t="str">
            <v>North America &amp; Caribbean</v>
          </cell>
          <cell r="F416" t="str">
            <v>USA</v>
          </cell>
          <cell r="G416" t="str">
            <v>Business / Corporate / Executive</v>
          </cell>
        </row>
        <row r="417">
          <cell r="A417" t="str">
            <v>Gulfstream IV</v>
          </cell>
          <cell r="B417" t="str">
            <v>SP</v>
          </cell>
          <cell r="C417" t="str">
            <v>Knickerbocker Corp</v>
          </cell>
          <cell r="D417">
            <v>37162</v>
          </cell>
          <cell r="E417" t="str">
            <v>North America &amp; Caribbean</v>
          </cell>
          <cell r="F417" t="str">
            <v>USA</v>
          </cell>
          <cell r="G417" t="str">
            <v>Business / Corporate / Executive</v>
          </cell>
        </row>
        <row r="418">
          <cell r="A418" t="str">
            <v>Gulfstream IV</v>
          </cell>
          <cell r="B418" t="str">
            <v>SP</v>
          </cell>
          <cell r="C418" t="str">
            <v>Netjets International</v>
          </cell>
          <cell r="D418">
            <v>37162</v>
          </cell>
          <cell r="E418" t="str">
            <v>North America &amp; Caribbean</v>
          </cell>
          <cell r="F418" t="str">
            <v>USA</v>
          </cell>
          <cell r="G418" t="str">
            <v>Business / Corporate / Executive</v>
          </cell>
        </row>
        <row r="419">
          <cell r="A419" t="str">
            <v>Gulfstream V</v>
          </cell>
          <cell r="B419" t="str">
            <v xml:space="preserve"> </v>
          </cell>
          <cell r="C419" t="str">
            <v>Netjets International</v>
          </cell>
          <cell r="D419">
            <v>37162</v>
          </cell>
          <cell r="E419" t="str">
            <v>North America &amp; Caribbean</v>
          </cell>
          <cell r="F419" t="str">
            <v>USA</v>
          </cell>
          <cell r="G419" t="str">
            <v>Business / Corporate / Executive</v>
          </cell>
        </row>
        <row r="420">
          <cell r="A420" t="str">
            <v>Gulfstream IV</v>
          </cell>
          <cell r="B420" t="str">
            <v>SP</v>
          </cell>
          <cell r="C420" t="str">
            <v>Sky Night LLC</v>
          </cell>
          <cell r="D420">
            <v>37168</v>
          </cell>
          <cell r="E420" t="str">
            <v>North America &amp; Caribbean</v>
          </cell>
          <cell r="F420" t="str">
            <v>USA</v>
          </cell>
          <cell r="G420" t="str">
            <v>Business / Corporate / Executive</v>
          </cell>
        </row>
        <row r="421">
          <cell r="A421" t="str">
            <v>Gulfstream V</v>
          </cell>
          <cell r="B421" t="str">
            <v xml:space="preserve"> </v>
          </cell>
          <cell r="C421" t="str">
            <v>Amerada Hess Corp</v>
          </cell>
          <cell r="D421">
            <v>37169</v>
          </cell>
          <cell r="E421" t="str">
            <v>North America &amp; Caribbean</v>
          </cell>
          <cell r="F421" t="str">
            <v>USA</v>
          </cell>
          <cell r="G421" t="str">
            <v>Business / Corporate / Executive</v>
          </cell>
        </row>
        <row r="422">
          <cell r="A422" t="str">
            <v>Gulfstream V</v>
          </cell>
          <cell r="B422" t="str">
            <v xml:space="preserve"> </v>
          </cell>
          <cell r="C422" t="str">
            <v>US Air Force</v>
          </cell>
          <cell r="D422">
            <v>37179</v>
          </cell>
          <cell r="E422" t="str">
            <v>North America &amp; Caribbean</v>
          </cell>
          <cell r="F422" t="str">
            <v>USA</v>
          </cell>
          <cell r="G422" t="str">
            <v>VIP / Government operated</v>
          </cell>
        </row>
        <row r="423">
          <cell r="A423" t="str">
            <v>Gulfstream IV</v>
          </cell>
          <cell r="B423" t="str">
            <v>SP</v>
          </cell>
          <cell r="C423" t="str">
            <v>SNS Aviation LLC</v>
          </cell>
          <cell r="D423">
            <v>37183</v>
          </cell>
          <cell r="E423" t="str">
            <v>North America &amp; Caribbean</v>
          </cell>
          <cell r="F423" t="str">
            <v>USA</v>
          </cell>
          <cell r="G423" t="str">
            <v>Business / Corporate / Executive</v>
          </cell>
        </row>
        <row r="424">
          <cell r="A424" t="str">
            <v>Gulfstream IV</v>
          </cell>
          <cell r="B424" t="str">
            <v>SP</v>
          </cell>
          <cell r="C424" t="str">
            <v>HGA LLC</v>
          </cell>
          <cell r="D424">
            <v>37183</v>
          </cell>
          <cell r="E424" t="str">
            <v>North America &amp; Caribbean</v>
          </cell>
          <cell r="F424" t="str">
            <v>USA</v>
          </cell>
          <cell r="G424" t="str">
            <v>Business / Corporate / Executive</v>
          </cell>
        </row>
        <row r="425">
          <cell r="A425" t="str">
            <v>Gulfstream V</v>
          </cell>
          <cell r="B425" t="str">
            <v xml:space="preserve"> </v>
          </cell>
          <cell r="C425" t="str">
            <v>Netjets International</v>
          </cell>
          <cell r="D425">
            <v>37196</v>
          </cell>
          <cell r="E425" t="str">
            <v>North America &amp; Caribbean</v>
          </cell>
          <cell r="F425" t="str">
            <v>USA</v>
          </cell>
          <cell r="G425" t="str">
            <v>Business / Corporate / Executive</v>
          </cell>
        </row>
        <row r="426">
          <cell r="A426" t="str">
            <v>Gulfstream V</v>
          </cell>
          <cell r="B426" t="str">
            <v xml:space="preserve"> </v>
          </cell>
          <cell r="C426" t="str">
            <v>CSC Transport IV Inc</v>
          </cell>
          <cell r="D426">
            <v>37197</v>
          </cell>
          <cell r="E426" t="str">
            <v>North America &amp; Caribbean</v>
          </cell>
          <cell r="F426" t="str">
            <v>USA</v>
          </cell>
          <cell r="G426" t="str">
            <v>Business / Corporate / Executive</v>
          </cell>
        </row>
        <row r="427">
          <cell r="A427" t="str">
            <v>Gulfstream IV</v>
          </cell>
          <cell r="B427" t="str">
            <v>SP</v>
          </cell>
          <cell r="C427" t="str">
            <v>Government of Egypt</v>
          </cell>
          <cell r="D427">
            <v>37198</v>
          </cell>
          <cell r="E427" t="str">
            <v>Africa</v>
          </cell>
          <cell r="F427" t="str">
            <v>Egypt</v>
          </cell>
          <cell r="G427" t="str">
            <v>VIP / Government operated</v>
          </cell>
        </row>
        <row r="428">
          <cell r="A428" t="str">
            <v>Gulfstream IV</v>
          </cell>
          <cell r="B428" t="str">
            <v>SP</v>
          </cell>
          <cell r="C428" t="str">
            <v>Gulfstream GATX Leasing Co LLC</v>
          </cell>
          <cell r="D428">
            <v>37203</v>
          </cell>
          <cell r="E428" t="str">
            <v>North America &amp; Caribbean</v>
          </cell>
          <cell r="F428" t="str">
            <v>USA</v>
          </cell>
          <cell r="G428" t="str">
            <v>Business / Corporate / Executive</v>
          </cell>
        </row>
        <row r="429">
          <cell r="A429" t="str">
            <v>Gulfstream IV</v>
          </cell>
          <cell r="B429" t="str">
            <v>SP</v>
          </cell>
          <cell r="C429" t="str">
            <v>E I DuPont de Nemours &amp; Co</v>
          </cell>
          <cell r="D429">
            <v>37204</v>
          </cell>
          <cell r="E429" t="str">
            <v>North America &amp; Caribbean</v>
          </cell>
          <cell r="F429" t="str">
            <v>USA</v>
          </cell>
          <cell r="G429" t="str">
            <v>Business / Corporate / Executive</v>
          </cell>
        </row>
        <row r="430">
          <cell r="A430" t="str">
            <v>Gulfstream V</v>
          </cell>
          <cell r="B430" t="str">
            <v xml:space="preserve"> </v>
          </cell>
          <cell r="C430" t="str">
            <v>Teratorn LLC</v>
          </cell>
          <cell r="D430">
            <v>37204</v>
          </cell>
          <cell r="E430" t="str">
            <v>North America &amp; Caribbean</v>
          </cell>
          <cell r="F430" t="str">
            <v>USA</v>
          </cell>
          <cell r="G430" t="str">
            <v>Business / Corporate / Executive</v>
          </cell>
        </row>
        <row r="431">
          <cell r="A431" t="str">
            <v>Gulfstream IV</v>
          </cell>
          <cell r="B431" t="str">
            <v>SP</v>
          </cell>
          <cell r="C431" t="str">
            <v>CXAir Holdings Inc</v>
          </cell>
          <cell r="D431">
            <v>37211</v>
          </cell>
          <cell r="E431" t="str">
            <v>North America &amp; Caribbean</v>
          </cell>
          <cell r="F431" t="str">
            <v>USA</v>
          </cell>
          <cell r="G431" t="str">
            <v>Business / Corporate / Executive</v>
          </cell>
        </row>
        <row r="432">
          <cell r="A432" t="str">
            <v>Gulfstream IV</v>
          </cell>
          <cell r="B432" t="str">
            <v>SP</v>
          </cell>
          <cell r="C432" t="str">
            <v>Central Management Services LLC</v>
          </cell>
          <cell r="D432">
            <v>37224</v>
          </cell>
          <cell r="E432" t="str">
            <v>North America &amp; Caribbean</v>
          </cell>
          <cell r="F432" t="str">
            <v>USA</v>
          </cell>
          <cell r="G432" t="str">
            <v>Business / Corporate / Executive</v>
          </cell>
        </row>
        <row r="433">
          <cell r="A433" t="str">
            <v>Gulfstream V</v>
          </cell>
          <cell r="B433" t="str">
            <v xml:space="preserve"> </v>
          </cell>
          <cell r="C433" t="str">
            <v>SunTrust Leasing Corp</v>
          </cell>
          <cell r="D433">
            <v>37236</v>
          </cell>
          <cell r="E433" t="str">
            <v>North America &amp; Caribbean</v>
          </cell>
          <cell r="F433" t="str">
            <v>USA</v>
          </cell>
          <cell r="G433" t="str">
            <v>Business / Corporate / Executive</v>
          </cell>
        </row>
        <row r="434">
          <cell r="A434" t="str">
            <v>Gulfstream V</v>
          </cell>
          <cell r="B434" t="str">
            <v xml:space="preserve"> </v>
          </cell>
          <cell r="C434" t="str">
            <v>Netjets International</v>
          </cell>
          <cell r="D434">
            <v>37237</v>
          </cell>
          <cell r="E434" t="str">
            <v>North America &amp; Caribbean</v>
          </cell>
          <cell r="F434" t="str">
            <v>USA</v>
          </cell>
          <cell r="G434" t="str">
            <v>Business / Corporate / Executive</v>
          </cell>
        </row>
        <row r="435">
          <cell r="A435" t="str">
            <v>Gulfstream IV</v>
          </cell>
          <cell r="B435" t="str">
            <v>SP</v>
          </cell>
          <cell r="C435" t="str">
            <v>United Healthcare Corp</v>
          </cell>
          <cell r="D435">
            <v>37239</v>
          </cell>
          <cell r="E435" t="str">
            <v>North America &amp; Caribbean</v>
          </cell>
          <cell r="F435" t="str">
            <v>USA</v>
          </cell>
          <cell r="G435" t="str">
            <v>Business / Corporate / Executive</v>
          </cell>
        </row>
        <row r="436">
          <cell r="A436" t="str">
            <v>Gulfstream IV</v>
          </cell>
          <cell r="B436" t="str">
            <v>SP</v>
          </cell>
          <cell r="C436" t="str">
            <v>MBNA America Bank NA</v>
          </cell>
          <cell r="D436">
            <v>37245</v>
          </cell>
          <cell r="E436" t="str">
            <v>North America &amp; Caribbean</v>
          </cell>
          <cell r="F436" t="str">
            <v>USA</v>
          </cell>
          <cell r="G436" t="str">
            <v>Business / Corporate / Executive</v>
          </cell>
        </row>
        <row r="437">
          <cell r="A437" t="str">
            <v>Gulfstream V</v>
          </cell>
          <cell r="B437" t="str">
            <v xml:space="preserve"> </v>
          </cell>
          <cell r="C437" t="str">
            <v>Star Aircraft Leasing SA</v>
          </cell>
          <cell r="D437">
            <v>37245</v>
          </cell>
          <cell r="E437" t="str">
            <v>Europe</v>
          </cell>
          <cell r="F437" t="str">
            <v>Luxembourg</v>
          </cell>
          <cell r="G437" t="str">
            <v>Business / Corporate / Executive</v>
          </cell>
        </row>
        <row r="438">
          <cell r="A438" t="str">
            <v>Gulfstream IV</v>
          </cell>
          <cell r="B438" t="str">
            <v>SP</v>
          </cell>
          <cell r="C438" t="str">
            <v>Peregrine Systems Inc</v>
          </cell>
          <cell r="D438">
            <v>37246</v>
          </cell>
          <cell r="E438" t="str">
            <v>North America &amp; Caribbean</v>
          </cell>
          <cell r="F438" t="str">
            <v>USA</v>
          </cell>
          <cell r="G438" t="str">
            <v>Business / Corporate / Executive</v>
          </cell>
        </row>
        <row r="439">
          <cell r="A439" t="str">
            <v>Gulfstream IV</v>
          </cell>
          <cell r="B439" t="str">
            <v>SP</v>
          </cell>
          <cell r="C439" t="str">
            <v>Quad/Air Inc</v>
          </cell>
          <cell r="D439">
            <v>37246</v>
          </cell>
          <cell r="E439" t="str">
            <v>North America &amp; Caribbean</v>
          </cell>
          <cell r="F439" t="str">
            <v>USA</v>
          </cell>
          <cell r="G439" t="str">
            <v>Business / Corporate / Executive</v>
          </cell>
        </row>
        <row r="440">
          <cell r="A440" t="str">
            <v>Gulfstream V</v>
          </cell>
          <cell r="B440" t="str">
            <v xml:space="preserve"> </v>
          </cell>
          <cell r="C440" t="str">
            <v>Miranda International Aviation Inc</v>
          </cell>
          <cell r="D440">
            <v>37246</v>
          </cell>
          <cell r="E440" t="str">
            <v>North America &amp; Caribbean</v>
          </cell>
          <cell r="F440" t="str">
            <v>USA</v>
          </cell>
          <cell r="G440" t="str">
            <v>Business / Corporate / Executive</v>
          </cell>
        </row>
        <row r="441">
          <cell r="A441" t="str">
            <v>Gulfstream IV</v>
          </cell>
          <cell r="B441" t="str">
            <v>SP</v>
          </cell>
          <cell r="C441" t="str">
            <v>NAS Financial Corp</v>
          </cell>
          <cell r="D441">
            <v>37246</v>
          </cell>
          <cell r="E441" t="str">
            <v>North America &amp; Caribbean</v>
          </cell>
          <cell r="F441" t="str">
            <v>USA</v>
          </cell>
          <cell r="G441" t="str">
            <v>Business / Corporate / Executive</v>
          </cell>
        </row>
        <row r="442">
          <cell r="A442" t="str">
            <v>Gulfstream V</v>
          </cell>
          <cell r="B442" t="str">
            <v xml:space="preserve"> </v>
          </cell>
          <cell r="C442" t="str">
            <v>Anglo American Corp of South Africa</v>
          </cell>
          <cell r="D442">
            <v>37247</v>
          </cell>
          <cell r="E442" t="str">
            <v>Africa</v>
          </cell>
          <cell r="F442" t="str">
            <v>South Africa</v>
          </cell>
          <cell r="G442" t="str">
            <v>Business / Corporate / Executive</v>
          </cell>
        </row>
        <row r="443">
          <cell r="A443" t="str">
            <v>Gulfstream IV</v>
          </cell>
          <cell r="B443" t="str">
            <v>SP</v>
          </cell>
          <cell r="C443" t="str">
            <v>Cordelia Scaife May</v>
          </cell>
          <cell r="D443">
            <v>37253</v>
          </cell>
          <cell r="E443" t="str">
            <v>North America &amp; Caribbean</v>
          </cell>
          <cell r="F443" t="str">
            <v>USA</v>
          </cell>
          <cell r="G443" t="str">
            <v>Business / Corporate / Executive</v>
          </cell>
        </row>
        <row r="444">
          <cell r="A444" t="str">
            <v>Gulfstream IV</v>
          </cell>
          <cell r="B444" t="str">
            <v>SP</v>
          </cell>
          <cell r="C444" t="str">
            <v>CES  Aviation II LLC</v>
          </cell>
          <cell r="D444">
            <v>37253</v>
          </cell>
          <cell r="E444" t="str">
            <v>North America &amp; Caribbean</v>
          </cell>
          <cell r="F444" t="str">
            <v>USA</v>
          </cell>
          <cell r="G444" t="str">
            <v>Business / Corporate / Executive</v>
          </cell>
        </row>
        <row r="445">
          <cell r="A445" t="str">
            <v>Gulfstream V</v>
          </cell>
          <cell r="B445" t="str">
            <v xml:space="preserve"> </v>
          </cell>
          <cell r="C445" t="str">
            <v>Gulfstream GATX Leasing Co LLC</v>
          </cell>
          <cell r="D445">
            <v>37253</v>
          </cell>
          <cell r="E445" t="str">
            <v>North America &amp; Caribbean</v>
          </cell>
          <cell r="F445" t="str">
            <v>USA</v>
          </cell>
          <cell r="G445" t="str">
            <v>Business / Corporate / Executive</v>
          </cell>
        </row>
        <row r="446">
          <cell r="A446" t="str">
            <v>Gulfstream IV</v>
          </cell>
          <cell r="B446" t="str">
            <v>SP</v>
          </cell>
          <cell r="C446" t="str">
            <v>AMB Group LLC</v>
          </cell>
          <cell r="D446">
            <v>37253</v>
          </cell>
          <cell r="E446" t="str">
            <v>North America &amp; Caribbean</v>
          </cell>
          <cell r="F446" t="str">
            <v>USA</v>
          </cell>
          <cell r="G446" t="str">
            <v>Business / Corporate / Executive</v>
          </cell>
        </row>
        <row r="447">
          <cell r="A447" t="str">
            <v>Gulfstream IV</v>
          </cell>
          <cell r="B447" t="str">
            <v>SP</v>
          </cell>
          <cell r="C447" t="str">
            <v>APC Aviation Inc</v>
          </cell>
          <cell r="D447">
            <v>37253</v>
          </cell>
          <cell r="E447" t="str">
            <v>North America &amp; Caribbean</v>
          </cell>
          <cell r="F447" t="str">
            <v>USA</v>
          </cell>
          <cell r="G447" t="str">
            <v>Business / Corporate / Executive</v>
          </cell>
        </row>
        <row r="448">
          <cell r="A448" t="str">
            <v>Gulfstream IV</v>
          </cell>
          <cell r="B448" t="str">
            <v>SP</v>
          </cell>
          <cell r="C448" t="str">
            <v>Oakmont Holdings LLC</v>
          </cell>
          <cell r="D448">
            <v>37253</v>
          </cell>
          <cell r="E448" t="str">
            <v>North America &amp; Caribbean</v>
          </cell>
          <cell r="F448" t="str">
            <v>USA</v>
          </cell>
          <cell r="G448" t="str">
            <v>Business / Corporate / Executive</v>
          </cell>
        </row>
        <row r="449">
          <cell r="A449" t="str">
            <v>Gulfstream V</v>
          </cell>
          <cell r="B449" t="str">
            <v>SP</v>
          </cell>
          <cell r="C449" t="str">
            <v>Pfizer Inc</v>
          </cell>
          <cell r="D449">
            <v>37256</v>
          </cell>
          <cell r="E449" t="str">
            <v>North America &amp; Caribbean</v>
          </cell>
          <cell r="F449" t="str">
            <v>USA</v>
          </cell>
          <cell r="G449" t="str">
            <v>Business / Corporate / Executive</v>
          </cell>
        </row>
        <row r="451">
          <cell r="A451" t="str">
            <v>2000 Detail</v>
          </cell>
        </row>
        <row r="452">
          <cell r="A452" t="str">
            <v>Mfr &amp; Type</v>
          </cell>
          <cell r="B452" t="str">
            <v>Variant</v>
          </cell>
          <cell r="C452" t="str">
            <v>Operator</v>
          </cell>
          <cell r="D452" t="str">
            <v>DeliveryDate</v>
          </cell>
          <cell r="E452" t="str">
            <v>OperatorArea</v>
          </cell>
          <cell r="F452" t="str">
            <v>OperatorCountry</v>
          </cell>
          <cell r="G452" t="str">
            <v>Usage</v>
          </cell>
        </row>
        <row r="453">
          <cell r="A453" t="str">
            <v>Gulfstream V</v>
          </cell>
          <cell r="B453" t="str">
            <v xml:space="preserve"> </v>
          </cell>
          <cell r="C453" t="str">
            <v>Norman Aircraft Leasing Inc</v>
          </cell>
          <cell r="D453">
            <v>36529</v>
          </cell>
          <cell r="E453" t="str">
            <v>North America &amp; Caribbean</v>
          </cell>
          <cell r="F453" t="str">
            <v>USA</v>
          </cell>
          <cell r="G453" t="str">
            <v>Business / Corporate / Executive</v>
          </cell>
        </row>
        <row r="454">
          <cell r="A454" t="str">
            <v>Gulfstream V</v>
          </cell>
          <cell r="B454" t="str">
            <v xml:space="preserve"> </v>
          </cell>
          <cell r="C454" t="str">
            <v>Bristol-Myers Squibb Company</v>
          </cell>
          <cell r="D454">
            <v>36530</v>
          </cell>
          <cell r="E454" t="str">
            <v>North America &amp; Caribbean</v>
          </cell>
          <cell r="F454" t="str">
            <v>USA</v>
          </cell>
          <cell r="G454" t="str">
            <v>Business / Corporate / Executive</v>
          </cell>
        </row>
        <row r="455">
          <cell r="A455" t="str">
            <v>Gulfstream V</v>
          </cell>
          <cell r="B455" t="str">
            <v xml:space="preserve"> </v>
          </cell>
          <cell r="C455" t="str">
            <v>NIKE Inc</v>
          </cell>
          <cell r="D455">
            <v>36560</v>
          </cell>
          <cell r="E455" t="str">
            <v>North America &amp; Caribbean</v>
          </cell>
          <cell r="F455" t="str">
            <v>USA</v>
          </cell>
          <cell r="G455" t="str">
            <v>Business / Corporate / Executive</v>
          </cell>
        </row>
        <row r="456">
          <cell r="A456" t="str">
            <v>Gulfstream V</v>
          </cell>
          <cell r="B456" t="str">
            <v xml:space="preserve"> </v>
          </cell>
          <cell r="C456" t="str">
            <v>Government of Kuwait</v>
          </cell>
          <cell r="D456">
            <v>36567</v>
          </cell>
          <cell r="E456" t="str">
            <v>Asia</v>
          </cell>
          <cell r="F456" t="str">
            <v>Kuwait</v>
          </cell>
          <cell r="G456" t="str">
            <v>VIP / Government operated</v>
          </cell>
        </row>
        <row r="457">
          <cell r="A457" t="str">
            <v>Gulfstream IV</v>
          </cell>
          <cell r="B457" t="str">
            <v>SP</v>
          </cell>
          <cell r="C457" t="str">
            <v>Avioneta LLC</v>
          </cell>
          <cell r="D457">
            <v>36572</v>
          </cell>
          <cell r="E457" t="str">
            <v>North America &amp; Caribbean</v>
          </cell>
          <cell r="F457" t="str">
            <v>USA</v>
          </cell>
          <cell r="G457" t="str">
            <v>Business / Corporate / Executive</v>
          </cell>
        </row>
        <row r="458">
          <cell r="A458" t="str">
            <v>Gulfstream V</v>
          </cell>
          <cell r="B458" t="str">
            <v xml:space="preserve"> </v>
          </cell>
          <cell r="C458" t="str">
            <v>Daimler Chrysler AG</v>
          </cell>
          <cell r="D458">
            <v>36573</v>
          </cell>
          <cell r="E458" t="str">
            <v>Europe</v>
          </cell>
          <cell r="F458" t="str">
            <v>Germany</v>
          </cell>
          <cell r="G458" t="str">
            <v>Business / Corporate / Executive</v>
          </cell>
        </row>
        <row r="459">
          <cell r="A459" t="str">
            <v>Gulfstream V</v>
          </cell>
          <cell r="B459" t="str">
            <v xml:space="preserve"> </v>
          </cell>
          <cell r="C459" t="str">
            <v>Neet Air AG</v>
          </cell>
          <cell r="D459">
            <v>36574</v>
          </cell>
          <cell r="E459" t="str">
            <v>Europe</v>
          </cell>
          <cell r="F459" t="str">
            <v>Switzerland</v>
          </cell>
          <cell r="G459" t="str">
            <v>Business / Corporate / Executive</v>
          </cell>
        </row>
        <row r="460">
          <cell r="A460" t="str">
            <v>Gulfstream V</v>
          </cell>
          <cell r="B460" t="str">
            <v xml:space="preserve"> </v>
          </cell>
          <cell r="C460" t="str">
            <v>US Air Force</v>
          </cell>
          <cell r="D460">
            <v>36579</v>
          </cell>
          <cell r="E460" t="str">
            <v>North America &amp; Caribbean</v>
          </cell>
          <cell r="F460" t="str">
            <v>USA</v>
          </cell>
          <cell r="G460" t="str">
            <v>VIP / Government operated</v>
          </cell>
        </row>
        <row r="461">
          <cell r="A461" t="str">
            <v>Gulfstream IV</v>
          </cell>
          <cell r="B461" t="str">
            <v>SP</v>
          </cell>
          <cell r="C461" t="str">
            <v>Netjets International</v>
          </cell>
          <cell r="D461">
            <v>36580</v>
          </cell>
          <cell r="E461" t="str">
            <v>North America &amp; Caribbean</v>
          </cell>
          <cell r="F461" t="str">
            <v>USA</v>
          </cell>
          <cell r="G461" t="str">
            <v>Business / Corporate / Executive</v>
          </cell>
        </row>
        <row r="462">
          <cell r="A462" t="str">
            <v>Gulfstream IV</v>
          </cell>
          <cell r="B462" t="str">
            <v>U-4</v>
          </cell>
          <cell r="C462" t="str">
            <v>Japanese Air Self Defence Force</v>
          </cell>
          <cell r="D462">
            <v>36586</v>
          </cell>
          <cell r="E462" t="str">
            <v>Asia</v>
          </cell>
          <cell r="F462" t="str">
            <v>Japan</v>
          </cell>
          <cell r="G462" t="str">
            <v>Utility Transport (Military Multi-Role)</v>
          </cell>
        </row>
        <row r="463">
          <cell r="A463" t="str">
            <v>Gulfstream IV</v>
          </cell>
          <cell r="B463" t="str">
            <v>SP</v>
          </cell>
          <cell r="C463" t="str">
            <v>Honeywell Inc</v>
          </cell>
          <cell r="D463">
            <v>36594</v>
          </cell>
          <cell r="E463" t="str">
            <v>North America &amp; Caribbean</v>
          </cell>
          <cell r="F463" t="str">
            <v>USA</v>
          </cell>
          <cell r="G463" t="str">
            <v>Business / Corporate / Executive</v>
          </cell>
        </row>
        <row r="464">
          <cell r="A464" t="str">
            <v>Gulfstream V</v>
          </cell>
          <cell r="B464" t="str">
            <v xml:space="preserve"> </v>
          </cell>
          <cell r="C464" t="str">
            <v>Dominion Aircraft Inc</v>
          </cell>
          <cell r="D464">
            <v>36601</v>
          </cell>
          <cell r="E464" t="str">
            <v>North America &amp; Caribbean</v>
          </cell>
          <cell r="F464" t="str">
            <v>USA</v>
          </cell>
          <cell r="G464" t="str">
            <v>Business / Corporate / Executive</v>
          </cell>
        </row>
        <row r="465">
          <cell r="A465" t="str">
            <v>Gulfstream V</v>
          </cell>
          <cell r="B465" t="str">
            <v xml:space="preserve"> </v>
          </cell>
          <cell r="C465" t="str">
            <v>Atlantic Financial Managers Inc</v>
          </cell>
          <cell r="D465">
            <v>36602</v>
          </cell>
          <cell r="E465" t="str">
            <v>North America &amp; Caribbean</v>
          </cell>
          <cell r="F465" t="str">
            <v>USA</v>
          </cell>
          <cell r="G465" t="str">
            <v>Business / Corporate / Executive</v>
          </cell>
        </row>
        <row r="466">
          <cell r="A466" t="str">
            <v>Gulfstream IV</v>
          </cell>
          <cell r="B466" t="str">
            <v>SP</v>
          </cell>
          <cell r="C466" t="str">
            <v>Netjets International</v>
          </cell>
          <cell r="D466">
            <v>36613</v>
          </cell>
          <cell r="E466" t="str">
            <v>North America &amp; Caribbean</v>
          </cell>
          <cell r="F466" t="str">
            <v>USA</v>
          </cell>
          <cell r="G466" t="str">
            <v>Business / Corporate / Executive</v>
          </cell>
        </row>
        <row r="467">
          <cell r="A467" t="str">
            <v>Gulfstream IV</v>
          </cell>
          <cell r="B467" t="str">
            <v>SP</v>
          </cell>
          <cell r="C467" t="str">
            <v>Swift Air</v>
          </cell>
          <cell r="D467">
            <v>36615</v>
          </cell>
          <cell r="E467" t="str">
            <v>North America &amp; Caribbean</v>
          </cell>
          <cell r="F467" t="str">
            <v>USA</v>
          </cell>
          <cell r="G467" t="str">
            <v>Business / Corporate / Executive</v>
          </cell>
        </row>
        <row r="468">
          <cell r="A468" t="str">
            <v>Gulfstream IV</v>
          </cell>
          <cell r="B468" t="str">
            <v>SP</v>
          </cell>
          <cell r="C468" t="str">
            <v>Dominion Aircraft Inc</v>
          </cell>
          <cell r="D468">
            <v>36630</v>
          </cell>
          <cell r="E468" t="str">
            <v>North America &amp; Caribbean</v>
          </cell>
          <cell r="F468" t="str">
            <v>USA</v>
          </cell>
          <cell r="G468" t="str">
            <v>Business / Corporate / Executive</v>
          </cell>
        </row>
        <row r="469">
          <cell r="A469" t="str">
            <v>Gulfstream IV</v>
          </cell>
          <cell r="B469" t="str">
            <v>SP</v>
          </cell>
          <cell r="C469" t="str">
            <v>TAG Aviation USA</v>
          </cell>
          <cell r="D469">
            <v>36631</v>
          </cell>
          <cell r="E469" t="str">
            <v>North America &amp; Caribbean</v>
          </cell>
          <cell r="F469" t="str">
            <v>USA</v>
          </cell>
          <cell r="G469" t="str">
            <v>Business / Corporate / Executive</v>
          </cell>
        </row>
        <row r="470">
          <cell r="A470" t="str">
            <v>Gulfstream IV</v>
          </cell>
          <cell r="B470" t="str">
            <v>SP</v>
          </cell>
          <cell r="C470" t="str">
            <v>Deerport Aviation Corp</v>
          </cell>
          <cell r="D470">
            <v>36643</v>
          </cell>
          <cell r="E470" t="str">
            <v>North America &amp; Caribbean</v>
          </cell>
          <cell r="F470" t="str">
            <v>USA</v>
          </cell>
          <cell r="G470" t="str">
            <v>Business / Corporate / Executive</v>
          </cell>
        </row>
        <row r="471">
          <cell r="A471" t="str">
            <v>Gulfstream V</v>
          </cell>
          <cell r="B471" t="str">
            <v xml:space="preserve"> </v>
          </cell>
          <cell r="C471" t="str">
            <v>Electronic Data Systems Corp</v>
          </cell>
          <cell r="D471">
            <v>36644</v>
          </cell>
          <cell r="E471" t="str">
            <v>North America &amp; Caribbean</v>
          </cell>
          <cell r="F471" t="str">
            <v>USA</v>
          </cell>
          <cell r="G471" t="str">
            <v>Business / Corporate / Executive</v>
          </cell>
        </row>
        <row r="472">
          <cell r="A472" t="str">
            <v>Gulfstream IV</v>
          </cell>
          <cell r="B472" t="str">
            <v>SP</v>
          </cell>
          <cell r="C472" t="str">
            <v>Netjets International</v>
          </cell>
          <cell r="D472">
            <v>36644</v>
          </cell>
          <cell r="E472" t="str">
            <v>North America &amp; Caribbean</v>
          </cell>
          <cell r="F472" t="str">
            <v>USA</v>
          </cell>
          <cell r="G472" t="str">
            <v>Business / Corporate / Executive</v>
          </cell>
        </row>
        <row r="473">
          <cell r="A473" t="str">
            <v>Gulfstream IV</v>
          </cell>
          <cell r="B473" t="str">
            <v>SP</v>
          </cell>
          <cell r="C473" t="str">
            <v>The Proctor &amp; Gamble Co</v>
          </cell>
          <cell r="D473">
            <v>36648</v>
          </cell>
          <cell r="E473" t="str">
            <v>North America &amp; Caribbean</v>
          </cell>
          <cell r="F473" t="str">
            <v>USA</v>
          </cell>
          <cell r="G473" t="str">
            <v>Business / Corporate / Executive</v>
          </cell>
        </row>
        <row r="474">
          <cell r="A474" t="str">
            <v>Gulfstream IV</v>
          </cell>
          <cell r="B474" t="str">
            <v>SP</v>
          </cell>
          <cell r="C474" t="str">
            <v>JMI Services Inc</v>
          </cell>
          <cell r="D474">
            <v>36649</v>
          </cell>
          <cell r="E474" t="str">
            <v>North America &amp; Caribbean</v>
          </cell>
          <cell r="F474" t="str">
            <v>USA</v>
          </cell>
          <cell r="G474" t="str">
            <v>Business / Corporate / Executive</v>
          </cell>
        </row>
        <row r="475">
          <cell r="A475" t="str">
            <v>Gulfstream V</v>
          </cell>
          <cell r="B475" t="str">
            <v xml:space="preserve"> </v>
          </cell>
          <cell r="C475" t="str">
            <v>National Express Co</v>
          </cell>
          <cell r="D475">
            <v>36649</v>
          </cell>
          <cell r="E475" t="str">
            <v>North America &amp; Caribbean</v>
          </cell>
          <cell r="F475" t="str">
            <v>USA</v>
          </cell>
          <cell r="G475" t="str">
            <v>Business / Corporate / Executive</v>
          </cell>
        </row>
        <row r="476">
          <cell r="A476" t="str">
            <v>Gulfstream IV</v>
          </cell>
          <cell r="B476" t="str">
            <v>SP</v>
          </cell>
          <cell r="C476" t="str">
            <v>Armed Forces Medical Services</v>
          </cell>
          <cell r="D476">
            <v>36666</v>
          </cell>
          <cell r="E476" t="str">
            <v>Asia</v>
          </cell>
          <cell r="F476" t="str">
            <v>Saudi Arabia</v>
          </cell>
          <cell r="G476" t="str">
            <v>Business / Corporate / Executive</v>
          </cell>
        </row>
        <row r="477">
          <cell r="A477" t="str">
            <v>Gulfstream IV</v>
          </cell>
          <cell r="B477" t="str">
            <v>SP</v>
          </cell>
          <cell r="C477" t="str">
            <v>The Proctor &amp; Gamble Co</v>
          </cell>
          <cell r="D477">
            <v>36668</v>
          </cell>
          <cell r="E477" t="str">
            <v>North America &amp; Caribbean</v>
          </cell>
          <cell r="F477" t="str">
            <v>USA</v>
          </cell>
          <cell r="G477" t="str">
            <v>Business / Corporate / Executive</v>
          </cell>
        </row>
        <row r="478">
          <cell r="A478" t="str">
            <v>Gulfstream IV</v>
          </cell>
          <cell r="B478" t="str">
            <v>SP</v>
          </cell>
          <cell r="C478" t="str">
            <v>Snowbird Aviation LLC</v>
          </cell>
          <cell r="D478">
            <v>36669</v>
          </cell>
          <cell r="E478" t="str">
            <v>North America &amp; Caribbean</v>
          </cell>
          <cell r="F478" t="str">
            <v>USA</v>
          </cell>
          <cell r="G478" t="str">
            <v>Business / Corporate / Executive</v>
          </cell>
        </row>
        <row r="479">
          <cell r="A479" t="str">
            <v>Gulfstream V</v>
          </cell>
          <cell r="B479" t="str">
            <v xml:space="preserve"> </v>
          </cell>
          <cell r="C479" t="str">
            <v>Simon Aviation Inc</v>
          </cell>
          <cell r="D479">
            <v>36682</v>
          </cell>
          <cell r="E479" t="str">
            <v>North America &amp; Caribbean</v>
          </cell>
          <cell r="F479" t="str">
            <v>USA</v>
          </cell>
          <cell r="G479" t="str">
            <v>Business / Corporate / Executive</v>
          </cell>
        </row>
        <row r="480">
          <cell r="A480" t="str">
            <v>Gulfstream IV</v>
          </cell>
          <cell r="B480" t="str">
            <v>SP</v>
          </cell>
          <cell r="C480" t="str">
            <v>McDonalds Corp</v>
          </cell>
          <cell r="D480">
            <v>36685</v>
          </cell>
          <cell r="E480" t="str">
            <v>North America &amp; Caribbean</v>
          </cell>
          <cell r="F480" t="str">
            <v>USA</v>
          </cell>
          <cell r="G480" t="str">
            <v>Business / Corporate / Executive</v>
          </cell>
        </row>
        <row r="481">
          <cell r="A481" t="str">
            <v>Gulfstream V</v>
          </cell>
          <cell r="B481" t="str">
            <v xml:space="preserve"> </v>
          </cell>
          <cell r="C481" t="str">
            <v>Simon Aviation Inc</v>
          </cell>
          <cell r="D481">
            <v>36693</v>
          </cell>
          <cell r="E481" t="str">
            <v>North America &amp; Caribbean</v>
          </cell>
          <cell r="F481" t="str">
            <v>USA</v>
          </cell>
          <cell r="G481" t="str">
            <v>Business / Corporate / Executive</v>
          </cell>
        </row>
        <row r="482">
          <cell r="A482" t="str">
            <v>Gulfstream V</v>
          </cell>
          <cell r="B482" t="str">
            <v xml:space="preserve"> </v>
          </cell>
          <cell r="C482" t="str">
            <v>Ford Motor Co</v>
          </cell>
          <cell r="D482">
            <v>36696</v>
          </cell>
          <cell r="E482" t="str">
            <v>North America &amp; Caribbean</v>
          </cell>
          <cell r="F482" t="str">
            <v>USA</v>
          </cell>
          <cell r="G482" t="str">
            <v>Business / Corporate / Executive</v>
          </cell>
        </row>
        <row r="483">
          <cell r="A483" t="str">
            <v>Gulfstream V</v>
          </cell>
          <cell r="B483" t="str">
            <v xml:space="preserve"> </v>
          </cell>
          <cell r="C483" t="str">
            <v>Johnson Controls Inc</v>
          </cell>
          <cell r="D483">
            <v>36699</v>
          </cell>
          <cell r="E483" t="str">
            <v>North America &amp; Caribbean</v>
          </cell>
          <cell r="F483" t="str">
            <v>USA</v>
          </cell>
          <cell r="G483" t="str">
            <v>Business / Corporate / Executive</v>
          </cell>
        </row>
        <row r="484">
          <cell r="A484" t="str">
            <v>Gulfstream IV</v>
          </cell>
          <cell r="B484" t="str">
            <v>SP</v>
          </cell>
          <cell r="C484" t="str">
            <v>Netjets International</v>
          </cell>
          <cell r="D484">
            <v>36699</v>
          </cell>
          <cell r="E484" t="str">
            <v>North America &amp; Caribbean</v>
          </cell>
          <cell r="F484" t="str">
            <v>USA</v>
          </cell>
          <cell r="G484" t="str">
            <v>Business / Corporate / Executive</v>
          </cell>
        </row>
        <row r="485">
          <cell r="A485" t="str">
            <v>Gulfstream V</v>
          </cell>
          <cell r="B485" t="str">
            <v xml:space="preserve"> </v>
          </cell>
          <cell r="C485" t="str">
            <v>Telefonica Internacional SA</v>
          </cell>
          <cell r="D485">
            <v>36703</v>
          </cell>
          <cell r="E485" t="str">
            <v>Europe</v>
          </cell>
          <cell r="F485" t="str">
            <v>Spain</v>
          </cell>
          <cell r="G485" t="str">
            <v>Business / Corporate / Executive</v>
          </cell>
        </row>
        <row r="486">
          <cell r="A486" t="str">
            <v>Gulfstream IV</v>
          </cell>
          <cell r="B486" t="str">
            <v>SP</v>
          </cell>
          <cell r="C486" t="str">
            <v>William T Gross</v>
          </cell>
          <cell r="D486">
            <v>36705</v>
          </cell>
          <cell r="E486" t="str">
            <v>North America &amp; Caribbean</v>
          </cell>
          <cell r="F486" t="str">
            <v>USA</v>
          </cell>
          <cell r="G486" t="str">
            <v>Business / Corporate / Executive</v>
          </cell>
        </row>
        <row r="487">
          <cell r="A487" t="str">
            <v>Gulfstream IV</v>
          </cell>
          <cell r="B487" t="str">
            <v>SP</v>
          </cell>
          <cell r="C487" t="str">
            <v>Unconfirmed Corporate Operator</v>
          </cell>
          <cell r="D487">
            <v>36706</v>
          </cell>
          <cell r="E487" t="str">
            <v>Unknown area</v>
          </cell>
          <cell r="F487" t="str">
            <v>Unknown Country</v>
          </cell>
          <cell r="G487" t="str">
            <v>Business / Corporate / Executive</v>
          </cell>
        </row>
        <row r="488">
          <cell r="A488" t="str">
            <v>Gulfstream IV</v>
          </cell>
          <cell r="B488" t="str">
            <v>SP</v>
          </cell>
          <cell r="C488" t="str">
            <v>PPG Industries Properties LLC</v>
          </cell>
          <cell r="D488">
            <v>36706</v>
          </cell>
          <cell r="E488" t="str">
            <v>North America &amp; Caribbean</v>
          </cell>
          <cell r="F488" t="str">
            <v>USA</v>
          </cell>
          <cell r="G488" t="str">
            <v>Business / Corporate / Executive</v>
          </cell>
        </row>
        <row r="489">
          <cell r="A489" t="str">
            <v>Gulfstream IV</v>
          </cell>
          <cell r="B489" t="str">
            <v>SP</v>
          </cell>
          <cell r="C489" t="str">
            <v>NAS Financial Corp</v>
          </cell>
          <cell r="D489">
            <v>36707</v>
          </cell>
          <cell r="E489" t="str">
            <v>North America &amp; Caribbean</v>
          </cell>
          <cell r="F489" t="str">
            <v>USA</v>
          </cell>
          <cell r="G489" t="str">
            <v>Business / Corporate / Executive</v>
          </cell>
        </row>
        <row r="490">
          <cell r="A490" t="str">
            <v>Gulfstream V</v>
          </cell>
          <cell r="B490" t="str">
            <v xml:space="preserve"> </v>
          </cell>
          <cell r="C490" t="str">
            <v>United Coal Co</v>
          </cell>
          <cell r="D490">
            <v>36707</v>
          </cell>
          <cell r="E490" t="str">
            <v>North America &amp; Caribbean</v>
          </cell>
          <cell r="F490" t="str">
            <v>USA</v>
          </cell>
          <cell r="G490" t="str">
            <v>Business / Corporate / Executive</v>
          </cell>
        </row>
        <row r="491">
          <cell r="A491" t="str">
            <v>Gulfstream V</v>
          </cell>
          <cell r="B491" t="str">
            <v xml:space="preserve"> </v>
          </cell>
          <cell r="C491" t="str">
            <v>Armed Forces Medical Services</v>
          </cell>
          <cell r="D491">
            <v>36722</v>
          </cell>
          <cell r="E491" t="str">
            <v>Asia</v>
          </cell>
          <cell r="F491" t="str">
            <v>Saudi Arabia</v>
          </cell>
          <cell r="G491" t="str">
            <v>Hospital / Ambulance / Medevac</v>
          </cell>
        </row>
        <row r="492">
          <cell r="A492" t="str">
            <v>Gulfstream IV</v>
          </cell>
          <cell r="B492" t="str">
            <v>SP</v>
          </cell>
          <cell r="C492" t="str">
            <v>Hutching Automotive Products Inc</v>
          </cell>
          <cell r="D492">
            <v>36725</v>
          </cell>
          <cell r="E492" t="str">
            <v>North America &amp; Caribbean</v>
          </cell>
          <cell r="F492" t="str">
            <v>USA</v>
          </cell>
          <cell r="G492" t="str">
            <v>Business / Corporate / Executive</v>
          </cell>
        </row>
        <row r="493">
          <cell r="A493" t="str">
            <v>Gulfstream IV</v>
          </cell>
          <cell r="B493" t="str">
            <v>SP</v>
          </cell>
          <cell r="C493" t="str">
            <v>Chiricahua Properties LLC</v>
          </cell>
          <cell r="D493">
            <v>36732</v>
          </cell>
          <cell r="E493" t="str">
            <v>North America &amp; Caribbean</v>
          </cell>
          <cell r="F493" t="str">
            <v>USA</v>
          </cell>
          <cell r="G493" t="str">
            <v>Business / Corporate / Executive</v>
          </cell>
        </row>
        <row r="494">
          <cell r="A494" t="str">
            <v>Gulfstream IV</v>
          </cell>
          <cell r="B494" t="str">
            <v>SP</v>
          </cell>
          <cell r="C494" t="str">
            <v>Netjets International</v>
          </cell>
          <cell r="D494">
            <v>36733</v>
          </cell>
          <cell r="E494" t="str">
            <v>North America &amp; Caribbean</v>
          </cell>
          <cell r="F494" t="str">
            <v>USA</v>
          </cell>
          <cell r="G494" t="str">
            <v>Business / Corporate / Executive</v>
          </cell>
        </row>
        <row r="495">
          <cell r="A495" t="str">
            <v>Gulfstream V</v>
          </cell>
          <cell r="B495" t="str">
            <v xml:space="preserve"> </v>
          </cell>
          <cell r="C495" t="str">
            <v>Ford Motor Co</v>
          </cell>
          <cell r="D495">
            <v>36739</v>
          </cell>
          <cell r="E495" t="str">
            <v>North America &amp; Caribbean</v>
          </cell>
          <cell r="F495" t="str">
            <v>USA</v>
          </cell>
          <cell r="G495" t="str">
            <v>Business / Corporate / Executive</v>
          </cell>
        </row>
        <row r="496">
          <cell r="A496" t="str">
            <v>Gulfstream V</v>
          </cell>
          <cell r="B496" t="str">
            <v xml:space="preserve"> </v>
          </cell>
          <cell r="C496" t="str">
            <v>Lockheed Martin Corp</v>
          </cell>
          <cell r="D496">
            <v>36760</v>
          </cell>
          <cell r="E496" t="str">
            <v>North America &amp; Caribbean</v>
          </cell>
          <cell r="F496" t="str">
            <v>USA</v>
          </cell>
          <cell r="G496" t="str">
            <v>Business / Corporate / Executive</v>
          </cell>
        </row>
        <row r="497">
          <cell r="A497" t="str">
            <v>Gulfstream IV</v>
          </cell>
          <cell r="B497" t="str">
            <v>SP</v>
          </cell>
          <cell r="C497" t="str">
            <v>JJSA Aviation LLC</v>
          </cell>
          <cell r="D497">
            <v>36763</v>
          </cell>
          <cell r="E497" t="str">
            <v>North America &amp; Caribbean</v>
          </cell>
          <cell r="F497" t="str">
            <v>USA</v>
          </cell>
          <cell r="G497" t="str">
            <v>Business / Corporate / Executive</v>
          </cell>
        </row>
        <row r="498">
          <cell r="A498" t="str">
            <v>Gulfstream IV</v>
          </cell>
          <cell r="B498" t="str">
            <v>SP</v>
          </cell>
          <cell r="C498" t="str">
            <v>Harmony Management Inc</v>
          </cell>
          <cell r="D498">
            <v>36768</v>
          </cell>
          <cell r="E498" t="str">
            <v>North America &amp; Caribbean</v>
          </cell>
          <cell r="F498" t="str">
            <v>USA</v>
          </cell>
          <cell r="G498" t="str">
            <v>Business / Corporate / Executive</v>
          </cell>
        </row>
        <row r="499">
          <cell r="A499" t="str">
            <v>Gulfstream IV</v>
          </cell>
          <cell r="B499" t="str">
            <v>SP</v>
          </cell>
          <cell r="C499" t="str">
            <v>Alcoa Inc</v>
          </cell>
          <cell r="D499">
            <v>36769</v>
          </cell>
          <cell r="E499" t="str">
            <v>North America &amp; Caribbean</v>
          </cell>
          <cell r="F499" t="str">
            <v>USA</v>
          </cell>
          <cell r="G499" t="str">
            <v>Business / Corporate / Executive</v>
          </cell>
        </row>
        <row r="500">
          <cell r="A500" t="str">
            <v>Gulfstream V</v>
          </cell>
          <cell r="B500" t="str">
            <v xml:space="preserve"> </v>
          </cell>
          <cell r="C500" t="str">
            <v>Jack Prewitt &amp; Associates Inc</v>
          </cell>
          <cell r="D500">
            <v>36777</v>
          </cell>
          <cell r="E500" t="str">
            <v>North America &amp; Caribbean</v>
          </cell>
          <cell r="F500" t="str">
            <v>USA</v>
          </cell>
          <cell r="G500" t="str">
            <v>Business / Corporate / Executive</v>
          </cell>
        </row>
        <row r="501">
          <cell r="A501" t="str">
            <v>Gulfstream IV</v>
          </cell>
          <cell r="B501" t="str">
            <v>SP</v>
          </cell>
          <cell r="C501" t="str">
            <v>Netjets International</v>
          </cell>
          <cell r="D501">
            <v>36780</v>
          </cell>
          <cell r="E501" t="str">
            <v>North America &amp; Caribbean</v>
          </cell>
          <cell r="F501" t="str">
            <v>USA</v>
          </cell>
          <cell r="G501" t="str">
            <v>Business / Corporate / Executive</v>
          </cell>
        </row>
        <row r="502">
          <cell r="A502" t="str">
            <v>Gulfstream IV</v>
          </cell>
          <cell r="B502" t="str">
            <v>SP</v>
          </cell>
          <cell r="C502" t="str">
            <v>Palmarina Investments</v>
          </cell>
          <cell r="D502">
            <v>36784</v>
          </cell>
          <cell r="E502" t="str">
            <v>North America &amp; Caribbean</v>
          </cell>
          <cell r="F502" t="str">
            <v>Bermuda</v>
          </cell>
          <cell r="G502" t="str">
            <v>Business / Corporate / Executive</v>
          </cell>
        </row>
        <row r="503">
          <cell r="A503" t="str">
            <v>Gulfstream IV</v>
          </cell>
          <cell r="B503" t="str">
            <v>SP</v>
          </cell>
          <cell r="C503" t="str">
            <v>Altria Corporate Services Inc</v>
          </cell>
          <cell r="D503">
            <v>36790</v>
          </cell>
          <cell r="E503" t="str">
            <v>North America &amp; Caribbean</v>
          </cell>
          <cell r="F503" t="str">
            <v>USA</v>
          </cell>
          <cell r="G503" t="str">
            <v>Business / Corporate / Executive</v>
          </cell>
        </row>
        <row r="504">
          <cell r="A504" t="str">
            <v>Gulfstream IV</v>
          </cell>
          <cell r="B504" t="str">
            <v>SP</v>
          </cell>
          <cell r="C504" t="str">
            <v>Masanori Honjo &amp; Teruko Honjo</v>
          </cell>
          <cell r="D504">
            <v>36797</v>
          </cell>
          <cell r="E504" t="str">
            <v>North America &amp; Caribbean</v>
          </cell>
          <cell r="F504" t="str">
            <v>USA</v>
          </cell>
          <cell r="G504" t="str">
            <v>Business / Corporate / Executive</v>
          </cell>
        </row>
        <row r="505">
          <cell r="A505" t="str">
            <v>Gulfstream V</v>
          </cell>
          <cell r="B505" t="str">
            <v xml:space="preserve"> </v>
          </cell>
          <cell r="C505" t="str">
            <v>3M Co</v>
          </cell>
          <cell r="D505">
            <v>36797</v>
          </cell>
          <cell r="E505" t="str">
            <v>North America &amp; Caribbean</v>
          </cell>
          <cell r="F505" t="str">
            <v>USA</v>
          </cell>
          <cell r="G505" t="str">
            <v>Business / Corporate / Executive</v>
          </cell>
        </row>
        <row r="506">
          <cell r="A506" t="str">
            <v>Gulfstream IV</v>
          </cell>
          <cell r="B506" t="str">
            <v>SP</v>
          </cell>
          <cell r="C506" t="str">
            <v>Airstar Corp</v>
          </cell>
          <cell r="D506">
            <v>36798</v>
          </cell>
          <cell r="E506" t="str">
            <v>North America &amp; Caribbean</v>
          </cell>
          <cell r="F506" t="str">
            <v>USA</v>
          </cell>
          <cell r="G506" t="str">
            <v>Business / Corporate / Executive</v>
          </cell>
        </row>
        <row r="507">
          <cell r="A507" t="str">
            <v>Gulfstream V</v>
          </cell>
          <cell r="B507" t="str">
            <v xml:space="preserve"> </v>
          </cell>
          <cell r="C507" t="str">
            <v>Ford Motor Co</v>
          </cell>
          <cell r="D507">
            <v>36798</v>
          </cell>
          <cell r="E507" t="str">
            <v>North America &amp; Caribbean</v>
          </cell>
          <cell r="F507" t="str">
            <v>USA</v>
          </cell>
          <cell r="G507" t="str">
            <v>Business / Corporate / Executive</v>
          </cell>
        </row>
        <row r="508">
          <cell r="A508" t="str">
            <v>Gulfstream IV</v>
          </cell>
          <cell r="B508" t="str">
            <v>SP</v>
          </cell>
          <cell r="C508" t="str">
            <v>High Tech Aircraft Corp</v>
          </cell>
          <cell r="D508">
            <v>36825</v>
          </cell>
          <cell r="E508" t="str">
            <v>North America &amp; Caribbean</v>
          </cell>
          <cell r="F508" t="str">
            <v>USA</v>
          </cell>
          <cell r="G508" t="str">
            <v>Business / Corporate / Executive</v>
          </cell>
        </row>
        <row r="509">
          <cell r="A509" t="str">
            <v>Gulfstream IV</v>
          </cell>
          <cell r="B509" t="str">
            <v>SP</v>
          </cell>
          <cell r="C509" t="str">
            <v>Bright Flight Inc</v>
          </cell>
          <cell r="D509">
            <v>36829</v>
          </cell>
          <cell r="E509" t="str">
            <v>North America &amp; Caribbean</v>
          </cell>
          <cell r="F509" t="str">
            <v>USA</v>
          </cell>
          <cell r="G509" t="str">
            <v>Business / Corporate / Executive</v>
          </cell>
        </row>
        <row r="510">
          <cell r="A510" t="str">
            <v>Gulfstream IV</v>
          </cell>
          <cell r="B510" t="str">
            <v>SP</v>
          </cell>
          <cell r="C510" t="str">
            <v>EMC Corp</v>
          </cell>
          <cell r="D510">
            <v>36838</v>
          </cell>
          <cell r="E510" t="str">
            <v>North America &amp; Caribbean</v>
          </cell>
          <cell r="F510" t="str">
            <v>USA</v>
          </cell>
          <cell r="G510" t="str">
            <v>Business / Corporate / Executive</v>
          </cell>
        </row>
        <row r="511">
          <cell r="A511" t="str">
            <v>Gulfstream IV</v>
          </cell>
          <cell r="B511" t="str">
            <v>SP</v>
          </cell>
          <cell r="C511" t="str">
            <v>Netjets International</v>
          </cell>
          <cell r="D511">
            <v>36839</v>
          </cell>
          <cell r="E511" t="str">
            <v>North America &amp; Caribbean</v>
          </cell>
          <cell r="F511" t="str">
            <v>USA</v>
          </cell>
          <cell r="G511" t="str">
            <v>Business / Corporate / Executive</v>
          </cell>
        </row>
        <row r="512">
          <cell r="A512" t="str">
            <v>Gulfstream IV</v>
          </cell>
          <cell r="B512" t="str">
            <v>SP</v>
          </cell>
          <cell r="C512" t="str">
            <v>Dennis Vanguard (Switchgear) Ltd</v>
          </cell>
          <cell r="D512">
            <v>36840</v>
          </cell>
          <cell r="E512" t="str">
            <v>Europe</v>
          </cell>
          <cell r="F512" t="str">
            <v>United Kingdom</v>
          </cell>
          <cell r="G512" t="str">
            <v>Business / Corporate / Executive</v>
          </cell>
        </row>
        <row r="513">
          <cell r="A513" t="str">
            <v>Gulfstream IV</v>
          </cell>
          <cell r="B513" t="str">
            <v>SP</v>
          </cell>
          <cell r="C513" t="str">
            <v>Rim Air LLC</v>
          </cell>
          <cell r="D513">
            <v>36843</v>
          </cell>
          <cell r="E513" t="str">
            <v>North America &amp; Caribbean</v>
          </cell>
          <cell r="F513" t="str">
            <v>USA</v>
          </cell>
          <cell r="G513" t="str">
            <v>Business / Corporate / Executive</v>
          </cell>
        </row>
        <row r="514">
          <cell r="A514" t="str">
            <v>Gulfstream V</v>
          </cell>
          <cell r="B514" t="str">
            <v xml:space="preserve"> </v>
          </cell>
          <cell r="C514" t="str">
            <v>Ford Motor Co</v>
          </cell>
          <cell r="D514">
            <v>36846</v>
          </cell>
          <cell r="E514" t="str">
            <v>North America &amp; Caribbean</v>
          </cell>
          <cell r="F514" t="str">
            <v>USA</v>
          </cell>
          <cell r="G514" t="str">
            <v>Business / Corporate / Executive</v>
          </cell>
        </row>
        <row r="515">
          <cell r="A515" t="str">
            <v>Gulfstream V</v>
          </cell>
          <cell r="B515" t="str">
            <v xml:space="preserve"> </v>
          </cell>
          <cell r="C515" t="str">
            <v>GFSC Aircraft Acquisition Financing Corp</v>
          </cell>
          <cell r="D515">
            <v>36850</v>
          </cell>
          <cell r="E515" t="str">
            <v>North America &amp; Caribbean</v>
          </cell>
          <cell r="F515" t="str">
            <v>USA</v>
          </cell>
          <cell r="G515" t="str">
            <v>Business / Corporate / Executive</v>
          </cell>
        </row>
        <row r="516">
          <cell r="A516" t="str">
            <v>Gulfstream V</v>
          </cell>
          <cell r="B516" t="str">
            <v xml:space="preserve"> </v>
          </cell>
          <cell r="C516" t="str">
            <v>St Thomas Energy Exports Inc</v>
          </cell>
          <cell r="D516">
            <v>36859</v>
          </cell>
          <cell r="E516" t="str">
            <v>North America &amp; Caribbean</v>
          </cell>
          <cell r="F516" t="str">
            <v>Virgin Islands (US)</v>
          </cell>
          <cell r="G516" t="str">
            <v>Business / Corporate / Executive</v>
          </cell>
        </row>
        <row r="517">
          <cell r="A517" t="str">
            <v>Gulfstream IV</v>
          </cell>
          <cell r="B517" t="str">
            <v>SP</v>
          </cell>
          <cell r="C517" t="str">
            <v>ConocoPhillips Co</v>
          </cell>
          <cell r="D517">
            <v>36860</v>
          </cell>
          <cell r="E517" t="str">
            <v>North America &amp; Caribbean</v>
          </cell>
          <cell r="F517" t="str">
            <v>USA</v>
          </cell>
          <cell r="G517" t="str">
            <v>Business / Corporate / Executive</v>
          </cell>
        </row>
        <row r="518">
          <cell r="A518" t="str">
            <v>Gulfstream V</v>
          </cell>
          <cell r="B518" t="str">
            <v xml:space="preserve"> </v>
          </cell>
          <cell r="C518" t="str">
            <v>Gulfstream GATX Leasing Co LLC</v>
          </cell>
          <cell r="D518">
            <v>36860</v>
          </cell>
          <cell r="E518" t="str">
            <v>North America &amp; Caribbean</v>
          </cell>
          <cell r="F518" t="str">
            <v>USA</v>
          </cell>
          <cell r="G518" t="str">
            <v>Business / Corporate / Executive</v>
          </cell>
        </row>
        <row r="519">
          <cell r="A519" t="str">
            <v>Gulfstream V</v>
          </cell>
          <cell r="B519" t="str">
            <v xml:space="preserve"> </v>
          </cell>
          <cell r="C519" t="str">
            <v>US Air Force</v>
          </cell>
          <cell r="D519">
            <v>36862</v>
          </cell>
          <cell r="E519" t="str">
            <v>North America &amp; Caribbean</v>
          </cell>
          <cell r="F519" t="str">
            <v>USA</v>
          </cell>
          <cell r="G519" t="str">
            <v>VIP / Government operated</v>
          </cell>
        </row>
        <row r="520">
          <cell r="A520" t="str">
            <v>Gulfstream IV</v>
          </cell>
          <cell r="B520" t="str">
            <v>SP</v>
          </cell>
          <cell r="C520" t="str">
            <v>Taubman Enterprises Inc</v>
          </cell>
          <cell r="D520">
            <v>36864</v>
          </cell>
          <cell r="E520" t="str">
            <v>North America &amp; Caribbean</v>
          </cell>
          <cell r="F520" t="str">
            <v>USA</v>
          </cell>
          <cell r="G520" t="str">
            <v>Business / Corporate / Executive</v>
          </cell>
        </row>
        <row r="521">
          <cell r="A521" t="str">
            <v>Gulfstream IV</v>
          </cell>
          <cell r="B521" t="str">
            <v>SP</v>
          </cell>
          <cell r="C521" t="str">
            <v>Cape Clear LLC</v>
          </cell>
          <cell r="D521">
            <v>36867</v>
          </cell>
          <cell r="E521" t="str">
            <v>North America &amp; Caribbean</v>
          </cell>
          <cell r="F521" t="str">
            <v>USA</v>
          </cell>
          <cell r="G521" t="str">
            <v>Business / Corporate / Executive</v>
          </cell>
        </row>
        <row r="522">
          <cell r="A522" t="str">
            <v>Gulfstream IV</v>
          </cell>
          <cell r="B522" t="str">
            <v>SP</v>
          </cell>
          <cell r="C522" t="str">
            <v>Government of Uganda</v>
          </cell>
          <cell r="D522">
            <v>36878</v>
          </cell>
          <cell r="E522" t="str">
            <v>Africa</v>
          </cell>
          <cell r="F522" t="str">
            <v>Uganda</v>
          </cell>
          <cell r="G522" t="str">
            <v>VIP / Government operated</v>
          </cell>
        </row>
        <row r="523">
          <cell r="A523" t="str">
            <v>Gulfstream V</v>
          </cell>
          <cell r="B523" t="str">
            <v xml:space="preserve"> </v>
          </cell>
          <cell r="C523" t="str">
            <v>Fightertown Inc</v>
          </cell>
          <cell r="D523">
            <v>36878</v>
          </cell>
          <cell r="E523" t="str">
            <v>North America &amp; Caribbean</v>
          </cell>
          <cell r="F523" t="str">
            <v>USA</v>
          </cell>
          <cell r="G523" t="str">
            <v>Business / Corporate / Executive</v>
          </cell>
        </row>
        <row r="524">
          <cell r="A524" t="str">
            <v>Gulfstream IV</v>
          </cell>
          <cell r="B524" t="str">
            <v>SP</v>
          </cell>
          <cell r="C524" t="str">
            <v>H &amp; S Ventures LLC</v>
          </cell>
          <cell r="D524">
            <v>36880</v>
          </cell>
          <cell r="E524" t="str">
            <v>North America &amp; Caribbean</v>
          </cell>
          <cell r="F524" t="str">
            <v>USA</v>
          </cell>
          <cell r="G524" t="str">
            <v>Business / Corporate / Executive</v>
          </cell>
        </row>
        <row r="525">
          <cell r="A525" t="str">
            <v>Gulfstream IV</v>
          </cell>
          <cell r="B525" t="str">
            <v>SP</v>
          </cell>
          <cell r="C525" t="str">
            <v>General Electric Credit Corp of Tennessee</v>
          </cell>
          <cell r="D525">
            <v>36881</v>
          </cell>
          <cell r="E525" t="str">
            <v>North America &amp; Caribbean</v>
          </cell>
          <cell r="F525" t="str">
            <v>USA</v>
          </cell>
          <cell r="G525" t="str">
            <v>Business / Corporate / Executive</v>
          </cell>
        </row>
        <row r="526">
          <cell r="A526" t="str">
            <v>Gulfstream V</v>
          </cell>
          <cell r="B526" t="str">
            <v xml:space="preserve"> </v>
          </cell>
          <cell r="C526" t="str">
            <v>Netjets International</v>
          </cell>
          <cell r="D526">
            <v>36882</v>
          </cell>
          <cell r="E526" t="str">
            <v>North America &amp; Caribbean</v>
          </cell>
          <cell r="F526" t="str">
            <v>USA</v>
          </cell>
          <cell r="G526" t="str">
            <v>Business / Corporate / Executive</v>
          </cell>
        </row>
        <row r="527">
          <cell r="A527" t="str">
            <v>Gulfstream IV</v>
          </cell>
          <cell r="B527" t="str">
            <v>SP</v>
          </cell>
          <cell r="C527" t="str">
            <v>Phillips Petroleum Co</v>
          </cell>
          <cell r="D527">
            <v>36887</v>
          </cell>
          <cell r="E527" t="str">
            <v>North America &amp; Caribbean</v>
          </cell>
          <cell r="F527" t="str">
            <v>USA</v>
          </cell>
          <cell r="G527" t="str">
            <v>Business / Corporate / Executive</v>
          </cell>
        </row>
        <row r="528">
          <cell r="A528" t="str">
            <v>Gulfstream V</v>
          </cell>
          <cell r="B528" t="str">
            <v xml:space="preserve"> </v>
          </cell>
          <cell r="C528" t="str">
            <v>Lexair II Ltd</v>
          </cell>
          <cell r="D528">
            <v>36889</v>
          </cell>
          <cell r="E528" t="str">
            <v>North America &amp; Caribbean</v>
          </cell>
          <cell r="F528" t="str">
            <v>USA</v>
          </cell>
          <cell r="G528" t="str">
            <v>Business / Corporate / Executive</v>
          </cell>
        </row>
        <row r="529">
          <cell r="A529" t="str">
            <v>Gulfstream IV</v>
          </cell>
          <cell r="B529" t="str">
            <v>SP</v>
          </cell>
          <cell r="C529" t="str">
            <v>Limited Service Corp</v>
          </cell>
          <cell r="D529">
            <v>36889</v>
          </cell>
          <cell r="E529" t="str">
            <v>North America &amp; Caribbean</v>
          </cell>
          <cell r="F529" t="str">
            <v>USA</v>
          </cell>
          <cell r="G529" t="str">
            <v>Business / Corporate / Executive</v>
          </cell>
        </row>
        <row r="530">
          <cell r="A530" t="str">
            <v>Gulfstream V</v>
          </cell>
          <cell r="B530" t="str">
            <v xml:space="preserve"> </v>
          </cell>
          <cell r="C530" t="str">
            <v>Schering Plough Corp</v>
          </cell>
          <cell r="D530">
            <v>36889</v>
          </cell>
          <cell r="E530" t="str">
            <v>North America &amp; Caribbean</v>
          </cell>
          <cell r="F530" t="str">
            <v>USA</v>
          </cell>
          <cell r="G530" t="str">
            <v>Business / Corporate / Executive</v>
          </cell>
        </row>
      </sheetData>
      <sheetData sheetId="19">
        <row r="1">
          <cell r="A1" t="str">
            <v>Discounted Cash Flow Analysis</v>
          </cell>
          <cell r="C1" t="str">
            <v>2003E</v>
          </cell>
          <cell r="D1" t="str">
            <v>2004E</v>
          </cell>
          <cell r="E1" t="str">
            <v>2005E</v>
          </cell>
          <cell r="G1" t="str">
            <v>2006E</v>
          </cell>
          <cell r="I1" t="str">
            <v>2007E</v>
          </cell>
          <cell r="K1" t="str">
            <v>2008E</v>
          </cell>
          <cell r="O1" t="str">
            <v>Discounted Cash Flows and Shareholder Value</v>
          </cell>
          <cell r="V1" t="str">
            <v>TERMINAL VALUE ANALYSIS</v>
          </cell>
        </row>
        <row r="3">
          <cell r="A3" t="str">
            <v>Operating Income</v>
          </cell>
          <cell r="C3">
            <v>1442</v>
          </cell>
          <cell r="D3">
            <v>1931</v>
          </cell>
          <cell r="E3">
            <v>2179</v>
          </cell>
          <cell r="F3">
            <v>0</v>
          </cell>
          <cell r="G3">
            <v>2331.5300000000002</v>
          </cell>
          <cell r="H3">
            <v>7</v>
          </cell>
          <cell r="I3">
            <v>2448.1065000000003</v>
          </cell>
          <cell r="J3">
            <v>5</v>
          </cell>
          <cell r="K3">
            <v>2570.5118250000005</v>
          </cell>
          <cell r="L3">
            <v>5</v>
          </cell>
          <cell r="O3" t="str">
            <v xml:space="preserve">                   Discount Rate =</v>
          </cell>
          <cell r="Q3">
            <v>8.8609085258901668E-2</v>
          </cell>
          <cell r="S3" t="str">
            <v xml:space="preserve"> </v>
          </cell>
        </row>
        <row r="4">
          <cell r="A4" t="str">
            <v>Less Unallocated Corporate Expenses</v>
          </cell>
          <cell r="C4">
            <v>0</v>
          </cell>
          <cell r="D4">
            <v>0</v>
          </cell>
          <cell r="E4">
            <v>0</v>
          </cell>
          <cell r="F4">
            <v>0</v>
          </cell>
          <cell r="G4">
            <v>0</v>
          </cell>
          <cell r="H4">
            <v>0</v>
          </cell>
          <cell r="I4">
            <v>0</v>
          </cell>
          <cell r="J4">
            <v>0</v>
          </cell>
          <cell r="K4">
            <v>0</v>
          </cell>
          <cell r="L4">
            <v>0</v>
          </cell>
          <cell r="V4" t="str">
            <v>Capitalization of Cash Flow Approach</v>
          </cell>
        </row>
        <row r="5">
          <cell r="A5" t="str">
            <v>Less Cash Taxes</v>
          </cell>
          <cell r="C5">
            <v>490.28000000000003</v>
          </cell>
          <cell r="D5">
            <v>656.54000000000008</v>
          </cell>
          <cell r="E5">
            <v>740.86</v>
          </cell>
          <cell r="F5">
            <v>12.843086483687195</v>
          </cell>
          <cell r="G5">
            <v>792.72020000000009</v>
          </cell>
          <cell r="H5">
            <v>7.0000000000000062</v>
          </cell>
          <cell r="I5">
            <v>832.35621000000015</v>
          </cell>
          <cell r="J5">
            <v>5.0000000000000044</v>
          </cell>
          <cell r="K5">
            <v>873.97402050000028</v>
          </cell>
          <cell r="L5">
            <v>5.0000000000000044</v>
          </cell>
        </row>
        <row r="6">
          <cell r="A6" t="str">
            <v>NOPAT</v>
          </cell>
          <cell r="C6">
            <v>951.72</v>
          </cell>
          <cell r="D6">
            <v>1274.46</v>
          </cell>
          <cell r="E6">
            <v>1438.1399999999999</v>
          </cell>
          <cell r="F6">
            <v>12.843086483687195</v>
          </cell>
          <cell r="G6">
            <v>1538.8098</v>
          </cell>
          <cell r="H6">
            <v>7.0000000000000062</v>
          </cell>
          <cell r="I6">
            <v>1615.7502900000002</v>
          </cell>
          <cell r="J6">
            <v>5.0000000000000044</v>
          </cell>
          <cell r="K6">
            <v>1696.5378045000002</v>
          </cell>
          <cell r="L6">
            <v>5.0000000000000044</v>
          </cell>
          <cell r="Q6" t="str">
            <v>Present</v>
          </cell>
          <cell r="R6" t="str">
            <v>Cum. Present</v>
          </cell>
          <cell r="V6" t="str">
            <v>Discount Rate</v>
          </cell>
          <cell r="W6">
            <v>8.8609085258901668E-2</v>
          </cell>
        </row>
        <row r="7">
          <cell r="A7" t="str">
            <v>Plus Depreciation</v>
          </cell>
          <cell r="C7">
            <v>204</v>
          </cell>
          <cell r="D7">
            <v>213</v>
          </cell>
          <cell r="E7">
            <v>226</v>
          </cell>
          <cell r="F7">
            <v>0</v>
          </cell>
          <cell r="G7">
            <v>237.3</v>
          </cell>
          <cell r="H7">
            <v>5</v>
          </cell>
          <cell r="I7">
            <v>249.16500000000002</v>
          </cell>
          <cell r="J7">
            <v>5</v>
          </cell>
          <cell r="K7">
            <v>261.62325000000004</v>
          </cell>
          <cell r="L7">
            <v>5</v>
          </cell>
          <cell r="P7" t="str">
            <v>After Tax</v>
          </cell>
          <cell r="Q7" t="str">
            <v>Value of</v>
          </cell>
          <cell r="R7" t="str">
            <v>Value of Cash</v>
          </cell>
          <cell r="V7" t="str">
            <v>Less: Growth Rate</v>
          </cell>
          <cell r="W7">
            <v>0.03</v>
          </cell>
        </row>
        <row r="8">
          <cell r="A8" t="str">
            <v>Gross Cash Flow</v>
          </cell>
          <cell r="C8">
            <v>1155.72</v>
          </cell>
          <cell r="D8">
            <v>1487.46</v>
          </cell>
          <cell r="E8">
            <v>1664.1399999999999</v>
          </cell>
          <cell r="F8">
            <v>11.87796646632513</v>
          </cell>
          <cell r="G8">
            <v>1776.1098</v>
          </cell>
          <cell r="H8">
            <v>6.7283882365666292</v>
          </cell>
          <cell r="I8">
            <v>1864.9152900000001</v>
          </cell>
          <cell r="J8">
            <v>5.0000000000000044</v>
          </cell>
          <cell r="K8">
            <v>1958.1610545000003</v>
          </cell>
          <cell r="L8">
            <v>5.0000000000000044</v>
          </cell>
          <cell r="O8" t="str">
            <v>Year</v>
          </cell>
          <cell r="P8" t="str">
            <v>Cash Flow</v>
          </cell>
          <cell r="Q8" t="str">
            <v>Cash Flow</v>
          </cell>
          <cell r="R8" t="str">
            <v>Flows</v>
          </cell>
        </row>
        <row r="9">
          <cell r="V9" t="str">
            <v>Capitalization Rate</v>
          </cell>
          <cell r="W9">
            <v>5.8609085258901669E-2</v>
          </cell>
        </row>
        <row r="10">
          <cell r="A10" t="str">
            <v>Less Capex</v>
          </cell>
          <cell r="C10">
            <v>220</v>
          </cell>
          <cell r="D10">
            <v>253</v>
          </cell>
          <cell r="E10">
            <v>262</v>
          </cell>
          <cell r="F10">
            <v>0</v>
          </cell>
          <cell r="G10">
            <v>275.10000000000002</v>
          </cell>
          <cell r="H10">
            <v>5</v>
          </cell>
          <cell r="I10">
            <v>288.85500000000002</v>
          </cell>
          <cell r="J10">
            <v>5</v>
          </cell>
          <cell r="K10">
            <v>303.29775000000001</v>
          </cell>
          <cell r="L10">
            <v>5</v>
          </cell>
          <cell r="O10">
            <v>2003</v>
          </cell>
          <cell r="P10">
            <v>835.72</v>
          </cell>
          <cell r="Q10">
            <v>767.69522808202771</v>
          </cell>
          <cell r="R10">
            <v>767.69522808202771</v>
          </cell>
        </row>
        <row r="11">
          <cell r="A11" t="str">
            <v>Less Working Capital Investment(Op Reqs)</v>
          </cell>
          <cell r="C11">
            <v>100</v>
          </cell>
          <cell r="D11">
            <v>108</v>
          </cell>
          <cell r="E11">
            <v>115.56</v>
          </cell>
          <cell r="F11">
            <v>0</v>
          </cell>
          <cell r="G11">
            <v>121.33800000000001</v>
          </cell>
          <cell r="H11">
            <v>5</v>
          </cell>
          <cell r="I11">
            <v>121.33800000000001</v>
          </cell>
          <cell r="J11">
            <v>0</v>
          </cell>
          <cell r="K11">
            <v>121.33800000000001</v>
          </cell>
          <cell r="L11">
            <v>0</v>
          </cell>
          <cell r="O11">
            <v>2004</v>
          </cell>
          <cell r="P11">
            <v>1126.46</v>
          </cell>
          <cell r="Q11">
            <v>950.54321403642666</v>
          </cell>
          <cell r="R11">
            <v>1718.2384421184543</v>
          </cell>
          <cell r="V11" t="str">
            <v>Terminal Value (Year X Cash Flow Capitalized)</v>
          </cell>
          <cell r="W11">
            <v>27473.583022359828</v>
          </cell>
        </row>
        <row r="12">
          <cell r="A12" t="str">
            <v>Less Increase in Net Other Assets</v>
          </cell>
          <cell r="C12">
            <v>0</v>
          </cell>
          <cell r="D12">
            <v>0</v>
          </cell>
          <cell r="E12">
            <v>0</v>
          </cell>
          <cell r="F12">
            <v>0</v>
          </cell>
          <cell r="G12">
            <v>0</v>
          </cell>
          <cell r="H12">
            <v>0</v>
          </cell>
          <cell r="I12">
            <v>0</v>
          </cell>
          <cell r="J12">
            <v>0</v>
          </cell>
          <cell r="K12">
            <v>0</v>
          </cell>
          <cell r="L12">
            <v>0</v>
          </cell>
          <cell r="O12">
            <v>2005</v>
          </cell>
          <cell r="P12">
            <v>1286.58</v>
          </cell>
          <cell r="Q12">
            <v>997.28877863703701</v>
          </cell>
          <cell r="R12">
            <v>2715.5272207554913</v>
          </cell>
        </row>
        <row r="13">
          <cell r="O13">
            <v>2006</v>
          </cell>
          <cell r="P13">
            <v>1379.6717999999998</v>
          </cell>
          <cell r="Q13">
            <v>1379.6717999999998</v>
          </cell>
          <cell r="R13">
            <v>4095.1990207554909</v>
          </cell>
        </row>
        <row r="14">
          <cell r="A14" t="str">
            <v>Operating Free Cash Flow</v>
          </cell>
          <cell r="C14">
            <v>835.72</v>
          </cell>
          <cell r="D14">
            <v>1126.46</v>
          </cell>
          <cell r="E14">
            <v>1286.58</v>
          </cell>
          <cell r="F14">
            <v>14.214441702324088</v>
          </cell>
          <cell r="G14">
            <v>1379.6717999999998</v>
          </cell>
          <cell r="H14">
            <v>7.2356013617497439</v>
          </cell>
          <cell r="I14">
            <v>1454.7222900000002</v>
          </cell>
          <cell r="J14">
            <v>5.4397350152405988</v>
          </cell>
          <cell r="K14">
            <v>1533.5253045000004</v>
          </cell>
          <cell r="L14">
            <v>5.4170486725683142</v>
          </cell>
          <cell r="O14">
            <v>2007</v>
          </cell>
          <cell r="P14">
            <v>1454.7222900000002</v>
          </cell>
          <cell r="Q14">
            <v>1454.7222900000002</v>
          </cell>
          <cell r="R14">
            <v>5549.9213107554915</v>
          </cell>
        </row>
        <row r="15">
          <cell r="V15" t="str">
            <v>Convergence Approach</v>
          </cell>
        </row>
        <row r="16">
          <cell r="V16" t="str">
            <v xml:space="preserve"> </v>
          </cell>
        </row>
        <row r="17">
          <cell r="V17" t="str">
            <v>Year 6 NOPAT</v>
          </cell>
          <cell r="W17">
            <v>1438.1399999999999</v>
          </cell>
        </row>
        <row r="18">
          <cell r="O18" t="str">
            <v>Cum. Present Value of Cash Flows</v>
          </cell>
          <cell r="R18">
            <v>5549.9213107554915</v>
          </cell>
          <cell r="V18" t="str">
            <v>WACC</v>
          </cell>
          <cell r="W18">
            <v>8.8609085258901668E-2</v>
          </cell>
        </row>
        <row r="20">
          <cell r="A20" t="str">
            <v>Weighted Average Cost of Capital</v>
          </cell>
          <cell r="O20" t="str">
            <v>Plus: Pres. Value of Terminal Value</v>
          </cell>
          <cell r="R20">
            <v>16507.586263698602</v>
          </cell>
          <cell r="V20" t="str">
            <v>Terminal Value</v>
          </cell>
          <cell r="W20">
            <v>16230.164162038049</v>
          </cell>
        </row>
        <row r="21">
          <cell r="O21" t="str">
            <v xml:space="preserve"> </v>
          </cell>
        </row>
        <row r="22">
          <cell r="A22" t="str">
            <v>Shares Outstanding (millions)</v>
          </cell>
          <cell r="B22">
            <v>198.6</v>
          </cell>
          <cell r="O22" t="str">
            <v>CORPORATE VALUE</v>
          </cell>
          <cell r="R22">
            <v>22057.507574454095</v>
          </cell>
          <cell r="S22" t="str">
            <v xml:space="preserve"> </v>
          </cell>
        </row>
        <row r="23">
          <cell r="A23" t="str">
            <v>Current Price</v>
          </cell>
          <cell r="B23">
            <v>82.62</v>
          </cell>
          <cell r="V23" t="str">
            <v>Average Terminal Value</v>
          </cell>
          <cell r="W23">
            <v>21851.873592198939</v>
          </cell>
        </row>
        <row r="24">
          <cell r="A24" t="str">
            <v>Market Value of Equity ($mm)</v>
          </cell>
          <cell r="B24">
            <v>16408.332000000002</v>
          </cell>
          <cell r="O24" t="str">
            <v>Less: Book Value of Debt</v>
          </cell>
          <cell r="R24">
            <v>3073</v>
          </cell>
        </row>
        <row r="25">
          <cell r="A25" t="str">
            <v>Book Value of Debt ($mm)</v>
          </cell>
          <cell r="B25">
            <v>2262</v>
          </cell>
        </row>
        <row r="26">
          <cell r="A26" t="str">
            <v>Total Capital</v>
          </cell>
          <cell r="B26">
            <v>18670.332000000002</v>
          </cell>
          <cell r="O26" t="str">
            <v>Plus: Cash &amp; Marketable Securities</v>
          </cell>
          <cell r="R26">
            <v>811</v>
          </cell>
        </row>
        <row r="27">
          <cell r="A27" t="str">
            <v>Risk Free Rate</v>
          </cell>
          <cell r="B27">
            <v>5</v>
          </cell>
        </row>
        <row r="28">
          <cell r="A28" t="str">
            <v>Market Risk Premium</v>
          </cell>
          <cell r="B28">
            <v>5</v>
          </cell>
          <cell r="O28" t="str">
            <v>Shareholder Value</v>
          </cell>
          <cell r="R28">
            <v>19795.507574454095</v>
          </cell>
        </row>
        <row r="29">
          <cell r="A29" t="str">
            <v>Beta</v>
          </cell>
          <cell r="B29">
            <v>0.9</v>
          </cell>
        </row>
        <row r="30">
          <cell r="A30" t="str">
            <v>Cost of Debt</v>
          </cell>
          <cell r="B30">
            <v>6.5</v>
          </cell>
          <cell r="O30" t="str">
            <v>Calculated Share Price</v>
          </cell>
          <cell r="R30">
            <v>97.514815637704899</v>
          </cell>
        </row>
        <row r="32">
          <cell r="O32" t="str">
            <v>Current Share Price</v>
          </cell>
          <cell r="R32">
            <v>82.62</v>
          </cell>
        </row>
        <row r="34">
          <cell r="A34" t="str">
            <v xml:space="preserve">DISCOUNT RATE ANALYSIS </v>
          </cell>
        </row>
        <row r="36">
          <cell r="C36" t="str">
            <v xml:space="preserve"> </v>
          </cell>
          <cell r="E36" t="str">
            <v>% Total Cap</v>
          </cell>
          <cell r="F36" t="str">
            <v>WACC</v>
          </cell>
        </row>
        <row r="37">
          <cell r="A37" t="str">
            <v>Equity</v>
          </cell>
        </row>
        <row r="38">
          <cell r="A38" t="str">
            <v xml:space="preserve">     Est. Cost of Leveraged Equity</v>
          </cell>
          <cell r="D38">
            <v>9.5000000000000001E-2</v>
          </cell>
          <cell r="E38">
            <v>0.87884521817823058</v>
          </cell>
          <cell r="F38">
            <v>8.349029572693191E-2</v>
          </cell>
        </row>
        <row r="39">
          <cell r="A39" t="str">
            <v xml:space="preserve">     Est. Cost of Preferred Stock</v>
          </cell>
          <cell r="D39">
            <v>0</v>
          </cell>
          <cell r="E39">
            <v>0</v>
          </cell>
          <cell r="F39">
            <v>0</v>
          </cell>
        </row>
        <row r="41">
          <cell r="A41" t="str">
            <v>Debt</v>
          </cell>
        </row>
        <row r="42">
          <cell r="A42" t="str">
            <v xml:space="preserve">     Est. After-Tax Cost of Senior Debt (Rate*(1-Tax))</v>
          </cell>
          <cell r="D42">
            <v>4.2250000000000003E-2</v>
          </cell>
          <cell r="E42">
            <v>0.12115478182176941</v>
          </cell>
          <cell r="F42">
            <v>5.1187895319697576E-3</v>
          </cell>
        </row>
        <row r="43">
          <cell r="A43" t="str">
            <v xml:space="preserve">     Est. After-Tax Cost of Subordinated Debt (Including Warrants)</v>
          </cell>
          <cell r="D43">
            <v>0</v>
          </cell>
          <cell r="E43">
            <v>0</v>
          </cell>
          <cell r="F43">
            <v>0</v>
          </cell>
        </row>
        <row r="44">
          <cell r="A44" t="str">
            <v xml:space="preserve"> </v>
          </cell>
          <cell r="D44" t="str">
            <v xml:space="preserve"> </v>
          </cell>
        </row>
        <row r="45">
          <cell r="A45" t="str">
            <v xml:space="preserve"> </v>
          </cell>
          <cell r="B45" t="str">
            <v xml:space="preserve"> </v>
          </cell>
          <cell r="D45" t="str">
            <v xml:space="preserve"> </v>
          </cell>
          <cell r="E45">
            <v>1</v>
          </cell>
        </row>
        <row r="46">
          <cell r="D46" t="str">
            <v xml:space="preserve"> </v>
          </cell>
        </row>
        <row r="47">
          <cell r="A47" t="str">
            <v xml:space="preserve"> </v>
          </cell>
        </row>
        <row r="48">
          <cell r="D48" t="str">
            <v xml:space="preserve">            Discount Rate =</v>
          </cell>
          <cell r="F48">
            <v>8.8609085258901668E-2</v>
          </cell>
        </row>
      </sheetData>
      <sheetData sheetId="20">
        <row r="1">
          <cell r="A1" t="str">
            <v>Gulfstream Aircraft in Operation</v>
          </cell>
        </row>
        <row r="2">
          <cell r="A2" t="str">
            <v>Source: Airclaims</v>
          </cell>
        </row>
        <row r="4">
          <cell r="A4">
            <v>2004</v>
          </cell>
        </row>
        <row r="5">
          <cell r="N5" t="str">
            <v>Gulfstream Active Fleet</v>
          </cell>
        </row>
        <row r="6">
          <cell r="A6" t="str">
            <v>Status</v>
          </cell>
          <cell r="B6" t="str">
            <v>Mfr &amp; Type</v>
          </cell>
          <cell r="C6" t="str">
            <v>Variant</v>
          </cell>
          <cell r="D6" t="str">
            <v>BuildYear</v>
          </cell>
          <cell r="E6" t="str">
            <v>Operator</v>
          </cell>
          <cell r="F6" t="str">
            <v>Age</v>
          </cell>
          <cell r="G6" t="str">
            <v>Delivered</v>
          </cell>
          <cell r="H6" t="str">
            <v>MinorVariant</v>
          </cell>
          <cell r="I6" t="str">
            <v>OperatorArea</v>
          </cell>
          <cell r="J6" t="str">
            <v>OperatorCountry</v>
          </cell>
          <cell r="K6" t="str">
            <v>Ordered</v>
          </cell>
          <cell r="O6">
            <v>2007</v>
          </cell>
          <cell r="P6">
            <v>2006</v>
          </cell>
          <cell r="Q6">
            <v>2004</v>
          </cell>
          <cell r="R6">
            <v>2002</v>
          </cell>
          <cell r="S6">
            <v>2000</v>
          </cell>
          <cell r="V6">
            <v>2006</v>
          </cell>
          <cell r="W6">
            <v>2004</v>
          </cell>
          <cell r="X6">
            <v>2002</v>
          </cell>
          <cell r="Y6">
            <v>2000</v>
          </cell>
        </row>
        <row r="7">
          <cell r="A7" t="str">
            <v>In service</v>
          </cell>
          <cell r="B7" t="str">
            <v>Gulfstream Aerospace Gulfstream G300</v>
          </cell>
          <cell r="D7">
            <v>2003</v>
          </cell>
          <cell r="E7" t="str">
            <v>Royal Jet</v>
          </cell>
          <cell r="F7">
            <v>1</v>
          </cell>
          <cell r="G7">
            <v>37838</v>
          </cell>
          <cell r="I7" t="str">
            <v>Middle East</v>
          </cell>
          <cell r="J7" t="str">
            <v>United Arab Emirates</v>
          </cell>
          <cell r="K7">
            <v>37746</v>
          </cell>
          <cell r="N7" t="str">
            <v>GI</v>
          </cell>
          <cell r="O7">
            <v>46</v>
          </cell>
          <cell r="P7">
            <v>47</v>
          </cell>
          <cell r="Q7">
            <v>72</v>
          </cell>
          <cell r="R7">
            <v>72</v>
          </cell>
          <cell r="S7">
            <v>84</v>
          </cell>
          <cell r="U7" t="str">
            <v>GI</v>
          </cell>
          <cell r="V7">
            <v>47</v>
          </cell>
          <cell r="W7">
            <v>72</v>
          </cell>
          <cell r="X7">
            <v>55</v>
          </cell>
          <cell r="Y7">
            <v>65</v>
          </cell>
        </row>
        <row r="8">
          <cell r="A8" t="str">
            <v>In service</v>
          </cell>
          <cell r="B8" t="str">
            <v>Gulfstream Aerospace Gulfstream G300</v>
          </cell>
          <cell r="D8">
            <v>2003</v>
          </cell>
          <cell r="E8" t="str">
            <v>Royal Jet</v>
          </cell>
          <cell r="F8">
            <v>1</v>
          </cell>
          <cell r="G8">
            <v>37881</v>
          </cell>
          <cell r="I8" t="str">
            <v>Middle East</v>
          </cell>
          <cell r="J8" t="str">
            <v>United Arab Emirates</v>
          </cell>
          <cell r="K8">
            <v>37746</v>
          </cell>
          <cell r="N8" t="str">
            <v>GII</v>
          </cell>
          <cell r="O8">
            <v>202</v>
          </cell>
          <cell r="P8">
            <v>211</v>
          </cell>
          <cell r="Q8">
            <v>218</v>
          </cell>
          <cell r="R8">
            <v>235</v>
          </cell>
          <cell r="S8">
            <v>239</v>
          </cell>
          <cell r="U8" t="str">
            <v>GI-Other</v>
          </cell>
          <cell r="V8">
            <v>0</v>
          </cell>
          <cell r="W8">
            <v>0</v>
          </cell>
          <cell r="X8">
            <v>17</v>
          </cell>
          <cell r="Y8">
            <v>19</v>
          </cell>
        </row>
        <row r="9">
          <cell r="A9" t="str">
            <v>In service</v>
          </cell>
          <cell r="B9" t="str">
            <v>Gulfstream Aerospace Gulfstream G300</v>
          </cell>
          <cell r="D9">
            <v>2003</v>
          </cell>
          <cell r="E9" t="str">
            <v>L&amp;L Manufacturing Co</v>
          </cell>
          <cell r="F9">
            <v>1</v>
          </cell>
          <cell r="G9">
            <v>37944</v>
          </cell>
          <cell r="I9" t="str">
            <v>North America</v>
          </cell>
          <cell r="J9" t="str">
            <v>USA</v>
          </cell>
          <cell r="K9">
            <v>37437</v>
          </cell>
          <cell r="N9" t="str">
            <v>GIII</v>
          </cell>
          <cell r="O9">
            <v>193</v>
          </cell>
          <cell r="P9">
            <v>194</v>
          </cell>
          <cell r="Q9">
            <v>193</v>
          </cell>
          <cell r="R9">
            <v>192</v>
          </cell>
          <cell r="S9">
            <v>197</v>
          </cell>
          <cell r="U9" t="str">
            <v>GII</v>
          </cell>
          <cell r="V9">
            <v>58</v>
          </cell>
          <cell r="W9">
            <v>69</v>
          </cell>
          <cell r="X9">
            <v>80</v>
          </cell>
          <cell r="Y9">
            <v>94</v>
          </cell>
        </row>
        <row r="10">
          <cell r="A10" t="str">
            <v>In service</v>
          </cell>
          <cell r="B10" t="str">
            <v>Gulfstream Aerospace Gulfstream G300</v>
          </cell>
          <cell r="D10">
            <v>2003</v>
          </cell>
          <cell r="E10" t="str">
            <v>AirFlite</v>
          </cell>
          <cell r="F10">
            <v>1</v>
          </cell>
          <cell r="G10">
            <v>37890</v>
          </cell>
          <cell r="I10" t="str">
            <v>North America</v>
          </cell>
          <cell r="J10" t="str">
            <v>USA</v>
          </cell>
          <cell r="K10">
            <v>37437</v>
          </cell>
          <cell r="N10" t="str">
            <v>GIV</v>
          </cell>
          <cell r="O10">
            <v>497</v>
          </cell>
          <cell r="P10">
            <v>496</v>
          </cell>
          <cell r="Q10">
            <v>496</v>
          </cell>
          <cell r="R10">
            <v>482</v>
          </cell>
          <cell r="S10">
            <v>410</v>
          </cell>
          <cell r="U10" t="str">
            <v>GII-B</v>
          </cell>
          <cell r="V10">
            <v>40</v>
          </cell>
          <cell r="W10">
            <v>43</v>
          </cell>
          <cell r="X10">
            <v>44</v>
          </cell>
          <cell r="Y10">
            <v>43</v>
          </cell>
        </row>
        <row r="11">
          <cell r="A11" t="str">
            <v>In service</v>
          </cell>
          <cell r="B11" t="str">
            <v>Gulfstream Aerospace Gulfstream G300</v>
          </cell>
          <cell r="D11">
            <v>2003</v>
          </cell>
          <cell r="E11" t="str">
            <v>Kraft Foods Aviation LLC</v>
          </cell>
          <cell r="F11">
            <v>1</v>
          </cell>
          <cell r="G11">
            <v>37894</v>
          </cell>
          <cell r="I11" t="str">
            <v>North America</v>
          </cell>
          <cell r="J11" t="str">
            <v>USA</v>
          </cell>
          <cell r="K11">
            <v>37509</v>
          </cell>
          <cell r="N11" t="str">
            <v>GV</v>
          </cell>
          <cell r="O11">
            <v>192</v>
          </cell>
          <cell r="P11">
            <v>190</v>
          </cell>
          <cell r="Q11">
            <v>186</v>
          </cell>
          <cell r="R11">
            <v>171</v>
          </cell>
          <cell r="S11">
            <v>99</v>
          </cell>
          <cell r="U11" t="str">
            <v>GII-SP</v>
          </cell>
          <cell r="V11">
            <v>89</v>
          </cell>
          <cell r="W11">
            <v>88</v>
          </cell>
          <cell r="X11">
            <v>94</v>
          </cell>
          <cell r="Y11">
            <v>85</v>
          </cell>
        </row>
        <row r="12">
          <cell r="A12" t="str">
            <v>In service</v>
          </cell>
          <cell r="B12" t="str">
            <v>Gulfstream Aerospace Gulfstream G300</v>
          </cell>
          <cell r="D12">
            <v>2003</v>
          </cell>
          <cell r="E12" t="str">
            <v>Altria Corporate Services Inc</v>
          </cell>
          <cell r="F12">
            <v>1</v>
          </cell>
          <cell r="G12">
            <v>37977</v>
          </cell>
          <cell r="I12" t="str">
            <v>North America</v>
          </cell>
          <cell r="J12" t="str">
            <v>USA</v>
          </cell>
          <cell r="K12">
            <v>37509</v>
          </cell>
          <cell r="N12" t="str">
            <v>G300</v>
          </cell>
          <cell r="O12">
            <v>13</v>
          </cell>
          <cell r="P12">
            <v>13</v>
          </cell>
          <cell r="Q12">
            <v>11</v>
          </cell>
          <cell r="R12">
            <v>0</v>
          </cell>
          <cell r="S12">
            <v>0</v>
          </cell>
          <cell r="U12" t="str">
            <v>GII-Other</v>
          </cell>
          <cell r="V12">
            <v>24</v>
          </cell>
          <cell r="W12">
            <v>18</v>
          </cell>
          <cell r="X12">
            <v>17</v>
          </cell>
          <cell r="Y12">
            <v>17</v>
          </cell>
        </row>
        <row r="13">
          <cell r="A13" t="str">
            <v>In service</v>
          </cell>
          <cell r="B13" t="str">
            <v>Gulfstream Aerospace Gulfstream G300</v>
          </cell>
          <cell r="D13">
            <v>2003</v>
          </cell>
          <cell r="E13" t="str">
            <v>Altria Corporate Services Inc</v>
          </cell>
          <cell r="F13">
            <v>1</v>
          </cell>
          <cell r="G13">
            <v>37974</v>
          </cell>
          <cell r="I13" t="str">
            <v>North America</v>
          </cell>
          <cell r="J13" t="str">
            <v>USA</v>
          </cell>
          <cell r="K13">
            <v>37509</v>
          </cell>
          <cell r="N13" t="str">
            <v>G350</v>
          </cell>
          <cell r="O13">
            <v>10</v>
          </cell>
          <cell r="P13">
            <v>0</v>
          </cell>
          <cell r="Q13">
            <v>0</v>
          </cell>
          <cell r="R13">
            <v>0</v>
          </cell>
          <cell r="S13">
            <v>0</v>
          </cell>
          <cell r="U13" t="str">
            <v>GIII</v>
          </cell>
          <cell r="V13">
            <v>151</v>
          </cell>
          <cell r="W13">
            <v>165</v>
          </cell>
          <cell r="X13">
            <v>171</v>
          </cell>
          <cell r="Y13">
            <v>176</v>
          </cell>
        </row>
        <row r="14">
          <cell r="A14" t="str">
            <v>In service</v>
          </cell>
          <cell r="B14" t="str">
            <v>Gulfstream Aerospace Gulfstream G300</v>
          </cell>
          <cell r="D14">
            <v>2003</v>
          </cell>
          <cell r="E14" t="str">
            <v>Medco Health Solutions Inc</v>
          </cell>
          <cell r="F14">
            <v>1</v>
          </cell>
          <cell r="G14">
            <v>38065</v>
          </cell>
          <cell r="I14" t="str">
            <v>North America</v>
          </cell>
          <cell r="J14" t="str">
            <v>USA</v>
          </cell>
          <cell r="K14">
            <v>37437</v>
          </cell>
          <cell r="N14" t="str">
            <v>G400</v>
          </cell>
          <cell r="O14">
            <v>23</v>
          </cell>
          <cell r="P14">
            <v>23</v>
          </cell>
          <cell r="Q14">
            <v>21</v>
          </cell>
          <cell r="R14">
            <v>0</v>
          </cell>
          <cell r="S14">
            <v>0</v>
          </cell>
          <cell r="U14" t="str">
            <v>GIII-Other</v>
          </cell>
          <cell r="V14">
            <v>43</v>
          </cell>
          <cell r="W14">
            <v>28</v>
          </cell>
          <cell r="X14">
            <v>21</v>
          </cell>
          <cell r="Y14">
            <v>21</v>
          </cell>
        </row>
        <row r="15">
          <cell r="A15" t="str">
            <v>In service</v>
          </cell>
          <cell r="B15" t="str">
            <v>Gulfstream Aerospace Gulfstream G300</v>
          </cell>
          <cell r="D15">
            <v>2004</v>
          </cell>
          <cell r="E15" t="str">
            <v>Saudi Ministry of Finance &amp; Economy</v>
          </cell>
          <cell r="F15">
            <v>0</v>
          </cell>
          <cell r="G15">
            <v>38260</v>
          </cell>
          <cell r="I15" t="str">
            <v>Middle East</v>
          </cell>
          <cell r="J15" t="str">
            <v>Saudi Arabia</v>
          </cell>
          <cell r="K15">
            <v>37963</v>
          </cell>
          <cell r="N15" t="str">
            <v>G450</v>
          </cell>
          <cell r="O15">
            <v>93</v>
          </cell>
          <cell r="P15">
            <v>19</v>
          </cell>
          <cell r="Q15">
            <v>2</v>
          </cell>
          <cell r="R15">
            <v>0</v>
          </cell>
          <cell r="S15">
            <v>0</v>
          </cell>
          <cell r="U15" t="str">
            <v>GIV</v>
          </cell>
          <cell r="V15">
            <v>211</v>
          </cell>
          <cell r="W15">
            <v>211</v>
          </cell>
          <cell r="X15">
            <v>210</v>
          </cell>
          <cell r="Y15">
            <v>213</v>
          </cell>
        </row>
        <row r="16">
          <cell r="A16" t="str">
            <v>In service</v>
          </cell>
          <cell r="B16" t="str">
            <v>Gulfstream Aerospace Gulfstream G300</v>
          </cell>
          <cell r="D16">
            <v>2004</v>
          </cell>
          <cell r="E16" t="str">
            <v>Saudi Ministry of Finance &amp; Economy</v>
          </cell>
          <cell r="F16">
            <v>0</v>
          </cell>
          <cell r="G16">
            <v>38307</v>
          </cell>
          <cell r="I16" t="str">
            <v>Middle East</v>
          </cell>
          <cell r="J16" t="str">
            <v>Saudi Arabia</v>
          </cell>
          <cell r="K16">
            <v>37963</v>
          </cell>
          <cell r="N16" t="str">
            <v>G500</v>
          </cell>
          <cell r="O16">
            <v>6</v>
          </cell>
          <cell r="P16">
            <v>2</v>
          </cell>
          <cell r="Q16">
            <v>1</v>
          </cell>
          <cell r="R16">
            <v>0</v>
          </cell>
          <cell r="S16">
            <v>0</v>
          </cell>
          <cell r="U16" t="str">
            <v>GIV-SP</v>
          </cell>
          <cell r="V16">
            <v>270</v>
          </cell>
          <cell r="W16">
            <v>270</v>
          </cell>
          <cell r="X16">
            <v>257</v>
          </cell>
          <cell r="Y16">
            <v>183</v>
          </cell>
        </row>
        <row r="17">
          <cell r="A17" t="str">
            <v>In service</v>
          </cell>
          <cell r="B17" t="str">
            <v>Gulfstream Aerospace Gulfstream G300</v>
          </cell>
          <cell r="D17">
            <v>2004</v>
          </cell>
          <cell r="E17" t="str">
            <v>AirFlite</v>
          </cell>
          <cell r="F17">
            <v>0</v>
          </cell>
          <cell r="G17">
            <v>38233</v>
          </cell>
          <cell r="I17" t="str">
            <v>North America</v>
          </cell>
          <cell r="J17" t="str">
            <v>USA</v>
          </cell>
          <cell r="K17">
            <v>37437</v>
          </cell>
          <cell r="N17" t="str">
            <v>G550</v>
          </cell>
          <cell r="O17">
            <v>161</v>
          </cell>
          <cell r="P17">
            <v>73</v>
          </cell>
          <cell r="Q17">
            <v>40</v>
          </cell>
          <cell r="R17">
            <v>1</v>
          </cell>
          <cell r="S17">
            <v>0</v>
          </cell>
          <cell r="U17" t="str">
            <v>GIV-Other</v>
          </cell>
          <cell r="V17">
            <v>15</v>
          </cell>
          <cell r="W17">
            <v>15</v>
          </cell>
          <cell r="X17">
            <v>15</v>
          </cell>
          <cell r="Y17">
            <v>14</v>
          </cell>
        </row>
        <row r="18">
          <cell r="A18" t="str">
            <v>In service</v>
          </cell>
          <cell r="B18" t="str">
            <v>Gulfstream Aerospace Gulfstream G400</v>
          </cell>
          <cell r="D18">
            <v>2003</v>
          </cell>
          <cell r="E18" t="str">
            <v>Idaho Associates LLC</v>
          </cell>
          <cell r="F18">
            <v>1</v>
          </cell>
          <cell r="G18">
            <v>37862</v>
          </cell>
          <cell r="I18" t="str">
            <v>North America</v>
          </cell>
          <cell r="J18" t="str">
            <v>USA</v>
          </cell>
          <cell r="N18" t="str">
            <v>TOTAL</v>
          </cell>
          <cell r="O18">
            <v>1436</v>
          </cell>
          <cell r="P18">
            <v>1268</v>
          </cell>
          <cell r="Q18">
            <v>1240</v>
          </cell>
          <cell r="R18">
            <v>1153</v>
          </cell>
          <cell r="S18">
            <v>1029</v>
          </cell>
          <cell r="U18" t="str">
            <v>GV</v>
          </cell>
          <cell r="V18">
            <v>190</v>
          </cell>
          <cell r="W18">
            <v>186</v>
          </cell>
          <cell r="X18">
            <v>171</v>
          </cell>
          <cell r="Y18">
            <v>99</v>
          </cell>
        </row>
        <row r="19">
          <cell r="A19" t="str">
            <v>In service</v>
          </cell>
          <cell r="B19" t="str">
            <v>Gulfstream Aerospace Gulfstream G400</v>
          </cell>
          <cell r="D19">
            <v>2003</v>
          </cell>
          <cell r="E19" t="str">
            <v>Prime Jet LLC</v>
          </cell>
          <cell r="F19">
            <v>1</v>
          </cell>
          <cell r="G19">
            <v>37862</v>
          </cell>
          <cell r="I19" t="str">
            <v>North America</v>
          </cell>
          <cell r="J19" t="str">
            <v>USA</v>
          </cell>
          <cell r="K19">
            <v>37437</v>
          </cell>
          <cell r="N19" t="str">
            <v>Int'l</v>
          </cell>
          <cell r="O19">
            <v>0.2263231197771588</v>
          </cell>
          <cell r="P19">
            <v>0.22</v>
          </cell>
          <cell r="Q19">
            <v>0.19838709677419353</v>
          </cell>
          <cell r="R19">
            <v>0.19167389418907199</v>
          </cell>
          <cell r="S19">
            <v>0.20310981535471329</v>
          </cell>
          <cell r="U19" t="str">
            <v>GV-SP</v>
          </cell>
          <cell r="V19">
            <v>0</v>
          </cell>
          <cell r="W19">
            <v>0</v>
          </cell>
          <cell r="X19">
            <v>0</v>
          </cell>
          <cell r="Y19">
            <v>0</v>
          </cell>
        </row>
        <row r="20">
          <cell r="A20" t="str">
            <v>In service</v>
          </cell>
          <cell r="B20" t="str">
            <v>Gulfstream Aerospace Gulfstream G400</v>
          </cell>
          <cell r="D20">
            <v>2003</v>
          </cell>
          <cell r="E20" t="str">
            <v>Chouest Air Inc</v>
          </cell>
          <cell r="F20">
            <v>1</v>
          </cell>
          <cell r="G20">
            <v>37802</v>
          </cell>
          <cell r="I20" t="str">
            <v>North America</v>
          </cell>
          <cell r="J20" t="str">
            <v>USA</v>
          </cell>
          <cell r="K20">
            <v>37437</v>
          </cell>
          <cell r="N20" t="str">
            <v>N. Am.</v>
          </cell>
          <cell r="O20">
            <v>0.7736768802228412</v>
          </cell>
          <cell r="P20">
            <v>0.78</v>
          </cell>
          <cell r="Q20">
            <v>0.80161290322580647</v>
          </cell>
          <cell r="R20">
            <v>0.80832610581092801</v>
          </cell>
          <cell r="S20">
            <v>0.79689018464528671</v>
          </cell>
          <cell r="U20" t="str">
            <v>G300</v>
          </cell>
          <cell r="V20">
            <v>13</v>
          </cell>
          <cell r="W20">
            <v>11</v>
          </cell>
          <cell r="X20">
            <v>0</v>
          </cell>
          <cell r="Y20">
            <v>0</v>
          </cell>
        </row>
        <row r="21">
          <cell r="A21" t="str">
            <v>In service</v>
          </cell>
          <cell r="B21" t="str">
            <v>Gulfstream Aerospace Gulfstream G400</v>
          </cell>
          <cell r="D21">
            <v>2003</v>
          </cell>
          <cell r="E21" t="str">
            <v>Pinehurst Timber LLC</v>
          </cell>
          <cell r="F21">
            <v>1</v>
          </cell>
          <cell r="G21">
            <v>37802</v>
          </cell>
          <cell r="I21" t="str">
            <v>North America</v>
          </cell>
          <cell r="J21" t="str">
            <v>USA</v>
          </cell>
          <cell r="K21">
            <v>37437</v>
          </cell>
          <cell r="U21" t="str">
            <v>G400</v>
          </cell>
          <cell r="V21">
            <v>23</v>
          </cell>
          <cell r="W21">
            <v>21</v>
          </cell>
          <cell r="X21">
            <v>0</v>
          </cell>
          <cell r="Y21">
            <v>0</v>
          </cell>
        </row>
        <row r="22">
          <cell r="A22" t="str">
            <v>In service</v>
          </cell>
          <cell r="B22" t="str">
            <v>Gulfstream Aerospace Gulfstream G400</v>
          </cell>
          <cell r="D22">
            <v>2003</v>
          </cell>
          <cell r="E22" t="str">
            <v>Government of Egypt</v>
          </cell>
          <cell r="F22">
            <v>1</v>
          </cell>
          <cell r="G22">
            <v>37947</v>
          </cell>
          <cell r="I22" t="str">
            <v>Africa</v>
          </cell>
          <cell r="J22" t="str">
            <v>Egypt</v>
          </cell>
          <cell r="K22">
            <v>37575</v>
          </cell>
          <cell r="N22" t="str">
            <v>Instructions for updates</v>
          </cell>
          <cell r="U22" t="str">
            <v>G450</v>
          </cell>
          <cell r="V22">
            <v>19</v>
          </cell>
          <cell r="W22">
            <v>2</v>
          </cell>
          <cell r="X22">
            <v>0</v>
          </cell>
          <cell r="Y22">
            <v>0</v>
          </cell>
        </row>
        <row r="23">
          <cell r="A23" t="str">
            <v>In service</v>
          </cell>
          <cell r="B23" t="str">
            <v>Gulfstream Aerospace Gulfstream G400</v>
          </cell>
          <cell r="D23">
            <v>2003</v>
          </cell>
          <cell r="E23" t="str">
            <v>New World Jet Corp</v>
          </cell>
          <cell r="F23">
            <v>1</v>
          </cell>
          <cell r="G23">
            <v>37984</v>
          </cell>
          <cell r="I23" t="str">
            <v>North America</v>
          </cell>
          <cell r="J23" t="str">
            <v>USA</v>
          </cell>
          <cell r="K23">
            <v>37437</v>
          </cell>
          <cell r="U23" t="str">
            <v>G500</v>
          </cell>
          <cell r="V23">
            <v>2</v>
          </cell>
          <cell r="W23">
            <v>1</v>
          </cell>
          <cell r="X23">
            <v>0</v>
          </cell>
          <cell r="Y23">
            <v>0</v>
          </cell>
        </row>
        <row r="24">
          <cell r="A24" t="str">
            <v>In service</v>
          </cell>
          <cell r="B24" t="str">
            <v>Gulfstream Aerospace Gulfstream G400</v>
          </cell>
          <cell r="D24">
            <v>2003</v>
          </cell>
          <cell r="E24" t="str">
            <v>United Aviation Holdings Inc</v>
          </cell>
          <cell r="F24">
            <v>1</v>
          </cell>
          <cell r="G24">
            <v>37888</v>
          </cell>
          <cell r="I24" t="str">
            <v>North America</v>
          </cell>
          <cell r="J24" t="str">
            <v>USA</v>
          </cell>
          <cell r="K24">
            <v>37437</v>
          </cell>
          <cell r="U24" t="str">
            <v>G550</v>
          </cell>
          <cell r="V24">
            <v>73</v>
          </cell>
          <cell r="W24">
            <v>40</v>
          </cell>
          <cell r="X24">
            <v>1</v>
          </cell>
          <cell r="Y24">
            <v>0</v>
          </cell>
        </row>
        <row r="25">
          <cell r="A25" t="str">
            <v>In service</v>
          </cell>
          <cell r="B25" t="str">
            <v>Gulfstream Aerospace Gulfstream G400</v>
          </cell>
          <cell r="D25">
            <v>2003</v>
          </cell>
          <cell r="E25" t="str">
            <v>Mozart Investments LLC</v>
          </cell>
          <cell r="F25">
            <v>1</v>
          </cell>
          <cell r="G25">
            <v>38051</v>
          </cell>
          <cell r="I25" t="str">
            <v>North America</v>
          </cell>
          <cell r="J25" t="str">
            <v>USA</v>
          </cell>
          <cell r="K25">
            <v>37437</v>
          </cell>
          <cell r="U25" t="str">
            <v>TOTAL</v>
          </cell>
          <cell r="V25">
            <v>1268</v>
          </cell>
          <cell r="W25">
            <v>1240</v>
          </cell>
          <cell r="X25">
            <v>1153</v>
          </cell>
          <cell r="Y25">
            <v>1029</v>
          </cell>
        </row>
        <row r="26">
          <cell r="A26" t="str">
            <v>In service</v>
          </cell>
          <cell r="B26" t="str">
            <v>Gulfstream Aerospace Gulfstream G400</v>
          </cell>
          <cell r="D26">
            <v>2003</v>
          </cell>
          <cell r="E26" t="str">
            <v>Pleasant Aircraft Leasing LLC</v>
          </cell>
          <cell r="F26">
            <v>1</v>
          </cell>
          <cell r="G26">
            <v>37959</v>
          </cell>
          <cell r="I26" t="str">
            <v>North America</v>
          </cell>
          <cell r="J26" t="str">
            <v>USA</v>
          </cell>
          <cell r="K26">
            <v>37437</v>
          </cell>
          <cell r="U26" t="str">
            <v>GIV-Vs</v>
          </cell>
          <cell r="V26">
            <v>686</v>
          </cell>
          <cell r="W26">
            <v>682</v>
          </cell>
          <cell r="X26">
            <v>653</v>
          </cell>
          <cell r="Y26">
            <v>509</v>
          </cell>
        </row>
        <row r="27">
          <cell r="A27" t="str">
            <v>In service</v>
          </cell>
          <cell r="B27" t="str">
            <v>Gulfstream Aerospace Gulfstream G400</v>
          </cell>
          <cell r="D27">
            <v>2003</v>
          </cell>
          <cell r="E27" t="str">
            <v>CMA Services LLC</v>
          </cell>
          <cell r="F27">
            <v>1</v>
          </cell>
          <cell r="G27">
            <v>38161</v>
          </cell>
          <cell r="I27" t="str">
            <v>North America</v>
          </cell>
          <cell r="J27" t="str">
            <v>USA</v>
          </cell>
          <cell r="U27" t="str">
            <v>Int'l</v>
          </cell>
          <cell r="V27">
            <v>1</v>
          </cell>
          <cell r="W27">
            <v>1</v>
          </cell>
          <cell r="X27">
            <v>1</v>
          </cell>
          <cell r="Y27">
            <v>1</v>
          </cell>
        </row>
        <row r="28">
          <cell r="A28" t="str">
            <v>In service</v>
          </cell>
          <cell r="B28" t="str">
            <v>Gulfstream Aerospace Gulfstream G400</v>
          </cell>
          <cell r="D28">
            <v>2004</v>
          </cell>
          <cell r="E28" t="str">
            <v>Government of Egypt</v>
          </cell>
          <cell r="F28">
            <v>0</v>
          </cell>
          <cell r="G28">
            <v>38203</v>
          </cell>
          <cell r="I28" t="str">
            <v>Africa</v>
          </cell>
          <cell r="J28" t="str">
            <v>Egypt</v>
          </cell>
          <cell r="K28">
            <v>37575</v>
          </cell>
          <cell r="N28" t="str">
            <v>Check:</v>
          </cell>
          <cell r="U28" t="str">
            <v>U.S.</v>
          </cell>
          <cell r="V28">
            <v>0</v>
          </cell>
          <cell r="W28">
            <v>0</v>
          </cell>
          <cell r="X28">
            <v>0</v>
          </cell>
          <cell r="Y28">
            <v>0</v>
          </cell>
        </row>
        <row r="29">
          <cell r="A29" t="str">
            <v>In service</v>
          </cell>
          <cell r="B29" t="str">
            <v>Gulfstream Aerospace Gulfstream G400</v>
          </cell>
          <cell r="D29">
            <v>2003</v>
          </cell>
          <cell r="E29" t="str">
            <v>Gibbs International Inc</v>
          </cell>
          <cell r="F29">
            <v>1</v>
          </cell>
          <cell r="G29">
            <v>37977</v>
          </cell>
          <cell r="I29" t="str">
            <v>North America</v>
          </cell>
          <cell r="J29" t="str">
            <v>USA</v>
          </cell>
          <cell r="K29">
            <v>37437</v>
          </cell>
          <cell r="N29" t="str">
            <v>Total</v>
          </cell>
          <cell r="Q29">
            <v>1240</v>
          </cell>
          <cell r="R29">
            <v>1153</v>
          </cell>
          <cell r="S29">
            <v>1029</v>
          </cell>
        </row>
        <row r="30">
          <cell r="A30" t="str">
            <v>In service</v>
          </cell>
          <cell r="B30" t="str">
            <v>Gulfstream Aerospace Gulfstream G400</v>
          </cell>
          <cell r="D30">
            <v>2004</v>
          </cell>
          <cell r="E30" t="str">
            <v>Netjets International</v>
          </cell>
          <cell r="F30">
            <v>0</v>
          </cell>
          <cell r="G30">
            <v>38209</v>
          </cell>
          <cell r="I30" t="str">
            <v>North America</v>
          </cell>
          <cell r="J30" t="str">
            <v>USA</v>
          </cell>
          <cell r="K30">
            <v>37509</v>
          </cell>
          <cell r="U30" t="str">
            <v>Check:</v>
          </cell>
        </row>
        <row r="31">
          <cell r="A31" t="str">
            <v>In service</v>
          </cell>
          <cell r="B31" t="str">
            <v>Gulfstream Aerospace Gulfstream G400</v>
          </cell>
          <cell r="D31">
            <v>2004</v>
          </cell>
          <cell r="E31" t="str">
            <v>RDV Aviation LLC</v>
          </cell>
          <cell r="F31">
            <v>0</v>
          </cell>
          <cell r="G31">
            <v>38218</v>
          </cell>
          <cell r="I31" t="str">
            <v>North America</v>
          </cell>
          <cell r="J31" t="str">
            <v>USA</v>
          </cell>
          <cell r="K31">
            <v>37437</v>
          </cell>
          <cell r="U31" t="str">
            <v>Total</v>
          </cell>
          <cell r="W31">
            <v>1240</v>
          </cell>
          <cell r="X31">
            <v>1153</v>
          </cell>
          <cell r="Y31">
            <v>1029</v>
          </cell>
        </row>
        <row r="32">
          <cell r="A32" t="str">
            <v>In service</v>
          </cell>
          <cell r="B32" t="str">
            <v>Gulfstream Aerospace Gulfstream G400</v>
          </cell>
          <cell r="D32">
            <v>2004</v>
          </cell>
          <cell r="E32" t="str">
            <v>EJS - Executive Jet Shares Inc</v>
          </cell>
          <cell r="F32">
            <v>0</v>
          </cell>
          <cell r="G32">
            <v>38259</v>
          </cell>
          <cell r="I32" t="str">
            <v>North America</v>
          </cell>
          <cell r="J32" t="str">
            <v>USA</v>
          </cell>
          <cell r="K32">
            <v>37509</v>
          </cell>
        </row>
        <row r="33">
          <cell r="A33" t="str">
            <v>In service</v>
          </cell>
          <cell r="B33" t="str">
            <v>Gulfstream Aerospace Gulfstream G400</v>
          </cell>
          <cell r="D33">
            <v>2003</v>
          </cell>
          <cell r="E33" t="str">
            <v>RDV Properties Inc</v>
          </cell>
          <cell r="F33">
            <v>1</v>
          </cell>
          <cell r="G33">
            <v>38069</v>
          </cell>
          <cell r="I33" t="str">
            <v>North America</v>
          </cell>
          <cell r="J33" t="str">
            <v>USA</v>
          </cell>
          <cell r="K33">
            <v>37437</v>
          </cell>
        </row>
        <row r="34">
          <cell r="A34" t="str">
            <v>In service</v>
          </cell>
          <cell r="B34" t="str">
            <v>Gulfstream Aerospace Gulfstream G400</v>
          </cell>
          <cell r="D34">
            <v>2004</v>
          </cell>
          <cell r="E34" t="str">
            <v>Executive Jet Shares II Inc</v>
          </cell>
          <cell r="F34">
            <v>0</v>
          </cell>
          <cell r="G34">
            <v>38310</v>
          </cell>
          <cell r="I34" t="str">
            <v>North America</v>
          </cell>
          <cell r="J34" t="str">
            <v>USA</v>
          </cell>
          <cell r="K34">
            <v>37437</v>
          </cell>
        </row>
        <row r="35">
          <cell r="A35" t="str">
            <v>In service</v>
          </cell>
          <cell r="B35" t="str">
            <v>Gulfstream Aerospace Gulfstream G400</v>
          </cell>
          <cell r="D35">
            <v>2004</v>
          </cell>
          <cell r="E35" t="str">
            <v>Pegasus Leasing LLC</v>
          </cell>
          <cell r="F35">
            <v>0</v>
          </cell>
          <cell r="G35">
            <v>38310</v>
          </cell>
          <cell r="I35" t="str">
            <v>North America</v>
          </cell>
          <cell r="J35" t="str">
            <v>USA</v>
          </cell>
          <cell r="K35">
            <v>37437</v>
          </cell>
        </row>
        <row r="36">
          <cell r="A36" t="str">
            <v>In service</v>
          </cell>
          <cell r="B36" t="str">
            <v>Gulfstream Aerospace Gulfstream G400</v>
          </cell>
          <cell r="D36">
            <v>2004</v>
          </cell>
          <cell r="E36" t="str">
            <v>United Services Automobile Association</v>
          </cell>
          <cell r="F36">
            <v>0</v>
          </cell>
          <cell r="G36">
            <v>38322</v>
          </cell>
          <cell r="I36" t="str">
            <v>North America</v>
          </cell>
          <cell r="J36" t="str">
            <v>USA</v>
          </cell>
          <cell r="K36">
            <v>37437</v>
          </cell>
        </row>
        <row r="37">
          <cell r="A37" t="str">
            <v>In service</v>
          </cell>
          <cell r="B37" t="str">
            <v>Gulfstream Aerospace Gulfstream G400</v>
          </cell>
          <cell r="D37">
            <v>2004</v>
          </cell>
          <cell r="E37" t="str">
            <v>Bohemian Air 400 LLC</v>
          </cell>
          <cell r="F37">
            <v>0</v>
          </cell>
          <cell r="G37">
            <v>38341</v>
          </cell>
          <cell r="I37" t="str">
            <v>North America</v>
          </cell>
          <cell r="J37" t="str">
            <v>USA</v>
          </cell>
          <cell r="K37">
            <v>37437</v>
          </cell>
        </row>
        <row r="38">
          <cell r="A38" t="str">
            <v>In service</v>
          </cell>
          <cell r="B38" t="str">
            <v>Gulfstream Aerospace Gulfstream G400</v>
          </cell>
          <cell r="D38">
            <v>2004</v>
          </cell>
          <cell r="E38" t="str">
            <v>Verizon Corporate Services Group Inc</v>
          </cell>
          <cell r="F38">
            <v>0</v>
          </cell>
          <cell r="G38">
            <v>38337</v>
          </cell>
          <cell r="I38" t="str">
            <v>North America</v>
          </cell>
          <cell r="J38" t="str">
            <v>USA</v>
          </cell>
          <cell r="K38">
            <v>37437</v>
          </cell>
        </row>
        <row r="39">
          <cell r="A39" t="str">
            <v>In service</v>
          </cell>
          <cell r="B39" t="str">
            <v>Gulfstream Aerospace Gulfstream G450</v>
          </cell>
          <cell r="D39">
            <v>2003</v>
          </cell>
          <cell r="E39" t="str">
            <v>Gulfstream Aerospace Corp</v>
          </cell>
          <cell r="F39">
            <v>1</v>
          </cell>
          <cell r="I39" t="str">
            <v>North America</v>
          </cell>
          <cell r="J39" t="str">
            <v>USA</v>
          </cell>
        </row>
        <row r="40">
          <cell r="A40" t="str">
            <v>In service</v>
          </cell>
          <cell r="B40" t="str">
            <v>Gulfstream Aerospace Gulfstream G450</v>
          </cell>
          <cell r="D40">
            <v>2003</v>
          </cell>
          <cell r="E40" t="str">
            <v>Gulfstream Aerospace Corp</v>
          </cell>
          <cell r="F40">
            <v>1</v>
          </cell>
          <cell r="I40" t="str">
            <v>North America</v>
          </cell>
          <cell r="J40" t="str">
            <v>USA</v>
          </cell>
        </row>
        <row r="41">
          <cell r="A41" t="str">
            <v>In service</v>
          </cell>
          <cell r="B41" t="str">
            <v>Gulfstream Aerospace Gulfstream G500</v>
          </cell>
          <cell r="D41">
            <v>2002</v>
          </cell>
          <cell r="E41" t="str">
            <v>ALII Aviation LLC</v>
          </cell>
          <cell r="F41">
            <v>2</v>
          </cell>
          <cell r="G41">
            <v>38125</v>
          </cell>
          <cell r="I41" t="str">
            <v>North America</v>
          </cell>
          <cell r="J41" t="str">
            <v>USA</v>
          </cell>
        </row>
        <row r="42">
          <cell r="A42" t="str">
            <v>In service</v>
          </cell>
          <cell r="B42" t="str">
            <v>Gulfstream Aerospace Gulfstream G550</v>
          </cell>
          <cell r="D42">
            <v>2003</v>
          </cell>
          <cell r="E42" t="str">
            <v>Leucadia Aviation Inc</v>
          </cell>
          <cell r="F42">
            <v>1</v>
          </cell>
          <cell r="G42">
            <v>37881</v>
          </cell>
          <cell r="I42" t="str">
            <v>North America</v>
          </cell>
          <cell r="J42" t="str">
            <v>USA</v>
          </cell>
          <cell r="K42">
            <v>37072</v>
          </cell>
        </row>
        <row r="43">
          <cell r="A43" t="str">
            <v>In service</v>
          </cell>
          <cell r="B43" t="str">
            <v>Gulfstream Aerospace Gulfstream G550</v>
          </cell>
          <cell r="D43">
            <v>2003</v>
          </cell>
          <cell r="E43" t="str">
            <v>Wotan America Inc</v>
          </cell>
          <cell r="F43">
            <v>1</v>
          </cell>
          <cell r="G43">
            <v>37893</v>
          </cell>
          <cell r="I43" t="str">
            <v>North America</v>
          </cell>
          <cell r="J43" t="str">
            <v>USA</v>
          </cell>
          <cell r="K43">
            <v>37072</v>
          </cell>
        </row>
        <row r="44">
          <cell r="A44" t="str">
            <v>In service</v>
          </cell>
          <cell r="B44" t="str">
            <v>Gulfstream Aerospace Gulfstream G550</v>
          </cell>
          <cell r="D44">
            <v>2003</v>
          </cell>
          <cell r="E44" t="str">
            <v>G5 Executive</v>
          </cell>
          <cell r="F44">
            <v>1</v>
          </cell>
          <cell r="G44">
            <v>37970</v>
          </cell>
          <cell r="I44" t="str">
            <v>Europe</v>
          </cell>
          <cell r="J44" t="str">
            <v>Switzerland</v>
          </cell>
          <cell r="K44">
            <v>37072</v>
          </cell>
        </row>
        <row r="45">
          <cell r="A45" t="str">
            <v>In service</v>
          </cell>
          <cell r="B45" t="str">
            <v>Gulfstream Aerospace Gulfstream G550</v>
          </cell>
          <cell r="D45">
            <v>2003</v>
          </cell>
          <cell r="E45" t="str">
            <v>Pfizer Inc</v>
          </cell>
          <cell r="F45">
            <v>1</v>
          </cell>
          <cell r="G45">
            <v>37894</v>
          </cell>
          <cell r="I45" t="str">
            <v>North America</v>
          </cell>
          <cell r="J45" t="str">
            <v>USA</v>
          </cell>
          <cell r="K45">
            <v>37072</v>
          </cell>
        </row>
        <row r="46">
          <cell r="A46" t="str">
            <v>In service</v>
          </cell>
          <cell r="B46" t="str">
            <v>Gulfstream Aerospace Gulfstream G550</v>
          </cell>
          <cell r="D46">
            <v>2003</v>
          </cell>
          <cell r="E46" t="str">
            <v>Grand Warehouse Inc</v>
          </cell>
          <cell r="F46">
            <v>1</v>
          </cell>
          <cell r="G46">
            <v>37917</v>
          </cell>
          <cell r="I46" t="str">
            <v>Asia</v>
          </cell>
          <cell r="J46" t="str">
            <v>Japan</v>
          </cell>
          <cell r="K46">
            <v>37072</v>
          </cell>
        </row>
        <row r="47">
          <cell r="A47" t="str">
            <v>In service</v>
          </cell>
          <cell r="B47" t="str">
            <v>Gulfstream Aerospace Gulfstream G550</v>
          </cell>
          <cell r="D47">
            <v>2003</v>
          </cell>
          <cell r="E47" t="str">
            <v>Bank of America NA</v>
          </cell>
          <cell r="F47">
            <v>1</v>
          </cell>
          <cell r="G47">
            <v>37937</v>
          </cell>
          <cell r="I47" t="str">
            <v>North America</v>
          </cell>
          <cell r="J47" t="str">
            <v>USA</v>
          </cell>
          <cell r="K47">
            <v>37072</v>
          </cell>
        </row>
        <row r="48">
          <cell r="A48" t="str">
            <v>In service</v>
          </cell>
          <cell r="B48" t="str">
            <v>Gulfstream Aerospace Gulfstream G550</v>
          </cell>
          <cell r="D48">
            <v>2003</v>
          </cell>
          <cell r="E48" t="str">
            <v>Jets Ejecutivos</v>
          </cell>
          <cell r="F48">
            <v>1</v>
          </cell>
          <cell r="G48">
            <v>37942</v>
          </cell>
          <cell r="I48" t="str">
            <v>Latin America and Caribbean</v>
          </cell>
          <cell r="J48" t="str">
            <v>Mexico</v>
          </cell>
          <cell r="K48">
            <v>37072</v>
          </cell>
        </row>
        <row r="49">
          <cell r="A49" t="str">
            <v>In service</v>
          </cell>
          <cell r="B49" t="str">
            <v>Gulfstream Aerospace Gulfstream G550</v>
          </cell>
          <cell r="D49">
            <v>2003</v>
          </cell>
          <cell r="E49" t="str">
            <v>United States Aviation Co</v>
          </cell>
          <cell r="F49">
            <v>1</v>
          </cell>
          <cell r="G49">
            <v>37959</v>
          </cell>
          <cell r="I49" t="str">
            <v>North America</v>
          </cell>
          <cell r="J49" t="str">
            <v>USA</v>
          </cell>
          <cell r="K49">
            <v>37072</v>
          </cell>
        </row>
        <row r="50">
          <cell r="A50" t="str">
            <v>In service</v>
          </cell>
          <cell r="B50" t="str">
            <v>Gulfstream Aerospace Gulfstream G550</v>
          </cell>
          <cell r="D50">
            <v>2003</v>
          </cell>
          <cell r="E50" t="str">
            <v>Ralph Lauren &amp; Ricky Lauren</v>
          </cell>
          <cell r="F50">
            <v>1</v>
          </cell>
          <cell r="G50">
            <v>38009</v>
          </cell>
          <cell r="I50" t="str">
            <v>North America</v>
          </cell>
          <cell r="J50" t="str">
            <v>USA</v>
          </cell>
          <cell r="K50">
            <v>37072</v>
          </cell>
        </row>
        <row r="51">
          <cell r="A51" t="str">
            <v>In service</v>
          </cell>
          <cell r="B51" t="str">
            <v>Gulfstream Aerospace Gulfstream G550</v>
          </cell>
          <cell r="D51">
            <v>2003</v>
          </cell>
          <cell r="E51" t="str">
            <v>Jetclub AG</v>
          </cell>
          <cell r="F51">
            <v>1</v>
          </cell>
          <cell r="G51">
            <v>37978</v>
          </cell>
          <cell r="I51" t="str">
            <v>Europe</v>
          </cell>
          <cell r="J51" t="str">
            <v>Switzerland</v>
          </cell>
          <cell r="K51">
            <v>37072</v>
          </cell>
        </row>
        <row r="52">
          <cell r="A52" t="str">
            <v>In service</v>
          </cell>
          <cell r="B52" t="str">
            <v>Gulfstream Aerospace Gulfstream G550</v>
          </cell>
          <cell r="D52">
            <v>2003</v>
          </cell>
          <cell r="E52" t="str">
            <v>Deerport Aviation Corp</v>
          </cell>
          <cell r="F52">
            <v>1</v>
          </cell>
          <cell r="G52">
            <v>37754</v>
          </cell>
          <cell r="I52" t="str">
            <v>North America</v>
          </cell>
          <cell r="J52" t="str">
            <v>USA</v>
          </cell>
          <cell r="K52">
            <v>37072</v>
          </cell>
        </row>
        <row r="53">
          <cell r="A53" t="str">
            <v>In service</v>
          </cell>
          <cell r="B53" t="str">
            <v>Gulfstream Aerospace Gulfstream G550</v>
          </cell>
          <cell r="D53">
            <v>2003</v>
          </cell>
          <cell r="E53" t="str">
            <v>Air Simon Inc</v>
          </cell>
          <cell r="F53">
            <v>1</v>
          </cell>
          <cell r="G53">
            <v>37784</v>
          </cell>
          <cell r="I53" t="str">
            <v>North America</v>
          </cell>
          <cell r="J53" t="str">
            <v>USA</v>
          </cell>
          <cell r="K53">
            <v>37072</v>
          </cell>
        </row>
        <row r="54">
          <cell r="A54" t="str">
            <v>In service</v>
          </cell>
          <cell r="B54" t="str">
            <v>Gulfstream Aerospace Gulfstream G550</v>
          </cell>
          <cell r="D54">
            <v>2003</v>
          </cell>
          <cell r="E54" t="str">
            <v>JM Family Enterprises Inc</v>
          </cell>
          <cell r="F54">
            <v>1</v>
          </cell>
          <cell r="G54">
            <v>38072</v>
          </cell>
          <cell r="I54" t="str">
            <v>North America</v>
          </cell>
          <cell r="J54" t="str">
            <v>USA</v>
          </cell>
          <cell r="K54">
            <v>37437</v>
          </cell>
        </row>
        <row r="55">
          <cell r="A55" t="str">
            <v>In service</v>
          </cell>
          <cell r="B55" t="str">
            <v>Gulfstream Aerospace Gulfstream G550</v>
          </cell>
          <cell r="D55">
            <v>2003</v>
          </cell>
          <cell r="E55" t="str">
            <v>Gulfstream Aerospace Corp</v>
          </cell>
          <cell r="F55">
            <v>1</v>
          </cell>
          <cell r="G55">
            <v>38113</v>
          </cell>
          <cell r="I55" t="str">
            <v>North America</v>
          </cell>
          <cell r="J55" t="str">
            <v>USA</v>
          </cell>
          <cell r="K55">
            <v>37072</v>
          </cell>
        </row>
        <row r="56">
          <cell r="A56" t="str">
            <v>In service</v>
          </cell>
          <cell r="B56" t="str">
            <v>Gulfstream Aerospace Gulfstream G550</v>
          </cell>
          <cell r="D56">
            <v>2003</v>
          </cell>
          <cell r="E56" t="str">
            <v>Simon Aviation Inc</v>
          </cell>
          <cell r="F56">
            <v>1</v>
          </cell>
          <cell r="G56">
            <v>37860</v>
          </cell>
          <cell r="I56" t="str">
            <v>North America</v>
          </cell>
          <cell r="J56" t="str">
            <v>USA</v>
          </cell>
          <cell r="K56">
            <v>37437</v>
          </cell>
        </row>
        <row r="57">
          <cell r="A57" t="str">
            <v>In service</v>
          </cell>
          <cell r="B57" t="str">
            <v>Gulfstream Aerospace Gulfstream G550</v>
          </cell>
          <cell r="D57">
            <v>2003</v>
          </cell>
          <cell r="E57" t="str">
            <v>Aircraft Overseas (Cayman ) Ltd</v>
          </cell>
          <cell r="F57">
            <v>1</v>
          </cell>
          <cell r="G57">
            <v>38133</v>
          </cell>
          <cell r="I57" t="str">
            <v>Latin America and Caribbean</v>
          </cell>
          <cell r="J57" t="str">
            <v>Cayman Islands</v>
          </cell>
          <cell r="K57">
            <v>37072</v>
          </cell>
        </row>
        <row r="58">
          <cell r="A58" t="str">
            <v>In service</v>
          </cell>
          <cell r="B58" t="str">
            <v>Gulfstream Aerospace Gulfstream G550</v>
          </cell>
          <cell r="D58">
            <v>2003</v>
          </cell>
          <cell r="E58" t="str">
            <v>EFS European Flight Service</v>
          </cell>
          <cell r="F58">
            <v>1</v>
          </cell>
          <cell r="G58">
            <v>38112</v>
          </cell>
          <cell r="I58" t="str">
            <v>Europe</v>
          </cell>
          <cell r="J58" t="str">
            <v>Sweden</v>
          </cell>
          <cell r="K58">
            <v>37802</v>
          </cell>
        </row>
        <row r="59">
          <cell r="A59" t="str">
            <v>In service</v>
          </cell>
          <cell r="B59" t="str">
            <v>Gulfstream Aerospace Gulfstream G550</v>
          </cell>
          <cell r="D59">
            <v>2003</v>
          </cell>
          <cell r="E59" t="str">
            <v>The David Geffen Co</v>
          </cell>
          <cell r="F59">
            <v>1</v>
          </cell>
          <cell r="G59">
            <v>38106</v>
          </cell>
          <cell r="I59" t="str">
            <v>North America</v>
          </cell>
          <cell r="J59" t="str">
            <v>USA</v>
          </cell>
          <cell r="K59">
            <v>37072</v>
          </cell>
        </row>
        <row r="60">
          <cell r="A60" t="str">
            <v>In service</v>
          </cell>
          <cell r="B60" t="str">
            <v>Gulfstream Aerospace Gulfstream G550</v>
          </cell>
          <cell r="D60">
            <v>2003</v>
          </cell>
          <cell r="E60" t="str">
            <v>Delta AirElite Business Jets</v>
          </cell>
          <cell r="F60">
            <v>1</v>
          </cell>
          <cell r="G60">
            <v>38167</v>
          </cell>
          <cell r="I60" t="str">
            <v>North America</v>
          </cell>
          <cell r="J60" t="str">
            <v>USA</v>
          </cell>
          <cell r="K60">
            <v>37072</v>
          </cell>
        </row>
        <row r="61">
          <cell r="A61" t="str">
            <v>In service</v>
          </cell>
          <cell r="B61" t="str">
            <v>Gulfstream Aerospace Gulfstream G550</v>
          </cell>
          <cell r="D61">
            <v>2003</v>
          </cell>
          <cell r="E61" t="str">
            <v>Fly Away Ltd</v>
          </cell>
          <cell r="F61">
            <v>1</v>
          </cell>
          <cell r="G61">
            <v>38160</v>
          </cell>
          <cell r="I61" t="str">
            <v>Latin America and Caribbean</v>
          </cell>
          <cell r="J61" t="str">
            <v>Bermuda</v>
          </cell>
          <cell r="K61">
            <v>37072</v>
          </cell>
        </row>
        <row r="62">
          <cell r="A62" t="str">
            <v>In service</v>
          </cell>
          <cell r="B62" t="str">
            <v>Gulfstream Aerospace Gulfstream G550</v>
          </cell>
          <cell r="D62">
            <v>2003</v>
          </cell>
          <cell r="E62" t="str">
            <v>Norman Aircraft Leasing Inc</v>
          </cell>
          <cell r="F62">
            <v>1</v>
          </cell>
          <cell r="G62">
            <v>37978</v>
          </cell>
          <cell r="I62" t="str">
            <v>North America</v>
          </cell>
          <cell r="J62" t="str">
            <v>USA</v>
          </cell>
          <cell r="K62">
            <v>37072</v>
          </cell>
        </row>
        <row r="63">
          <cell r="A63" t="str">
            <v>In service</v>
          </cell>
          <cell r="B63" t="str">
            <v>Gulfstream Aerospace Gulfstream G550</v>
          </cell>
          <cell r="D63">
            <v>2004</v>
          </cell>
          <cell r="E63" t="str">
            <v>Ispat Ltd</v>
          </cell>
          <cell r="F63">
            <v>0</v>
          </cell>
          <cell r="G63">
            <v>38208</v>
          </cell>
          <cell r="I63" t="str">
            <v>Europe</v>
          </cell>
          <cell r="J63" t="str">
            <v>United Kingdom</v>
          </cell>
          <cell r="K63">
            <v>37072</v>
          </cell>
        </row>
        <row r="64">
          <cell r="A64" t="str">
            <v>In service</v>
          </cell>
          <cell r="B64" t="str">
            <v>Gulfstream Aerospace Gulfstream G550</v>
          </cell>
          <cell r="D64">
            <v>2004</v>
          </cell>
          <cell r="E64" t="str">
            <v>Aviation 604 AG</v>
          </cell>
          <cell r="F64">
            <v>0</v>
          </cell>
          <cell r="G64">
            <v>38261</v>
          </cell>
          <cell r="I64" t="str">
            <v>Europe</v>
          </cell>
          <cell r="J64" t="str">
            <v>Switzerland</v>
          </cell>
          <cell r="K64">
            <v>37072</v>
          </cell>
        </row>
        <row r="65">
          <cell r="A65" t="str">
            <v>In service</v>
          </cell>
          <cell r="B65" t="str">
            <v>Gulfstream Aerospace Gulfstream G550</v>
          </cell>
          <cell r="D65">
            <v>2004</v>
          </cell>
          <cell r="E65" t="str">
            <v>Cleopatra Group Inc</v>
          </cell>
          <cell r="F65">
            <v>0</v>
          </cell>
          <cell r="G65">
            <v>38201</v>
          </cell>
          <cell r="I65" t="str">
            <v>Africa</v>
          </cell>
          <cell r="J65" t="str">
            <v>Egypt</v>
          </cell>
          <cell r="K65">
            <v>37072</v>
          </cell>
        </row>
        <row r="66">
          <cell r="A66" t="str">
            <v>In service</v>
          </cell>
          <cell r="B66" t="str">
            <v>Gulfstream Aerospace Gulfstream G550</v>
          </cell>
          <cell r="D66">
            <v>2003</v>
          </cell>
          <cell r="E66" t="str">
            <v>Leucadia Aviation Inc</v>
          </cell>
          <cell r="F66">
            <v>1</v>
          </cell>
          <cell r="G66">
            <v>37958</v>
          </cell>
          <cell r="I66" t="str">
            <v>North America</v>
          </cell>
          <cell r="J66" t="str">
            <v>USA</v>
          </cell>
          <cell r="K66">
            <v>37072</v>
          </cell>
        </row>
        <row r="67">
          <cell r="A67" t="str">
            <v>In service</v>
          </cell>
          <cell r="B67" t="str">
            <v>Gulfstream Aerospace Gulfstream G550</v>
          </cell>
          <cell r="D67">
            <v>2003</v>
          </cell>
          <cell r="E67" t="str">
            <v>United Healthcare Services Inc</v>
          </cell>
          <cell r="F67">
            <v>1</v>
          </cell>
          <cell r="G67">
            <v>38168</v>
          </cell>
          <cell r="I67" t="str">
            <v>North America</v>
          </cell>
          <cell r="J67" t="str">
            <v>USA</v>
          </cell>
          <cell r="K67">
            <v>37072</v>
          </cell>
        </row>
        <row r="68">
          <cell r="A68" t="str">
            <v>In service</v>
          </cell>
          <cell r="B68" t="str">
            <v>Gulfstream Aerospace Gulfstream G550</v>
          </cell>
          <cell r="D68">
            <v>2004</v>
          </cell>
          <cell r="E68" t="str">
            <v>Nissan North America Inc</v>
          </cell>
          <cell r="F68">
            <v>0</v>
          </cell>
          <cell r="G68">
            <v>38156</v>
          </cell>
          <cell r="I68" t="str">
            <v>North America</v>
          </cell>
          <cell r="J68" t="str">
            <v>USA</v>
          </cell>
          <cell r="K68">
            <v>37072</v>
          </cell>
        </row>
        <row r="69">
          <cell r="A69" t="str">
            <v>In service</v>
          </cell>
          <cell r="B69" t="str">
            <v>Gulfstream Aerospace Gulfstream G550</v>
          </cell>
          <cell r="D69">
            <v>2003</v>
          </cell>
          <cell r="E69" t="str">
            <v>Government of Tanzania</v>
          </cell>
          <cell r="F69">
            <v>1</v>
          </cell>
          <cell r="G69">
            <v>38252</v>
          </cell>
          <cell r="I69" t="str">
            <v>Africa</v>
          </cell>
          <cell r="J69" t="str">
            <v>Tanzania</v>
          </cell>
          <cell r="K69">
            <v>37802</v>
          </cell>
        </row>
        <row r="70">
          <cell r="A70" t="str">
            <v>In service</v>
          </cell>
          <cell r="B70" t="str">
            <v>Gulfstream Aerospace Gulfstream G550</v>
          </cell>
          <cell r="D70">
            <v>2004</v>
          </cell>
          <cell r="E70" t="str">
            <v>Bank of America NA</v>
          </cell>
          <cell r="F70">
            <v>0</v>
          </cell>
          <cell r="G70">
            <v>38260</v>
          </cell>
          <cell r="I70" t="str">
            <v>North America</v>
          </cell>
          <cell r="J70" t="str">
            <v>USA</v>
          </cell>
          <cell r="K70">
            <v>37802</v>
          </cell>
        </row>
        <row r="71">
          <cell r="A71" t="str">
            <v>In service</v>
          </cell>
          <cell r="B71" t="str">
            <v>Gulfstream Aerospace Gulfstream G550</v>
          </cell>
          <cell r="D71">
            <v>2004</v>
          </cell>
          <cell r="E71" t="str">
            <v>Fayair</v>
          </cell>
          <cell r="F71">
            <v>0</v>
          </cell>
          <cell r="G71">
            <v>38042</v>
          </cell>
          <cell r="I71" t="str">
            <v>Europe</v>
          </cell>
          <cell r="J71" t="str">
            <v>United Kingdom</v>
          </cell>
          <cell r="K71">
            <v>37072</v>
          </cell>
        </row>
        <row r="72">
          <cell r="A72" t="str">
            <v>In service</v>
          </cell>
          <cell r="B72" t="str">
            <v>Gulfstream Aerospace Gulfstream G550</v>
          </cell>
          <cell r="D72">
            <v>2004</v>
          </cell>
          <cell r="E72" t="str">
            <v>Rashid Engineering</v>
          </cell>
          <cell r="F72">
            <v>0</v>
          </cell>
          <cell r="G72">
            <v>38341</v>
          </cell>
          <cell r="I72" t="str">
            <v>Middle East</v>
          </cell>
          <cell r="J72" t="str">
            <v>Saudi Arabia</v>
          </cell>
          <cell r="K72">
            <v>37802</v>
          </cell>
        </row>
        <row r="73">
          <cell r="A73" t="str">
            <v>In service</v>
          </cell>
          <cell r="B73" t="str">
            <v>Gulfstream Aerospace Gulfstream G550</v>
          </cell>
          <cell r="D73">
            <v>2004</v>
          </cell>
          <cell r="E73" t="str">
            <v>Friedkin Aviation/Gulf States Toyota/Friedkin Co</v>
          </cell>
          <cell r="F73">
            <v>0</v>
          </cell>
          <cell r="G73">
            <v>38254</v>
          </cell>
          <cell r="I73" t="str">
            <v>North America</v>
          </cell>
          <cell r="J73" t="str">
            <v>USA</v>
          </cell>
          <cell r="K73">
            <v>37072</v>
          </cell>
        </row>
        <row r="74">
          <cell r="A74" t="str">
            <v>In service</v>
          </cell>
          <cell r="B74" t="str">
            <v>Gulfstream Aerospace Gulfstream G550</v>
          </cell>
          <cell r="D74">
            <v>2004</v>
          </cell>
          <cell r="E74" t="str">
            <v>Odyssey Aviation Inc</v>
          </cell>
          <cell r="F74">
            <v>0</v>
          </cell>
          <cell r="G74">
            <v>38230</v>
          </cell>
          <cell r="I74" t="str">
            <v>North America</v>
          </cell>
          <cell r="J74" t="str">
            <v>USA</v>
          </cell>
          <cell r="K74">
            <v>37072</v>
          </cell>
        </row>
        <row r="75">
          <cell r="A75" t="str">
            <v>In service</v>
          </cell>
          <cell r="B75" t="str">
            <v>Gulfstream Aerospace Gulfstream G550</v>
          </cell>
          <cell r="D75">
            <v>2004</v>
          </cell>
          <cell r="E75" t="str">
            <v>Berwind Corp</v>
          </cell>
          <cell r="F75">
            <v>0</v>
          </cell>
          <cell r="G75">
            <v>38323</v>
          </cell>
          <cell r="I75" t="str">
            <v>North America</v>
          </cell>
          <cell r="J75" t="str">
            <v>USA</v>
          </cell>
          <cell r="K75">
            <v>37802</v>
          </cell>
        </row>
        <row r="76">
          <cell r="A76" t="str">
            <v>In service</v>
          </cell>
          <cell r="B76" t="str">
            <v>Gulfstream Aerospace Gulfstream G550</v>
          </cell>
          <cell r="D76">
            <v>2004</v>
          </cell>
          <cell r="E76" t="str">
            <v>Central Management Services LLC</v>
          </cell>
          <cell r="F76">
            <v>0</v>
          </cell>
          <cell r="G76">
            <v>38264</v>
          </cell>
          <cell r="I76" t="str">
            <v>North America</v>
          </cell>
          <cell r="J76" t="str">
            <v>USA</v>
          </cell>
          <cell r="K76">
            <v>37802</v>
          </cell>
        </row>
        <row r="77">
          <cell r="A77" t="str">
            <v>In service</v>
          </cell>
          <cell r="B77" t="str">
            <v>Gulfstream Aerospace Gulfstream G550</v>
          </cell>
          <cell r="D77">
            <v>2004</v>
          </cell>
          <cell r="E77" t="str">
            <v>Indigo Management Co</v>
          </cell>
          <cell r="F77">
            <v>0</v>
          </cell>
          <cell r="G77">
            <v>38308</v>
          </cell>
          <cell r="I77" t="str">
            <v>North America</v>
          </cell>
          <cell r="J77" t="str">
            <v>USA</v>
          </cell>
          <cell r="K77">
            <v>37802</v>
          </cell>
        </row>
        <row r="78">
          <cell r="A78" t="str">
            <v>In service</v>
          </cell>
          <cell r="B78" t="str">
            <v>Gulfstream Aerospace Gulfstream G550</v>
          </cell>
          <cell r="D78">
            <v>2004</v>
          </cell>
          <cell r="E78" t="str">
            <v>Netjets International</v>
          </cell>
          <cell r="F78">
            <v>0</v>
          </cell>
          <cell r="G78">
            <v>38342</v>
          </cell>
          <cell r="I78" t="str">
            <v>North America</v>
          </cell>
          <cell r="J78" t="str">
            <v>USA</v>
          </cell>
          <cell r="K78">
            <v>36810</v>
          </cell>
        </row>
        <row r="79">
          <cell r="A79" t="str">
            <v>In service</v>
          </cell>
          <cell r="B79" t="str">
            <v>Gulfstream Aerospace Gulfstream G550</v>
          </cell>
          <cell r="D79">
            <v>2004</v>
          </cell>
          <cell r="E79" t="str">
            <v>Yellowstone Development LLC</v>
          </cell>
          <cell r="F79">
            <v>0</v>
          </cell>
          <cell r="G79">
            <v>38338</v>
          </cell>
          <cell r="I79" t="str">
            <v>North America</v>
          </cell>
          <cell r="J79" t="str">
            <v>USA</v>
          </cell>
          <cell r="K79">
            <v>37802</v>
          </cell>
        </row>
        <row r="80">
          <cell r="A80" t="str">
            <v>In service</v>
          </cell>
          <cell r="B80" t="str">
            <v>Gulfstream Aerospace Gulfstream G550</v>
          </cell>
          <cell r="D80">
            <v>2004</v>
          </cell>
          <cell r="E80" t="str">
            <v>Black Diamond Aviation Inc</v>
          </cell>
          <cell r="F80">
            <v>0</v>
          </cell>
          <cell r="G80">
            <v>38338</v>
          </cell>
          <cell r="I80" t="str">
            <v>North America</v>
          </cell>
          <cell r="J80" t="str">
            <v>USA</v>
          </cell>
          <cell r="K80">
            <v>37802</v>
          </cell>
        </row>
        <row r="81">
          <cell r="A81" t="str">
            <v>In service</v>
          </cell>
          <cell r="B81" t="str">
            <v>Gulfstream Aerospace Gulfstream G550</v>
          </cell>
          <cell r="D81">
            <v>2004</v>
          </cell>
          <cell r="E81" t="str">
            <v>White Lotus LLC</v>
          </cell>
          <cell r="F81">
            <v>0</v>
          </cell>
          <cell r="G81">
            <v>38337</v>
          </cell>
          <cell r="I81" t="str">
            <v>North America</v>
          </cell>
          <cell r="J81" t="str">
            <v>USA</v>
          </cell>
          <cell r="K81">
            <v>37802</v>
          </cell>
        </row>
        <row r="82">
          <cell r="A82" t="str">
            <v>In service</v>
          </cell>
          <cell r="B82" t="str">
            <v>Gulfstream Aerospace Gulfstream I</v>
          </cell>
          <cell r="C82" t="str">
            <v xml:space="preserve"> </v>
          </cell>
          <cell r="D82">
            <v>1963</v>
          </cell>
          <cell r="E82" t="str">
            <v>Plane One Leasing Inc</v>
          </cell>
          <cell r="F82">
            <v>41</v>
          </cell>
          <cell r="G82">
            <v>23074</v>
          </cell>
          <cell r="I82" t="str">
            <v>North America</v>
          </cell>
          <cell r="J82" t="str">
            <v>USA</v>
          </cell>
          <cell r="K82">
            <v>23026</v>
          </cell>
        </row>
        <row r="83">
          <cell r="A83" t="str">
            <v>In service</v>
          </cell>
          <cell r="B83" t="str">
            <v>Gulfstream Aerospace Gulfstream I</v>
          </cell>
          <cell r="C83" t="str">
            <v xml:space="preserve"> </v>
          </cell>
          <cell r="D83">
            <v>1963</v>
          </cell>
          <cell r="E83" t="str">
            <v>Procuraduria General de la Republica Nacional</v>
          </cell>
          <cell r="F83">
            <v>41</v>
          </cell>
          <cell r="G83">
            <v>23092</v>
          </cell>
          <cell r="I83" t="str">
            <v>Latin America and Caribbean</v>
          </cell>
          <cell r="J83" t="str">
            <v>Mexico</v>
          </cell>
          <cell r="K83">
            <v>23026</v>
          </cell>
        </row>
        <row r="84">
          <cell r="A84" t="str">
            <v>In service</v>
          </cell>
          <cell r="B84" t="str">
            <v>Gulfstream Aerospace Gulfstream I</v>
          </cell>
          <cell r="C84" t="str">
            <v xml:space="preserve"> </v>
          </cell>
          <cell r="D84">
            <v>1963</v>
          </cell>
          <cell r="E84" t="str">
            <v>Petro-Canada Explorations</v>
          </cell>
          <cell r="F84">
            <v>41</v>
          </cell>
          <cell r="G84">
            <v>23109</v>
          </cell>
          <cell r="I84" t="str">
            <v>North America</v>
          </cell>
          <cell r="J84" t="str">
            <v>Canada</v>
          </cell>
          <cell r="K84">
            <v>23026</v>
          </cell>
        </row>
        <row r="85">
          <cell r="A85" t="str">
            <v>In service</v>
          </cell>
          <cell r="B85" t="str">
            <v>Gulfstream Aerospace Gulfstream I</v>
          </cell>
          <cell r="C85" t="str">
            <v xml:space="preserve"> </v>
          </cell>
          <cell r="D85">
            <v>1963</v>
          </cell>
          <cell r="E85" t="str">
            <v>Unconfirmed Venezuelan Operator</v>
          </cell>
          <cell r="F85">
            <v>41</v>
          </cell>
          <cell r="G85">
            <v>23144</v>
          </cell>
          <cell r="I85" t="str">
            <v>Latin America and Caribbean</v>
          </cell>
          <cell r="J85" t="str">
            <v>Venezuela</v>
          </cell>
          <cell r="K85">
            <v>23057</v>
          </cell>
        </row>
        <row r="86">
          <cell r="A86" t="str">
            <v>In service</v>
          </cell>
          <cell r="B86" t="str">
            <v>Gulfstream Aerospace Gulfstream I</v>
          </cell>
          <cell r="C86" t="str">
            <v xml:space="preserve"> </v>
          </cell>
          <cell r="D86">
            <v>1959</v>
          </cell>
          <cell r="E86" t="str">
            <v>Sanders Lead Co Inc</v>
          </cell>
          <cell r="F86">
            <v>45</v>
          </cell>
          <cell r="G86">
            <v>21790</v>
          </cell>
          <cell r="I86" t="str">
            <v>North America</v>
          </cell>
          <cell r="J86" t="str">
            <v>USA</v>
          </cell>
          <cell r="K86">
            <v>21001</v>
          </cell>
        </row>
        <row r="87">
          <cell r="A87" t="str">
            <v>In service</v>
          </cell>
          <cell r="B87" t="str">
            <v>Gulfstream Aerospace Gulfstream I</v>
          </cell>
          <cell r="C87" t="str">
            <v xml:space="preserve"> </v>
          </cell>
          <cell r="D87">
            <v>1963</v>
          </cell>
          <cell r="E87" t="str">
            <v>Phoenix Air</v>
          </cell>
          <cell r="F87">
            <v>41</v>
          </cell>
          <cell r="G87">
            <v>23328</v>
          </cell>
          <cell r="I87" t="str">
            <v>North America</v>
          </cell>
          <cell r="J87" t="str">
            <v>USA</v>
          </cell>
          <cell r="K87">
            <v>23177</v>
          </cell>
        </row>
        <row r="88">
          <cell r="A88" t="str">
            <v>In service</v>
          </cell>
          <cell r="B88" t="str">
            <v>Gulfstream Aerospace Gulfstream I</v>
          </cell>
          <cell r="C88" t="str">
            <v xml:space="preserve"> </v>
          </cell>
          <cell r="D88">
            <v>1964</v>
          </cell>
          <cell r="E88" t="str">
            <v>Intertransit</v>
          </cell>
          <cell r="F88">
            <v>40</v>
          </cell>
          <cell r="G88">
            <v>23424</v>
          </cell>
          <cell r="I88" t="str">
            <v>Africa</v>
          </cell>
          <cell r="J88" t="str">
            <v>Angola</v>
          </cell>
          <cell r="K88">
            <v>23192</v>
          </cell>
        </row>
        <row r="89">
          <cell r="A89" t="str">
            <v>In service</v>
          </cell>
          <cell r="B89" t="str">
            <v>Gulfstream Aerospace Gulfstream I</v>
          </cell>
          <cell r="C89" t="str">
            <v xml:space="preserve"> </v>
          </cell>
          <cell r="D89">
            <v>1964</v>
          </cell>
          <cell r="E89" t="str">
            <v>Intermediaries International Inc</v>
          </cell>
          <cell r="F89">
            <v>40</v>
          </cell>
          <cell r="G89">
            <v>23446</v>
          </cell>
          <cell r="I89" t="str">
            <v>North America</v>
          </cell>
          <cell r="J89" t="str">
            <v>USA</v>
          </cell>
          <cell r="K89">
            <v>23192</v>
          </cell>
        </row>
        <row r="90">
          <cell r="A90" t="str">
            <v>In service</v>
          </cell>
          <cell r="B90" t="str">
            <v>Gulfstream Aerospace Gulfstream I</v>
          </cell>
          <cell r="C90" t="str">
            <v xml:space="preserve"> </v>
          </cell>
          <cell r="D90">
            <v>1964</v>
          </cell>
          <cell r="E90" t="str">
            <v>Aerial Films Inc</v>
          </cell>
          <cell r="F90">
            <v>40</v>
          </cell>
          <cell r="G90">
            <v>23508</v>
          </cell>
          <cell r="I90" t="str">
            <v>North America</v>
          </cell>
          <cell r="J90" t="str">
            <v>USA</v>
          </cell>
          <cell r="K90">
            <v>23391</v>
          </cell>
        </row>
        <row r="91">
          <cell r="A91" t="str">
            <v>In service</v>
          </cell>
          <cell r="B91" t="str">
            <v>Gulfstream Aerospace Gulfstream I</v>
          </cell>
          <cell r="C91" t="str">
            <v xml:space="preserve"> </v>
          </cell>
          <cell r="D91">
            <v>1964</v>
          </cell>
          <cell r="E91" t="str">
            <v>Indonesia Air Transport</v>
          </cell>
          <cell r="F91">
            <v>40</v>
          </cell>
          <cell r="G91">
            <v>23498</v>
          </cell>
          <cell r="I91" t="str">
            <v>Asia</v>
          </cell>
          <cell r="J91" t="str">
            <v>Indonesia</v>
          </cell>
          <cell r="K91">
            <v>23422</v>
          </cell>
        </row>
        <row r="92">
          <cell r="A92" t="str">
            <v>In service</v>
          </cell>
          <cell r="B92" t="str">
            <v>Gulfstream Aerospace Gulfstream I</v>
          </cell>
          <cell r="C92" t="str">
            <v xml:space="preserve"> </v>
          </cell>
          <cell r="D92">
            <v>1964</v>
          </cell>
          <cell r="E92" t="str">
            <v>Aero Minerales SA</v>
          </cell>
          <cell r="F92">
            <v>40</v>
          </cell>
          <cell r="G92">
            <v>23594</v>
          </cell>
          <cell r="I92" t="str">
            <v>Latin America and Caribbean</v>
          </cell>
          <cell r="J92" t="str">
            <v>Mexico</v>
          </cell>
          <cell r="K92">
            <v>23558</v>
          </cell>
        </row>
        <row r="93">
          <cell r="A93" t="str">
            <v>In service</v>
          </cell>
          <cell r="B93" t="str">
            <v>Gulfstream Aerospace Gulfstream I</v>
          </cell>
          <cell r="C93" t="str">
            <v xml:space="preserve"> </v>
          </cell>
          <cell r="D93">
            <v>1964</v>
          </cell>
          <cell r="E93" t="str">
            <v>Phoenix Air</v>
          </cell>
          <cell r="F93">
            <v>40</v>
          </cell>
          <cell r="G93">
            <v>23629</v>
          </cell>
          <cell r="I93" t="str">
            <v>North America</v>
          </cell>
          <cell r="J93" t="str">
            <v>USA</v>
          </cell>
          <cell r="K93">
            <v>23558</v>
          </cell>
        </row>
        <row r="94">
          <cell r="A94" t="str">
            <v>In service</v>
          </cell>
          <cell r="B94" t="str">
            <v>Gulfstream Aerospace Gulfstream I</v>
          </cell>
          <cell r="C94" t="str">
            <v xml:space="preserve"> </v>
          </cell>
          <cell r="D94">
            <v>1964</v>
          </cell>
          <cell r="E94" t="str">
            <v>Compania Rural de Occidente Ltda</v>
          </cell>
          <cell r="F94">
            <v>40</v>
          </cell>
          <cell r="G94">
            <v>23722</v>
          </cell>
          <cell r="I94" t="str">
            <v>Latin America and Caribbean</v>
          </cell>
          <cell r="J94" t="str">
            <v>Colombia</v>
          </cell>
          <cell r="K94">
            <v>23635</v>
          </cell>
        </row>
        <row r="95">
          <cell r="A95" t="str">
            <v>In service</v>
          </cell>
          <cell r="B95" t="str">
            <v>Gulfstream Aerospace Gulfstream I</v>
          </cell>
          <cell r="C95" t="str">
            <v xml:space="preserve"> </v>
          </cell>
          <cell r="D95">
            <v>1964</v>
          </cell>
          <cell r="E95" t="str">
            <v>Procuraduria General de la Republica Nacional</v>
          </cell>
          <cell r="F95">
            <v>40</v>
          </cell>
          <cell r="G95">
            <v>23746</v>
          </cell>
          <cell r="I95" t="str">
            <v>Latin America and Caribbean</v>
          </cell>
          <cell r="J95" t="str">
            <v>Mexico</v>
          </cell>
          <cell r="K95">
            <v>23558</v>
          </cell>
        </row>
        <row r="96">
          <cell r="A96" t="str">
            <v>In service</v>
          </cell>
          <cell r="B96" t="str">
            <v>Gulfstream Aerospace Gulfstream I</v>
          </cell>
          <cell r="C96" t="str">
            <v xml:space="preserve"> </v>
          </cell>
          <cell r="D96">
            <v>1965</v>
          </cell>
          <cell r="E96" t="str">
            <v>Phoenix Air</v>
          </cell>
          <cell r="F96">
            <v>39</v>
          </cell>
          <cell r="G96">
            <v>23925</v>
          </cell>
          <cell r="I96" t="str">
            <v>North America</v>
          </cell>
          <cell r="J96" t="str">
            <v>USA</v>
          </cell>
          <cell r="K96">
            <v>23665</v>
          </cell>
        </row>
        <row r="97">
          <cell r="A97" t="str">
            <v>In service</v>
          </cell>
          <cell r="B97" t="str">
            <v>Gulfstream Aerospace Gulfstream I</v>
          </cell>
          <cell r="C97" t="str">
            <v xml:space="preserve"> </v>
          </cell>
          <cell r="D97">
            <v>1965</v>
          </cell>
          <cell r="E97" t="str">
            <v>Aerial Films Inc</v>
          </cell>
          <cell r="F97">
            <v>39</v>
          </cell>
          <cell r="G97">
            <v>24226</v>
          </cell>
          <cell r="I97" t="str">
            <v>North America</v>
          </cell>
          <cell r="J97" t="str">
            <v>USA</v>
          </cell>
          <cell r="K97">
            <v>24084</v>
          </cell>
        </row>
        <row r="98">
          <cell r="A98" t="str">
            <v>In service</v>
          </cell>
          <cell r="B98" t="str">
            <v>Gulfstream Aerospace Gulfstream I</v>
          </cell>
          <cell r="C98" t="str">
            <v xml:space="preserve"> </v>
          </cell>
          <cell r="D98">
            <v>1965</v>
          </cell>
          <cell r="E98" t="str">
            <v>Unconfirmed Mexican Operator</v>
          </cell>
          <cell r="F98">
            <v>39</v>
          </cell>
          <cell r="G98">
            <v>24124</v>
          </cell>
          <cell r="I98" t="str">
            <v>Latin America and Caribbean</v>
          </cell>
          <cell r="J98" t="str">
            <v>Mexico</v>
          </cell>
          <cell r="K98">
            <v>23877</v>
          </cell>
        </row>
        <row r="99">
          <cell r="A99" t="str">
            <v>In service</v>
          </cell>
          <cell r="B99" t="str">
            <v>Gulfstream Aerospace Gulfstream I</v>
          </cell>
          <cell r="C99" t="str">
            <v xml:space="preserve"> </v>
          </cell>
          <cell r="D99">
            <v>1965</v>
          </cell>
          <cell r="E99" t="str">
            <v>Asas de Mocambique</v>
          </cell>
          <cell r="F99">
            <v>39</v>
          </cell>
          <cell r="G99">
            <v>24082</v>
          </cell>
          <cell r="I99" t="str">
            <v>Africa</v>
          </cell>
          <cell r="J99" t="str">
            <v>Mozambique</v>
          </cell>
          <cell r="K99">
            <v>24061</v>
          </cell>
        </row>
        <row r="100">
          <cell r="A100" t="str">
            <v>In service</v>
          </cell>
          <cell r="B100" t="str">
            <v>Gulfstream Aerospace Gulfstream I</v>
          </cell>
          <cell r="C100" t="str">
            <v xml:space="preserve"> </v>
          </cell>
          <cell r="D100">
            <v>1965</v>
          </cell>
          <cell r="E100" t="str">
            <v>Erin Miel Inc</v>
          </cell>
          <cell r="F100">
            <v>39</v>
          </cell>
          <cell r="G100">
            <v>24268</v>
          </cell>
          <cell r="I100" t="str">
            <v>North America</v>
          </cell>
          <cell r="J100" t="str">
            <v>USA</v>
          </cell>
          <cell r="K100">
            <v>24091</v>
          </cell>
        </row>
        <row r="101">
          <cell r="A101" t="str">
            <v>In service</v>
          </cell>
          <cell r="B101" t="str">
            <v>Gulfstream Aerospace Gulfstream I</v>
          </cell>
          <cell r="C101" t="str">
            <v xml:space="preserve"> </v>
          </cell>
          <cell r="D101">
            <v>1965</v>
          </cell>
          <cell r="E101" t="str">
            <v>Riverside International Airlines</v>
          </cell>
          <cell r="F101">
            <v>39</v>
          </cell>
          <cell r="G101">
            <v>24227</v>
          </cell>
          <cell r="I101" t="str">
            <v>North America</v>
          </cell>
          <cell r="J101" t="str">
            <v>USA</v>
          </cell>
          <cell r="K101">
            <v>24122</v>
          </cell>
        </row>
        <row r="102">
          <cell r="A102" t="str">
            <v>In service</v>
          </cell>
          <cell r="B102" t="str">
            <v>Gulfstream Aerospace Gulfstream I</v>
          </cell>
          <cell r="C102" t="str">
            <v xml:space="preserve"> </v>
          </cell>
          <cell r="D102">
            <v>1966</v>
          </cell>
          <cell r="E102" t="str">
            <v>Termnet Merchant Services Inc</v>
          </cell>
          <cell r="F102">
            <v>38</v>
          </cell>
          <cell r="G102">
            <v>24208</v>
          </cell>
          <cell r="I102" t="str">
            <v>North America</v>
          </cell>
          <cell r="J102" t="str">
            <v>USA</v>
          </cell>
          <cell r="K102">
            <v>24153</v>
          </cell>
        </row>
        <row r="103">
          <cell r="A103" t="str">
            <v>In service</v>
          </cell>
          <cell r="B103" t="str">
            <v>Gulfstream Aerospace Gulfstream I</v>
          </cell>
          <cell r="C103" t="str">
            <v xml:space="preserve"> </v>
          </cell>
          <cell r="D103">
            <v>1966</v>
          </cell>
          <cell r="E103" t="str">
            <v>Maria de Jesus Moreno</v>
          </cell>
          <cell r="F103">
            <v>38</v>
          </cell>
          <cell r="G103">
            <v>24352</v>
          </cell>
          <cell r="I103" t="str">
            <v>Latin America and Caribbean</v>
          </cell>
          <cell r="J103" t="str">
            <v>Venezuela</v>
          </cell>
          <cell r="K103">
            <v>24303</v>
          </cell>
        </row>
        <row r="104">
          <cell r="A104" t="str">
            <v>In service</v>
          </cell>
          <cell r="B104" t="str">
            <v>Gulfstream Aerospace Gulfstream I</v>
          </cell>
          <cell r="C104" t="str">
            <v xml:space="preserve"> </v>
          </cell>
          <cell r="D104">
            <v>1959</v>
          </cell>
          <cell r="E104" t="str">
            <v>Scott Aviation Inc</v>
          </cell>
          <cell r="F104">
            <v>45</v>
          </cell>
          <cell r="G104">
            <v>21849</v>
          </cell>
          <cell r="I104" t="str">
            <v>North America</v>
          </cell>
          <cell r="J104" t="str">
            <v>USA</v>
          </cell>
          <cell r="K104">
            <v>21001</v>
          </cell>
        </row>
        <row r="105">
          <cell r="A105" t="str">
            <v>In service</v>
          </cell>
          <cell r="B105" t="str">
            <v>Gulfstream Aerospace Gulfstream I</v>
          </cell>
          <cell r="C105" t="str">
            <v xml:space="preserve"> </v>
          </cell>
          <cell r="D105">
            <v>1968</v>
          </cell>
          <cell r="E105" t="str">
            <v>Propair</v>
          </cell>
          <cell r="F105">
            <v>36</v>
          </cell>
          <cell r="G105">
            <v>24891</v>
          </cell>
          <cell r="I105" t="str">
            <v>North America</v>
          </cell>
          <cell r="J105" t="str">
            <v>Canada</v>
          </cell>
          <cell r="K105">
            <v>24852</v>
          </cell>
        </row>
        <row r="106">
          <cell r="A106" t="str">
            <v>In service</v>
          </cell>
          <cell r="B106" t="str">
            <v>Gulfstream Aerospace Gulfstream I</v>
          </cell>
          <cell r="C106" t="str">
            <v xml:space="preserve"> </v>
          </cell>
          <cell r="D106">
            <v>1968</v>
          </cell>
          <cell r="E106" t="str">
            <v>Post Ekspres Prima</v>
          </cell>
          <cell r="F106">
            <v>36</v>
          </cell>
          <cell r="G106">
            <v>25038</v>
          </cell>
          <cell r="I106" t="str">
            <v>Asia</v>
          </cell>
          <cell r="J106" t="str">
            <v>Indonesia</v>
          </cell>
          <cell r="K106">
            <v>24973</v>
          </cell>
        </row>
        <row r="107">
          <cell r="A107" t="str">
            <v>In service</v>
          </cell>
          <cell r="B107" t="str">
            <v>Gulfstream Aerospace Gulfstream I</v>
          </cell>
          <cell r="C107" t="str">
            <v xml:space="preserve"> </v>
          </cell>
          <cell r="D107">
            <v>1968</v>
          </cell>
          <cell r="E107" t="str">
            <v>Phoenix Air</v>
          </cell>
          <cell r="F107">
            <v>36</v>
          </cell>
          <cell r="G107">
            <v>25034</v>
          </cell>
          <cell r="I107" t="str">
            <v>North America</v>
          </cell>
          <cell r="J107" t="str">
            <v>USA</v>
          </cell>
          <cell r="K107">
            <v>25004</v>
          </cell>
        </row>
        <row r="108">
          <cell r="A108" t="str">
            <v>In service</v>
          </cell>
          <cell r="B108" t="str">
            <v>Gulfstream Aerospace Gulfstream I</v>
          </cell>
          <cell r="C108" t="str">
            <v xml:space="preserve"> </v>
          </cell>
          <cell r="D108">
            <v>1968</v>
          </cell>
          <cell r="E108" t="str">
            <v>Tramon Air</v>
          </cell>
          <cell r="F108">
            <v>36</v>
          </cell>
          <cell r="G108">
            <v>32794</v>
          </cell>
          <cell r="I108" t="str">
            <v>Africa</v>
          </cell>
          <cell r="J108" t="str">
            <v>South Africa</v>
          </cell>
        </row>
        <row r="109">
          <cell r="A109" t="str">
            <v>In service</v>
          </cell>
          <cell r="B109" t="str">
            <v>Gulfstream Aerospace Gulfstream I</v>
          </cell>
          <cell r="C109" t="str">
            <v xml:space="preserve"> </v>
          </cell>
          <cell r="D109">
            <v>1969</v>
          </cell>
          <cell r="E109" t="str">
            <v>Conquest Air LLC</v>
          </cell>
          <cell r="F109">
            <v>35</v>
          </cell>
          <cell r="G109">
            <v>25269</v>
          </cell>
          <cell r="I109" t="str">
            <v>North America</v>
          </cell>
          <cell r="J109" t="str">
            <v>USA</v>
          </cell>
          <cell r="K109">
            <v>25249</v>
          </cell>
        </row>
        <row r="110">
          <cell r="A110" t="str">
            <v>In service</v>
          </cell>
          <cell r="B110" t="str">
            <v>Gulfstream Aerospace Gulfstream I</v>
          </cell>
          <cell r="C110" t="str">
            <v xml:space="preserve"> </v>
          </cell>
          <cell r="D110">
            <v>1969</v>
          </cell>
          <cell r="E110" t="str">
            <v>Phoenix Air</v>
          </cell>
          <cell r="F110">
            <v>35</v>
          </cell>
          <cell r="G110">
            <v>25268</v>
          </cell>
          <cell r="I110" t="str">
            <v>North America</v>
          </cell>
          <cell r="J110" t="str">
            <v>USA</v>
          </cell>
          <cell r="K110">
            <v>25249</v>
          </cell>
        </row>
        <row r="111">
          <cell r="A111" t="str">
            <v>In service</v>
          </cell>
          <cell r="B111" t="str">
            <v>Gulfstream Aerospace Gulfstream I</v>
          </cell>
          <cell r="C111" t="str">
            <v xml:space="preserve"> </v>
          </cell>
          <cell r="D111">
            <v>1969</v>
          </cell>
          <cell r="E111" t="str">
            <v>Gyrocam G1 Inc</v>
          </cell>
          <cell r="F111">
            <v>35</v>
          </cell>
          <cell r="G111">
            <v>25357</v>
          </cell>
          <cell r="I111" t="str">
            <v>North America</v>
          </cell>
          <cell r="J111" t="str">
            <v>USA</v>
          </cell>
          <cell r="K111">
            <v>25249</v>
          </cell>
        </row>
        <row r="112">
          <cell r="A112" t="str">
            <v>In service</v>
          </cell>
          <cell r="B112" t="str">
            <v>Gulfstream Aerospace Gulfstream I</v>
          </cell>
          <cell r="C112" t="str">
            <v xml:space="preserve"> </v>
          </cell>
          <cell r="D112">
            <v>1959</v>
          </cell>
          <cell r="E112" t="str">
            <v>Phoenix Air</v>
          </cell>
          <cell r="F112">
            <v>45</v>
          </cell>
          <cell r="G112">
            <v>21892</v>
          </cell>
          <cell r="I112" t="str">
            <v>North America</v>
          </cell>
          <cell r="J112" t="str">
            <v>USA</v>
          </cell>
          <cell r="K112">
            <v>21200</v>
          </cell>
        </row>
        <row r="113">
          <cell r="A113" t="str">
            <v>In service</v>
          </cell>
          <cell r="B113" t="str">
            <v>Gulfstream Aerospace Gulfstream I</v>
          </cell>
          <cell r="C113" t="str">
            <v xml:space="preserve"> </v>
          </cell>
          <cell r="D113">
            <v>1959</v>
          </cell>
          <cell r="E113" t="str">
            <v>Pelican Air Services</v>
          </cell>
          <cell r="F113">
            <v>45</v>
          </cell>
          <cell r="G113">
            <v>21907</v>
          </cell>
          <cell r="I113" t="str">
            <v>Africa</v>
          </cell>
          <cell r="J113" t="str">
            <v>South Africa</v>
          </cell>
          <cell r="K113">
            <v>21290</v>
          </cell>
        </row>
        <row r="114">
          <cell r="A114" t="str">
            <v>In service</v>
          </cell>
          <cell r="B114" t="str">
            <v>Gulfstream Aerospace Gulfstream I</v>
          </cell>
          <cell r="C114" t="str">
            <v xml:space="preserve"> </v>
          </cell>
          <cell r="D114">
            <v>1959</v>
          </cell>
          <cell r="E114" t="str">
            <v>Phoenix Air</v>
          </cell>
          <cell r="F114">
            <v>45</v>
          </cell>
          <cell r="G114">
            <v>21912</v>
          </cell>
          <cell r="I114" t="str">
            <v>North America</v>
          </cell>
          <cell r="J114" t="str">
            <v>USA</v>
          </cell>
          <cell r="K114">
            <v>21320</v>
          </cell>
        </row>
        <row r="115">
          <cell r="A115" t="str">
            <v>In service</v>
          </cell>
          <cell r="B115" t="str">
            <v>Gulfstream Aerospace Gulfstream I</v>
          </cell>
          <cell r="C115" t="str">
            <v xml:space="preserve"> </v>
          </cell>
          <cell r="D115">
            <v>1963</v>
          </cell>
          <cell r="E115" t="str">
            <v>Saicam Air (US) Inc</v>
          </cell>
          <cell r="F115">
            <v>41</v>
          </cell>
          <cell r="I115" t="str">
            <v>North America</v>
          </cell>
          <cell r="J115" t="str">
            <v>USA</v>
          </cell>
        </row>
        <row r="116">
          <cell r="A116" t="str">
            <v>In service</v>
          </cell>
          <cell r="B116" t="str">
            <v>Gulfstream Aerospace Gulfstream I</v>
          </cell>
          <cell r="C116" t="str">
            <v xml:space="preserve"> </v>
          </cell>
          <cell r="D116">
            <v>1964</v>
          </cell>
          <cell r="E116" t="str">
            <v>SAP</v>
          </cell>
          <cell r="F116">
            <v>40</v>
          </cell>
          <cell r="G116">
            <v>23405</v>
          </cell>
          <cell r="I116" t="str">
            <v>Latin America and Caribbean</v>
          </cell>
          <cell r="J116" t="str">
            <v>Dominican Republic</v>
          </cell>
          <cell r="K116">
            <v>23330</v>
          </cell>
        </row>
        <row r="117">
          <cell r="A117" t="str">
            <v>In service</v>
          </cell>
          <cell r="B117" t="str">
            <v>Gulfstream Aerospace Gulfstream I</v>
          </cell>
          <cell r="C117" t="str">
            <v xml:space="preserve"> </v>
          </cell>
          <cell r="D117">
            <v>1960</v>
          </cell>
          <cell r="E117" t="str">
            <v>CAA - Compagnie Africaine d'Aviation</v>
          </cell>
          <cell r="F117">
            <v>44</v>
          </cell>
          <cell r="G117">
            <v>21996</v>
          </cell>
          <cell r="I117" t="str">
            <v>Africa</v>
          </cell>
          <cell r="J117" t="str">
            <v>Congo (Democratic Republic)</v>
          </cell>
          <cell r="K117">
            <v>21777</v>
          </cell>
        </row>
        <row r="118">
          <cell r="A118" t="str">
            <v>In service</v>
          </cell>
          <cell r="B118" t="str">
            <v>Gulfstream Aerospace Gulfstream I</v>
          </cell>
          <cell r="C118" t="str">
            <v xml:space="preserve"> </v>
          </cell>
          <cell r="D118">
            <v>1960</v>
          </cell>
          <cell r="E118" t="str">
            <v>Riverside International Airlines</v>
          </cell>
          <cell r="F118">
            <v>44</v>
          </cell>
          <cell r="G118">
            <v>22018</v>
          </cell>
          <cell r="I118" t="str">
            <v>North America</v>
          </cell>
          <cell r="J118" t="str">
            <v>USA</v>
          </cell>
          <cell r="K118">
            <v>21990</v>
          </cell>
        </row>
        <row r="119">
          <cell r="A119" t="str">
            <v>In service</v>
          </cell>
          <cell r="B119" t="str">
            <v>Gulfstream Aerospace Gulfstream I</v>
          </cell>
          <cell r="C119" t="str">
            <v xml:space="preserve"> </v>
          </cell>
          <cell r="D119">
            <v>1960</v>
          </cell>
          <cell r="E119" t="str">
            <v>Gabon Express</v>
          </cell>
          <cell r="F119">
            <v>44</v>
          </cell>
          <cell r="G119">
            <v>22059</v>
          </cell>
          <cell r="I119" t="str">
            <v>Africa</v>
          </cell>
          <cell r="J119" t="str">
            <v>Gabon</v>
          </cell>
          <cell r="K119">
            <v>21930</v>
          </cell>
        </row>
        <row r="120">
          <cell r="A120" t="str">
            <v>In service</v>
          </cell>
          <cell r="B120" t="str">
            <v>Gulfstream Aerospace Gulfstream I</v>
          </cell>
          <cell r="C120" t="str">
            <v xml:space="preserve"> </v>
          </cell>
          <cell r="D120">
            <v>1960</v>
          </cell>
          <cell r="E120" t="str">
            <v>Mission Air Services LLC</v>
          </cell>
          <cell r="F120">
            <v>44</v>
          </cell>
          <cell r="G120">
            <v>22289</v>
          </cell>
          <cell r="I120" t="str">
            <v>North America</v>
          </cell>
          <cell r="J120" t="str">
            <v>USA</v>
          </cell>
          <cell r="K120">
            <v>22082</v>
          </cell>
        </row>
        <row r="121">
          <cell r="A121" t="str">
            <v>In service</v>
          </cell>
          <cell r="B121" t="str">
            <v>Gulfstream Aerospace Gulfstream I</v>
          </cell>
          <cell r="C121" t="str">
            <v xml:space="preserve"> </v>
          </cell>
          <cell r="D121">
            <v>1960</v>
          </cell>
          <cell r="E121" t="str">
            <v>Celanese Mexicana SA</v>
          </cell>
          <cell r="F121">
            <v>44</v>
          </cell>
          <cell r="G121">
            <v>22269</v>
          </cell>
          <cell r="I121" t="str">
            <v>Latin America and Caribbean</v>
          </cell>
          <cell r="J121" t="str">
            <v>Mexico</v>
          </cell>
          <cell r="K121">
            <v>22174</v>
          </cell>
        </row>
        <row r="122">
          <cell r="A122" t="str">
            <v>In service</v>
          </cell>
          <cell r="B122" t="str">
            <v>Gulfstream Aerospace Gulfstream I</v>
          </cell>
          <cell r="C122" t="str">
            <v xml:space="preserve"> </v>
          </cell>
          <cell r="D122">
            <v>1961</v>
          </cell>
          <cell r="E122" t="str">
            <v>US Immigration &amp; Naturalization Service</v>
          </cell>
          <cell r="F122">
            <v>43</v>
          </cell>
          <cell r="G122">
            <v>22406</v>
          </cell>
          <cell r="I122" t="str">
            <v>North America</v>
          </cell>
          <cell r="J122" t="str">
            <v>USA</v>
          </cell>
          <cell r="K122">
            <v>22327</v>
          </cell>
        </row>
        <row r="123">
          <cell r="A123" t="str">
            <v>In service</v>
          </cell>
          <cell r="B123" t="str">
            <v>Gulfstream Aerospace Gulfstream I</v>
          </cell>
          <cell r="C123" t="str">
            <v xml:space="preserve"> </v>
          </cell>
          <cell r="D123">
            <v>1959</v>
          </cell>
          <cell r="E123" t="str">
            <v>Missionair Inc</v>
          </cell>
          <cell r="F123">
            <v>45</v>
          </cell>
          <cell r="G123">
            <v>21761</v>
          </cell>
          <cell r="I123" t="str">
            <v>North America</v>
          </cell>
          <cell r="J123" t="str">
            <v>USA</v>
          </cell>
          <cell r="K123">
            <v>21001</v>
          </cell>
        </row>
        <row r="124">
          <cell r="A124" t="str">
            <v>In service</v>
          </cell>
          <cell r="B124" t="str">
            <v>Gulfstream Aerospace Gulfstream I</v>
          </cell>
          <cell r="C124" t="str">
            <v xml:space="preserve"> </v>
          </cell>
          <cell r="D124">
            <v>1961</v>
          </cell>
          <cell r="E124" t="str">
            <v>Battelle Pacific Northwest Laboratories</v>
          </cell>
          <cell r="F124">
            <v>43</v>
          </cell>
          <cell r="G124">
            <v>22599</v>
          </cell>
          <cell r="I124" t="str">
            <v>North America</v>
          </cell>
          <cell r="J124" t="str">
            <v>USA</v>
          </cell>
          <cell r="K124">
            <v>22462</v>
          </cell>
        </row>
        <row r="125">
          <cell r="A125" t="str">
            <v>In service</v>
          </cell>
          <cell r="B125" t="str">
            <v>Gulfstream Aerospace Gulfstream I</v>
          </cell>
          <cell r="C125" t="str">
            <v xml:space="preserve"> </v>
          </cell>
          <cell r="D125">
            <v>1961</v>
          </cell>
          <cell r="E125" t="str">
            <v>Jet Sul Taxi Aereo</v>
          </cell>
          <cell r="F125">
            <v>43</v>
          </cell>
          <cell r="G125">
            <v>22629</v>
          </cell>
          <cell r="I125" t="str">
            <v>Latin America and Caribbean</v>
          </cell>
          <cell r="J125" t="str">
            <v>Brazil</v>
          </cell>
          <cell r="K125">
            <v>22462</v>
          </cell>
        </row>
        <row r="126">
          <cell r="A126" t="str">
            <v>In service</v>
          </cell>
          <cell r="B126" t="str">
            <v>Gulfstream Aerospace Gulfstream I</v>
          </cell>
          <cell r="C126" t="str">
            <v xml:space="preserve"> </v>
          </cell>
          <cell r="D126">
            <v>1961</v>
          </cell>
          <cell r="E126" t="str">
            <v>TAC Air Services</v>
          </cell>
          <cell r="F126">
            <v>43</v>
          </cell>
          <cell r="G126">
            <v>22669</v>
          </cell>
          <cell r="I126" t="str">
            <v>Africa</v>
          </cell>
          <cell r="J126" t="str">
            <v>South Africa</v>
          </cell>
          <cell r="K126">
            <v>22462</v>
          </cell>
        </row>
        <row r="127">
          <cell r="A127" t="str">
            <v>In service</v>
          </cell>
          <cell r="B127" t="str">
            <v>Gulfstream Aerospace Gulfstream I</v>
          </cell>
          <cell r="C127" t="str">
            <v xml:space="preserve"> </v>
          </cell>
          <cell r="D127">
            <v>1961</v>
          </cell>
          <cell r="E127" t="str">
            <v>Aerotaxi de Valledupar</v>
          </cell>
          <cell r="F127">
            <v>43</v>
          </cell>
          <cell r="G127">
            <v>22601</v>
          </cell>
          <cell r="I127" t="str">
            <v>Latin America and Caribbean</v>
          </cell>
          <cell r="J127" t="str">
            <v>Colombia</v>
          </cell>
          <cell r="K127">
            <v>22462</v>
          </cell>
        </row>
        <row r="128">
          <cell r="A128" t="str">
            <v>In service</v>
          </cell>
          <cell r="B128" t="str">
            <v>Gulfstream Aerospace Gulfstream I</v>
          </cell>
          <cell r="C128" t="str">
            <v xml:space="preserve"> </v>
          </cell>
          <cell r="D128">
            <v>1962</v>
          </cell>
          <cell r="E128" t="str">
            <v>William C Ray &amp; David M Ray</v>
          </cell>
          <cell r="F128">
            <v>42</v>
          </cell>
          <cell r="G128">
            <v>22733</v>
          </cell>
          <cell r="I128" t="str">
            <v>North America</v>
          </cell>
          <cell r="J128" t="str">
            <v>USA</v>
          </cell>
          <cell r="K128">
            <v>22462</v>
          </cell>
        </row>
        <row r="129">
          <cell r="A129" t="str">
            <v>In service</v>
          </cell>
          <cell r="B129" t="str">
            <v>Gulfstream Aerospace Gulfstream I</v>
          </cell>
          <cell r="C129" t="str">
            <v xml:space="preserve"> </v>
          </cell>
          <cell r="D129">
            <v>1962</v>
          </cell>
          <cell r="E129" t="str">
            <v>Tramon Air</v>
          </cell>
          <cell r="F129">
            <v>42</v>
          </cell>
          <cell r="G129">
            <v>22734</v>
          </cell>
          <cell r="I129" t="str">
            <v>Africa</v>
          </cell>
          <cell r="J129" t="str">
            <v>South Africa</v>
          </cell>
          <cell r="K129">
            <v>22661</v>
          </cell>
        </row>
        <row r="130">
          <cell r="A130" t="str">
            <v>In service</v>
          </cell>
          <cell r="B130" t="str">
            <v>Gulfstream Aerospace Gulfstream I</v>
          </cell>
          <cell r="C130" t="str">
            <v xml:space="preserve"> </v>
          </cell>
          <cell r="D130">
            <v>1962</v>
          </cell>
          <cell r="E130" t="str">
            <v>Yellow Tail G-1 LLC</v>
          </cell>
          <cell r="F130">
            <v>42</v>
          </cell>
          <cell r="G130">
            <v>22817</v>
          </cell>
          <cell r="I130" t="str">
            <v>North America</v>
          </cell>
          <cell r="J130" t="str">
            <v>USA</v>
          </cell>
          <cell r="K130">
            <v>22720</v>
          </cell>
        </row>
        <row r="131">
          <cell r="A131" t="str">
            <v>In service</v>
          </cell>
          <cell r="B131" t="str">
            <v>Gulfstream Aerospace Gulfstream I</v>
          </cell>
          <cell r="C131" t="str">
            <v xml:space="preserve"> </v>
          </cell>
          <cell r="D131">
            <v>1962</v>
          </cell>
          <cell r="E131" t="str">
            <v>US Coast Guard</v>
          </cell>
          <cell r="F131">
            <v>42</v>
          </cell>
          <cell r="G131">
            <v>23076</v>
          </cell>
          <cell r="H131" t="str">
            <v>VC-4A</v>
          </cell>
          <cell r="I131" t="str">
            <v>North America</v>
          </cell>
          <cell r="J131" t="str">
            <v>USA</v>
          </cell>
          <cell r="K131">
            <v>22827</v>
          </cell>
        </row>
        <row r="132">
          <cell r="A132" t="str">
            <v>In service</v>
          </cell>
          <cell r="B132" t="str">
            <v>Gulfstream Aerospace Gulfstream I</v>
          </cell>
          <cell r="C132" t="str">
            <v xml:space="preserve"> </v>
          </cell>
          <cell r="D132">
            <v>1962</v>
          </cell>
          <cell r="E132" t="str">
            <v>N8E LLC</v>
          </cell>
          <cell r="F132">
            <v>42</v>
          </cell>
          <cell r="G132">
            <v>22962</v>
          </cell>
          <cell r="I132" t="str">
            <v>North America</v>
          </cell>
          <cell r="J132" t="str">
            <v>USA</v>
          </cell>
          <cell r="K132">
            <v>22827</v>
          </cell>
        </row>
        <row r="133">
          <cell r="A133" t="str">
            <v>In service</v>
          </cell>
          <cell r="B133" t="str">
            <v>Gulfstream Aerospace Gulfstream I</v>
          </cell>
          <cell r="C133" t="str">
            <v xml:space="preserve"> </v>
          </cell>
          <cell r="D133">
            <v>1962</v>
          </cell>
          <cell r="E133" t="str">
            <v>NASA</v>
          </cell>
          <cell r="F133">
            <v>42</v>
          </cell>
          <cell r="G133">
            <v>23085</v>
          </cell>
          <cell r="I133" t="str">
            <v>North America</v>
          </cell>
          <cell r="J133" t="str">
            <v>USA</v>
          </cell>
          <cell r="K133">
            <v>22827</v>
          </cell>
        </row>
        <row r="134">
          <cell r="A134" t="str">
            <v>In service</v>
          </cell>
          <cell r="B134" t="str">
            <v>Gulfstream Aerospace Gulfstream I</v>
          </cell>
          <cell r="C134" t="str">
            <v xml:space="preserve"> </v>
          </cell>
          <cell r="D134">
            <v>1962</v>
          </cell>
          <cell r="E134" t="str">
            <v>Phoenix Air</v>
          </cell>
          <cell r="F134">
            <v>42</v>
          </cell>
          <cell r="G134">
            <v>23000</v>
          </cell>
          <cell r="I134" t="str">
            <v>North America</v>
          </cell>
          <cell r="J134" t="str">
            <v>USA</v>
          </cell>
          <cell r="K134">
            <v>22827</v>
          </cell>
        </row>
        <row r="135">
          <cell r="A135" t="str">
            <v>In service</v>
          </cell>
          <cell r="B135" t="str">
            <v>Gulfstream Aerospace Gulfstream I</v>
          </cell>
          <cell r="C135" t="str">
            <v>1C Commuter</v>
          </cell>
          <cell r="D135">
            <v>1959</v>
          </cell>
          <cell r="E135" t="str">
            <v>Phoenix Air</v>
          </cell>
          <cell r="F135">
            <v>45</v>
          </cell>
          <cell r="G135">
            <v>21919</v>
          </cell>
          <cell r="H135" t="str">
            <v>1C</v>
          </cell>
          <cell r="I135" t="str">
            <v>North America</v>
          </cell>
          <cell r="J135" t="str">
            <v>USA</v>
          </cell>
          <cell r="K135">
            <v>21412</v>
          </cell>
        </row>
        <row r="136">
          <cell r="A136" t="str">
            <v>In service</v>
          </cell>
          <cell r="B136" t="str">
            <v>Gulfstream Aerospace Gulfstream I</v>
          </cell>
          <cell r="C136" t="str">
            <v>Commuter</v>
          </cell>
          <cell r="D136">
            <v>1963</v>
          </cell>
          <cell r="E136" t="str">
            <v>Diwan Airservice</v>
          </cell>
          <cell r="F136">
            <v>41</v>
          </cell>
          <cell r="G136">
            <v>23357</v>
          </cell>
          <cell r="H136" t="str">
            <v>Commuter</v>
          </cell>
          <cell r="I136" t="str">
            <v>Europe</v>
          </cell>
          <cell r="J136" t="str">
            <v>France</v>
          </cell>
          <cell r="K136">
            <v>23269</v>
          </cell>
        </row>
        <row r="137">
          <cell r="A137" t="str">
            <v>In service</v>
          </cell>
          <cell r="B137" t="str">
            <v>Gulfstream Aerospace Gulfstream I</v>
          </cell>
          <cell r="C137" t="str">
            <v>Commuter</v>
          </cell>
          <cell r="D137">
            <v>1964</v>
          </cell>
          <cell r="E137" t="str">
            <v>Pelican Air Services</v>
          </cell>
          <cell r="F137">
            <v>40</v>
          </cell>
          <cell r="G137">
            <v>23585</v>
          </cell>
          <cell r="H137" t="str">
            <v>Commuter</v>
          </cell>
          <cell r="I137" t="str">
            <v>Africa</v>
          </cell>
          <cell r="J137" t="str">
            <v>South Africa</v>
          </cell>
          <cell r="K137">
            <v>23192</v>
          </cell>
        </row>
        <row r="138">
          <cell r="A138" t="str">
            <v>In service</v>
          </cell>
          <cell r="B138" t="str">
            <v>Gulfstream Aerospace Gulfstream I</v>
          </cell>
          <cell r="C138" t="str">
            <v>Commuter</v>
          </cell>
          <cell r="D138">
            <v>1965</v>
          </cell>
          <cell r="E138" t="str">
            <v>CAA - Compagnie Africaine d'Aviation</v>
          </cell>
          <cell r="F138">
            <v>39</v>
          </cell>
          <cell r="G138">
            <v>23881</v>
          </cell>
          <cell r="H138" t="str">
            <v>Commuter</v>
          </cell>
          <cell r="I138" t="str">
            <v>Africa</v>
          </cell>
          <cell r="J138" t="str">
            <v>Congo (Democratic Republic)</v>
          </cell>
          <cell r="K138">
            <v>23788</v>
          </cell>
        </row>
        <row r="139">
          <cell r="A139" t="str">
            <v>In service</v>
          </cell>
          <cell r="B139" t="str">
            <v>Gulfstream Aerospace Gulfstream I</v>
          </cell>
          <cell r="C139" t="str">
            <v>Commuter</v>
          </cell>
          <cell r="D139">
            <v>1965</v>
          </cell>
          <cell r="E139" t="str">
            <v>Global Air de Mexico</v>
          </cell>
          <cell r="F139">
            <v>39</v>
          </cell>
          <cell r="G139">
            <v>23984</v>
          </cell>
          <cell r="H139" t="str">
            <v>Commuter</v>
          </cell>
          <cell r="I139" t="str">
            <v>Latin America and Caribbean</v>
          </cell>
          <cell r="J139" t="str">
            <v>Mexico</v>
          </cell>
          <cell r="K139">
            <v>23908</v>
          </cell>
        </row>
        <row r="140">
          <cell r="A140" t="str">
            <v>In service</v>
          </cell>
          <cell r="B140" t="str">
            <v>Gulfstream Aerospace Gulfstream I</v>
          </cell>
          <cell r="C140" t="str">
            <v>Commuter</v>
          </cell>
          <cell r="D140">
            <v>1965</v>
          </cell>
          <cell r="E140" t="str">
            <v>Intertransit</v>
          </cell>
          <cell r="F140">
            <v>39</v>
          </cell>
          <cell r="G140">
            <v>24131</v>
          </cell>
          <cell r="H140" t="str">
            <v>Commuter</v>
          </cell>
          <cell r="I140" t="str">
            <v>Africa</v>
          </cell>
          <cell r="J140" t="str">
            <v>Angola</v>
          </cell>
          <cell r="K140">
            <v>24091</v>
          </cell>
        </row>
        <row r="141">
          <cell r="A141" t="str">
            <v>In service</v>
          </cell>
          <cell r="B141" t="str">
            <v>Gulfstream Aerospace Gulfstream I</v>
          </cell>
          <cell r="C141" t="str">
            <v>Commuter</v>
          </cell>
          <cell r="D141">
            <v>1967</v>
          </cell>
          <cell r="E141" t="str">
            <v>Citra Aviation</v>
          </cell>
          <cell r="F141">
            <v>37</v>
          </cell>
          <cell r="G141">
            <v>24539</v>
          </cell>
          <cell r="H141" t="str">
            <v>Commuter</v>
          </cell>
          <cell r="I141" t="str">
            <v>Asia</v>
          </cell>
          <cell r="J141" t="str">
            <v>Indonesia</v>
          </cell>
          <cell r="K141">
            <v>24456</v>
          </cell>
        </row>
        <row r="142">
          <cell r="A142" t="str">
            <v>In service</v>
          </cell>
          <cell r="B142" t="str">
            <v>Gulfstream Aerospace Gulfstream I</v>
          </cell>
          <cell r="C142" t="str">
            <v>Commuter</v>
          </cell>
          <cell r="D142">
            <v>1968</v>
          </cell>
          <cell r="E142" t="str">
            <v>Aero Aar</v>
          </cell>
          <cell r="F142">
            <v>36</v>
          </cell>
          <cell r="G142">
            <v>25148</v>
          </cell>
          <cell r="H142" t="str">
            <v>Commuter</v>
          </cell>
          <cell r="I142" t="str">
            <v>Latin America and Caribbean</v>
          </cell>
          <cell r="J142" t="str">
            <v>Venezuela</v>
          </cell>
          <cell r="K142">
            <v>25126</v>
          </cell>
        </row>
        <row r="143">
          <cell r="A143" t="str">
            <v>In service</v>
          </cell>
          <cell r="B143" t="str">
            <v>Gulfstream Aerospace Gulfstream I</v>
          </cell>
          <cell r="C143" t="str">
            <v>Commuter</v>
          </cell>
          <cell r="D143">
            <v>1959</v>
          </cell>
          <cell r="E143" t="str">
            <v>Air Inter Ivoire</v>
          </cell>
          <cell r="F143">
            <v>45</v>
          </cell>
          <cell r="G143">
            <v>21860</v>
          </cell>
          <cell r="H143" t="str">
            <v>Commuter</v>
          </cell>
          <cell r="I143" t="str">
            <v>Africa</v>
          </cell>
          <cell r="J143" t="str">
            <v>Ivory Coast</v>
          </cell>
          <cell r="K143">
            <v>21001</v>
          </cell>
        </row>
        <row r="144">
          <cell r="A144" t="str">
            <v>In service</v>
          </cell>
          <cell r="B144" t="str">
            <v>Gulfstream Aerospace Gulfstream I</v>
          </cell>
          <cell r="C144" t="str">
            <v>Commuter</v>
          </cell>
          <cell r="D144">
            <v>1959</v>
          </cell>
          <cell r="E144" t="str">
            <v>Merafe Aviation (Pty) Ltd</v>
          </cell>
          <cell r="F144">
            <v>45</v>
          </cell>
          <cell r="G144">
            <v>21732</v>
          </cell>
          <cell r="H144" t="str">
            <v>Commuter</v>
          </cell>
          <cell r="I144" t="str">
            <v>Africa</v>
          </cell>
          <cell r="J144" t="str">
            <v>South Africa</v>
          </cell>
          <cell r="K144">
            <v>21108</v>
          </cell>
        </row>
        <row r="145">
          <cell r="A145" t="str">
            <v>In service</v>
          </cell>
          <cell r="B145" t="str">
            <v>Gulfstream Aerospace Gulfstream I</v>
          </cell>
          <cell r="C145" t="str">
            <v>Commuter</v>
          </cell>
          <cell r="D145">
            <v>1961</v>
          </cell>
          <cell r="E145" t="str">
            <v>Alternanive Air Sa de CV</v>
          </cell>
          <cell r="F145">
            <v>43</v>
          </cell>
          <cell r="G145">
            <v>22469</v>
          </cell>
          <cell r="H145" t="str">
            <v>Commuter</v>
          </cell>
          <cell r="I145" t="str">
            <v>Latin America and Caribbean</v>
          </cell>
          <cell r="J145" t="str">
            <v>Mexico</v>
          </cell>
          <cell r="K145">
            <v>22386</v>
          </cell>
        </row>
        <row r="146">
          <cell r="A146" t="str">
            <v>In service</v>
          </cell>
          <cell r="B146" t="str">
            <v>Gulfstream Aerospace Gulfstream I</v>
          </cell>
          <cell r="C146" t="str">
            <v>Commuter</v>
          </cell>
          <cell r="D146">
            <v>1961</v>
          </cell>
          <cell r="E146" t="str">
            <v>Intertransit</v>
          </cell>
          <cell r="F146">
            <v>43</v>
          </cell>
          <cell r="G146">
            <v>22662</v>
          </cell>
          <cell r="H146" t="str">
            <v>Commuter</v>
          </cell>
          <cell r="I146" t="str">
            <v>Africa</v>
          </cell>
          <cell r="J146" t="str">
            <v>Angola</v>
          </cell>
          <cell r="K146">
            <v>22462</v>
          </cell>
        </row>
        <row r="147">
          <cell r="A147" t="str">
            <v>In service</v>
          </cell>
          <cell r="B147" t="str">
            <v>Gulfstream Aerospace Gulfstream I</v>
          </cell>
          <cell r="C147" t="str">
            <v>Freighter</v>
          </cell>
          <cell r="D147">
            <v>1958</v>
          </cell>
          <cell r="E147" t="str">
            <v>East African Safari Express</v>
          </cell>
          <cell r="F147">
            <v>46</v>
          </cell>
          <cell r="G147">
            <v>26724</v>
          </cell>
          <cell r="H147" t="str">
            <v>Freighter</v>
          </cell>
          <cell r="I147" t="str">
            <v>Africa</v>
          </cell>
          <cell r="J147" t="str">
            <v>Kenya</v>
          </cell>
        </row>
        <row r="148">
          <cell r="A148" t="str">
            <v>In service</v>
          </cell>
          <cell r="B148" t="str">
            <v>Gulfstream Aerospace Gulfstream I</v>
          </cell>
          <cell r="C148" t="str">
            <v>Freighter</v>
          </cell>
          <cell r="D148">
            <v>1964</v>
          </cell>
          <cell r="E148" t="str">
            <v>King Air Services Partnership</v>
          </cell>
          <cell r="F148">
            <v>40</v>
          </cell>
          <cell r="G148">
            <v>23658</v>
          </cell>
          <cell r="H148" t="str">
            <v>Freighter</v>
          </cell>
          <cell r="I148" t="str">
            <v>Africa</v>
          </cell>
          <cell r="J148" t="str">
            <v>South Africa</v>
          </cell>
          <cell r="K148">
            <v>23573</v>
          </cell>
        </row>
        <row r="149">
          <cell r="A149" t="str">
            <v>In service</v>
          </cell>
          <cell r="B149" t="str">
            <v>Gulfstream Aerospace Gulfstream I</v>
          </cell>
          <cell r="C149" t="str">
            <v>Freighter</v>
          </cell>
          <cell r="D149">
            <v>1965</v>
          </cell>
          <cell r="E149" t="str">
            <v>Stellair</v>
          </cell>
          <cell r="F149">
            <v>39</v>
          </cell>
          <cell r="G149">
            <v>23966</v>
          </cell>
          <cell r="H149" t="str">
            <v>Freighter</v>
          </cell>
          <cell r="I149" t="str">
            <v>Europe</v>
          </cell>
          <cell r="J149" t="str">
            <v>Spain</v>
          </cell>
          <cell r="K149">
            <v>23757</v>
          </cell>
        </row>
        <row r="150">
          <cell r="A150" t="str">
            <v>In service</v>
          </cell>
          <cell r="B150" t="str">
            <v>Gulfstream Aerospace Gulfstream I</v>
          </cell>
          <cell r="C150" t="str">
            <v>Freighter</v>
          </cell>
          <cell r="D150">
            <v>1969</v>
          </cell>
          <cell r="E150" t="str">
            <v>Phoenix Air</v>
          </cell>
          <cell r="F150">
            <v>35</v>
          </cell>
          <cell r="G150">
            <v>25218</v>
          </cell>
          <cell r="H150" t="str">
            <v>Freighter</v>
          </cell>
          <cell r="I150" t="str">
            <v>North America</v>
          </cell>
          <cell r="J150" t="str">
            <v>USA</v>
          </cell>
          <cell r="K150">
            <v>24912</v>
          </cell>
        </row>
        <row r="151">
          <cell r="A151" t="str">
            <v>In service</v>
          </cell>
          <cell r="B151" t="str">
            <v>Gulfstream Aerospace Gulfstream I</v>
          </cell>
          <cell r="C151" t="str">
            <v>Freighter</v>
          </cell>
          <cell r="D151">
            <v>1960</v>
          </cell>
          <cell r="E151" t="str">
            <v>Stellair</v>
          </cell>
          <cell r="F151">
            <v>44</v>
          </cell>
          <cell r="G151">
            <v>22027</v>
          </cell>
          <cell r="H151" t="str">
            <v>Freighter</v>
          </cell>
          <cell r="I151" t="str">
            <v>Europe</v>
          </cell>
          <cell r="J151" t="str">
            <v>Spain</v>
          </cell>
          <cell r="K151">
            <v>21838</v>
          </cell>
        </row>
        <row r="152">
          <cell r="A152" t="str">
            <v>In service</v>
          </cell>
          <cell r="B152" t="str">
            <v>Gulfstream Aerospace Gulfstream I</v>
          </cell>
          <cell r="C152" t="str">
            <v>Freighter</v>
          </cell>
          <cell r="D152">
            <v>1960</v>
          </cell>
          <cell r="E152" t="str">
            <v>Stellair</v>
          </cell>
          <cell r="F152">
            <v>44</v>
          </cell>
          <cell r="G152">
            <v>22038</v>
          </cell>
          <cell r="H152" t="str">
            <v>Freighter</v>
          </cell>
          <cell r="I152" t="str">
            <v>Europe</v>
          </cell>
          <cell r="J152" t="str">
            <v>Spain</v>
          </cell>
          <cell r="K152">
            <v>21869</v>
          </cell>
        </row>
        <row r="153">
          <cell r="A153" t="str">
            <v>In service</v>
          </cell>
          <cell r="B153" t="str">
            <v>Gulfstream Aerospace Gulfstream I</v>
          </cell>
          <cell r="C153" t="str">
            <v>Freighter</v>
          </cell>
          <cell r="D153">
            <v>1962</v>
          </cell>
          <cell r="E153" t="str">
            <v>Phoenix Air</v>
          </cell>
          <cell r="F153">
            <v>42</v>
          </cell>
          <cell r="G153">
            <v>23008</v>
          </cell>
          <cell r="H153" t="str">
            <v>Freighter</v>
          </cell>
          <cell r="I153" t="str">
            <v>North America</v>
          </cell>
          <cell r="J153" t="str">
            <v>USA</v>
          </cell>
          <cell r="K153">
            <v>22827</v>
          </cell>
        </row>
        <row r="154">
          <cell r="A154" t="str">
            <v>In service</v>
          </cell>
          <cell r="B154" t="str">
            <v>Gulfstream Aerospace Gulfstream II</v>
          </cell>
          <cell r="C154" t="str">
            <v xml:space="preserve"> </v>
          </cell>
          <cell r="D154">
            <v>1971</v>
          </cell>
          <cell r="E154" t="str">
            <v>Aero Falcons LLC</v>
          </cell>
          <cell r="F154">
            <v>33</v>
          </cell>
          <cell r="G154">
            <v>26276</v>
          </cell>
          <cell r="I154" t="str">
            <v>North America</v>
          </cell>
          <cell r="J154" t="str">
            <v>USA</v>
          </cell>
          <cell r="K154">
            <v>25384</v>
          </cell>
        </row>
        <row r="155">
          <cell r="A155" t="str">
            <v>In service</v>
          </cell>
          <cell r="B155" t="str">
            <v>Gulfstream Aerospace Gulfstream II</v>
          </cell>
          <cell r="C155" t="str">
            <v xml:space="preserve"> </v>
          </cell>
          <cell r="D155">
            <v>1971</v>
          </cell>
          <cell r="E155" t="str">
            <v>Geosar LLC</v>
          </cell>
          <cell r="F155">
            <v>33</v>
          </cell>
          <cell r="G155">
            <v>26301</v>
          </cell>
          <cell r="I155" t="str">
            <v>North America</v>
          </cell>
          <cell r="J155" t="str">
            <v>USA</v>
          </cell>
          <cell r="K155">
            <v>26114</v>
          </cell>
        </row>
        <row r="156">
          <cell r="A156" t="str">
            <v>In service</v>
          </cell>
          <cell r="B156" t="str">
            <v>Gulfstream Aerospace Gulfstream II</v>
          </cell>
          <cell r="C156" t="str">
            <v xml:space="preserve"> </v>
          </cell>
          <cell r="D156">
            <v>1968</v>
          </cell>
          <cell r="E156" t="str">
            <v>Fairway Enterprises Inc</v>
          </cell>
          <cell r="F156">
            <v>36</v>
          </cell>
          <cell r="G156">
            <v>24873</v>
          </cell>
          <cell r="I156" t="str">
            <v>North America</v>
          </cell>
          <cell r="J156" t="str">
            <v>USA</v>
          </cell>
          <cell r="K156">
            <v>24653</v>
          </cell>
        </row>
        <row r="157">
          <cell r="A157" t="str">
            <v>In service</v>
          </cell>
          <cell r="B157" t="str">
            <v>Gulfstream Aerospace Gulfstream II</v>
          </cell>
          <cell r="C157" t="str">
            <v xml:space="preserve"> </v>
          </cell>
          <cell r="D157">
            <v>1972</v>
          </cell>
          <cell r="E157" t="str">
            <v>Business Jet Enterprises LP</v>
          </cell>
          <cell r="F157">
            <v>32</v>
          </cell>
          <cell r="G157">
            <v>26413</v>
          </cell>
          <cell r="I157" t="str">
            <v>North America</v>
          </cell>
          <cell r="J157" t="str">
            <v>USA</v>
          </cell>
          <cell r="K157">
            <v>25749</v>
          </cell>
        </row>
        <row r="158">
          <cell r="A158" t="str">
            <v>In service</v>
          </cell>
          <cell r="B158" t="str">
            <v>Gulfstream Aerospace Gulfstream II</v>
          </cell>
          <cell r="C158" t="str">
            <v xml:space="preserve"> </v>
          </cell>
          <cell r="D158">
            <v>1972</v>
          </cell>
          <cell r="E158" t="str">
            <v>Omnitrition de Mexico SA</v>
          </cell>
          <cell r="F158">
            <v>32</v>
          </cell>
          <cell r="G158">
            <v>26480</v>
          </cell>
          <cell r="I158" t="str">
            <v>Latin America and Caribbean</v>
          </cell>
          <cell r="J158" t="str">
            <v>Mexico</v>
          </cell>
          <cell r="K158">
            <v>26114</v>
          </cell>
        </row>
        <row r="159">
          <cell r="A159" t="str">
            <v>In service</v>
          </cell>
          <cell r="B159" t="str">
            <v>Gulfstream Aerospace Gulfstream II</v>
          </cell>
          <cell r="C159" t="str">
            <v xml:space="preserve"> </v>
          </cell>
          <cell r="D159">
            <v>1972</v>
          </cell>
          <cell r="E159" t="str">
            <v>Trans Exec Air Service</v>
          </cell>
          <cell r="F159">
            <v>32</v>
          </cell>
          <cell r="G159">
            <v>26536</v>
          </cell>
          <cell r="I159" t="str">
            <v>North America</v>
          </cell>
          <cell r="J159" t="str">
            <v>USA</v>
          </cell>
          <cell r="K159">
            <v>25749</v>
          </cell>
        </row>
        <row r="160">
          <cell r="A160" t="str">
            <v>In service</v>
          </cell>
          <cell r="B160" t="str">
            <v>Gulfstream Aerospace Gulfstream II</v>
          </cell>
          <cell r="C160" t="str">
            <v xml:space="preserve"> </v>
          </cell>
          <cell r="D160">
            <v>1972</v>
          </cell>
          <cell r="E160" t="str">
            <v>NASA</v>
          </cell>
          <cell r="F160">
            <v>32</v>
          </cell>
          <cell r="G160">
            <v>26576</v>
          </cell>
          <cell r="I160" t="str">
            <v>North America</v>
          </cell>
          <cell r="J160" t="str">
            <v>USA</v>
          </cell>
          <cell r="K160">
            <v>26114</v>
          </cell>
        </row>
        <row r="161">
          <cell r="A161" t="str">
            <v>In service</v>
          </cell>
          <cell r="B161" t="str">
            <v>Gulfstream Aerospace Gulfstream II</v>
          </cell>
          <cell r="C161" t="str">
            <v xml:space="preserve"> </v>
          </cell>
          <cell r="D161">
            <v>1972</v>
          </cell>
          <cell r="E161" t="str">
            <v>R Lacy Inc</v>
          </cell>
          <cell r="F161">
            <v>32</v>
          </cell>
          <cell r="G161">
            <v>26669</v>
          </cell>
          <cell r="I161" t="str">
            <v>North America</v>
          </cell>
          <cell r="J161" t="str">
            <v>USA</v>
          </cell>
          <cell r="K161">
            <v>26114</v>
          </cell>
        </row>
        <row r="162">
          <cell r="A162" t="str">
            <v>In service</v>
          </cell>
          <cell r="B162" t="str">
            <v>Gulfstream Aerospace Gulfstream II</v>
          </cell>
          <cell r="C162" t="str">
            <v xml:space="preserve"> </v>
          </cell>
          <cell r="D162">
            <v>1973</v>
          </cell>
          <cell r="E162" t="str">
            <v xml:space="preserve">New Light Church World Outreach &amp; Worship Centers </v>
          </cell>
          <cell r="F162">
            <v>31</v>
          </cell>
          <cell r="G162">
            <v>26801</v>
          </cell>
          <cell r="I162" t="str">
            <v>North America</v>
          </cell>
          <cell r="J162" t="str">
            <v>USA</v>
          </cell>
          <cell r="K162">
            <v>26114</v>
          </cell>
        </row>
        <row r="163">
          <cell r="A163" t="str">
            <v>In service</v>
          </cell>
          <cell r="B163" t="str">
            <v>Gulfstream Aerospace Gulfstream II</v>
          </cell>
          <cell r="C163" t="str">
            <v xml:space="preserve"> </v>
          </cell>
          <cell r="D163">
            <v>1968</v>
          </cell>
          <cell r="E163" t="str">
            <v>LFP Inc</v>
          </cell>
          <cell r="F163">
            <v>36</v>
          </cell>
          <cell r="G163">
            <v>24960</v>
          </cell>
          <cell r="I163" t="str">
            <v>North America</v>
          </cell>
          <cell r="J163" t="str">
            <v>USA</v>
          </cell>
          <cell r="K163">
            <v>23923</v>
          </cell>
        </row>
        <row r="164">
          <cell r="A164" t="str">
            <v>In service</v>
          </cell>
          <cell r="B164" t="str">
            <v>Gulfstream Aerospace Gulfstream II</v>
          </cell>
          <cell r="C164" t="str">
            <v xml:space="preserve"> </v>
          </cell>
          <cell r="D164">
            <v>1973</v>
          </cell>
          <cell r="E164" t="str">
            <v>John Wing Aviation Inc</v>
          </cell>
          <cell r="F164">
            <v>31</v>
          </cell>
          <cell r="G164">
            <v>26896</v>
          </cell>
          <cell r="I164" t="str">
            <v>North America</v>
          </cell>
          <cell r="J164" t="str">
            <v>USA</v>
          </cell>
          <cell r="K164">
            <v>26480</v>
          </cell>
        </row>
        <row r="165">
          <cell r="A165" t="str">
            <v>In service</v>
          </cell>
          <cell r="B165" t="str">
            <v>Gulfstream Aerospace Gulfstream II</v>
          </cell>
          <cell r="C165" t="str">
            <v xml:space="preserve"> </v>
          </cell>
          <cell r="D165">
            <v>1973</v>
          </cell>
          <cell r="E165" t="str">
            <v>EICO II Corp</v>
          </cell>
          <cell r="F165">
            <v>31</v>
          </cell>
          <cell r="G165">
            <v>26907</v>
          </cell>
          <cell r="I165" t="str">
            <v>North America</v>
          </cell>
          <cell r="J165" t="str">
            <v>USA</v>
          </cell>
          <cell r="K165">
            <v>26114</v>
          </cell>
        </row>
        <row r="166">
          <cell r="A166" t="str">
            <v>In service</v>
          </cell>
          <cell r="B166" t="str">
            <v>Gulfstream Aerospace Gulfstream II</v>
          </cell>
          <cell r="C166" t="str">
            <v xml:space="preserve"> </v>
          </cell>
          <cell r="D166">
            <v>1973</v>
          </cell>
          <cell r="E166" t="str">
            <v>RMQ Ltd</v>
          </cell>
          <cell r="F166">
            <v>31</v>
          </cell>
          <cell r="G166">
            <v>26974</v>
          </cell>
          <cell r="I166" t="str">
            <v>North America</v>
          </cell>
          <cell r="J166" t="str">
            <v>USA</v>
          </cell>
          <cell r="K166">
            <v>26480</v>
          </cell>
        </row>
        <row r="167">
          <cell r="A167" t="str">
            <v>In service</v>
          </cell>
          <cell r="B167" t="str">
            <v>Gulfstream Aerospace Gulfstream II</v>
          </cell>
          <cell r="C167" t="str">
            <v xml:space="preserve"> </v>
          </cell>
          <cell r="D167">
            <v>1973</v>
          </cell>
          <cell r="E167" t="str">
            <v>Walter Industries Inc</v>
          </cell>
          <cell r="F167">
            <v>31</v>
          </cell>
          <cell r="G167">
            <v>27008</v>
          </cell>
          <cell r="I167" t="str">
            <v>North America</v>
          </cell>
          <cell r="J167" t="str">
            <v>USA</v>
          </cell>
          <cell r="K167">
            <v>26480</v>
          </cell>
        </row>
        <row r="168">
          <cell r="A168" t="str">
            <v>In service</v>
          </cell>
          <cell r="B168" t="str">
            <v>Gulfstream Aerospace Gulfstream II</v>
          </cell>
          <cell r="C168" t="str">
            <v xml:space="preserve"> </v>
          </cell>
          <cell r="D168">
            <v>1974</v>
          </cell>
          <cell r="E168" t="str">
            <v>Diamond Air Service</v>
          </cell>
          <cell r="F168">
            <v>30</v>
          </cell>
          <cell r="G168">
            <v>27196</v>
          </cell>
          <cell r="I168" t="str">
            <v>Asia</v>
          </cell>
          <cell r="J168" t="str">
            <v>Japan</v>
          </cell>
          <cell r="K168">
            <v>26480</v>
          </cell>
        </row>
        <row r="169">
          <cell r="A169" t="str">
            <v>In service</v>
          </cell>
          <cell r="B169" t="str">
            <v>Gulfstream Aerospace Gulfstream II</v>
          </cell>
          <cell r="C169" t="str">
            <v xml:space="preserve"> </v>
          </cell>
          <cell r="D169">
            <v>1974</v>
          </cell>
          <cell r="E169" t="str">
            <v>RDC Marine Inc</v>
          </cell>
          <cell r="F169">
            <v>30</v>
          </cell>
          <cell r="G169">
            <v>27335</v>
          </cell>
          <cell r="I169" t="str">
            <v>North America</v>
          </cell>
          <cell r="J169" t="str">
            <v>USA</v>
          </cell>
          <cell r="K169">
            <v>26845</v>
          </cell>
        </row>
        <row r="170">
          <cell r="A170" t="str">
            <v>In service</v>
          </cell>
          <cell r="B170" t="str">
            <v>Gulfstream Aerospace Gulfstream II</v>
          </cell>
          <cell r="C170" t="str">
            <v xml:space="preserve"> </v>
          </cell>
          <cell r="D170">
            <v>1974</v>
          </cell>
          <cell r="E170" t="str">
            <v>NASA</v>
          </cell>
          <cell r="F170">
            <v>30</v>
          </cell>
          <cell r="G170">
            <v>27269</v>
          </cell>
          <cell r="I170" t="str">
            <v>North America</v>
          </cell>
          <cell r="J170" t="str">
            <v>USA</v>
          </cell>
          <cell r="K170">
            <v>26845</v>
          </cell>
        </row>
        <row r="171">
          <cell r="A171" t="str">
            <v>In service</v>
          </cell>
          <cell r="B171" t="str">
            <v>Gulfstream Aerospace Gulfstream II</v>
          </cell>
          <cell r="C171" t="str">
            <v xml:space="preserve"> </v>
          </cell>
          <cell r="D171">
            <v>1974</v>
          </cell>
          <cell r="E171" t="str">
            <v>Aviation Associates LLC</v>
          </cell>
          <cell r="F171">
            <v>30</v>
          </cell>
          <cell r="G171">
            <v>27156</v>
          </cell>
          <cell r="I171" t="str">
            <v>North America</v>
          </cell>
          <cell r="J171" t="str">
            <v>USA</v>
          </cell>
          <cell r="K171">
            <v>26480</v>
          </cell>
        </row>
        <row r="172">
          <cell r="A172" t="str">
            <v>In service</v>
          </cell>
          <cell r="B172" t="str">
            <v>Gulfstream Aerospace Gulfstream II</v>
          </cell>
          <cell r="C172" t="str">
            <v xml:space="preserve"> </v>
          </cell>
          <cell r="D172">
            <v>1974</v>
          </cell>
          <cell r="E172" t="str">
            <v>NASA</v>
          </cell>
          <cell r="F172">
            <v>30</v>
          </cell>
          <cell r="G172">
            <v>27169</v>
          </cell>
          <cell r="I172" t="str">
            <v>North America</v>
          </cell>
          <cell r="J172" t="str">
            <v>USA</v>
          </cell>
          <cell r="K172">
            <v>26845</v>
          </cell>
        </row>
        <row r="173">
          <cell r="A173" t="str">
            <v>In service</v>
          </cell>
          <cell r="B173" t="str">
            <v>Gulfstream Aerospace Gulfstream II</v>
          </cell>
          <cell r="C173" t="str">
            <v xml:space="preserve"> </v>
          </cell>
          <cell r="D173">
            <v>1968</v>
          </cell>
          <cell r="E173" t="str">
            <v>JT Aviation Corp</v>
          </cell>
          <cell r="F173">
            <v>36</v>
          </cell>
          <cell r="G173">
            <v>25034</v>
          </cell>
          <cell r="I173" t="str">
            <v>North America</v>
          </cell>
          <cell r="J173" t="str">
            <v>USA</v>
          </cell>
          <cell r="K173">
            <v>24653</v>
          </cell>
        </row>
        <row r="174">
          <cell r="A174" t="str">
            <v>In service</v>
          </cell>
          <cell r="B174" t="str">
            <v>Gulfstream Aerospace Gulfstream II</v>
          </cell>
          <cell r="C174" t="str">
            <v xml:space="preserve"> </v>
          </cell>
          <cell r="D174">
            <v>1974</v>
          </cell>
          <cell r="E174" t="str">
            <v>Little Caesar Enterprises Inc</v>
          </cell>
          <cell r="F174">
            <v>30</v>
          </cell>
          <cell r="G174">
            <v>27306</v>
          </cell>
          <cell r="I174" t="str">
            <v>North America</v>
          </cell>
          <cell r="J174" t="str">
            <v>USA</v>
          </cell>
        </row>
        <row r="175">
          <cell r="A175" t="str">
            <v>In service</v>
          </cell>
          <cell r="B175" t="str">
            <v>Gulfstream Aerospace Gulfstream II</v>
          </cell>
          <cell r="C175" t="str">
            <v xml:space="preserve"> </v>
          </cell>
          <cell r="D175">
            <v>1974</v>
          </cell>
          <cell r="E175" t="str">
            <v>Crenshaw Christian Center Church of Los Angeles</v>
          </cell>
          <cell r="F175">
            <v>30</v>
          </cell>
          <cell r="G175">
            <v>27339</v>
          </cell>
          <cell r="I175" t="str">
            <v>North America</v>
          </cell>
          <cell r="J175" t="str">
            <v>USA</v>
          </cell>
          <cell r="K175">
            <v>26480</v>
          </cell>
        </row>
        <row r="176">
          <cell r="A176" t="str">
            <v>In service</v>
          </cell>
          <cell r="B176" t="str">
            <v>Gulfstream Aerospace Gulfstream II</v>
          </cell>
          <cell r="C176" t="str">
            <v xml:space="preserve"> </v>
          </cell>
          <cell r="D176">
            <v>1974</v>
          </cell>
          <cell r="E176" t="str">
            <v xml:space="preserve">Crown Aviation LLC </v>
          </cell>
          <cell r="F176">
            <v>30</v>
          </cell>
          <cell r="G176">
            <v>27210</v>
          </cell>
          <cell r="I176" t="str">
            <v>North America</v>
          </cell>
          <cell r="J176" t="str">
            <v>USA</v>
          </cell>
          <cell r="K176">
            <v>26845</v>
          </cell>
        </row>
        <row r="177">
          <cell r="A177" t="str">
            <v>In service</v>
          </cell>
          <cell r="B177" t="str">
            <v>Gulfstream Aerospace Gulfstream II</v>
          </cell>
          <cell r="C177" t="str">
            <v xml:space="preserve"> </v>
          </cell>
          <cell r="D177">
            <v>1975</v>
          </cell>
          <cell r="E177" t="str">
            <v>Plan 15 Aviation LLC</v>
          </cell>
          <cell r="F177">
            <v>29</v>
          </cell>
          <cell r="G177">
            <v>27774</v>
          </cell>
          <cell r="I177" t="str">
            <v>North America</v>
          </cell>
          <cell r="J177" t="str">
            <v>USA</v>
          </cell>
          <cell r="K177">
            <v>27210</v>
          </cell>
        </row>
        <row r="178">
          <cell r="A178" t="str">
            <v>In service</v>
          </cell>
          <cell r="B178" t="str">
            <v>Gulfstream Aerospace Gulfstream II</v>
          </cell>
          <cell r="C178" t="str">
            <v xml:space="preserve"> </v>
          </cell>
          <cell r="D178">
            <v>1975</v>
          </cell>
          <cell r="E178" t="str">
            <v>XTO Energy Inc</v>
          </cell>
          <cell r="F178">
            <v>29</v>
          </cell>
          <cell r="G178">
            <v>27699</v>
          </cell>
          <cell r="I178" t="str">
            <v>North America</v>
          </cell>
          <cell r="J178" t="str">
            <v>USA</v>
          </cell>
        </row>
        <row r="179">
          <cell r="A179" t="str">
            <v>In service</v>
          </cell>
          <cell r="B179" t="str">
            <v>Gulfstream Aerospace Gulfstream II</v>
          </cell>
          <cell r="C179" t="str">
            <v xml:space="preserve"> </v>
          </cell>
          <cell r="D179">
            <v>1975</v>
          </cell>
          <cell r="E179" t="str">
            <v>Saudi Arabian Airlines</v>
          </cell>
          <cell r="F179">
            <v>29</v>
          </cell>
          <cell r="G179">
            <v>27900</v>
          </cell>
          <cell r="I179" t="str">
            <v>Middle East</v>
          </cell>
          <cell r="J179" t="str">
            <v>Saudi Arabia</v>
          </cell>
          <cell r="K179">
            <v>27210</v>
          </cell>
        </row>
        <row r="180">
          <cell r="A180" t="str">
            <v>In service</v>
          </cell>
          <cell r="B180" t="str">
            <v>Gulfstream Aerospace Gulfstream II</v>
          </cell>
          <cell r="C180" t="str">
            <v xml:space="preserve"> </v>
          </cell>
          <cell r="D180">
            <v>1976</v>
          </cell>
          <cell r="E180" t="str">
            <v>Federal Government of Nigeria</v>
          </cell>
          <cell r="F180">
            <v>28</v>
          </cell>
          <cell r="G180">
            <v>28074</v>
          </cell>
          <cell r="I180" t="str">
            <v>Africa</v>
          </cell>
          <cell r="J180" t="str">
            <v>Nigeria</v>
          </cell>
          <cell r="K180">
            <v>27210</v>
          </cell>
        </row>
        <row r="181">
          <cell r="A181" t="str">
            <v>In service</v>
          </cell>
          <cell r="B181" t="str">
            <v>Gulfstream Aerospace Gulfstream II</v>
          </cell>
          <cell r="C181" t="str">
            <v xml:space="preserve"> </v>
          </cell>
          <cell r="D181">
            <v>1976</v>
          </cell>
          <cell r="E181" t="str">
            <v>Saudi CAA</v>
          </cell>
          <cell r="F181">
            <v>28</v>
          </cell>
          <cell r="G181">
            <v>28103</v>
          </cell>
          <cell r="I181" t="str">
            <v>Middle East</v>
          </cell>
          <cell r="J181" t="str">
            <v>Saudi Arabia</v>
          </cell>
        </row>
        <row r="182">
          <cell r="A182" t="str">
            <v>In service</v>
          </cell>
          <cell r="B182" t="str">
            <v>Gulfstream Aerospace Gulfstream II</v>
          </cell>
          <cell r="C182" t="str">
            <v xml:space="preserve"> </v>
          </cell>
          <cell r="D182">
            <v>1968</v>
          </cell>
          <cell r="E182" t="str">
            <v>Procuraduria General de la Republica Nacional</v>
          </cell>
          <cell r="F182">
            <v>36</v>
          </cell>
          <cell r="G182">
            <v>24981</v>
          </cell>
          <cell r="I182" t="str">
            <v>Latin America and Caribbean</v>
          </cell>
          <cell r="J182" t="str">
            <v>Mexico</v>
          </cell>
          <cell r="K182">
            <v>23923</v>
          </cell>
        </row>
        <row r="183">
          <cell r="A183" t="str">
            <v>In service</v>
          </cell>
          <cell r="B183" t="str">
            <v>Gulfstream Aerospace Gulfstream II</v>
          </cell>
          <cell r="C183" t="str">
            <v xml:space="preserve"> </v>
          </cell>
          <cell r="D183">
            <v>1976</v>
          </cell>
          <cell r="E183" t="str">
            <v>Kingsway Aviation inc</v>
          </cell>
          <cell r="F183">
            <v>28</v>
          </cell>
          <cell r="G183">
            <v>27858</v>
          </cell>
          <cell r="I183" t="str">
            <v>North America</v>
          </cell>
          <cell r="J183" t="str">
            <v>USA</v>
          </cell>
          <cell r="K183">
            <v>27210</v>
          </cell>
        </row>
        <row r="184">
          <cell r="A184" t="str">
            <v>In service</v>
          </cell>
          <cell r="B184" t="str">
            <v>Gulfstream Aerospace Gulfstream II</v>
          </cell>
          <cell r="C184" t="str">
            <v xml:space="preserve"> </v>
          </cell>
          <cell r="D184">
            <v>1976</v>
          </cell>
          <cell r="E184" t="str">
            <v>Richard &amp; David Jacobs Group</v>
          </cell>
          <cell r="F184">
            <v>28</v>
          </cell>
          <cell r="G184">
            <v>28111</v>
          </cell>
          <cell r="I184" t="str">
            <v>North America</v>
          </cell>
          <cell r="J184" t="str">
            <v>USA</v>
          </cell>
        </row>
        <row r="185">
          <cell r="A185" t="str">
            <v>In service</v>
          </cell>
          <cell r="B185" t="str">
            <v>Gulfstream Aerospace Gulfstream II</v>
          </cell>
          <cell r="C185" t="str">
            <v xml:space="preserve"> </v>
          </cell>
          <cell r="D185">
            <v>1976</v>
          </cell>
          <cell r="E185" t="str">
            <v>Avstar Jet Charter &amp; Management Services Inc</v>
          </cell>
          <cell r="F185">
            <v>28</v>
          </cell>
          <cell r="G185">
            <v>28397</v>
          </cell>
          <cell r="I185" t="str">
            <v>North America</v>
          </cell>
          <cell r="J185" t="str">
            <v>USA</v>
          </cell>
        </row>
        <row r="186">
          <cell r="A186" t="str">
            <v>In service</v>
          </cell>
          <cell r="B186" t="str">
            <v>Gulfstream Aerospace Gulfstream II</v>
          </cell>
          <cell r="C186" t="str">
            <v xml:space="preserve"> </v>
          </cell>
          <cell r="D186">
            <v>1976</v>
          </cell>
          <cell r="E186" t="str">
            <v>Avion LLC</v>
          </cell>
          <cell r="F186">
            <v>28</v>
          </cell>
          <cell r="G186">
            <v>28020</v>
          </cell>
          <cell r="I186" t="str">
            <v>North America</v>
          </cell>
          <cell r="J186" t="str">
            <v>USA</v>
          </cell>
        </row>
        <row r="187">
          <cell r="A187" t="str">
            <v>In service</v>
          </cell>
          <cell r="B187" t="str">
            <v>Gulfstream Aerospace Gulfstream II</v>
          </cell>
          <cell r="C187" t="str">
            <v xml:space="preserve"> </v>
          </cell>
          <cell r="D187">
            <v>1976</v>
          </cell>
          <cell r="E187" t="str">
            <v>American Aircraft Leasing Inc</v>
          </cell>
          <cell r="F187">
            <v>28</v>
          </cell>
          <cell r="G187">
            <v>28083</v>
          </cell>
          <cell r="I187" t="str">
            <v>North America</v>
          </cell>
          <cell r="J187" t="str">
            <v>USA</v>
          </cell>
          <cell r="K187">
            <v>27575</v>
          </cell>
        </row>
        <row r="188">
          <cell r="A188" t="str">
            <v>In service</v>
          </cell>
          <cell r="B188" t="str">
            <v>Gulfstream Aerospace Gulfstream II</v>
          </cell>
          <cell r="C188" t="str">
            <v xml:space="preserve"> </v>
          </cell>
          <cell r="D188">
            <v>1976</v>
          </cell>
          <cell r="E188" t="str">
            <v>GFS Manassas Air Services Inc</v>
          </cell>
          <cell r="F188">
            <v>28</v>
          </cell>
          <cell r="G188">
            <v>28098</v>
          </cell>
          <cell r="I188" t="str">
            <v>North America</v>
          </cell>
          <cell r="J188" t="str">
            <v>USA</v>
          </cell>
          <cell r="K188">
            <v>27575</v>
          </cell>
        </row>
        <row r="189">
          <cell r="A189" t="str">
            <v>In service</v>
          </cell>
          <cell r="B189" t="str">
            <v>Gulfstream Aerospace Gulfstream II</v>
          </cell>
          <cell r="C189" t="str">
            <v xml:space="preserve"> </v>
          </cell>
          <cell r="D189">
            <v>1976</v>
          </cell>
          <cell r="E189" t="str">
            <v>Transpais Aereo SA de CV</v>
          </cell>
          <cell r="F189">
            <v>28</v>
          </cell>
          <cell r="G189">
            <v>28105</v>
          </cell>
          <cell r="I189" t="str">
            <v>Latin America and Caribbean</v>
          </cell>
          <cell r="J189" t="str">
            <v>Mexico</v>
          </cell>
          <cell r="K189">
            <v>27575</v>
          </cell>
        </row>
        <row r="190">
          <cell r="A190" t="str">
            <v>In service</v>
          </cell>
          <cell r="B190" t="str">
            <v>Gulfstream Aerospace Gulfstream II</v>
          </cell>
          <cell r="C190" t="str">
            <v xml:space="preserve"> </v>
          </cell>
          <cell r="D190">
            <v>1976</v>
          </cell>
          <cell r="E190" t="str">
            <v>May Department Stores Co</v>
          </cell>
          <cell r="F190">
            <v>28</v>
          </cell>
          <cell r="G190">
            <v>28132</v>
          </cell>
          <cell r="I190" t="str">
            <v>North America</v>
          </cell>
          <cell r="J190" t="str">
            <v>USA</v>
          </cell>
          <cell r="K190">
            <v>27575</v>
          </cell>
        </row>
        <row r="191">
          <cell r="A191" t="str">
            <v>In service</v>
          </cell>
          <cell r="B191" t="str">
            <v>Gulfstream Aerospace Gulfstream II</v>
          </cell>
          <cell r="C191" t="str">
            <v xml:space="preserve"> </v>
          </cell>
          <cell r="D191">
            <v>1977</v>
          </cell>
          <cell r="E191" t="str">
            <v>Senterra Consulting LLC</v>
          </cell>
          <cell r="F191">
            <v>27</v>
          </cell>
          <cell r="G191">
            <v>28150</v>
          </cell>
          <cell r="I191" t="str">
            <v>North America</v>
          </cell>
          <cell r="J191" t="str">
            <v>USA</v>
          </cell>
          <cell r="K191">
            <v>27210</v>
          </cell>
        </row>
        <row r="192">
          <cell r="A192" t="str">
            <v>In service</v>
          </cell>
          <cell r="B192" t="str">
            <v>Gulfstream Aerospace Gulfstream II</v>
          </cell>
          <cell r="C192" t="str">
            <v xml:space="preserve"> </v>
          </cell>
          <cell r="D192">
            <v>1968</v>
          </cell>
          <cell r="E192" t="str">
            <v>Eddie L Long</v>
          </cell>
          <cell r="F192">
            <v>36</v>
          </cell>
          <cell r="G192">
            <v>25009</v>
          </cell>
          <cell r="I192" t="str">
            <v>North America</v>
          </cell>
          <cell r="J192" t="str">
            <v>USA</v>
          </cell>
          <cell r="K192">
            <v>24288</v>
          </cell>
        </row>
        <row r="193">
          <cell r="A193" t="str">
            <v>In service</v>
          </cell>
          <cell r="B193" t="str">
            <v>Gulfstream Aerospace Gulfstream II</v>
          </cell>
          <cell r="C193" t="str">
            <v xml:space="preserve"> </v>
          </cell>
          <cell r="D193">
            <v>1977</v>
          </cell>
          <cell r="E193" t="str">
            <v>Bill Mullis Enterprises Inc</v>
          </cell>
          <cell r="F193">
            <v>27</v>
          </cell>
          <cell r="G193">
            <v>28352</v>
          </cell>
          <cell r="I193" t="str">
            <v>North America</v>
          </cell>
          <cell r="J193" t="str">
            <v>USA</v>
          </cell>
          <cell r="K193">
            <v>27941</v>
          </cell>
        </row>
        <row r="194">
          <cell r="A194" t="str">
            <v>In service</v>
          </cell>
          <cell r="B194" t="str">
            <v>Gulfstream Aerospace Gulfstream II</v>
          </cell>
          <cell r="C194" t="str">
            <v xml:space="preserve"> </v>
          </cell>
          <cell r="D194">
            <v>1978</v>
          </cell>
          <cell r="E194" t="str">
            <v>HBJ Leasing LLC</v>
          </cell>
          <cell r="F194">
            <v>26</v>
          </cell>
          <cell r="G194">
            <v>28510</v>
          </cell>
          <cell r="I194" t="str">
            <v>North America</v>
          </cell>
          <cell r="J194" t="str">
            <v>USA</v>
          </cell>
          <cell r="K194">
            <v>27941</v>
          </cell>
        </row>
        <row r="195">
          <cell r="A195" t="str">
            <v>In service</v>
          </cell>
          <cell r="B195" t="str">
            <v>Gulfstream Aerospace Gulfstream II</v>
          </cell>
          <cell r="C195" t="str">
            <v xml:space="preserve"> </v>
          </cell>
          <cell r="D195">
            <v>1978</v>
          </cell>
          <cell r="E195" t="str">
            <v>RS Aircraft</v>
          </cell>
          <cell r="F195">
            <v>26</v>
          </cell>
          <cell r="G195">
            <v>28722</v>
          </cell>
          <cell r="I195" t="str">
            <v>North America</v>
          </cell>
          <cell r="J195" t="str">
            <v>USA</v>
          </cell>
          <cell r="K195">
            <v>28671</v>
          </cell>
        </row>
        <row r="196">
          <cell r="A196" t="str">
            <v>In service</v>
          </cell>
          <cell r="B196" t="str">
            <v>Gulfstream Aerospace Gulfstream II</v>
          </cell>
          <cell r="C196" t="str">
            <v xml:space="preserve"> </v>
          </cell>
          <cell r="D196">
            <v>1978</v>
          </cell>
          <cell r="E196" t="str">
            <v>G &amp; L Aviation</v>
          </cell>
          <cell r="F196">
            <v>26</v>
          </cell>
          <cell r="G196">
            <v>28961</v>
          </cell>
          <cell r="I196" t="str">
            <v>North America</v>
          </cell>
          <cell r="J196" t="str">
            <v>USA</v>
          </cell>
        </row>
        <row r="197">
          <cell r="A197" t="str">
            <v>In service</v>
          </cell>
          <cell r="B197" t="str">
            <v>Gulfstream Aerospace Gulfstream II</v>
          </cell>
          <cell r="C197" t="str">
            <v xml:space="preserve"> </v>
          </cell>
          <cell r="D197">
            <v>1978</v>
          </cell>
          <cell r="E197" t="str">
            <v>NASA</v>
          </cell>
          <cell r="F197">
            <v>26</v>
          </cell>
          <cell r="G197">
            <v>28640</v>
          </cell>
          <cell r="I197" t="str">
            <v>North America</v>
          </cell>
          <cell r="J197" t="str">
            <v>USA</v>
          </cell>
        </row>
        <row r="198">
          <cell r="A198" t="str">
            <v>In service</v>
          </cell>
          <cell r="B198" t="str">
            <v>Gulfstream Aerospace Gulfstream II</v>
          </cell>
          <cell r="C198" t="str">
            <v xml:space="preserve"> </v>
          </cell>
          <cell r="D198">
            <v>1968</v>
          </cell>
          <cell r="E198" t="str">
            <v>Bizjet International Sales &amp; Support</v>
          </cell>
          <cell r="F198">
            <v>36</v>
          </cell>
          <cell r="G198">
            <v>25238</v>
          </cell>
          <cell r="H198" t="str">
            <v>VC-11A</v>
          </cell>
          <cell r="I198" t="str">
            <v>North America</v>
          </cell>
          <cell r="J198" t="str">
            <v>USA</v>
          </cell>
          <cell r="K198">
            <v>24653</v>
          </cell>
        </row>
        <row r="199">
          <cell r="A199" t="str">
            <v>In service</v>
          </cell>
          <cell r="B199" t="str">
            <v>Gulfstream Aerospace Gulfstream II</v>
          </cell>
          <cell r="C199" t="str">
            <v xml:space="preserve"> </v>
          </cell>
          <cell r="D199">
            <v>1978</v>
          </cell>
          <cell r="E199" t="str">
            <v>LCH Co LLC</v>
          </cell>
          <cell r="F199">
            <v>26</v>
          </cell>
          <cell r="G199">
            <v>28814</v>
          </cell>
          <cell r="I199" t="str">
            <v>North America</v>
          </cell>
          <cell r="J199" t="str">
            <v>USA</v>
          </cell>
        </row>
        <row r="200">
          <cell r="A200" t="str">
            <v>In service</v>
          </cell>
          <cell r="B200" t="str">
            <v>Gulfstream Aerospace Gulfstream II</v>
          </cell>
          <cell r="C200" t="str">
            <v xml:space="preserve"> </v>
          </cell>
          <cell r="D200">
            <v>1968</v>
          </cell>
          <cell r="E200" t="str">
            <v>Cedar Enterprises LLC</v>
          </cell>
          <cell r="F200">
            <v>36</v>
          </cell>
          <cell r="G200">
            <v>25069</v>
          </cell>
          <cell r="I200" t="str">
            <v>North America</v>
          </cell>
          <cell r="J200" t="str">
            <v>USA</v>
          </cell>
          <cell r="K200">
            <v>24288</v>
          </cell>
        </row>
        <row r="201">
          <cell r="A201" t="str">
            <v>In service</v>
          </cell>
          <cell r="B201" t="str">
            <v>Gulfstream Aerospace Gulfstream II</v>
          </cell>
          <cell r="C201" t="str">
            <v xml:space="preserve"> </v>
          </cell>
          <cell r="D201">
            <v>1979</v>
          </cell>
          <cell r="E201" t="str">
            <v>Government of Chad</v>
          </cell>
          <cell r="F201">
            <v>25</v>
          </cell>
          <cell r="G201">
            <v>29218</v>
          </cell>
          <cell r="I201" t="str">
            <v>Africa</v>
          </cell>
          <cell r="J201" t="str">
            <v>Chad</v>
          </cell>
        </row>
        <row r="202">
          <cell r="A202" t="str">
            <v>In service</v>
          </cell>
          <cell r="B202" t="str">
            <v>Gulfstream Aerospace Gulfstream II</v>
          </cell>
          <cell r="C202" t="str">
            <v xml:space="preserve"> </v>
          </cell>
          <cell r="D202">
            <v>1979</v>
          </cell>
          <cell r="E202" t="str">
            <v>Government of Libya</v>
          </cell>
          <cell r="F202">
            <v>25</v>
          </cell>
          <cell r="G202">
            <v>29249</v>
          </cell>
          <cell r="I202" t="str">
            <v>Africa</v>
          </cell>
          <cell r="J202" t="str">
            <v>Libya</v>
          </cell>
        </row>
        <row r="203">
          <cell r="A203" t="str">
            <v>In service</v>
          </cell>
          <cell r="B203" t="str">
            <v>Gulfstream Aerospace Gulfstream II</v>
          </cell>
          <cell r="C203" t="str">
            <v xml:space="preserve"> </v>
          </cell>
          <cell r="D203">
            <v>1968</v>
          </cell>
          <cell r="E203" t="str">
            <v>Heritage Jets Inc</v>
          </cell>
          <cell r="F203">
            <v>36</v>
          </cell>
          <cell r="G203">
            <v>25070</v>
          </cell>
          <cell r="I203" t="str">
            <v>North America</v>
          </cell>
          <cell r="J203" t="str">
            <v>USA</v>
          </cell>
          <cell r="K203">
            <v>24288</v>
          </cell>
        </row>
        <row r="204">
          <cell r="A204" t="str">
            <v>In service</v>
          </cell>
          <cell r="B204" t="str">
            <v>Gulfstream Aerospace Gulfstream II</v>
          </cell>
          <cell r="C204" t="str">
            <v xml:space="preserve"> </v>
          </cell>
          <cell r="D204">
            <v>1979</v>
          </cell>
          <cell r="E204" t="str">
            <v>Rubloff 251 JS LLC</v>
          </cell>
          <cell r="F204">
            <v>25</v>
          </cell>
          <cell r="G204">
            <v>29143</v>
          </cell>
          <cell r="I204" t="str">
            <v>North America</v>
          </cell>
          <cell r="J204" t="str">
            <v>USA</v>
          </cell>
          <cell r="K204">
            <v>28671</v>
          </cell>
        </row>
        <row r="205">
          <cell r="A205" t="str">
            <v>In service</v>
          </cell>
          <cell r="B205" t="str">
            <v>Gulfstream Aerospace Gulfstream II</v>
          </cell>
          <cell r="C205" t="str">
            <v xml:space="preserve"> </v>
          </cell>
          <cell r="D205">
            <v>1980</v>
          </cell>
          <cell r="E205" t="str">
            <v>Shinn Enterprises Inc</v>
          </cell>
          <cell r="F205">
            <v>24</v>
          </cell>
          <cell r="G205">
            <v>29235</v>
          </cell>
          <cell r="I205" t="str">
            <v>North America</v>
          </cell>
          <cell r="J205" t="str">
            <v>USA</v>
          </cell>
          <cell r="K205">
            <v>29036</v>
          </cell>
        </row>
        <row r="206">
          <cell r="A206" t="str">
            <v>In service</v>
          </cell>
          <cell r="B206" t="str">
            <v>Gulfstream Aerospace Gulfstream II</v>
          </cell>
          <cell r="C206" t="str">
            <v xml:space="preserve"> </v>
          </cell>
          <cell r="D206">
            <v>1968</v>
          </cell>
          <cell r="E206" t="str">
            <v>KW Plastics Recycling Division Trust</v>
          </cell>
          <cell r="F206">
            <v>36</v>
          </cell>
          <cell r="G206">
            <v>25100</v>
          </cell>
          <cell r="I206" t="str">
            <v>North America</v>
          </cell>
          <cell r="J206" t="str">
            <v>USA</v>
          </cell>
          <cell r="K206">
            <v>24653</v>
          </cell>
        </row>
        <row r="207">
          <cell r="A207" t="str">
            <v>In service</v>
          </cell>
          <cell r="B207" t="str">
            <v>Gulfstream Aerospace Gulfstream II</v>
          </cell>
          <cell r="C207" t="str">
            <v xml:space="preserve"> </v>
          </cell>
          <cell r="D207">
            <v>1968</v>
          </cell>
          <cell r="E207" t="str">
            <v>Air Force Material Command</v>
          </cell>
          <cell r="F207">
            <v>36</v>
          </cell>
          <cell r="G207">
            <v>25125</v>
          </cell>
          <cell r="I207" t="str">
            <v>North America</v>
          </cell>
          <cell r="J207" t="str">
            <v>USA</v>
          </cell>
          <cell r="K207">
            <v>24288</v>
          </cell>
        </row>
        <row r="208">
          <cell r="A208" t="str">
            <v>In service</v>
          </cell>
          <cell r="B208" t="str">
            <v>Gulfstream Aerospace Gulfstream II</v>
          </cell>
          <cell r="C208" t="str">
            <v xml:space="preserve"> </v>
          </cell>
          <cell r="D208">
            <v>1968</v>
          </cell>
          <cell r="E208" t="str">
            <v>Rutherford Moran Oil Corp</v>
          </cell>
          <cell r="F208">
            <v>36</v>
          </cell>
          <cell r="G208">
            <v>25177</v>
          </cell>
          <cell r="I208" t="str">
            <v>North America</v>
          </cell>
          <cell r="J208" t="str">
            <v>USA</v>
          </cell>
          <cell r="K208">
            <v>24288</v>
          </cell>
        </row>
        <row r="209">
          <cell r="A209" t="str">
            <v>In service</v>
          </cell>
          <cell r="B209" t="str">
            <v>Gulfstream Aerospace Gulfstream II</v>
          </cell>
          <cell r="C209" t="str">
            <v xml:space="preserve"> </v>
          </cell>
          <cell r="D209">
            <v>1969</v>
          </cell>
          <cell r="E209" t="str">
            <v>Helicopter Systems Inc</v>
          </cell>
          <cell r="F209">
            <v>35</v>
          </cell>
          <cell r="G209">
            <v>25234</v>
          </cell>
          <cell r="I209" t="str">
            <v>North America</v>
          </cell>
          <cell r="J209" t="str">
            <v>USA</v>
          </cell>
          <cell r="K209">
            <v>24653</v>
          </cell>
        </row>
        <row r="210">
          <cell r="A210" t="str">
            <v>In service</v>
          </cell>
          <cell r="B210" t="str">
            <v>Gulfstream Aerospace Gulfstream II</v>
          </cell>
          <cell r="C210" t="str">
            <v xml:space="preserve"> </v>
          </cell>
          <cell r="D210">
            <v>1969</v>
          </cell>
          <cell r="E210" t="str">
            <v>Okun Air LLC</v>
          </cell>
          <cell r="F210">
            <v>35</v>
          </cell>
          <cell r="G210">
            <v>25515</v>
          </cell>
          <cell r="I210" t="str">
            <v>North America</v>
          </cell>
          <cell r="J210" t="str">
            <v>USA</v>
          </cell>
          <cell r="K210">
            <v>25019</v>
          </cell>
        </row>
        <row r="211">
          <cell r="A211" t="str">
            <v>In service</v>
          </cell>
          <cell r="B211" t="str">
            <v>Gulfstream Aerospace Gulfstream II</v>
          </cell>
          <cell r="C211" t="str">
            <v xml:space="preserve"> </v>
          </cell>
          <cell r="D211">
            <v>1967</v>
          </cell>
          <cell r="E211" t="str">
            <v>Ozark Aviation Inc</v>
          </cell>
          <cell r="F211">
            <v>37</v>
          </cell>
          <cell r="G211">
            <v>24812</v>
          </cell>
          <cell r="I211" t="str">
            <v>North America</v>
          </cell>
          <cell r="J211" t="str">
            <v>USA</v>
          </cell>
          <cell r="K211">
            <v>23923</v>
          </cell>
        </row>
        <row r="212">
          <cell r="A212" t="str">
            <v>In service</v>
          </cell>
          <cell r="B212" t="str">
            <v>Gulfstream Aerospace Gulfstream II</v>
          </cell>
          <cell r="C212" t="str">
            <v xml:space="preserve"> </v>
          </cell>
          <cell r="D212">
            <v>1969</v>
          </cell>
          <cell r="E212" t="str">
            <v>Air Tiger Inc</v>
          </cell>
          <cell r="F212">
            <v>35</v>
          </cell>
          <cell r="G212">
            <v>25293</v>
          </cell>
          <cell r="I212" t="str">
            <v>North America</v>
          </cell>
          <cell r="J212" t="str">
            <v>USA</v>
          </cell>
          <cell r="K212">
            <v>24653</v>
          </cell>
        </row>
        <row r="213">
          <cell r="A213" t="str">
            <v>In service</v>
          </cell>
          <cell r="B213" t="str">
            <v>Gulfstream Aerospace Gulfstream II</v>
          </cell>
          <cell r="C213" t="str">
            <v xml:space="preserve"> </v>
          </cell>
          <cell r="D213">
            <v>1969</v>
          </cell>
          <cell r="E213" t="str">
            <v>Drummond Co Inc</v>
          </cell>
          <cell r="F213">
            <v>35</v>
          </cell>
          <cell r="G213">
            <v>25335</v>
          </cell>
          <cell r="I213" t="str">
            <v>North America</v>
          </cell>
          <cell r="J213" t="str">
            <v>USA</v>
          </cell>
          <cell r="K213">
            <v>24653</v>
          </cell>
        </row>
        <row r="214">
          <cell r="A214" t="str">
            <v>In service</v>
          </cell>
          <cell r="B214" t="str">
            <v>Gulfstream Aerospace Gulfstream II</v>
          </cell>
          <cell r="C214" t="str">
            <v xml:space="preserve"> </v>
          </cell>
          <cell r="D214">
            <v>1969</v>
          </cell>
          <cell r="E214" t="str">
            <v>Kipp Ginsberg Trust</v>
          </cell>
          <cell r="F214">
            <v>35</v>
          </cell>
          <cell r="G214">
            <v>25409</v>
          </cell>
          <cell r="I214" t="str">
            <v>North America</v>
          </cell>
          <cell r="J214" t="str">
            <v>USA</v>
          </cell>
          <cell r="K214">
            <v>24653</v>
          </cell>
        </row>
        <row r="215">
          <cell r="A215" t="str">
            <v>In service</v>
          </cell>
          <cell r="B215" t="str">
            <v>Gulfstream Aerospace Gulfstream II</v>
          </cell>
          <cell r="C215" t="str">
            <v xml:space="preserve"> </v>
          </cell>
          <cell r="D215">
            <v>1969</v>
          </cell>
          <cell r="E215" t="str">
            <v>Government of the Democratic Republic of the Congo</v>
          </cell>
          <cell r="F215">
            <v>35</v>
          </cell>
          <cell r="G215">
            <v>25433</v>
          </cell>
          <cell r="I215" t="str">
            <v>Africa</v>
          </cell>
          <cell r="J215" t="str">
            <v>Congo (Democratic Republic)</v>
          </cell>
          <cell r="K215">
            <v>24653</v>
          </cell>
        </row>
        <row r="216">
          <cell r="A216" t="str">
            <v>In service</v>
          </cell>
          <cell r="B216" t="str">
            <v>Gulfstream Aerospace Gulfstream II</v>
          </cell>
          <cell r="C216" t="str">
            <v xml:space="preserve"> </v>
          </cell>
          <cell r="D216">
            <v>1969</v>
          </cell>
          <cell r="E216" t="str">
            <v>JHS Leasing of Tampa Inc</v>
          </cell>
          <cell r="F216">
            <v>35</v>
          </cell>
          <cell r="G216">
            <v>25441</v>
          </cell>
          <cell r="I216" t="str">
            <v>North America</v>
          </cell>
          <cell r="J216" t="str">
            <v>USA</v>
          </cell>
          <cell r="K216">
            <v>24653</v>
          </cell>
        </row>
        <row r="217">
          <cell r="A217" t="str">
            <v>In service</v>
          </cell>
          <cell r="B217" t="str">
            <v>Gulfstream Aerospace Gulfstream II</v>
          </cell>
          <cell r="C217" t="str">
            <v xml:space="preserve"> </v>
          </cell>
          <cell r="D217">
            <v>1969</v>
          </cell>
          <cell r="E217" t="str">
            <v>Scott Aviation Inc</v>
          </cell>
          <cell r="F217">
            <v>35</v>
          </cell>
          <cell r="G217">
            <v>25458</v>
          </cell>
          <cell r="I217" t="str">
            <v>North America</v>
          </cell>
          <cell r="J217" t="str">
            <v>USA</v>
          </cell>
          <cell r="K217">
            <v>24653</v>
          </cell>
        </row>
        <row r="218">
          <cell r="A218" t="str">
            <v>In service</v>
          </cell>
          <cell r="B218" t="str">
            <v>Gulfstream Aerospace Gulfstream II</v>
          </cell>
          <cell r="C218" t="str">
            <v xml:space="preserve"> </v>
          </cell>
          <cell r="D218">
            <v>1969</v>
          </cell>
          <cell r="E218" t="str">
            <v>7-N Aircorp</v>
          </cell>
          <cell r="F218">
            <v>35</v>
          </cell>
          <cell r="G218">
            <v>25489</v>
          </cell>
          <cell r="I218" t="str">
            <v>North America</v>
          </cell>
          <cell r="J218" t="str">
            <v>USA</v>
          </cell>
          <cell r="K218">
            <v>24653</v>
          </cell>
        </row>
        <row r="219">
          <cell r="A219" t="str">
            <v>In service</v>
          </cell>
          <cell r="B219" t="str">
            <v>Gulfstream Aerospace Gulfstream II</v>
          </cell>
          <cell r="C219" t="str">
            <v xml:space="preserve"> </v>
          </cell>
          <cell r="D219">
            <v>1969</v>
          </cell>
          <cell r="E219" t="str">
            <v>J &amp; M Plane LLC</v>
          </cell>
          <cell r="F219">
            <v>35</v>
          </cell>
          <cell r="G219">
            <v>25559</v>
          </cell>
          <cell r="I219" t="str">
            <v>North America</v>
          </cell>
          <cell r="J219" t="str">
            <v>USA</v>
          </cell>
          <cell r="K219">
            <v>24653</v>
          </cell>
        </row>
        <row r="220">
          <cell r="A220" t="str">
            <v>In service</v>
          </cell>
          <cell r="B220" t="str">
            <v>Gulfstream Aerospace Gulfstream II</v>
          </cell>
          <cell r="C220" t="str">
            <v xml:space="preserve"> </v>
          </cell>
          <cell r="D220">
            <v>1970</v>
          </cell>
          <cell r="E220" t="str">
            <v>Hendrick Motorsports Inc</v>
          </cell>
          <cell r="F220">
            <v>34</v>
          </cell>
          <cell r="G220">
            <v>25703</v>
          </cell>
          <cell r="I220" t="str">
            <v>North America</v>
          </cell>
          <cell r="J220" t="str">
            <v>USA</v>
          </cell>
          <cell r="K220">
            <v>25019</v>
          </cell>
        </row>
        <row r="221">
          <cell r="A221" t="str">
            <v>In service</v>
          </cell>
          <cell r="B221" t="str">
            <v>Gulfstream Aerospace Gulfstream II</v>
          </cell>
          <cell r="C221" t="str">
            <v xml:space="preserve"> </v>
          </cell>
          <cell r="D221">
            <v>1970</v>
          </cell>
          <cell r="E221" t="str">
            <v>Southern Leasing LLC</v>
          </cell>
          <cell r="F221">
            <v>34</v>
          </cell>
          <cell r="G221">
            <v>25630</v>
          </cell>
          <cell r="I221" t="str">
            <v>North America</v>
          </cell>
          <cell r="J221" t="str">
            <v>USA</v>
          </cell>
          <cell r="K221">
            <v>25019</v>
          </cell>
        </row>
        <row r="222">
          <cell r="A222" t="str">
            <v>In service</v>
          </cell>
          <cell r="B222" t="str">
            <v>Gulfstream Aerospace Gulfstream II</v>
          </cell>
          <cell r="C222" t="str">
            <v xml:space="preserve"> </v>
          </cell>
          <cell r="D222">
            <v>1970</v>
          </cell>
          <cell r="E222" t="str">
            <v>Scott Aviation Inc</v>
          </cell>
          <cell r="F222">
            <v>34</v>
          </cell>
          <cell r="G222">
            <v>25703</v>
          </cell>
          <cell r="I222" t="str">
            <v>North America</v>
          </cell>
          <cell r="J222" t="str">
            <v>USA</v>
          </cell>
          <cell r="K222">
            <v>25019</v>
          </cell>
        </row>
        <row r="223">
          <cell r="A223" t="str">
            <v>In service</v>
          </cell>
          <cell r="B223" t="str">
            <v>Gulfstream Aerospace Gulfstream II</v>
          </cell>
          <cell r="C223" t="str">
            <v>B</v>
          </cell>
          <cell r="D223">
            <v>1971</v>
          </cell>
          <cell r="E223" t="str">
            <v>The Clorox Co</v>
          </cell>
          <cell r="F223">
            <v>33</v>
          </cell>
          <cell r="G223">
            <v>26213</v>
          </cell>
          <cell r="H223" t="str">
            <v>IIB</v>
          </cell>
          <cell r="I223" t="str">
            <v>North America</v>
          </cell>
          <cell r="J223" t="str">
            <v>USA</v>
          </cell>
          <cell r="K223">
            <v>25384</v>
          </cell>
        </row>
        <row r="224">
          <cell r="A224" t="str">
            <v>In service</v>
          </cell>
          <cell r="B224" t="str">
            <v>Gulfstream Aerospace Gulfstream II</v>
          </cell>
          <cell r="C224" t="str">
            <v>B</v>
          </cell>
          <cell r="D224">
            <v>1972</v>
          </cell>
          <cell r="E224" t="str">
            <v>MA 500 Inc/New World Aircraft GIIB-119LLC</v>
          </cell>
          <cell r="F224">
            <v>32</v>
          </cell>
          <cell r="G224">
            <v>26606</v>
          </cell>
          <cell r="H224" t="str">
            <v>IIB</v>
          </cell>
          <cell r="I224" t="str">
            <v>North America</v>
          </cell>
          <cell r="J224" t="str">
            <v>USA</v>
          </cell>
          <cell r="K224">
            <v>25749</v>
          </cell>
        </row>
        <row r="225">
          <cell r="A225" t="str">
            <v>In service</v>
          </cell>
          <cell r="B225" t="str">
            <v>Gulfstream Aerospace Gulfstream II</v>
          </cell>
          <cell r="C225" t="str">
            <v>B</v>
          </cell>
          <cell r="D225">
            <v>1973</v>
          </cell>
          <cell r="E225" t="str">
            <v>Scruggs Law Firm PA</v>
          </cell>
          <cell r="F225">
            <v>31</v>
          </cell>
          <cell r="G225">
            <v>26693</v>
          </cell>
          <cell r="H225" t="str">
            <v>IIB</v>
          </cell>
          <cell r="I225" t="str">
            <v>North America</v>
          </cell>
          <cell r="J225" t="str">
            <v>USA</v>
          </cell>
          <cell r="K225">
            <v>26480</v>
          </cell>
        </row>
        <row r="226">
          <cell r="A226" t="str">
            <v>In service</v>
          </cell>
          <cell r="B226" t="str">
            <v>Gulfstream Aerospace Gulfstream II</v>
          </cell>
          <cell r="C226" t="str">
            <v>B</v>
          </cell>
          <cell r="D226">
            <v>1973</v>
          </cell>
          <cell r="E226" t="str">
            <v>Missile Defence Agency Department of Defence</v>
          </cell>
          <cell r="F226">
            <v>31</v>
          </cell>
          <cell r="G226">
            <v>26743</v>
          </cell>
          <cell r="H226" t="str">
            <v>HALO II</v>
          </cell>
          <cell r="I226" t="str">
            <v>North America</v>
          </cell>
          <cell r="J226" t="str">
            <v>USA</v>
          </cell>
          <cell r="K226">
            <v>26114</v>
          </cell>
        </row>
        <row r="227">
          <cell r="A227" t="str">
            <v>In service</v>
          </cell>
          <cell r="B227" t="str">
            <v>Gulfstream Aerospace Gulfstream II</v>
          </cell>
          <cell r="C227" t="str">
            <v>B</v>
          </cell>
          <cell r="D227">
            <v>1973</v>
          </cell>
          <cell r="E227" t="str">
            <v>C.A.R. LLC</v>
          </cell>
          <cell r="F227">
            <v>31</v>
          </cell>
          <cell r="G227">
            <v>27054</v>
          </cell>
          <cell r="H227" t="str">
            <v>IIB</v>
          </cell>
          <cell r="I227" t="str">
            <v>North America</v>
          </cell>
          <cell r="J227" t="str">
            <v>USA</v>
          </cell>
          <cell r="K227">
            <v>26480</v>
          </cell>
        </row>
        <row r="228">
          <cell r="A228" t="str">
            <v>In service</v>
          </cell>
          <cell r="B228" t="str">
            <v>Gulfstream Aerospace Gulfstream II</v>
          </cell>
          <cell r="C228" t="str">
            <v>B</v>
          </cell>
          <cell r="D228">
            <v>1974</v>
          </cell>
          <cell r="E228" t="str">
            <v>Tikchik LLC</v>
          </cell>
          <cell r="F228">
            <v>30</v>
          </cell>
          <cell r="G228">
            <v>27173</v>
          </cell>
          <cell r="H228" t="str">
            <v>IIB</v>
          </cell>
          <cell r="I228" t="str">
            <v>North America</v>
          </cell>
          <cell r="J228" t="str">
            <v>USA</v>
          </cell>
          <cell r="K228">
            <v>26480</v>
          </cell>
        </row>
        <row r="229">
          <cell r="A229" t="str">
            <v>In service</v>
          </cell>
          <cell r="B229" t="str">
            <v>Gulfstream Aerospace Gulfstream II</v>
          </cell>
          <cell r="C229" t="str">
            <v>B</v>
          </cell>
          <cell r="D229">
            <v>1974</v>
          </cell>
          <cell r="E229" t="str">
            <v>Yellow Tail G-1 LLC</v>
          </cell>
          <cell r="F229">
            <v>30</v>
          </cell>
          <cell r="G229">
            <v>27224</v>
          </cell>
          <cell r="H229" t="str">
            <v>IIB</v>
          </cell>
          <cell r="I229" t="str">
            <v>North America</v>
          </cell>
          <cell r="J229" t="str">
            <v>USA</v>
          </cell>
          <cell r="K229">
            <v>27210</v>
          </cell>
        </row>
        <row r="230">
          <cell r="A230" t="str">
            <v>In service</v>
          </cell>
          <cell r="B230" t="str">
            <v>Gulfstream Aerospace Gulfstream II</v>
          </cell>
          <cell r="C230" t="str">
            <v>B</v>
          </cell>
          <cell r="D230">
            <v>1974</v>
          </cell>
          <cell r="E230" t="str">
            <v>Hyperion Air Inc</v>
          </cell>
          <cell r="F230">
            <v>30</v>
          </cell>
          <cell r="G230">
            <v>27320</v>
          </cell>
          <cell r="H230" t="str">
            <v>IIB</v>
          </cell>
          <cell r="I230" t="str">
            <v>North America</v>
          </cell>
          <cell r="J230" t="str">
            <v>USA</v>
          </cell>
        </row>
        <row r="231">
          <cell r="A231" t="str">
            <v>In service</v>
          </cell>
          <cell r="B231" t="str">
            <v>Gulfstream Aerospace Gulfstream II</v>
          </cell>
          <cell r="C231" t="str">
            <v>B</v>
          </cell>
          <cell r="D231">
            <v>1974</v>
          </cell>
          <cell r="E231" t="str">
            <v>SA Holding LLC</v>
          </cell>
          <cell r="F231">
            <v>30</v>
          </cell>
          <cell r="G231">
            <v>27369</v>
          </cell>
          <cell r="H231" t="str">
            <v>IIB</v>
          </cell>
          <cell r="I231" t="str">
            <v>North America</v>
          </cell>
          <cell r="J231" t="str">
            <v>USA</v>
          </cell>
          <cell r="K231">
            <v>26480</v>
          </cell>
        </row>
        <row r="232">
          <cell r="A232" t="str">
            <v>In service</v>
          </cell>
          <cell r="B232" t="str">
            <v>Gulfstream Aerospace Gulfstream II</v>
          </cell>
          <cell r="C232" t="str">
            <v>B</v>
          </cell>
          <cell r="D232">
            <v>1974</v>
          </cell>
          <cell r="E232" t="str">
            <v>477 Aviation LLC</v>
          </cell>
          <cell r="F232">
            <v>30</v>
          </cell>
          <cell r="G232">
            <v>27378</v>
          </cell>
          <cell r="H232" t="str">
            <v>IIB</v>
          </cell>
          <cell r="I232" t="str">
            <v>North America</v>
          </cell>
          <cell r="J232" t="str">
            <v>USA</v>
          </cell>
          <cell r="K232">
            <v>26480</v>
          </cell>
        </row>
        <row r="233">
          <cell r="A233" t="str">
            <v>In service</v>
          </cell>
          <cell r="B233" t="str">
            <v>Gulfstream Aerospace Gulfstream II</v>
          </cell>
          <cell r="C233" t="str">
            <v>B</v>
          </cell>
          <cell r="D233">
            <v>1974</v>
          </cell>
          <cell r="E233" t="str">
            <v>Yellowstone Aviation &amp; Marine LLC</v>
          </cell>
          <cell r="F233">
            <v>30</v>
          </cell>
          <cell r="G233">
            <v>27417</v>
          </cell>
          <cell r="H233" t="str">
            <v>IIB</v>
          </cell>
          <cell r="I233" t="str">
            <v>North America</v>
          </cell>
          <cell r="J233" t="str">
            <v>USA</v>
          </cell>
          <cell r="K233">
            <v>26845</v>
          </cell>
        </row>
        <row r="234">
          <cell r="A234" t="str">
            <v>In service</v>
          </cell>
          <cell r="B234" t="str">
            <v>Gulfstream Aerospace Gulfstream II</v>
          </cell>
          <cell r="C234" t="str">
            <v>B</v>
          </cell>
          <cell r="D234">
            <v>1968</v>
          </cell>
          <cell r="E234" t="str">
            <v>Charles Fry Electronics Inc</v>
          </cell>
          <cell r="F234">
            <v>36</v>
          </cell>
          <cell r="G234">
            <v>24975</v>
          </cell>
          <cell r="H234" t="str">
            <v>IIB</v>
          </cell>
          <cell r="I234" t="str">
            <v>North America</v>
          </cell>
          <cell r="J234" t="str">
            <v>USA</v>
          </cell>
          <cell r="K234">
            <v>24288</v>
          </cell>
        </row>
        <row r="235">
          <cell r="A235" t="str">
            <v>In service</v>
          </cell>
          <cell r="B235" t="str">
            <v>Gulfstream Aerospace Gulfstream II</v>
          </cell>
          <cell r="C235" t="str">
            <v>B</v>
          </cell>
          <cell r="D235">
            <v>1975</v>
          </cell>
          <cell r="E235" t="str">
            <v>A.P. Enterprises LLC</v>
          </cell>
          <cell r="F235">
            <v>29</v>
          </cell>
          <cell r="G235">
            <v>27589</v>
          </cell>
          <cell r="H235" t="str">
            <v>IIB</v>
          </cell>
          <cell r="I235" t="str">
            <v>North America</v>
          </cell>
          <cell r="J235" t="str">
            <v>USA</v>
          </cell>
        </row>
        <row r="236">
          <cell r="A236" t="str">
            <v>In service</v>
          </cell>
          <cell r="B236" t="str">
            <v>Gulfstream Aerospace Gulfstream II</v>
          </cell>
          <cell r="C236" t="str">
            <v>B</v>
          </cell>
          <cell r="D236">
            <v>1975</v>
          </cell>
          <cell r="E236" t="str">
            <v>Deniston Enterprises Inc</v>
          </cell>
          <cell r="F236">
            <v>29</v>
          </cell>
          <cell r="G236">
            <v>27603</v>
          </cell>
          <cell r="H236" t="str">
            <v>IIB</v>
          </cell>
          <cell r="I236" t="str">
            <v>North America</v>
          </cell>
          <cell r="J236" t="str">
            <v>USA</v>
          </cell>
          <cell r="K236">
            <v>27210</v>
          </cell>
        </row>
        <row r="237">
          <cell r="A237" t="str">
            <v>In service</v>
          </cell>
          <cell r="B237" t="str">
            <v>Gulfstream Aerospace Gulfstream II</v>
          </cell>
          <cell r="C237" t="str">
            <v>B</v>
          </cell>
          <cell r="D237">
            <v>1977</v>
          </cell>
          <cell r="E237" t="str">
            <v>Bopper Airways LLC</v>
          </cell>
          <cell r="F237">
            <v>27</v>
          </cell>
          <cell r="G237">
            <v>28177</v>
          </cell>
          <cell r="H237" t="str">
            <v>IIB</v>
          </cell>
          <cell r="I237" t="str">
            <v>North America</v>
          </cell>
          <cell r="J237" t="str">
            <v>USA</v>
          </cell>
          <cell r="K237">
            <v>27941</v>
          </cell>
        </row>
        <row r="238">
          <cell r="A238" t="str">
            <v>In service</v>
          </cell>
          <cell r="B238" t="str">
            <v>Gulfstream Aerospace Gulfstream II</v>
          </cell>
          <cell r="C238" t="str">
            <v>B</v>
          </cell>
          <cell r="D238">
            <v>1977</v>
          </cell>
          <cell r="E238" t="str">
            <v>C &amp; L Aviation LLC</v>
          </cell>
          <cell r="F238">
            <v>27</v>
          </cell>
          <cell r="G238">
            <v>28199</v>
          </cell>
          <cell r="H238" t="str">
            <v>IIB</v>
          </cell>
          <cell r="I238" t="str">
            <v>North America</v>
          </cell>
          <cell r="J238" t="str">
            <v>USA</v>
          </cell>
          <cell r="K238">
            <v>27941</v>
          </cell>
        </row>
        <row r="239">
          <cell r="A239" t="str">
            <v>In service</v>
          </cell>
          <cell r="B239" t="str">
            <v>Gulfstream Aerospace Gulfstream II</v>
          </cell>
          <cell r="C239" t="str">
            <v>B</v>
          </cell>
          <cell r="D239">
            <v>1977</v>
          </cell>
          <cell r="E239" t="str">
            <v>United Breweries</v>
          </cell>
          <cell r="F239">
            <v>27</v>
          </cell>
          <cell r="G239">
            <v>28383</v>
          </cell>
          <cell r="H239" t="str">
            <v>IIB</v>
          </cell>
          <cell r="I239" t="str">
            <v>Asia</v>
          </cell>
          <cell r="J239" t="str">
            <v>India</v>
          </cell>
          <cell r="K239">
            <v>27575</v>
          </cell>
        </row>
        <row r="240">
          <cell r="A240" t="str">
            <v>In service</v>
          </cell>
          <cell r="B240" t="str">
            <v>Gulfstream Aerospace Gulfstream II</v>
          </cell>
          <cell r="C240" t="str">
            <v>B</v>
          </cell>
          <cell r="D240">
            <v>1968</v>
          </cell>
          <cell r="E240" t="str">
            <v>Anthony C Aiello &amp; Geoffrey J Hodgson</v>
          </cell>
          <cell r="F240">
            <v>36</v>
          </cell>
          <cell r="G240">
            <v>25058</v>
          </cell>
          <cell r="H240" t="str">
            <v>IIB</v>
          </cell>
          <cell r="I240" t="str">
            <v>North America</v>
          </cell>
          <cell r="J240" t="str">
            <v>USA</v>
          </cell>
          <cell r="K240">
            <v>24288</v>
          </cell>
        </row>
        <row r="241">
          <cell r="A241" t="str">
            <v>In service</v>
          </cell>
          <cell r="B241" t="str">
            <v>Gulfstream Aerospace Gulfstream II</v>
          </cell>
          <cell r="C241" t="str">
            <v>B</v>
          </cell>
          <cell r="D241">
            <v>1978</v>
          </cell>
          <cell r="E241" t="str">
            <v>CHI Aviation Inc</v>
          </cell>
          <cell r="F241">
            <v>26</v>
          </cell>
          <cell r="G241">
            <v>28574</v>
          </cell>
          <cell r="H241" t="str">
            <v>IIB</v>
          </cell>
          <cell r="I241" t="str">
            <v>North America</v>
          </cell>
          <cell r="J241" t="str">
            <v>USA</v>
          </cell>
          <cell r="K241">
            <v>27941</v>
          </cell>
        </row>
        <row r="242">
          <cell r="A242" t="str">
            <v>In service</v>
          </cell>
          <cell r="B242" t="str">
            <v>Gulfstream Aerospace Gulfstream II</v>
          </cell>
          <cell r="C242" t="str">
            <v>B</v>
          </cell>
          <cell r="D242">
            <v>1978</v>
          </cell>
          <cell r="E242" t="str">
            <v>KDF Corp</v>
          </cell>
          <cell r="F242">
            <v>26</v>
          </cell>
          <cell r="G242">
            <v>28804</v>
          </cell>
          <cell r="H242" t="str">
            <v>IIB</v>
          </cell>
          <cell r="I242" t="str">
            <v>North America</v>
          </cell>
          <cell r="J242" t="str">
            <v>USA</v>
          </cell>
          <cell r="K242">
            <v>28306</v>
          </cell>
        </row>
        <row r="243">
          <cell r="A243" t="str">
            <v>In service</v>
          </cell>
          <cell r="B243" t="str">
            <v>Gulfstream Aerospace Gulfstream II</v>
          </cell>
          <cell r="C243" t="str">
            <v>B</v>
          </cell>
          <cell r="D243">
            <v>1979</v>
          </cell>
          <cell r="E243" t="str">
            <v>Gestair</v>
          </cell>
          <cell r="F243">
            <v>25</v>
          </cell>
          <cell r="G243">
            <v>28870</v>
          </cell>
          <cell r="H243" t="str">
            <v>IIB</v>
          </cell>
          <cell r="I243" t="str">
            <v>Europe</v>
          </cell>
          <cell r="J243" t="str">
            <v>Spain</v>
          </cell>
          <cell r="K243">
            <v>28306</v>
          </cell>
        </row>
        <row r="244">
          <cell r="A244" t="str">
            <v>In service</v>
          </cell>
          <cell r="B244" t="str">
            <v>Gulfstream Aerospace Gulfstream II</v>
          </cell>
          <cell r="C244" t="str">
            <v>B</v>
          </cell>
          <cell r="D244">
            <v>1979</v>
          </cell>
          <cell r="E244" t="str">
            <v>222 Aviation LLC</v>
          </cell>
          <cell r="F244">
            <v>25</v>
          </cell>
          <cell r="G244">
            <v>29042</v>
          </cell>
          <cell r="H244" t="str">
            <v>IIB</v>
          </cell>
          <cell r="I244" t="str">
            <v>North America</v>
          </cell>
          <cell r="J244" t="str">
            <v>USA</v>
          </cell>
        </row>
        <row r="245">
          <cell r="A245" t="str">
            <v>In service</v>
          </cell>
          <cell r="B245" t="str">
            <v>Gulfstream Aerospace Gulfstream II</v>
          </cell>
          <cell r="C245" t="str">
            <v>B</v>
          </cell>
          <cell r="D245">
            <v>1979</v>
          </cell>
          <cell r="E245" t="str">
            <v>Tricycle Aviation LLC</v>
          </cell>
          <cell r="F245">
            <v>25</v>
          </cell>
          <cell r="G245">
            <v>29174</v>
          </cell>
          <cell r="H245" t="str">
            <v>IIB</v>
          </cell>
          <cell r="I245" t="str">
            <v>North America</v>
          </cell>
          <cell r="J245" t="str">
            <v>USA</v>
          </cell>
          <cell r="K245">
            <v>28306</v>
          </cell>
        </row>
        <row r="246">
          <cell r="A246" t="str">
            <v>In service</v>
          </cell>
          <cell r="B246" t="str">
            <v>Gulfstream Aerospace Gulfstream II</v>
          </cell>
          <cell r="C246" t="str">
            <v>B</v>
          </cell>
          <cell r="D246">
            <v>1979</v>
          </cell>
          <cell r="E246" t="str">
            <v>Wilmington Aero Ventures IV Inc</v>
          </cell>
          <cell r="F246">
            <v>25</v>
          </cell>
          <cell r="G246">
            <v>29235</v>
          </cell>
          <cell r="H246" t="str">
            <v>IIB</v>
          </cell>
          <cell r="I246" t="str">
            <v>North America</v>
          </cell>
          <cell r="J246" t="str">
            <v>USA</v>
          </cell>
          <cell r="K246">
            <v>28671</v>
          </cell>
        </row>
        <row r="247">
          <cell r="A247" t="str">
            <v>In service</v>
          </cell>
          <cell r="B247" t="str">
            <v>Gulfstream Aerospace Gulfstream II</v>
          </cell>
          <cell r="C247" t="str">
            <v>B</v>
          </cell>
          <cell r="D247">
            <v>1980</v>
          </cell>
          <cell r="E247" t="str">
            <v>North American Financial Corp</v>
          </cell>
          <cell r="F247">
            <v>24</v>
          </cell>
          <cell r="G247">
            <v>29479</v>
          </cell>
          <cell r="H247" t="str">
            <v>IIB</v>
          </cell>
          <cell r="I247" t="str">
            <v>North America</v>
          </cell>
          <cell r="J247" t="str">
            <v>USA</v>
          </cell>
          <cell r="K247">
            <v>28671</v>
          </cell>
        </row>
        <row r="248">
          <cell r="A248" t="str">
            <v>In service</v>
          </cell>
          <cell r="B248" t="str">
            <v>Gulfstream Aerospace Gulfstream II</v>
          </cell>
          <cell r="C248" t="str">
            <v>B</v>
          </cell>
          <cell r="D248">
            <v>1968</v>
          </cell>
          <cell r="E248" t="str">
            <v>C Hank Rhon</v>
          </cell>
          <cell r="F248">
            <v>36</v>
          </cell>
          <cell r="G248">
            <v>25142</v>
          </cell>
          <cell r="H248" t="str">
            <v>IIB</v>
          </cell>
          <cell r="I248" t="str">
            <v>Latin America and Caribbean</v>
          </cell>
          <cell r="J248" t="str">
            <v>Mexico</v>
          </cell>
          <cell r="K248">
            <v>24288</v>
          </cell>
        </row>
        <row r="249">
          <cell r="A249" t="str">
            <v>In service</v>
          </cell>
          <cell r="B249" t="str">
            <v>Gulfstream Aerospace Gulfstream II</v>
          </cell>
          <cell r="C249" t="str">
            <v>B</v>
          </cell>
          <cell r="D249">
            <v>1968</v>
          </cell>
          <cell r="E249" t="str">
            <v>N97EC LLC</v>
          </cell>
          <cell r="F249">
            <v>36</v>
          </cell>
          <cell r="G249">
            <v>25151</v>
          </cell>
          <cell r="H249" t="str">
            <v>IIB</v>
          </cell>
          <cell r="I249" t="str">
            <v>North America</v>
          </cell>
          <cell r="J249" t="str">
            <v>USA</v>
          </cell>
          <cell r="K249">
            <v>24653</v>
          </cell>
        </row>
        <row r="250">
          <cell r="A250" t="str">
            <v>In service</v>
          </cell>
          <cell r="B250" t="str">
            <v>Gulfstream Aerospace Gulfstream II</v>
          </cell>
          <cell r="C250" t="str">
            <v>B</v>
          </cell>
          <cell r="D250">
            <v>1968</v>
          </cell>
          <cell r="E250" t="str">
            <v>Missile Defence Agency Department of Defence</v>
          </cell>
          <cell r="F250">
            <v>36</v>
          </cell>
          <cell r="G250">
            <v>25163</v>
          </cell>
          <cell r="H250" t="str">
            <v>HALO I</v>
          </cell>
          <cell r="I250" t="str">
            <v>North America</v>
          </cell>
          <cell r="J250" t="str">
            <v>USA</v>
          </cell>
          <cell r="K250">
            <v>25019</v>
          </cell>
        </row>
        <row r="251">
          <cell r="A251" t="str">
            <v>In service</v>
          </cell>
          <cell r="B251" t="str">
            <v>Gulfstream Aerospace Gulfstream II</v>
          </cell>
          <cell r="C251" t="str">
            <v>B</v>
          </cell>
          <cell r="D251">
            <v>1967</v>
          </cell>
          <cell r="E251" t="str">
            <v>RGR Technologies Inc</v>
          </cell>
          <cell r="F251">
            <v>37</v>
          </cell>
          <cell r="G251">
            <v>24850</v>
          </cell>
          <cell r="H251" t="str">
            <v>IIB</v>
          </cell>
          <cell r="I251" t="str">
            <v>North America</v>
          </cell>
          <cell r="J251" t="str">
            <v>USA</v>
          </cell>
          <cell r="K251">
            <v>23923</v>
          </cell>
        </row>
        <row r="252">
          <cell r="A252" t="str">
            <v>In service</v>
          </cell>
          <cell r="B252" t="str">
            <v>Gulfstream Aerospace Gulfstream II</v>
          </cell>
          <cell r="C252" t="str">
            <v>B</v>
          </cell>
          <cell r="D252">
            <v>1968</v>
          </cell>
          <cell r="E252" t="str">
            <v>B&amp;G Leasing LLC</v>
          </cell>
          <cell r="F252">
            <v>36</v>
          </cell>
          <cell r="G252">
            <v>25205</v>
          </cell>
          <cell r="H252" t="str">
            <v>IIB</v>
          </cell>
          <cell r="I252" t="str">
            <v>North America</v>
          </cell>
          <cell r="J252" t="str">
            <v>USA</v>
          </cell>
          <cell r="K252">
            <v>24653</v>
          </cell>
        </row>
        <row r="253">
          <cell r="A253" t="str">
            <v>In service</v>
          </cell>
          <cell r="B253" t="str">
            <v>Gulfstream Aerospace Gulfstream II</v>
          </cell>
          <cell r="C253" t="str">
            <v>B</v>
          </cell>
          <cell r="D253">
            <v>1969</v>
          </cell>
          <cell r="E253" t="str">
            <v>Hudson Capital Group Inc</v>
          </cell>
          <cell r="F253">
            <v>35</v>
          </cell>
          <cell r="G253">
            <v>25274</v>
          </cell>
          <cell r="H253" t="str">
            <v>IIB</v>
          </cell>
          <cell r="I253" t="str">
            <v>North America</v>
          </cell>
          <cell r="J253" t="str">
            <v>USA</v>
          </cell>
          <cell r="K253">
            <v>24653</v>
          </cell>
        </row>
        <row r="254">
          <cell r="A254" t="str">
            <v>In service</v>
          </cell>
          <cell r="B254" t="str">
            <v>Gulfstream Aerospace Gulfstream II</v>
          </cell>
          <cell r="C254" t="str">
            <v>B</v>
          </cell>
          <cell r="D254">
            <v>1969</v>
          </cell>
          <cell r="E254" t="str">
            <v>Castle Creek Holdings Company</v>
          </cell>
          <cell r="F254">
            <v>35</v>
          </cell>
          <cell r="G254">
            <v>25328</v>
          </cell>
          <cell r="H254" t="str">
            <v>IIB</v>
          </cell>
          <cell r="I254" t="str">
            <v>North America</v>
          </cell>
          <cell r="J254" t="str">
            <v>USA</v>
          </cell>
          <cell r="K254">
            <v>24653</v>
          </cell>
        </row>
        <row r="255">
          <cell r="A255" t="str">
            <v>In service</v>
          </cell>
          <cell r="B255" t="str">
            <v>Gulfstream Aerospace Gulfstream II</v>
          </cell>
          <cell r="C255" t="str">
            <v>B</v>
          </cell>
          <cell r="D255">
            <v>1969</v>
          </cell>
          <cell r="E255" t="str">
            <v>New World Aviation Inc</v>
          </cell>
          <cell r="F255">
            <v>35</v>
          </cell>
          <cell r="G255">
            <v>25421</v>
          </cell>
          <cell r="H255" t="str">
            <v>IIB</v>
          </cell>
          <cell r="I255" t="str">
            <v>North America</v>
          </cell>
          <cell r="J255" t="str">
            <v>USA</v>
          </cell>
          <cell r="K255">
            <v>25019</v>
          </cell>
        </row>
        <row r="256">
          <cell r="A256" t="str">
            <v>In service</v>
          </cell>
          <cell r="B256" t="str">
            <v>Gulfstream Aerospace Gulfstream II</v>
          </cell>
          <cell r="C256" t="str">
            <v>B</v>
          </cell>
          <cell r="D256">
            <v>1969</v>
          </cell>
          <cell r="E256" t="str">
            <v>Related Services Co Inc</v>
          </cell>
          <cell r="F256">
            <v>35</v>
          </cell>
          <cell r="G256">
            <v>25492</v>
          </cell>
          <cell r="H256" t="str">
            <v>IIB</v>
          </cell>
          <cell r="I256" t="str">
            <v>North America</v>
          </cell>
          <cell r="J256" t="str">
            <v>USA</v>
          </cell>
          <cell r="K256">
            <v>25019</v>
          </cell>
        </row>
        <row r="257">
          <cell r="A257" t="str">
            <v>In service</v>
          </cell>
          <cell r="B257" t="str">
            <v>Gulfstream Aerospace Gulfstream II</v>
          </cell>
          <cell r="C257" t="str">
            <v>B</v>
          </cell>
          <cell r="D257">
            <v>1969</v>
          </cell>
          <cell r="E257" t="str">
            <v>Aviation Consultants</v>
          </cell>
          <cell r="F257">
            <v>35</v>
          </cell>
          <cell r="G257">
            <v>25514</v>
          </cell>
          <cell r="H257" t="str">
            <v>IIB</v>
          </cell>
          <cell r="I257" t="str">
            <v>North America</v>
          </cell>
          <cell r="J257" t="str">
            <v>USA</v>
          </cell>
          <cell r="K257">
            <v>25019</v>
          </cell>
        </row>
        <row r="258">
          <cell r="A258" t="str">
            <v>In service</v>
          </cell>
          <cell r="B258" t="str">
            <v>Gulfstream Aerospace Gulfstream II</v>
          </cell>
          <cell r="C258" t="str">
            <v>B</v>
          </cell>
          <cell r="D258">
            <v>1969</v>
          </cell>
          <cell r="E258" t="str">
            <v>New World Aircraft GIIB-075 LLC</v>
          </cell>
          <cell r="F258">
            <v>35</v>
          </cell>
          <cell r="G258">
            <v>25541</v>
          </cell>
          <cell r="H258" t="str">
            <v>IIB</v>
          </cell>
          <cell r="I258" t="str">
            <v>North America</v>
          </cell>
          <cell r="J258" t="str">
            <v>USA</v>
          </cell>
          <cell r="K258">
            <v>25019</v>
          </cell>
        </row>
        <row r="259">
          <cell r="A259" t="str">
            <v>In service</v>
          </cell>
          <cell r="B259" t="str">
            <v>Gulfstream Aerospace Gulfstream II</v>
          </cell>
          <cell r="C259" t="str">
            <v>B</v>
          </cell>
          <cell r="D259">
            <v>1969</v>
          </cell>
          <cell r="E259" t="str">
            <v>Motor Air LLC</v>
          </cell>
          <cell r="F259">
            <v>35</v>
          </cell>
          <cell r="G259">
            <v>26360</v>
          </cell>
          <cell r="H259" t="str">
            <v>IIB</v>
          </cell>
          <cell r="I259" t="str">
            <v>North America</v>
          </cell>
          <cell r="J259" t="str">
            <v>USA</v>
          </cell>
          <cell r="K259">
            <v>25749</v>
          </cell>
        </row>
        <row r="260">
          <cell r="A260" t="str">
            <v>In service</v>
          </cell>
          <cell r="B260" t="str">
            <v>Gulfstream Aerospace Gulfstream II</v>
          </cell>
          <cell r="C260" t="str">
            <v>B</v>
          </cell>
          <cell r="D260">
            <v>1970</v>
          </cell>
          <cell r="E260" t="str">
            <v>NMP Enterprises LLC</v>
          </cell>
          <cell r="F260">
            <v>34</v>
          </cell>
          <cell r="G260">
            <v>25660</v>
          </cell>
          <cell r="H260" t="str">
            <v>IIB</v>
          </cell>
          <cell r="I260" t="str">
            <v>North America</v>
          </cell>
          <cell r="J260" t="str">
            <v>USA</v>
          </cell>
          <cell r="K260">
            <v>25019</v>
          </cell>
        </row>
        <row r="261">
          <cell r="A261" t="str">
            <v>In service</v>
          </cell>
          <cell r="B261" t="str">
            <v>Gulfstream Aerospace Gulfstream II</v>
          </cell>
          <cell r="C261" t="str">
            <v>B</v>
          </cell>
          <cell r="D261">
            <v>1970</v>
          </cell>
          <cell r="E261" t="str">
            <v>Letica Corp</v>
          </cell>
          <cell r="F261">
            <v>34</v>
          </cell>
          <cell r="G261">
            <v>25679</v>
          </cell>
          <cell r="H261" t="str">
            <v>IIB</v>
          </cell>
          <cell r="I261" t="str">
            <v>North America</v>
          </cell>
          <cell r="J261" t="str">
            <v>USA</v>
          </cell>
          <cell r="K261">
            <v>25384</v>
          </cell>
        </row>
        <row r="262">
          <cell r="A262" t="str">
            <v>In service</v>
          </cell>
          <cell r="B262" t="str">
            <v>Gulfstream Aerospace Gulfstream II</v>
          </cell>
          <cell r="C262" t="str">
            <v>B</v>
          </cell>
          <cell r="D262">
            <v>1968</v>
          </cell>
          <cell r="E262" t="str">
            <v>Kona Special Air Inc &amp; John Wing Aviation Inc</v>
          </cell>
          <cell r="F262">
            <v>36</v>
          </cell>
          <cell r="G262">
            <v>24862</v>
          </cell>
          <cell r="H262" t="str">
            <v>IIB</v>
          </cell>
          <cell r="I262" t="str">
            <v>North America</v>
          </cell>
          <cell r="J262" t="str">
            <v>USA</v>
          </cell>
          <cell r="K262">
            <v>23923</v>
          </cell>
        </row>
        <row r="263">
          <cell r="A263" t="str">
            <v>In service</v>
          </cell>
          <cell r="B263" t="str">
            <v>Gulfstream Aerospace Gulfstream II</v>
          </cell>
          <cell r="C263" t="str">
            <v>B</v>
          </cell>
          <cell r="D263">
            <v>1970</v>
          </cell>
          <cell r="E263" t="str">
            <v>Suburban Properties 3 LLC</v>
          </cell>
          <cell r="F263">
            <v>34</v>
          </cell>
          <cell r="G263">
            <v>26038</v>
          </cell>
          <cell r="H263" t="str">
            <v>IIB</v>
          </cell>
          <cell r="I263" t="str">
            <v>North America</v>
          </cell>
          <cell r="J263" t="str">
            <v>USA</v>
          </cell>
          <cell r="K263">
            <v>25384</v>
          </cell>
        </row>
        <row r="264">
          <cell r="A264" t="str">
            <v>In service</v>
          </cell>
          <cell r="B264" t="str">
            <v>Gulfstream Aerospace Gulfstream II</v>
          </cell>
          <cell r="C264" t="str">
            <v>B</v>
          </cell>
          <cell r="D264">
            <v>1970</v>
          </cell>
          <cell r="E264" t="str">
            <v>Ninety-Eight Aviation LLC</v>
          </cell>
          <cell r="F264">
            <v>34</v>
          </cell>
          <cell r="G264">
            <v>25983</v>
          </cell>
          <cell r="H264" t="str">
            <v>IIB</v>
          </cell>
          <cell r="I264" t="str">
            <v>North America</v>
          </cell>
          <cell r="J264" t="str">
            <v>USA</v>
          </cell>
          <cell r="K264">
            <v>25384</v>
          </cell>
        </row>
        <row r="265">
          <cell r="A265" t="str">
            <v>In service</v>
          </cell>
          <cell r="B265" t="str">
            <v>Gulfstream Aerospace Gulfstream II</v>
          </cell>
          <cell r="C265" t="str">
            <v>B Stage III Hushkit</v>
          </cell>
          <cell r="D265">
            <v>1976</v>
          </cell>
          <cell r="E265" t="str">
            <v>El Paso CGP ABCO Aviation Co</v>
          </cell>
          <cell r="F265">
            <v>28</v>
          </cell>
          <cell r="G265">
            <v>28026</v>
          </cell>
          <cell r="H265" t="str">
            <v>IIB</v>
          </cell>
          <cell r="I265" t="str">
            <v>North America</v>
          </cell>
          <cell r="J265" t="str">
            <v>USA</v>
          </cell>
          <cell r="K265">
            <v>27575</v>
          </cell>
        </row>
        <row r="266">
          <cell r="A266" t="str">
            <v>In service</v>
          </cell>
          <cell r="B266" t="str">
            <v>Gulfstream Aerospace Gulfstream II</v>
          </cell>
          <cell r="C266" t="str">
            <v>SP</v>
          </cell>
          <cell r="D266">
            <v>1966</v>
          </cell>
          <cell r="E266" t="str">
            <v>Motorola Inc</v>
          </cell>
          <cell r="F266">
            <v>38</v>
          </cell>
          <cell r="G266">
            <v>25839</v>
          </cell>
          <cell r="H266" t="str">
            <v>IISP</v>
          </cell>
          <cell r="I266" t="str">
            <v>North America</v>
          </cell>
          <cell r="J266" t="str">
            <v>USA</v>
          </cell>
        </row>
        <row r="267">
          <cell r="A267" t="str">
            <v>In service</v>
          </cell>
          <cell r="B267" t="str">
            <v>Gulfstream Aerospace Gulfstream II</v>
          </cell>
          <cell r="C267" t="str">
            <v>SP</v>
          </cell>
          <cell r="D267">
            <v>1968</v>
          </cell>
          <cell r="E267" t="str">
            <v>Oslo Express Inc</v>
          </cell>
          <cell r="F267">
            <v>36</v>
          </cell>
          <cell r="G267">
            <v>24876</v>
          </cell>
          <cell r="H267" t="str">
            <v>IISP</v>
          </cell>
          <cell r="I267" t="str">
            <v>North America</v>
          </cell>
          <cell r="J267" t="str">
            <v>USA</v>
          </cell>
          <cell r="K267">
            <v>24288</v>
          </cell>
        </row>
        <row r="268">
          <cell r="A268" t="str">
            <v>In service</v>
          </cell>
          <cell r="B268" t="str">
            <v>Gulfstream Aerospace Gulfstream II</v>
          </cell>
          <cell r="C268" t="str">
            <v>SP</v>
          </cell>
          <cell r="D268">
            <v>1970</v>
          </cell>
          <cell r="E268" t="str">
            <v>KFLP Air LLC</v>
          </cell>
          <cell r="F268">
            <v>34</v>
          </cell>
          <cell r="G268">
            <v>26151</v>
          </cell>
          <cell r="H268" t="str">
            <v>IISP</v>
          </cell>
          <cell r="I268" t="str">
            <v>North America</v>
          </cell>
          <cell r="J268" t="str">
            <v>USA</v>
          </cell>
          <cell r="K268">
            <v>25384</v>
          </cell>
        </row>
        <row r="269">
          <cell r="A269" t="str">
            <v>In service</v>
          </cell>
          <cell r="B269" t="str">
            <v>Gulfstream Aerospace Gulfstream II</v>
          </cell>
          <cell r="C269" t="str">
            <v>SP</v>
          </cell>
          <cell r="D269">
            <v>1970</v>
          </cell>
          <cell r="E269" t="str">
            <v>Jetex International Inc</v>
          </cell>
          <cell r="F269">
            <v>34</v>
          </cell>
          <cell r="G269">
            <v>25930</v>
          </cell>
          <cell r="H269" t="str">
            <v>IISP</v>
          </cell>
          <cell r="I269" t="str">
            <v>North America</v>
          </cell>
          <cell r="J269" t="str">
            <v>USA</v>
          </cell>
          <cell r="K269">
            <v>25019</v>
          </cell>
        </row>
        <row r="270">
          <cell r="A270" t="str">
            <v>In service</v>
          </cell>
          <cell r="B270" t="str">
            <v>Gulfstream Aerospace Gulfstream II</v>
          </cell>
          <cell r="C270" t="str">
            <v>SP</v>
          </cell>
          <cell r="D270">
            <v>1971</v>
          </cell>
          <cell r="E270" t="str">
            <v>Newport/Signal Air Inc</v>
          </cell>
          <cell r="F270">
            <v>33</v>
          </cell>
          <cell r="G270">
            <v>26282</v>
          </cell>
          <cell r="H270" t="str">
            <v>IISP</v>
          </cell>
          <cell r="I270" t="str">
            <v>North America</v>
          </cell>
          <cell r="J270" t="str">
            <v>USA</v>
          </cell>
          <cell r="K270">
            <v>25384</v>
          </cell>
        </row>
        <row r="271">
          <cell r="A271" t="str">
            <v>In service</v>
          </cell>
          <cell r="B271" t="str">
            <v>Gulfstream Aerospace Gulfstream II</v>
          </cell>
          <cell r="C271" t="str">
            <v>SP</v>
          </cell>
          <cell r="D271">
            <v>1972</v>
          </cell>
          <cell r="E271" t="str">
            <v>Private Jet Inc</v>
          </cell>
          <cell r="F271">
            <v>32</v>
          </cell>
          <cell r="G271">
            <v>26333</v>
          </cell>
          <cell r="H271" t="str">
            <v>IISP</v>
          </cell>
          <cell r="I271" t="str">
            <v>North America</v>
          </cell>
          <cell r="J271" t="str">
            <v>USA</v>
          </cell>
          <cell r="K271">
            <v>25749</v>
          </cell>
        </row>
        <row r="272">
          <cell r="A272" t="str">
            <v>In service</v>
          </cell>
          <cell r="B272" t="str">
            <v>Gulfstream Aerospace Gulfstream II</v>
          </cell>
          <cell r="C272" t="str">
            <v>SP</v>
          </cell>
          <cell r="D272">
            <v>1972</v>
          </cell>
          <cell r="E272" t="str">
            <v>Marquez Brothers Aviation LLC</v>
          </cell>
          <cell r="F272">
            <v>32</v>
          </cell>
          <cell r="G272">
            <v>26353</v>
          </cell>
          <cell r="H272" t="str">
            <v>IISP</v>
          </cell>
          <cell r="I272" t="str">
            <v>North America</v>
          </cell>
          <cell r="J272" t="str">
            <v>USA</v>
          </cell>
          <cell r="K272">
            <v>25749</v>
          </cell>
        </row>
        <row r="273">
          <cell r="A273" t="str">
            <v>In service</v>
          </cell>
          <cell r="B273" t="str">
            <v>Gulfstream Aerospace Gulfstream II</v>
          </cell>
          <cell r="C273" t="str">
            <v>SP</v>
          </cell>
          <cell r="D273">
            <v>1972</v>
          </cell>
          <cell r="E273" t="str">
            <v>Starflite Management Group Inc</v>
          </cell>
          <cell r="F273">
            <v>32</v>
          </cell>
          <cell r="G273">
            <v>26381</v>
          </cell>
          <cell r="H273" t="str">
            <v>IISP</v>
          </cell>
          <cell r="I273" t="str">
            <v>North America</v>
          </cell>
          <cell r="J273" t="str">
            <v>USA</v>
          </cell>
          <cell r="K273">
            <v>26114</v>
          </cell>
        </row>
        <row r="274">
          <cell r="A274" t="str">
            <v>In service</v>
          </cell>
          <cell r="B274" t="str">
            <v>Gulfstream Aerospace Gulfstream II</v>
          </cell>
          <cell r="C274" t="str">
            <v>SP</v>
          </cell>
          <cell r="D274">
            <v>1972</v>
          </cell>
          <cell r="E274" t="str">
            <v>Flightworks</v>
          </cell>
          <cell r="F274">
            <v>32</v>
          </cell>
          <cell r="G274">
            <v>26473</v>
          </cell>
          <cell r="H274" t="str">
            <v>IISP</v>
          </cell>
          <cell r="I274" t="str">
            <v>North America</v>
          </cell>
          <cell r="J274" t="str">
            <v>USA</v>
          </cell>
          <cell r="K274">
            <v>25749</v>
          </cell>
        </row>
        <row r="275">
          <cell r="A275" t="str">
            <v>In service</v>
          </cell>
          <cell r="B275" t="str">
            <v>Gulfstream Aerospace Gulfstream II</v>
          </cell>
          <cell r="C275" t="str">
            <v>SP</v>
          </cell>
          <cell r="D275">
            <v>1972</v>
          </cell>
          <cell r="E275" t="str">
            <v>FG Aviation Inc</v>
          </cell>
          <cell r="F275">
            <v>32</v>
          </cell>
          <cell r="G275">
            <v>26461</v>
          </cell>
          <cell r="H275" t="str">
            <v>IISP</v>
          </cell>
          <cell r="I275" t="str">
            <v>North America</v>
          </cell>
          <cell r="J275" t="str">
            <v>USA</v>
          </cell>
          <cell r="K275">
            <v>25749</v>
          </cell>
        </row>
        <row r="276">
          <cell r="A276" t="str">
            <v>In service</v>
          </cell>
          <cell r="B276" t="str">
            <v>Gulfstream Aerospace Gulfstream II</v>
          </cell>
          <cell r="C276" t="str">
            <v>SP</v>
          </cell>
          <cell r="D276">
            <v>1972</v>
          </cell>
          <cell r="E276" t="str">
            <v>Bluegrass Gulfstream Investments</v>
          </cell>
          <cell r="F276">
            <v>32</v>
          </cell>
          <cell r="G276">
            <v>26505</v>
          </cell>
          <cell r="H276" t="str">
            <v>IISP</v>
          </cell>
          <cell r="I276" t="str">
            <v>North America</v>
          </cell>
          <cell r="J276" t="str">
            <v>USA</v>
          </cell>
          <cell r="K276">
            <v>26114</v>
          </cell>
        </row>
        <row r="277">
          <cell r="A277" t="str">
            <v>In service</v>
          </cell>
          <cell r="B277" t="str">
            <v>Gulfstream Aerospace Gulfstream II</v>
          </cell>
          <cell r="C277" t="str">
            <v>SP</v>
          </cell>
          <cell r="D277">
            <v>1972</v>
          </cell>
          <cell r="E277" t="str">
            <v>Reliance Aviation Management LLC</v>
          </cell>
          <cell r="F277">
            <v>32</v>
          </cell>
          <cell r="G277">
            <v>26564</v>
          </cell>
          <cell r="H277" t="str">
            <v>IISP</v>
          </cell>
          <cell r="I277" t="str">
            <v>North America</v>
          </cell>
          <cell r="J277" t="str">
            <v>USA</v>
          </cell>
          <cell r="K277">
            <v>25749</v>
          </cell>
        </row>
        <row r="278">
          <cell r="A278" t="str">
            <v>In service</v>
          </cell>
          <cell r="B278" t="str">
            <v>Gulfstream Aerospace Gulfstream II</v>
          </cell>
          <cell r="C278" t="str">
            <v>SP</v>
          </cell>
          <cell r="D278">
            <v>1968</v>
          </cell>
          <cell r="E278" t="str">
            <v>R Squared LLC</v>
          </cell>
          <cell r="F278">
            <v>36</v>
          </cell>
          <cell r="G278">
            <v>24932</v>
          </cell>
          <cell r="H278" t="str">
            <v>IISP</v>
          </cell>
          <cell r="I278" t="str">
            <v>North America</v>
          </cell>
          <cell r="J278" t="str">
            <v>USA</v>
          </cell>
          <cell r="K278">
            <v>24288</v>
          </cell>
        </row>
        <row r="279">
          <cell r="A279" t="str">
            <v>In service</v>
          </cell>
          <cell r="B279" t="str">
            <v>Gulfstream Aerospace Gulfstream II</v>
          </cell>
          <cell r="C279" t="str">
            <v>SP</v>
          </cell>
          <cell r="D279">
            <v>1972</v>
          </cell>
          <cell r="E279" t="str">
            <v>Macon County Greyhound Park Inc</v>
          </cell>
          <cell r="F279">
            <v>32</v>
          </cell>
          <cell r="G279">
            <v>26632</v>
          </cell>
          <cell r="H279" t="str">
            <v>IISP</v>
          </cell>
          <cell r="I279" t="str">
            <v>North America</v>
          </cell>
          <cell r="J279" t="str">
            <v>USA</v>
          </cell>
          <cell r="K279">
            <v>25749</v>
          </cell>
        </row>
        <row r="280">
          <cell r="A280" t="str">
            <v>In service</v>
          </cell>
          <cell r="B280" t="str">
            <v>Gulfstream Aerospace Gulfstream II</v>
          </cell>
          <cell r="C280" t="str">
            <v>SP</v>
          </cell>
          <cell r="D280">
            <v>1972</v>
          </cell>
          <cell r="E280" t="str">
            <v>Trayton Aviation LLC</v>
          </cell>
          <cell r="F280">
            <v>32</v>
          </cell>
          <cell r="G280">
            <v>26650</v>
          </cell>
          <cell r="H280" t="str">
            <v>IISP</v>
          </cell>
          <cell r="I280" t="str">
            <v>North America</v>
          </cell>
          <cell r="J280" t="str">
            <v>USA</v>
          </cell>
          <cell r="K280">
            <v>26114</v>
          </cell>
        </row>
        <row r="281">
          <cell r="A281" t="str">
            <v>In service</v>
          </cell>
          <cell r="B281" t="str">
            <v>Gulfstream Aerospace Gulfstream II</v>
          </cell>
          <cell r="C281" t="str">
            <v>SP</v>
          </cell>
          <cell r="D281">
            <v>1973</v>
          </cell>
          <cell r="E281" t="str">
            <v>Lorien Aviation Inc</v>
          </cell>
          <cell r="F281">
            <v>31</v>
          </cell>
          <cell r="G281">
            <v>26873</v>
          </cell>
          <cell r="H281" t="str">
            <v>SP</v>
          </cell>
          <cell r="I281" t="str">
            <v>North America</v>
          </cell>
          <cell r="J281" t="str">
            <v>USA</v>
          </cell>
          <cell r="K281">
            <v>26480</v>
          </cell>
        </row>
        <row r="282">
          <cell r="A282" t="str">
            <v>In service</v>
          </cell>
          <cell r="B282" t="str">
            <v>Gulfstream Aerospace Gulfstream II</v>
          </cell>
          <cell r="C282" t="str">
            <v>SP</v>
          </cell>
          <cell r="D282">
            <v>1973</v>
          </cell>
          <cell r="E282" t="str">
            <v>JT Aviation Corp</v>
          </cell>
          <cell r="F282">
            <v>31</v>
          </cell>
          <cell r="G282">
            <v>26938</v>
          </cell>
          <cell r="H282" t="str">
            <v>IISP</v>
          </cell>
          <cell r="I282" t="str">
            <v>North America</v>
          </cell>
          <cell r="J282" t="str">
            <v>USA</v>
          </cell>
          <cell r="K282">
            <v>26114</v>
          </cell>
        </row>
        <row r="283">
          <cell r="A283" t="str">
            <v>In service</v>
          </cell>
          <cell r="B283" t="str">
            <v>Gulfstream Aerospace Gulfstream II</v>
          </cell>
          <cell r="C283" t="str">
            <v>SP</v>
          </cell>
          <cell r="D283">
            <v>1973</v>
          </cell>
          <cell r="E283" t="str">
            <v>Aeromundo Ejecutivo SA de CV</v>
          </cell>
          <cell r="F283">
            <v>31</v>
          </cell>
          <cell r="G283">
            <v>26960</v>
          </cell>
          <cell r="H283" t="str">
            <v>IISP</v>
          </cell>
          <cell r="I283" t="str">
            <v>Latin America and Caribbean</v>
          </cell>
          <cell r="J283" t="str">
            <v>Mexico</v>
          </cell>
          <cell r="K283">
            <v>26480</v>
          </cell>
        </row>
        <row r="284">
          <cell r="A284" t="str">
            <v>In service</v>
          </cell>
          <cell r="B284" t="str">
            <v>Gulfstream Aerospace Gulfstream II</v>
          </cell>
          <cell r="C284" t="str">
            <v>SP</v>
          </cell>
          <cell r="D284">
            <v>1975</v>
          </cell>
          <cell r="E284" t="str">
            <v>Amador LLC</v>
          </cell>
          <cell r="F284">
            <v>29</v>
          </cell>
          <cell r="G284">
            <v>27451</v>
          </cell>
          <cell r="H284" t="str">
            <v>IISP</v>
          </cell>
          <cell r="I284" t="str">
            <v>North America</v>
          </cell>
          <cell r="J284" t="str">
            <v>USA</v>
          </cell>
          <cell r="K284">
            <v>26845</v>
          </cell>
        </row>
        <row r="285">
          <cell r="A285" t="str">
            <v>In service</v>
          </cell>
          <cell r="B285" t="str">
            <v>Gulfstream Aerospace Gulfstream II</v>
          </cell>
          <cell r="C285" t="str">
            <v>SP</v>
          </cell>
          <cell r="D285">
            <v>1975</v>
          </cell>
          <cell r="E285" t="str">
            <v>Bentley AutoJet LLC</v>
          </cell>
          <cell r="F285">
            <v>29</v>
          </cell>
          <cell r="G285">
            <v>27733</v>
          </cell>
          <cell r="H285" t="str">
            <v>IISP</v>
          </cell>
          <cell r="I285" t="str">
            <v>North America</v>
          </cell>
          <cell r="J285" t="str">
            <v>USA</v>
          </cell>
        </row>
        <row r="286">
          <cell r="A286" t="str">
            <v>In service</v>
          </cell>
          <cell r="B286" t="str">
            <v>Gulfstream Aerospace Gulfstream II</v>
          </cell>
          <cell r="C286" t="str">
            <v>SP</v>
          </cell>
          <cell r="D286">
            <v>1975</v>
          </cell>
          <cell r="E286" t="str">
            <v>Leonard Green &amp; Partners LP</v>
          </cell>
          <cell r="F286">
            <v>29</v>
          </cell>
          <cell r="G286">
            <v>27500</v>
          </cell>
          <cell r="H286" t="str">
            <v>IISP</v>
          </cell>
          <cell r="I286" t="str">
            <v>North America</v>
          </cell>
          <cell r="J286" t="str">
            <v>USA</v>
          </cell>
          <cell r="K286">
            <v>26845</v>
          </cell>
        </row>
        <row r="287">
          <cell r="A287" t="str">
            <v>In service</v>
          </cell>
          <cell r="B287" t="str">
            <v>Gulfstream Aerospace Gulfstream II</v>
          </cell>
          <cell r="C287" t="str">
            <v>SP</v>
          </cell>
          <cell r="D287">
            <v>1975</v>
          </cell>
          <cell r="E287" t="str">
            <v>Gavilan Corp</v>
          </cell>
          <cell r="F287">
            <v>29</v>
          </cell>
          <cell r="G287">
            <v>27888</v>
          </cell>
          <cell r="H287" t="str">
            <v>IISP</v>
          </cell>
          <cell r="I287" t="str">
            <v>North America</v>
          </cell>
          <cell r="J287" t="str">
            <v>USA</v>
          </cell>
        </row>
        <row r="288">
          <cell r="A288" t="str">
            <v>In service</v>
          </cell>
          <cell r="B288" t="str">
            <v>Gulfstream Aerospace Gulfstream II</v>
          </cell>
          <cell r="C288" t="str">
            <v>SP</v>
          </cell>
          <cell r="D288">
            <v>1975</v>
          </cell>
          <cell r="E288" t="str">
            <v>Viajes Ejecutivos Mexicanos SA de CV</v>
          </cell>
          <cell r="F288">
            <v>29</v>
          </cell>
          <cell r="G288">
            <v>27755</v>
          </cell>
          <cell r="H288" t="str">
            <v>IISP</v>
          </cell>
          <cell r="I288" t="str">
            <v>Latin America and Caribbean</v>
          </cell>
          <cell r="J288" t="str">
            <v>Mexico</v>
          </cell>
          <cell r="K288">
            <v>27210</v>
          </cell>
        </row>
        <row r="289">
          <cell r="A289" t="str">
            <v>In service</v>
          </cell>
          <cell r="B289" t="str">
            <v>Gulfstream Aerospace Gulfstream II</v>
          </cell>
          <cell r="C289" t="str">
            <v>SP</v>
          </cell>
          <cell r="D289">
            <v>1975</v>
          </cell>
          <cell r="E289" t="str">
            <v>Blue Sky Group Inc</v>
          </cell>
          <cell r="F289">
            <v>29</v>
          </cell>
          <cell r="G289">
            <v>27786</v>
          </cell>
          <cell r="H289" t="str">
            <v>IISP</v>
          </cell>
          <cell r="I289" t="str">
            <v>North America</v>
          </cell>
          <cell r="J289" t="str">
            <v>USA</v>
          </cell>
        </row>
        <row r="290">
          <cell r="A290" t="str">
            <v>In service</v>
          </cell>
          <cell r="B290" t="str">
            <v>Gulfstream Aerospace Gulfstream II</v>
          </cell>
          <cell r="C290" t="str">
            <v>SP</v>
          </cell>
          <cell r="D290">
            <v>1975</v>
          </cell>
          <cell r="E290" t="str">
            <v>Bank of America NA</v>
          </cell>
          <cell r="F290">
            <v>29</v>
          </cell>
          <cell r="G290">
            <v>27823</v>
          </cell>
          <cell r="H290" t="str">
            <v>IISP</v>
          </cell>
          <cell r="I290" t="str">
            <v>North America</v>
          </cell>
          <cell r="J290" t="str">
            <v>USA</v>
          </cell>
          <cell r="K290">
            <v>27210</v>
          </cell>
        </row>
        <row r="291">
          <cell r="A291" t="str">
            <v>In service</v>
          </cell>
          <cell r="B291" t="str">
            <v>Gulfstream Aerospace Gulfstream II</v>
          </cell>
          <cell r="C291" t="str">
            <v>SP</v>
          </cell>
          <cell r="D291">
            <v>1968</v>
          </cell>
          <cell r="E291" t="str">
            <v>Plains Exploration &amp; Production Co</v>
          </cell>
          <cell r="F291">
            <v>36</v>
          </cell>
          <cell r="G291">
            <v>24968</v>
          </cell>
          <cell r="H291" t="str">
            <v>IISP</v>
          </cell>
          <cell r="I291" t="str">
            <v>North America</v>
          </cell>
          <cell r="J291" t="str">
            <v>USA</v>
          </cell>
          <cell r="K291">
            <v>24288</v>
          </cell>
        </row>
        <row r="292">
          <cell r="A292" t="str">
            <v>In service</v>
          </cell>
          <cell r="B292" t="str">
            <v>Gulfstream Aerospace Gulfstream II</v>
          </cell>
          <cell r="C292" t="str">
            <v>SP</v>
          </cell>
          <cell r="D292">
            <v>1975</v>
          </cell>
          <cell r="E292" t="str">
            <v>S/A Holdings LLC</v>
          </cell>
          <cell r="F292">
            <v>29</v>
          </cell>
          <cell r="G292">
            <v>27711</v>
          </cell>
          <cell r="H292" t="str">
            <v>IISP</v>
          </cell>
          <cell r="I292" t="str">
            <v>North America</v>
          </cell>
          <cell r="J292" t="str">
            <v>USA</v>
          </cell>
          <cell r="K292">
            <v>26845</v>
          </cell>
        </row>
        <row r="293">
          <cell r="A293" t="str">
            <v>In service</v>
          </cell>
          <cell r="B293" t="str">
            <v>Gulfstream Aerospace Gulfstream II</v>
          </cell>
          <cell r="C293" t="str">
            <v>SP</v>
          </cell>
          <cell r="D293">
            <v>1975</v>
          </cell>
          <cell r="E293" t="str">
            <v>Jetmark Aviation LLC</v>
          </cell>
          <cell r="F293">
            <v>29</v>
          </cell>
          <cell r="G293">
            <v>27751</v>
          </cell>
          <cell r="H293" t="str">
            <v>IISP</v>
          </cell>
          <cell r="I293" t="str">
            <v>North America</v>
          </cell>
          <cell r="J293" t="str">
            <v>USA</v>
          </cell>
          <cell r="K293">
            <v>27210</v>
          </cell>
        </row>
        <row r="294">
          <cell r="A294" t="str">
            <v>In service</v>
          </cell>
          <cell r="B294" t="str">
            <v>Gulfstream Aerospace Gulfstream II</v>
          </cell>
          <cell r="C294" t="str">
            <v>SP</v>
          </cell>
          <cell r="D294">
            <v>1975</v>
          </cell>
          <cell r="E294" t="str">
            <v>Policia Federal Preventiva de Mexico</v>
          </cell>
          <cell r="F294">
            <v>29</v>
          </cell>
          <cell r="G294">
            <v>27973</v>
          </cell>
          <cell r="H294" t="str">
            <v>IISP</v>
          </cell>
          <cell r="I294" t="str">
            <v>Latin America and Caribbean</v>
          </cell>
          <cell r="J294" t="str">
            <v>Mexico</v>
          </cell>
          <cell r="K294">
            <v>27575</v>
          </cell>
        </row>
        <row r="295">
          <cell r="A295" t="str">
            <v>In service</v>
          </cell>
          <cell r="B295" t="str">
            <v>Gulfstream Aerospace Gulfstream II</v>
          </cell>
          <cell r="C295" t="str">
            <v>SP</v>
          </cell>
          <cell r="D295">
            <v>1976</v>
          </cell>
          <cell r="E295" t="str">
            <v>Frank Group LLC &amp; Capital Aircraft Group LLC</v>
          </cell>
          <cell r="F295">
            <v>28</v>
          </cell>
          <cell r="G295">
            <v>27789</v>
          </cell>
          <cell r="H295" t="str">
            <v>IISP</v>
          </cell>
          <cell r="I295" t="str">
            <v>North America</v>
          </cell>
          <cell r="J295" t="str">
            <v>USA</v>
          </cell>
          <cell r="K295">
            <v>27210</v>
          </cell>
        </row>
        <row r="296">
          <cell r="A296" t="str">
            <v>In service</v>
          </cell>
          <cell r="B296" t="str">
            <v>Gulfstream Aerospace Gulfstream II</v>
          </cell>
          <cell r="C296" t="str">
            <v>SP</v>
          </cell>
          <cell r="D296">
            <v>1976</v>
          </cell>
          <cell r="E296" t="str">
            <v>Wings Aviation International Inc</v>
          </cell>
          <cell r="F296">
            <v>28</v>
          </cell>
          <cell r="G296">
            <v>27852</v>
          </cell>
          <cell r="H296" t="str">
            <v>IISP</v>
          </cell>
          <cell r="I296" t="str">
            <v>North America</v>
          </cell>
          <cell r="J296" t="str">
            <v>USA</v>
          </cell>
          <cell r="K296">
            <v>27210</v>
          </cell>
        </row>
        <row r="297">
          <cell r="A297" t="str">
            <v>In service</v>
          </cell>
          <cell r="B297" t="str">
            <v>Gulfstream Aerospace Gulfstream II</v>
          </cell>
          <cell r="C297" t="str">
            <v>SP</v>
          </cell>
          <cell r="D297">
            <v>1976</v>
          </cell>
          <cell r="E297" t="str">
            <v>G II Jet Partners LLC</v>
          </cell>
          <cell r="F297">
            <v>28</v>
          </cell>
          <cell r="G297">
            <v>28074</v>
          </cell>
          <cell r="H297" t="str">
            <v>IISP</v>
          </cell>
          <cell r="I297" t="str">
            <v>North America</v>
          </cell>
          <cell r="J297" t="str">
            <v>USA</v>
          </cell>
          <cell r="K297">
            <v>27575</v>
          </cell>
        </row>
        <row r="298">
          <cell r="A298" t="str">
            <v>In service</v>
          </cell>
          <cell r="B298" t="str">
            <v>Gulfstream Aerospace Gulfstream II</v>
          </cell>
          <cell r="C298" t="str">
            <v>SP</v>
          </cell>
          <cell r="D298">
            <v>1976</v>
          </cell>
          <cell r="E298" t="str">
            <v>NASA</v>
          </cell>
          <cell r="F298">
            <v>28</v>
          </cell>
          <cell r="G298">
            <v>27947</v>
          </cell>
          <cell r="H298" t="str">
            <v>IISP</v>
          </cell>
          <cell r="I298" t="str">
            <v>North America</v>
          </cell>
          <cell r="J298" t="str">
            <v>USA</v>
          </cell>
        </row>
        <row r="299">
          <cell r="A299" t="str">
            <v>In service</v>
          </cell>
          <cell r="B299" t="str">
            <v>Gulfstream Aerospace Gulfstream II</v>
          </cell>
          <cell r="C299" t="str">
            <v>SP</v>
          </cell>
          <cell r="D299">
            <v>1976</v>
          </cell>
          <cell r="E299" t="str">
            <v>Shukra Ltd</v>
          </cell>
          <cell r="F299">
            <v>28</v>
          </cell>
          <cell r="G299">
            <v>28260</v>
          </cell>
          <cell r="H299" t="str">
            <v>IISP</v>
          </cell>
          <cell r="I299" t="str">
            <v>Latin America and Caribbean</v>
          </cell>
          <cell r="J299" t="str">
            <v>Bermuda</v>
          </cell>
          <cell r="K299">
            <v>27575</v>
          </cell>
        </row>
        <row r="300">
          <cell r="A300" t="str">
            <v>In service</v>
          </cell>
          <cell r="B300" t="str">
            <v>Gulfstream Aerospace Gulfstream II</v>
          </cell>
          <cell r="C300" t="str">
            <v>SP</v>
          </cell>
          <cell r="D300">
            <v>1976</v>
          </cell>
          <cell r="E300" t="str">
            <v>Kenair Inc</v>
          </cell>
          <cell r="F300">
            <v>28</v>
          </cell>
          <cell r="G300">
            <v>28048</v>
          </cell>
          <cell r="H300" t="str">
            <v>IISP</v>
          </cell>
          <cell r="I300" t="str">
            <v>North America</v>
          </cell>
          <cell r="J300" t="str">
            <v>USA</v>
          </cell>
          <cell r="K300">
            <v>27575</v>
          </cell>
        </row>
        <row r="301">
          <cell r="A301" t="str">
            <v>In service</v>
          </cell>
          <cell r="B301" t="str">
            <v>Gulfstream Aerospace Gulfstream II</v>
          </cell>
          <cell r="C301" t="str">
            <v>SP</v>
          </cell>
          <cell r="D301">
            <v>1976</v>
          </cell>
          <cell r="E301" t="str">
            <v>Stockwood Inc</v>
          </cell>
          <cell r="F301">
            <v>28</v>
          </cell>
          <cell r="G301">
            <v>28069</v>
          </cell>
          <cell r="H301" t="str">
            <v>IISP</v>
          </cell>
          <cell r="I301" t="str">
            <v>North America</v>
          </cell>
          <cell r="J301" t="str">
            <v>USA</v>
          </cell>
          <cell r="K301">
            <v>27210</v>
          </cell>
        </row>
        <row r="302">
          <cell r="A302" t="str">
            <v>In service</v>
          </cell>
          <cell r="B302" t="str">
            <v>Gulfstream Aerospace Gulfstream II</v>
          </cell>
          <cell r="C302" t="str">
            <v>SP</v>
          </cell>
          <cell r="D302">
            <v>1977</v>
          </cell>
          <cell r="E302" t="str">
            <v>Not Yours LLC</v>
          </cell>
          <cell r="F302">
            <v>27</v>
          </cell>
          <cell r="G302">
            <v>28430</v>
          </cell>
          <cell r="H302" t="str">
            <v>IISP</v>
          </cell>
          <cell r="I302" t="str">
            <v>North America</v>
          </cell>
          <cell r="J302" t="str">
            <v>USA</v>
          </cell>
          <cell r="K302">
            <v>27575</v>
          </cell>
        </row>
        <row r="303">
          <cell r="A303" t="str">
            <v>In service</v>
          </cell>
          <cell r="B303" t="str">
            <v>Gulfstream Aerospace Gulfstream II</v>
          </cell>
          <cell r="C303" t="str">
            <v>SP</v>
          </cell>
          <cell r="D303">
            <v>1977</v>
          </cell>
          <cell r="E303" t="str">
            <v>J W Connolly &amp; Shirley B Connolly</v>
          </cell>
          <cell r="F303">
            <v>27</v>
          </cell>
          <cell r="G303">
            <v>28706</v>
          </cell>
          <cell r="H303" t="str">
            <v>IISP</v>
          </cell>
          <cell r="I303" t="str">
            <v>North America</v>
          </cell>
          <cell r="J303" t="str">
            <v>USA</v>
          </cell>
          <cell r="K303">
            <v>28306</v>
          </cell>
        </row>
        <row r="304">
          <cell r="A304" t="str">
            <v>In service</v>
          </cell>
          <cell r="B304" t="str">
            <v>Gulfstream Aerospace Gulfstream II</v>
          </cell>
          <cell r="C304" t="str">
            <v>SP</v>
          </cell>
          <cell r="D304">
            <v>1977</v>
          </cell>
          <cell r="E304" t="str">
            <v>Apex Oil Co Inc</v>
          </cell>
          <cell r="F304">
            <v>27</v>
          </cell>
          <cell r="G304">
            <v>28600</v>
          </cell>
          <cell r="H304" t="str">
            <v>IISP</v>
          </cell>
          <cell r="I304" t="str">
            <v>North America</v>
          </cell>
          <cell r="J304" t="str">
            <v>USA</v>
          </cell>
          <cell r="K304">
            <v>28306</v>
          </cell>
        </row>
        <row r="305">
          <cell r="A305" t="str">
            <v>In service</v>
          </cell>
          <cell r="B305" t="str">
            <v>Gulfstream Aerospace Gulfstream II</v>
          </cell>
          <cell r="C305" t="str">
            <v>SP</v>
          </cell>
          <cell r="D305">
            <v>1977</v>
          </cell>
          <cell r="E305" t="str">
            <v>Aspen I LLC</v>
          </cell>
          <cell r="F305">
            <v>27</v>
          </cell>
          <cell r="G305">
            <v>28377</v>
          </cell>
          <cell r="H305" t="str">
            <v>IISP</v>
          </cell>
          <cell r="I305" t="str">
            <v>North America</v>
          </cell>
          <cell r="J305" t="str">
            <v>USA</v>
          </cell>
          <cell r="K305">
            <v>27575</v>
          </cell>
        </row>
        <row r="306">
          <cell r="A306" t="str">
            <v>In service</v>
          </cell>
          <cell r="B306" t="str">
            <v>Gulfstream Aerospace Gulfstream II</v>
          </cell>
          <cell r="C306" t="str">
            <v>SP</v>
          </cell>
          <cell r="D306">
            <v>1977</v>
          </cell>
          <cell r="E306" t="str">
            <v>ER Aviation LLC</v>
          </cell>
          <cell r="F306">
            <v>27</v>
          </cell>
          <cell r="G306">
            <v>28360</v>
          </cell>
          <cell r="H306" t="str">
            <v>IISP</v>
          </cell>
          <cell r="I306" t="str">
            <v>North America</v>
          </cell>
          <cell r="J306" t="str">
            <v>USA</v>
          </cell>
          <cell r="K306">
            <v>27941</v>
          </cell>
        </row>
        <row r="307">
          <cell r="A307" t="str">
            <v>In service</v>
          </cell>
          <cell r="B307" t="str">
            <v>Gulfstream Aerospace Gulfstream II</v>
          </cell>
          <cell r="C307" t="str">
            <v>SP</v>
          </cell>
          <cell r="D307">
            <v>1977</v>
          </cell>
          <cell r="E307" t="str">
            <v>PF Air LLC</v>
          </cell>
          <cell r="F307">
            <v>27</v>
          </cell>
          <cell r="G307">
            <v>28618</v>
          </cell>
          <cell r="H307" t="str">
            <v>IISP</v>
          </cell>
          <cell r="I307" t="str">
            <v>North America</v>
          </cell>
          <cell r="J307" t="str">
            <v>USA</v>
          </cell>
          <cell r="K307">
            <v>27941</v>
          </cell>
        </row>
        <row r="308">
          <cell r="A308" t="str">
            <v>In service</v>
          </cell>
          <cell r="B308" t="str">
            <v>Gulfstream Aerospace Gulfstream II</v>
          </cell>
          <cell r="C308" t="str">
            <v>SP</v>
          </cell>
          <cell r="D308">
            <v>1977</v>
          </cell>
          <cell r="E308" t="str">
            <v>Naveira Mexicana</v>
          </cell>
          <cell r="F308">
            <v>27</v>
          </cell>
          <cell r="G308">
            <v>28622</v>
          </cell>
          <cell r="H308" t="str">
            <v>IISP</v>
          </cell>
          <cell r="I308" t="str">
            <v>Latin America and Caribbean</v>
          </cell>
          <cell r="J308" t="str">
            <v>Mexico</v>
          </cell>
          <cell r="K308">
            <v>28306</v>
          </cell>
        </row>
        <row r="309">
          <cell r="A309" t="str">
            <v>In service</v>
          </cell>
          <cell r="B309" t="str">
            <v>Gulfstream Aerospace Gulfstream II</v>
          </cell>
          <cell r="C309" t="str">
            <v>SP</v>
          </cell>
          <cell r="D309">
            <v>1977</v>
          </cell>
          <cell r="E309" t="str">
            <v>JI Aviation Inc</v>
          </cell>
          <cell r="F309">
            <v>27</v>
          </cell>
          <cell r="G309">
            <v>28454</v>
          </cell>
          <cell r="H309" t="str">
            <v>IISP</v>
          </cell>
          <cell r="I309" t="str">
            <v>North America</v>
          </cell>
          <cell r="J309" t="str">
            <v>USA</v>
          </cell>
          <cell r="K309">
            <v>27941</v>
          </cell>
        </row>
        <row r="310">
          <cell r="A310" t="str">
            <v>In service</v>
          </cell>
          <cell r="B310" t="str">
            <v>Gulfstream Aerospace Gulfstream II</v>
          </cell>
          <cell r="C310" t="str">
            <v>SP</v>
          </cell>
          <cell r="D310">
            <v>1977</v>
          </cell>
          <cell r="E310" t="str">
            <v>Krystal Air LLC</v>
          </cell>
          <cell r="F310">
            <v>27</v>
          </cell>
          <cell r="G310">
            <v>28692</v>
          </cell>
          <cell r="H310" t="str">
            <v>IISP</v>
          </cell>
          <cell r="I310" t="str">
            <v>North America</v>
          </cell>
          <cell r="J310" t="str">
            <v>USA</v>
          </cell>
          <cell r="K310">
            <v>27941</v>
          </cell>
        </row>
        <row r="311">
          <cell r="A311" t="str">
            <v>In service</v>
          </cell>
          <cell r="B311" t="str">
            <v>Gulfstream Aerospace Gulfstream II</v>
          </cell>
          <cell r="C311" t="str">
            <v>SP</v>
          </cell>
          <cell r="D311">
            <v>1977</v>
          </cell>
          <cell r="E311" t="str">
            <v>Merle Norman Cosmetics Inc</v>
          </cell>
          <cell r="F311">
            <v>27</v>
          </cell>
          <cell r="G311">
            <v>28485</v>
          </cell>
          <cell r="H311" t="str">
            <v>IISP</v>
          </cell>
          <cell r="I311" t="str">
            <v>North America</v>
          </cell>
          <cell r="J311" t="str">
            <v>USA</v>
          </cell>
          <cell r="K311">
            <v>27941</v>
          </cell>
        </row>
        <row r="312">
          <cell r="A312" t="str">
            <v>In service</v>
          </cell>
          <cell r="B312" t="str">
            <v>Gulfstream Aerospace Gulfstream II</v>
          </cell>
          <cell r="C312" t="str">
            <v>SP</v>
          </cell>
          <cell r="D312">
            <v>1968</v>
          </cell>
          <cell r="E312" t="str">
            <v>Rutter Aviation LLC</v>
          </cell>
          <cell r="F312">
            <v>36</v>
          </cell>
          <cell r="G312">
            <v>25009</v>
          </cell>
          <cell r="H312" t="str">
            <v>IISP</v>
          </cell>
          <cell r="I312" t="str">
            <v>North America</v>
          </cell>
          <cell r="J312" t="str">
            <v>USA</v>
          </cell>
          <cell r="K312">
            <v>24288</v>
          </cell>
        </row>
        <row r="313">
          <cell r="A313" t="str">
            <v>In service</v>
          </cell>
          <cell r="B313" t="str">
            <v>Gulfstream Aerospace Gulfstream II</v>
          </cell>
          <cell r="C313" t="str">
            <v>SP</v>
          </cell>
          <cell r="D313">
            <v>1978</v>
          </cell>
          <cell r="E313" t="str">
            <v>NASA</v>
          </cell>
          <cell r="F313">
            <v>26</v>
          </cell>
          <cell r="G313">
            <v>28608</v>
          </cell>
          <cell r="H313" t="str">
            <v>IISP</v>
          </cell>
          <cell r="I313" t="str">
            <v>North America</v>
          </cell>
          <cell r="J313" t="str">
            <v>USA</v>
          </cell>
          <cell r="K313">
            <v>27941</v>
          </cell>
        </row>
        <row r="314">
          <cell r="A314" t="str">
            <v>In service</v>
          </cell>
          <cell r="B314" t="str">
            <v>Gulfstream Aerospace Gulfstream II</v>
          </cell>
          <cell r="C314" t="str">
            <v>SP</v>
          </cell>
          <cell r="D314">
            <v>1978</v>
          </cell>
          <cell r="E314" t="str">
            <v>Adams Investment Enterprises LLC</v>
          </cell>
          <cell r="F314">
            <v>26</v>
          </cell>
          <cell r="G314">
            <v>28630</v>
          </cell>
          <cell r="H314" t="str">
            <v>IISP</v>
          </cell>
          <cell r="I314" t="str">
            <v>North America</v>
          </cell>
          <cell r="J314" t="str">
            <v>USA</v>
          </cell>
          <cell r="K314">
            <v>27941</v>
          </cell>
        </row>
        <row r="315">
          <cell r="A315" t="str">
            <v>In service</v>
          </cell>
          <cell r="B315" t="str">
            <v>Gulfstream Aerospace Gulfstream II</v>
          </cell>
          <cell r="C315" t="str">
            <v>SP</v>
          </cell>
          <cell r="D315">
            <v>1978</v>
          </cell>
          <cell r="E315" t="str">
            <v>Frontier Oil Corp</v>
          </cell>
          <cell r="F315">
            <v>26</v>
          </cell>
          <cell r="G315">
            <v>29060</v>
          </cell>
          <cell r="H315" t="str">
            <v>IISP</v>
          </cell>
          <cell r="I315" t="str">
            <v>North America</v>
          </cell>
          <cell r="J315" t="str">
            <v>USA</v>
          </cell>
          <cell r="K315">
            <v>28671</v>
          </cell>
        </row>
        <row r="316">
          <cell r="A316" t="str">
            <v>In service</v>
          </cell>
          <cell r="B316" t="str">
            <v>Gulfstream Aerospace Gulfstream II</v>
          </cell>
          <cell r="C316" t="str">
            <v>SP</v>
          </cell>
          <cell r="D316">
            <v>1978</v>
          </cell>
          <cell r="E316" t="str">
            <v>Rich-Air/American Money Management/et al</v>
          </cell>
          <cell r="F316">
            <v>26</v>
          </cell>
          <cell r="G316">
            <v>28717</v>
          </cell>
          <cell r="H316" t="str">
            <v>IISP</v>
          </cell>
          <cell r="I316" t="str">
            <v>North America</v>
          </cell>
          <cell r="J316" t="str">
            <v>USA</v>
          </cell>
          <cell r="K316">
            <v>27941</v>
          </cell>
        </row>
        <row r="317">
          <cell r="A317" t="str">
            <v>In service</v>
          </cell>
          <cell r="B317" t="str">
            <v>Gulfstream Aerospace Gulfstream II</v>
          </cell>
          <cell r="C317" t="str">
            <v>SP</v>
          </cell>
          <cell r="D317">
            <v>1978</v>
          </cell>
          <cell r="E317" t="str">
            <v>Clay Lacy Aviation</v>
          </cell>
          <cell r="F317">
            <v>26</v>
          </cell>
          <cell r="G317">
            <v>28722</v>
          </cell>
          <cell r="H317" t="str">
            <v>IISP</v>
          </cell>
          <cell r="I317" t="str">
            <v>North America</v>
          </cell>
          <cell r="J317" t="str">
            <v>USA</v>
          </cell>
          <cell r="K317">
            <v>27941</v>
          </cell>
        </row>
        <row r="318">
          <cell r="A318" t="str">
            <v>In service</v>
          </cell>
          <cell r="B318" t="str">
            <v>Gulfstream Aerospace Gulfstream II</v>
          </cell>
          <cell r="C318" t="str">
            <v>SP</v>
          </cell>
          <cell r="D318">
            <v>1978</v>
          </cell>
          <cell r="E318" t="str">
            <v>IT &amp; Associates Inc</v>
          </cell>
          <cell r="F318">
            <v>26</v>
          </cell>
          <cell r="G318">
            <v>28958</v>
          </cell>
          <cell r="H318" t="str">
            <v>IISP</v>
          </cell>
          <cell r="I318" t="str">
            <v>North America</v>
          </cell>
          <cell r="J318" t="str">
            <v>USA</v>
          </cell>
          <cell r="K318">
            <v>28306</v>
          </cell>
        </row>
        <row r="319">
          <cell r="A319" t="str">
            <v>In service</v>
          </cell>
          <cell r="B319" t="str">
            <v>Gulfstream Aerospace Gulfstream II</v>
          </cell>
          <cell r="C319" t="str">
            <v>SP</v>
          </cell>
          <cell r="D319">
            <v>1979</v>
          </cell>
          <cell r="E319" t="str">
            <v>MK Aviation LLC</v>
          </cell>
          <cell r="F319">
            <v>25</v>
          </cell>
          <cell r="G319">
            <v>28901</v>
          </cell>
          <cell r="H319" t="str">
            <v>IISP</v>
          </cell>
          <cell r="I319" t="str">
            <v>North America</v>
          </cell>
          <cell r="J319" t="str">
            <v>USA</v>
          </cell>
        </row>
        <row r="320">
          <cell r="A320" t="str">
            <v>In service</v>
          </cell>
          <cell r="B320" t="str">
            <v>Gulfstream Aerospace Gulfstream II</v>
          </cell>
          <cell r="C320" t="str">
            <v>SP</v>
          </cell>
          <cell r="D320">
            <v>1979</v>
          </cell>
          <cell r="E320" t="str">
            <v>Flynn Financial Corp</v>
          </cell>
          <cell r="F320">
            <v>25</v>
          </cell>
          <cell r="G320">
            <v>29245</v>
          </cell>
          <cell r="H320" t="str">
            <v>IISP</v>
          </cell>
          <cell r="I320" t="str">
            <v>North America</v>
          </cell>
          <cell r="J320" t="str">
            <v>USA</v>
          </cell>
          <cell r="K320">
            <v>28671</v>
          </cell>
        </row>
        <row r="321">
          <cell r="A321" t="str">
            <v>In service</v>
          </cell>
          <cell r="B321" t="str">
            <v>Gulfstream Aerospace Gulfstream II</v>
          </cell>
          <cell r="C321" t="str">
            <v>SP</v>
          </cell>
          <cell r="D321">
            <v>1979</v>
          </cell>
          <cell r="E321" t="str">
            <v>MG-75 Inc</v>
          </cell>
          <cell r="F321">
            <v>25</v>
          </cell>
          <cell r="G321">
            <v>29082</v>
          </cell>
          <cell r="H321" t="str">
            <v>IISP</v>
          </cell>
          <cell r="I321" t="str">
            <v>North America</v>
          </cell>
          <cell r="J321" t="str">
            <v>USA</v>
          </cell>
          <cell r="K321">
            <v>28306</v>
          </cell>
        </row>
        <row r="322">
          <cell r="A322" t="str">
            <v>In service</v>
          </cell>
          <cell r="B322" t="str">
            <v>Gulfstream Aerospace Gulfstream II</v>
          </cell>
          <cell r="C322" t="str">
            <v>SP</v>
          </cell>
          <cell r="D322">
            <v>1979</v>
          </cell>
          <cell r="E322" t="str">
            <v>Hawker Air LP</v>
          </cell>
          <cell r="F322">
            <v>25</v>
          </cell>
          <cell r="G322">
            <v>29306</v>
          </cell>
          <cell r="H322" t="str">
            <v>IISP</v>
          </cell>
          <cell r="I322" t="str">
            <v>North America</v>
          </cell>
          <cell r="J322" t="str">
            <v>USA</v>
          </cell>
          <cell r="K322">
            <v>28671</v>
          </cell>
        </row>
        <row r="323">
          <cell r="A323" t="str">
            <v>In service</v>
          </cell>
          <cell r="B323" t="str">
            <v>Gulfstream Aerospace Gulfstream II</v>
          </cell>
          <cell r="C323" t="str">
            <v>SP</v>
          </cell>
          <cell r="D323">
            <v>1979</v>
          </cell>
          <cell r="E323" t="str">
            <v>Consolidated Oil &amp; Gas</v>
          </cell>
          <cell r="F323">
            <v>25</v>
          </cell>
          <cell r="G323">
            <v>29174</v>
          </cell>
          <cell r="H323" t="str">
            <v>IISP</v>
          </cell>
          <cell r="I323" t="str">
            <v>North America</v>
          </cell>
          <cell r="J323" t="str">
            <v>USA</v>
          </cell>
          <cell r="K323">
            <v>29036</v>
          </cell>
        </row>
        <row r="324">
          <cell r="A324" t="str">
            <v>In service</v>
          </cell>
          <cell r="B324" t="str">
            <v>Gulfstream Aerospace Gulfstream II</v>
          </cell>
          <cell r="C324" t="str">
            <v>SP</v>
          </cell>
          <cell r="D324">
            <v>1968</v>
          </cell>
          <cell r="E324" t="str">
            <v>Hazben Inc</v>
          </cell>
          <cell r="F324">
            <v>36</v>
          </cell>
          <cell r="G324">
            <v>25084</v>
          </cell>
          <cell r="H324" t="str">
            <v>IISP</v>
          </cell>
          <cell r="I324" t="str">
            <v>North America</v>
          </cell>
          <cell r="J324" t="str">
            <v>USA</v>
          </cell>
          <cell r="K324">
            <v>24288</v>
          </cell>
        </row>
        <row r="325">
          <cell r="A325" t="str">
            <v>In service</v>
          </cell>
          <cell r="B325" t="str">
            <v>Gulfstream Aerospace Gulfstream II</v>
          </cell>
          <cell r="C325" t="str">
            <v>SP</v>
          </cell>
          <cell r="D325">
            <v>1968</v>
          </cell>
          <cell r="E325" t="str">
            <v>Aero Air LLC</v>
          </cell>
          <cell r="F325">
            <v>36</v>
          </cell>
          <cell r="G325">
            <v>25084</v>
          </cell>
          <cell r="H325" t="str">
            <v>IISP</v>
          </cell>
          <cell r="I325" t="str">
            <v>North America</v>
          </cell>
          <cell r="J325" t="str">
            <v>USA</v>
          </cell>
          <cell r="K325">
            <v>24653</v>
          </cell>
        </row>
        <row r="326">
          <cell r="A326" t="str">
            <v>In service</v>
          </cell>
          <cell r="B326" t="str">
            <v>Gulfstream Aerospace Gulfstream II</v>
          </cell>
          <cell r="C326" t="str">
            <v>SP</v>
          </cell>
          <cell r="D326">
            <v>1968</v>
          </cell>
          <cell r="E326" t="str">
            <v>Bondstone Corp</v>
          </cell>
          <cell r="F326">
            <v>36</v>
          </cell>
          <cell r="G326">
            <v>25113</v>
          </cell>
          <cell r="H326" t="str">
            <v>IISP</v>
          </cell>
          <cell r="I326" t="str">
            <v>North America</v>
          </cell>
          <cell r="J326" t="str">
            <v>USA</v>
          </cell>
          <cell r="K326">
            <v>24288</v>
          </cell>
        </row>
        <row r="327">
          <cell r="A327" t="str">
            <v>In service</v>
          </cell>
          <cell r="B327" t="str">
            <v>Gulfstream Aerospace Gulfstream II</v>
          </cell>
          <cell r="C327" t="str">
            <v>SP</v>
          </cell>
          <cell r="D327">
            <v>1968</v>
          </cell>
          <cell r="E327" t="str">
            <v>FTO Co Inc</v>
          </cell>
          <cell r="F327">
            <v>36</v>
          </cell>
          <cell r="G327">
            <v>25153</v>
          </cell>
          <cell r="H327" t="str">
            <v>IISP</v>
          </cell>
          <cell r="I327" t="str">
            <v>North America</v>
          </cell>
          <cell r="J327" t="str">
            <v>USA</v>
          </cell>
          <cell r="K327">
            <v>24288</v>
          </cell>
        </row>
        <row r="328">
          <cell r="A328" t="str">
            <v>In service</v>
          </cell>
          <cell r="B328" t="str">
            <v>Gulfstream Aerospace Gulfstream II</v>
          </cell>
          <cell r="C328" t="str">
            <v>SP</v>
          </cell>
          <cell r="D328">
            <v>1968</v>
          </cell>
          <cell r="E328" t="str">
            <v>Pavair Inc</v>
          </cell>
          <cell r="F328">
            <v>36</v>
          </cell>
          <cell r="G328">
            <v>25190</v>
          </cell>
          <cell r="H328" t="str">
            <v>IISP</v>
          </cell>
          <cell r="I328" t="str">
            <v>North America</v>
          </cell>
          <cell r="J328" t="str">
            <v>USA</v>
          </cell>
          <cell r="K328">
            <v>24288</v>
          </cell>
        </row>
        <row r="329">
          <cell r="A329" t="str">
            <v>In service</v>
          </cell>
          <cell r="B329" t="str">
            <v>Gulfstream Aerospace Gulfstream II</v>
          </cell>
          <cell r="C329" t="str">
            <v>SP</v>
          </cell>
          <cell r="D329">
            <v>1968</v>
          </cell>
          <cell r="E329" t="str">
            <v>Trans Continental Jet Shares LLC</v>
          </cell>
          <cell r="F329">
            <v>36</v>
          </cell>
          <cell r="G329">
            <v>25192</v>
          </cell>
          <cell r="H329" t="str">
            <v>IISP</v>
          </cell>
          <cell r="I329" t="str">
            <v>North America</v>
          </cell>
          <cell r="J329" t="str">
            <v>USA</v>
          </cell>
          <cell r="K329">
            <v>24288</v>
          </cell>
        </row>
        <row r="330">
          <cell r="A330" t="str">
            <v>In service</v>
          </cell>
          <cell r="B330" t="str">
            <v>Gulfstream Aerospace Gulfstream II</v>
          </cell>
          <cell r="C330" t="str">
            <v>SP</v>
          </cell>
          <cell r="D330">
            <v>1969</v>
          </cell>
          <cell r="E330" t="str">
            <v>Martin Sprocket &amp; Gear Inc</v>
          </cell>
          <cell r="F330">
            <v>35</v>
          </cell>
          <cell r="G330">
            <v>25247</v>
          </cell>
          <cell r="H330" t="str">
            <v>IISP</v>
          </cell>
          <cell r="I330" t="str">
            <v>North America</v>
          </cell>
          <cell r="J330" t="str">
            <v>USA</v>
          </cell>
          <cell r="K330">
            <v>24653</v>
          </cell>
        </row>
        <row r="331">
          <cell r="A331" t="str">
            <v>In service</v>
          </cell>
          <cell r="B331" t="str">
            <v>Gulfstream Aerospace Gulfstream II</v>
          </cell>
          <cell r="C331" t="str">
            <v>SP</v>
          </cell>
          <cell r="D331">
            <v>1969</v>
          </cell>
          <cell r="E331" t="str">
            <v>Robert E Torray &amp; Co</v>
          </cell>
          <cell r="F331">
            <v>35</v>
          </cell>
          <cell r="G331">
            <v>25956</v>
          </cell>
          <cell r="H331" t="str">
            <v>IISP</v>
          </cell>
          <cell r="I331" t="str">
            <v>North America</v>
          </cell>
          <cell r="J331" t="str">
            <v>USA</v>
          </cell>
        </row>
        <row r="332">
          <cell r="A332" t="str">
            <v>In service</v>
          </cell>
          <cell r="B332" t="str">
            <v>Gulfstream Aerospace Gulfstream II</v>
          </cell>
          <cell r="C332" t="str">
            <v>SP</v>
          </cell>
          <cell r="D332">
            <v>1969</v>
          </cell>
          <cell r="E332" t="str">
            <v>Hubbard Broadcasting Inc</v>
          </cell>
          <cell r="F332">
            <v>35</v>
          </cell>
          <cell r="G332">
            <v>25308</v>
          </cell>
          <cell r="H332" t="str">
            <v>IISP</v>
          </cell>
          <cell r="I332" t="str">
            <v>North America</v>
          </cell>
          <cell r="J332" t="str">
            <v>USA</v>
          </cell>
          <cell r="K332">
            <v>24653</v>
          </cell>
        </row>
        <row r="333">
          <cell r="A333" t="str">
            <v>In service</v>
          </cell>
          <cell r="B333" t="str">
            <v>Gulfstream Aerospace Gulfstream II</v>
          </cell>
          <cell r="C333" t="str">
            <v>SP</v>
          </cell>
          <cell r="D333">
            <v>1969</v>
          </cell>
          <cell r="E333" t="str">
            <v>Eagle Mountain International Church</v>
          </cell>
          <cell r="F333">
            <v>35</v>
          </cell>
          <cell r="G333">
            <v>25321</v>
          </cell>
          <cell r="H333" t="str">
            <v>IISP</v>
          </cell>
          <cell r="I333" t="str">
            <v>North America</v>
          </cell>
          <cell r="J333" t="str">
            <v>USA</v>
          </cell>
          <cell r="K333">
            <v>24653</v>
          </cell>
        </row>
        <row r="334">
          <cell r="A334" t="str">
            <v>In service</v>
          </cell>
          <cell r="B334" t="str">
            <v>Gulfstream Aerospace Gulfstream II</v>
          </cell>
          <cell r="C334" t="str">
            <v>SP</v>
          </cell>
          <cell r="D334">
            <v>1969</v>
          </cell>
          <cell r="E334" t="str">
            <v>Model Transportation LLC</v>
          </cell>
          <cell r="F334">
            <v>35</v>
          </cell>
          <cell r="G334">
            <v>25343</v>
          </cell>
          <cell r="H334" t="str">
            <v>IISP</v>
          </cell>
          <cell r="I334" t="str">
            <v>North America</v>
          </cell>
          <cell r="J334" t="str">
            <v>USA</v>
          </cell>
          <cell r="K334">
            <v>24653</v>
          </cell>
        </row>
        <row r="335">
          <cell r="A335" t="str">
            <v>In service</v>
          </cell>
          <cell r="B335" t="str">
            <v>Gulfstream Aerospace Gulfstream II</v>
          </cell>
          <cell r="C335" t="str">
            <v>SP</v>
          </cell>
          <cell r="D335">
            <v>1969</v>
          </cell>
          <cell r="E335" t="str">
            <v>Bellevue Jet Partners LLC</v>
          </cell>
          <cell r="F335">
            <v>35</v>
          </cell>
          <cell r="G335">
            <v>25357</v>
          </cell>
          <cell r="H335" t="str">
            <v>IISP</v>
          </cell>
          <cell r="I335" t="str">
            <v>North America</v>
          </cell>
          <cell r="J335" t="str">
            <v>USA</v>
          </cell>
          <cell r="K335">
            <v>24653</v>
          </cell>
        </row>
        <row r="336">
          <cell r="A336" t="str">
            <v>In service</v>
          </cell>
          <cell r="B336" t="str">
            <v>Gulfstream Aerospace Gulfstream II</v>
          </cell>
          <cell r="C336" t="str">
            <v>SP</v>
          </cell>
          <cell r="D336">
            <v>1969</v>
          </cell>
          <cell r="E336" t="str">
            <v>The Air Group Inc</v>
          </cell>
          <cell r="F336">
            <v>35</v>
          </cell>
          <cell r="G336">
            <v>25381</v>
          </cell>
          <cell r="H336" t="str">
            <v>IISP</v>
          </cell>
          <cell r="I336" t="str">
            <v>North America</v>
          </cell>
          <cell r="J336" t="str">
            <v>USA</v>
          </cell>
          <cell r="K336">
            <v>24653</v>
          </cell>
        </row>
        <row r="337">
          <cell r="A337" t="str">
            <v>In service</v>
          </cell>
          <cell r="B337" t="str">
            <v>Gulfstream Aerospace Gulfstream II</v>
          </cell>
          <cell r="C337" t="str">
            <v>SP</v>
          </cell>
          <cell r="D337">
            <v>1969</v>
          </cell>
          <cell r="E337" t="str">
            <v>Flightworks</v>
          </cell>
          <cell r="F337">
            <v>35</v>
          </cell>
          <cell r="G337">
            <v>25392</v>
          </cell>
          <cell r="H337" t="str">
            <v>IISP</v>
          </cell>
          <cell r="I337" t="str">
            <v>North America</v>
          </cell>
          <cell r="J337" t="str">
            <v>USA</v>
          </cell>
          <cell r="K337">
            <v>24653</v>
          </cell>
        </row>
        <row r="338">
          <cell r="A338" t="str">
            <v>In service</v>
          </cell>
          <cell r="B338" t="str">
            <v>Gulfstream Aerospace Gulfstream II</v>
          </cell>
          <cell r="C338" t="str">
            <v>SP</v>
          </cell>
          <cell r="D338">
            <v>1969</v>
          </cell>
          <cell r="E338" t="str">
            <v>VOZ LLC</v>
          </cell>
          <cell r="F338">
            <v>35</v>
          </cell>
          <cell r="G338">
            <v>25441</v>
          </cell>
          <cell r="H338" t="str">
            <v>IISP</v>
          </cell>
          <cell r="I338" t="str">
            <v>North America</v>
          </cell>
          <cell r="J338" t="str">
            <v>USA</v>
          </cell>
          <cell r="K338">
            <v>24653</v>
          </cell>
        </row>
        <row r="339">
          <cell r="A339" t="str">
            <v>In service</v>
          </cell>
          <cell r="B339" t="str">
            <v>Gulfstream Aerospace Gulfstream II</v>
          </cell>
          <cell r="C339" t="str">
            <v>SP</v>
          </cell>
          <cell r="D339">
            <v>1969</v>
          </cell>
          <cell r="E339" t="str">
            <v>Gulfway Air Inc</v>
          </cell>
          <cell r="F339">
            <v>35</v>
          </cell>
          <cell r="G339">
            <v>25474</v>
          </cell>
          <cell r="H339" t="str">
            <v>IISP</v>
          </cell>
          <cell r="I339" t="str">
            <v>North America</v>
          </cell>
          <cell r="J339" t="str">
            <v>USA</v>
          </cell>
          <cell r="K339">
            <v>25019</v>
          </cell>
        </row>
        <row r="340">
          <cell r="A340" t="str">
            <v>In service</v>
          </cell>
          <cell r="B340" t="str">
            <v>Gulfstream Aerospace Gulfstream II</v>
          </cell>
          <cell r="C340" t="str">
            <v>SP</v>
          </cell>
          <cell r="D340">
            <v>1969</v>
          </cell>
          <cell r="E340" t="str">
            <v>C &amp; A Aircraft LLC</v>
          </cell>
          <cell r="F340">
            <v>35</v>
          </cell>
          <cell r="G340">
            <v>25531</v>
          </cell>
          <cell r="H340" t="str">
            <v>IISP</v>
          </cell>
          <cell r="I340" t="str">
            <v>North America</v>
          </cell>
          <cell r="J340" t="str">
            <v>USA</v>
          </cell>
          <cell r="K340">
            <v>25019</v>
          </cell>
        </row>
        <row r="341">
          <cell r="A341" t="str">
            <v>In service</v>
          </cell>
          <cell r="B341" t="str">
            <v>Gulfstream Aerospace Gulfstream II</v>
          </cell>
          <cell r="C341" t="str">
            <v>SP</v>
          </cell>
          <cell r="D341">
            <v>1969</v>
          </cell>
          <cell r="E341" t="str">
            <v>Aviation Company Inc</v>
          </cell>
          <cell r="F341">
            <v>35</v>
          </cell>
          <cell r="G341">
            <v>25599</v>
          </cell>
          <cell r="H341" t="str">
            <v>IISP</v>
          </cell>
          <cell r="I341" t="str">
            <v>North America</v>
          </cell>
          <cell r="J341" t="str">
            <v>USA</v>
          </cell>
          <cell r="K341">
            <v>25019</v>
          </cell>
        </row>
        <row r="342">
          <cell r="A342" t="str">
            <v>In service</v>
          </cell>
          <cell r="B342" t="str">
            <v>Gulfstream Aerospace Gulfstream II</v>
          </cell>
          <cell r="C342" t="str">
            <v>SP</v>
          </cell>
          <cell r="D342">
            <v>1967</v>
          </cell>
          <cell r="E342" t="str">
            <v>MidSouth Services Inc</v>
          </cell>
          <cell r="F342">
            <v>37</v>
          </cell>
          <cell r="G342">
            <v>24824</v>
          </cell>
          <cell r="H342" t="str">
            <v>IISP</v>
          </cell>
          <cell r="I342" t="str">
            <v>North America</v>
          </cell>
          <cell r="J342" t="str">
            <v>USA</v>
          </cell>
          <cell r="K342">
            <v>23923</v>
          </cell>
        </row>
        <row r="343">
          <cell r="A343" t="str">
            <v>In service</v>
          </cell>
          <cell r="B343" t="str">
            <v>Gulfstream Aerospace Gulfstream II</v>
          </cell>
          <cell r="C343" t="str">
            <v>SP</v>
          </cell>
          <cell r="D343">
            <v>1970</v>
          </cell>
          <cell r="E343" t="str">
            <v>Rubin Consulting Group Inc</v>
          </cell>
          <cell r="F343">
            <v>34</v>
          </cell>
          <cell r="G343">
            <v>25609</v>
          </cell>
          <cell r="H343" t="str">
            <v>IISP</v>
          </cell>
          <cell r="I343" t="str">
            <v>North America</v>
          </cell>
          <cell r="J343" t="str">
            <v>USA</v>
          </cell>
          <cell r="K343">
            <v>25019</v>
          </cell>
        </row>
        <row r="344">
          <cell r="A344" t="str">
            <v>In service</v>
          </cell>
          <cell r="B344" t="str">
            <v>Gulfstream Aerospace Gulfstream II</v>
          </cell>
          <cell r="C344" t="str">
            <v>SP</v>
          </cell>
          <cell r="D344">
            <v>1970</v>
          </cell>
          <cell r="E344" t="str">
            <v>Constellation Products Inc</v>
          </cell>
          <cell r="F344">
            <v>34</v>
          </cell>
          <cell r="G344">
            <v>25616</v>
          </cell>
          <cell r="H344" t="str">
            <v>IISP</v>
          </cell>
          <cell r="I344" t="str">
            <v>North America</v>
          </cell>
          <cell r="J344" t="str">
            <v>USA</v>
          </cell>
          <cell r="K344">
            <v>25019</v>
          </cell>
        </row>
        <row r="345">
          <cell r="A345" t="str">
            <v>In service</v>
          </cell>
          <cell r="B345" t="str">
            <v>Gulfstream Aerospace Gulfstream II</v>
          </cell>
          <cell r="C345" t="str">
            <v>SP</v>
          </cell>
          <cell r="D345">
            <v>1970</v>
          </cell>
          <cell r="E345" t="str">
            <v>Centralize Leasing Corp</v>
          </cell>
          <cell r="F345">
            <v>34</v>
          </cell>
          <cell r="G345">
            <v>25640</v>
          </cell>
          <cell r="H345" t="str">
            <v>IISP</v>
          </cell>
          <cell r="I345" t="str">
            <v>North America</v>
          </cell>
          <cell r="J345" t="str">
            <v>USA</v>
          </cell>
          <cell r="K345">
            <v>25019</v>
          </cell>
        </row>
        <row r="346">
          <cell r="A346" t="str">
            <v>In service</v>
          </cell>
          <cell r="B346" t="str">
            <v>Gulfstream Aerospace Gulfstream II</v>
          </cell>
          <cell r="C346" t="str">
            <v>SP</v>
          </cell>
          <cell r="D346">
            <v>1970</v>
          </cell>
          <cell r="E346" t="str">
            <v>Jet Place Inc</v>
          </cell>
          <cell r="F346">
            <v>34</v>
          </cell>
          <cell r="G346">
            <v>25688</v>
          </cell>
          <cell r="H346" t="str">
            <v>IISP</v>
          </cell>
          <cell r="I346" t="str">
            <v>North America</v>
          </cell>
          <cell r="J346" t="str">
            <v>USA</v>
          </cell>
          <cell r="K346">
            <v>25019</v>
          </cell>
        </row>
        <row r="347">
          <cell r="A347" t="str">
            <v>In service</v>
          </cell>
          <cell r="B347" t="str">
            <v>Gulfstream Aerospace Gulfstream II</v>
          </cell>
          <cell r="C347" t="str">
            <v>SP</v>
          </cell>
          <cell r="D347">
            <v>1970</v>
          </cell>
          <cell r="E347" t="str">
            <v>Aero Air LLC</v>
          </cell>
          <cell r="F347">
            <v>34</v>
          </cell>
          <cell r="G347">
            <v>25941</v>
          </cell>
          <cell r="H347" t="str">
            <v>IISP</v>
          </cell>
          <cell r="I347" t="str">
            <v>North America</v>
          </cell>
          <cell r="J347" t="str">
            <v>USA</v>
          </cell>
          <cell r="K347">
            <v>25384</v>
          </cell>
        </row>
        <row r="348">
          <cell r="A348" t="str">
            <v>In service</v>
          </cell>
          <cell r="B348" t="str">
            <v>Gulfstream Aerospace Gulfstream II</v>
          </cell>
          <cell r="C348" t="str">
            <v>SP</v>
          </cell>
          <cell r="D348">
            <v>1970</v>
          </cell>
          <cell r="E348" t="str">
            <v>Triple Diamond Gulfstream LLC</v>
          </cell>
          <cell r="F348">
            <v>34</v>
          </cell>
          <cell r="G348">
            <v>25742</v>
          </cell>
          <cell r="H348" t="str">
            <v>IISP</v>
          </cell>
          <cell r="I348" t="str">
            <v>North America</v>
          </cell>
          <cell r="J348" t="str">
            <v>USA</v>
          </cell>
          <cell r="K348">
            <v>25019</v>
          </cell>
        </row>
        <row r="349">
          <cell r="A349" t="str">
            <v>In service</v>
          </cell>
          <cell r="B349" t="str">
            <v>Gulfstream Aerospace Gulfstream II</v>
          </cell>
          <cell r="C349" t="str">
            <v>SP</v>
          </cell>
          <cell r="D349">
            <v>1970</v>
          </cell>
          <cell r="E349" t="str">
            <v>Avjet Corp</v>
          </cell>
          <cell r="F349">
            <v>34</v>
          </cell>
          <cell r="G349">
            <v>26039</v>
          </cell>
          <cell r="H349" t="str">
            <v>IISP</v>
          </cell>
          <cell r="I349" t="str">
            <v>North America</v>
          </cell>
          <cell r="J349" t="str">
            <v>USA</v>
          </cell>
          <cell r="K349">
            <v>25384</v>
          </cell>
        </row>
        <row r="350">
          <cell r="A350" t="str">
            <v>In service</v>
          </cell>
          <cell r="B350" t="str">
            <v>Gulfstream Aerospace Gulfstream II</v>
          </cell>
          <cell r="C350" t="str">
            <v>SP</v>
          </cell>
          <cell r="D350">
            <v>1970</v>
          </cell>
          <cell r="E350" t="str">
            <v>Spirit of Faith Christian Center</v>
          </cell>
          <cell r="F350">
            <v>34</v>
          </cell>
          <cell r="G350">
            <v>25773</v>
          </cell>
          <cell r="H350" t="str">
            <v>SP</v>
          </cell>
          <cell r="I350" t="str">
            <v>North America</v>
          </cell>
          <cell r="J350" t="str">
            <v>USA</v>
          </cell>
          <cell r="K350">
            <v>25019</v>
          </cell>
        </row>
        <row r="351">
          <cell r="A351" t="str">
            <v>In service</v>
          </cell>
          <cell r="B351" t="str">
            <v>Gulfstream Aerospace Gulfstream II</v>
          </cell>
          <cell r="C351" t="str">
            <v>SP</v>
          </cell>
          <cell r="D351">
            <v>1970</v>
          </cell>
          <cell r="E351" t="str">
            <v>Hollywood Aviation Inc</v>
          </cell>
          <cell r="F351">
            <v>34</v>
          </cell>
          <cell r="G351">
            <v>26088</v>
          </cell>
          <cell r="H351" t="str">
            <v>IISP</v>
          </cell>
          <cell r="I351" t="str">
            <v>North America</v>
          </cell>
          <cell r="J351" t="str">
            <v>USA</v>
          </cell>
          <cell r="K351">
            <v>25749</v>
          </cell>
        </row>
        <row r="352">
          <cell r="A352" t="str">
            <v>In service</v>
          </cell>
          <cell r="B352" t="str">
            <v>Gulfstream Aerospace Gulfstream II</v>
          </cell>
          <cell r="C352" t="str">
            <v>SP</v>
          </cell>
          <cell r="D352">
            <v>1970</v>
          </cell>
          <cell r="E352" t="str">
            <v>Global Jet Shares Inc</v>
          </cell>
          <cell r="F352">
            <v>34</v>
          </cell>
          <cell r="G352">
            <v>26214</v>
          </cell>
          <cell r="H352" t="str">
            <v>IISP</v>
          </cell>
          <cell r="I352" t="str">
            <v>North America</v>
          </cell>
          <cell r="J352" t="str">
            <v>USA</v>
          </cell>
          <cell r="K352">
            <v>25749</v>
          </cell>
        </row>
        <row r="353">
          <cell r="A353" t="str">
            <v>In service</v>
          </cell>
          <cell r="B353" t="str">
            <v>Gulfstream Aerospace Gulfstream II</v>
          </cell>
          <cell r="C353" t="str">
            <v>SP</v>
          </cell>
          <cell r="D353">
            <v>1971</v>
          </cell>
          <cell r="E353" t="str">
            <v>Flightworks</v>
          </cell>
          <cell r="F353">
            <v>33</v>
          </cell>
          <cell r="G353">
            <v>26108</v>
          </cell>
          <cell r="H353" t="str">
            <v>IISP</v>
          </cell>
          <cell r="I353" t="str">
            <v>North America</v>
          </cell>
          <cell r="J353" t="str">
            <v>USA</v>
          </cell>
          <cell r="K353">
            <v>25749</v>
          </cell>
        </row>
        <row r="354">
          <cell r="A354" t="str">
            <v>In service</v>
          </cell>
          <cell r="B354" t="str">
            <v>Gulfstream Aerospace Gulfstream II</v>
          </cell>
          <cell r="C354" t="str">
            <v>Stage III Hushkit</v>
          </cell>
          <cell r="D354">
            <v>1971</v>
          </cell>
          <cell r="E354" t="str">
            <v>Quiet Technology Aerospace Inc</v>
          </cell>
          <cell r="F354">
            <v>33</v>
          </cell>
          <cell r="G354">
            <v>26282</v>
          </cell>
          <cell r="I354" t="str">
            <v>North America</v>
          </cell>
          <cell r="J354" t="str">
            <v>USA</v>
          </cell>
          <cell r="K354">
            <v>25749</v>
          </cell>
        </row>
        <row r="355">
          <cell r="A355" t="str">
            <v>In service</v>
          </cell>
          <cell r="B355" t="str">
            <v>Gulfstream Aerospace Gulfstream II</v>
          </cell>
          <cell r="C355" t="str">
            <v>Stage III Hushkit</v>
          </cell>
          <cell r="D355">
            <v>1975</v>
          </cell>
          <cell r="E355" t="str">
            <v>Antair SA de CV</v>
          </cell>
          <cell r="F355">
            <v>29</v>
          </cell>
          <cell r="G355">
            <v>27505</v>
          </cell>
          <cell r="I355" t="str">
            <v>Latin America and Caribbean</v>
          </cell>
          <cell r="J355" t="str">
            <v>Mexico</v>
          </cell>
          <cell r="K355">
            <v>26845</v>
          </cell>
        </row>
        <row r="356">
          <cell r="A356" t="str">
            <v>In service</v>
          </cell>
          <cell r="B356" t="str">
            <v>Gulfstream Aerospace Gulfstream II</v>
          </cell>
          <cell r="C356" t="str">
            <v>Stage III Hushkit</v>
          </cell>
          <cell r="D356">
            <v>1967</v>
          </cell>
          <cell r="E356" t="str">
            <v>Avstar Jet Charter &amp; Management Services Inc</v>
          </cell>
          <cell r="F356">
            <v>37</v>
          </cell>
          <cell r="G356">
            <v>24866</v>
          </cell>
          <cell r="I356" t="str">
            <v>North America</v>
          </cell>
          <cell r="J356" t="str">
            <v>USA</v>
          </cell>
          <cell r="K356">
            <v>24288</v>
          </cell>
        </row>
        <row r="357">
          <cell r="A357" t="str">
            <v>In service</v>
          </cell>
          <cell r="B357" t="str">
            <v>Gulfstream Aerospace Gulfstream II</v>
          </cell>
          <cell r="C357" t="str">
            <v>Stage III Hushkit</v>
          </cell>
          <cell r="D357">
            <v>1969</v>
          </cell>
          <cell r="E357" t="str">
            <v>AZ3 Inc</v>
          </cell>
          <cell r="F357">
            <v>35</v>
          </cell>
          <cell r="G357">
            <v>25422</v>
          </cell>
          <cell r="I357" t="str">
            <v>North America</v>
          </cell>
          <cell r="J357" t="str">
            <v>USA</v>
          </cell>
          <cell r="K357">
            <v>25019</v>
          </cell>
        </row>
        <row r="358">
          <cell r="A358" t="str">
            <v>In service</v>
          </cell>
          <cell r="B358" t="str">
            <v>Gulfstream Aerospace Gulfstream II</v>
          </cell>
          <cell r="C358" t="str">
            <v>TT</v>
          </cell>
          <cell r="D358">
            <v>1976</v>
          </cell>
          <cell r="E358" t="str">
            <v>Moroccan Ministry of Defence</v>
          </cell>
          <cell r="F358">
            <v>28</v>
          </cell>
          <cell r="G358">
            <v>28228</v>
          </cell>
          <cell r="H358" t="str">
            <v>IITT</v>
          </cell>
          <cell r="I358" t="str">
            <v>Africa</v>
          </cell>
          <cell r="J358" t="str">
            <v>Morocco</v>
          </cell>
        </row>
        <row r="359">
          <cell r="A359" t="str">
            <v>In service</v>
          </cell>
          <cell r="B359" t="str">
            <v>Gulfstream Aerospace Gulfstream II</v>
          </cell>
          <cell r="C359" t="str">
            <v>TT</v>
          </cell>
          <cell r="D359">
            <v>1977</v>
          </cell>
          <cell r="E359" t="str">
            <v>Saudi Arabian Airlines</v>
          </cell>
          <cell r="F359">
            <v>27</v>
          </cell>
          <cell r="G359">
            <v>28477</v>
          </cell>
          <cell r="H359" t="str">
            <v>IITT</v>
          </cell>
          <cell r="I359" t="str">
            <v>Middle East</v>
          </cell>
          <cell r="J359" t="str">
            <v>Saudi Arabia</v>
          </cell>
          <cell r="K359">
            <v>27941</v>
          </cell>
        </row>
        <row r="360">
          <cell r="A360" t="str">
            <v>In service</v>
          </cell>
          <cell r="B360" t="str">
            <v>Gulfstream Aerospace Gulfstream II</v>
          </cell>
          <cell r="C360" t="str">
            <v>TT</v>
          </cell>
          <cell r="D360">
            <v>1977</v>
          </cell>
          <cell r="E360" t="str">
            <v>Government of Bahrain</v>
          </cell>
          <cell r="F360">
            <v>27</v>
          </cell>
          <cell r="G360">
            <v>28529</v>
          </cell>
          <cell r="H360" t="str">
            <v>IITT</v>
          </cell>
          <cell r="I360" t="str">
            <v>Middle East</v>
          </cell>
          <cell r="J360" t="str">
            <v>Bahrain</v>
          </cell>
          <cell r="K360">
            <v>27941</v>
          </cell>
        </row>
        <row r="361">
          <cell r="A361" t="str">
            <v>In service</v>
          </cell>
          <cell r="B361" t="str">
            <v>Gulfstream Aerospace Gulfstream II</v>
          </cell>
          <cell r="C361" t="str">
            <v>TT</v>
          </cell>
          <cell r="D361">
            <v>1977</v>
          </cell>
          <cell r="E361" t="str">
            <v>Saudi Arabian Airlines</v>
          </cell>
          <cell r="F361">
            <v>27</v>
          </cell>
          <cell r="G361">
            <v>28487</v>
          </cell>
          <cell r="H361" t="str">
            <v>IITT</v>
          </cell>
          <cell r="I361" t="str">
            <v>Middle East</v>
          </cell>
          <cell r="J361" t="str">
            <v>Saudi Arabia</v>
          </cell>
          <cell r="K361">
            <v>27941</v>
          </cell>
        </row>
        <row r="362">
          <cell r="A362" t="str">
            <v>In service</v>
          </cell>
          <cell r="B362" t="str">
            <v>Gulfstream Aerospace Gulfstream II</v>
          </cell>
          <cell r="C362" t="str">
            <v>TT</v>
          </cell>
          <cell r="D362">
            <v>1977</v>
          </cell>
          <cell r="E362" t="str">
            <v>Lear 35 LLC</v>
          </cell>
          <cell r="F362">
            <v>27</v>
          </cell>
          <cell r="G362">
            <v>28625</v>
          </cell>
          <cell r="H362" t="str">
            <v>IITT</v>
          </cell>
          <cell r="I362" t="str">
            <v>North America</v>
          </cell>
          <cell r="J362" t="str">
            <v>USA</v>
          </cell>
          <cell r="K362">
            <v>27941</v>
          </cell>
        </row>
        <row r="363">
          <cell r="A363" t="str">
            <v>In service</v>
          </cell>
          <cell r="B363" t="str">
            <v>Gulfstream Aerospace Gulfstream II</v>
          </cell>
          <cell r="C363" t="str">
            <v>TT</v>
          </cell>
          <cell r="D363">
            <v>1978</v>
          </cell>
          <cell r="E363" t="str">
            <v>Harth Trading Establishment</v>
          </cell>
          <cell r="F363">
            <v>26</v>
          </cell>
          <cell r="G363">
            <v>28536</v>
          </cell>
          <cell r="H363" t="str">
            <v>IITT</v>
          </cell>
          <cell r="I363" t="str">
            <v>Middle East</v>
          </cell>
          <cell r="J363" t="str">
            <v>Saudi Arabia</v>
          </cell>
          <cell r="K363">
            <v>28306</v>
          </cell>
        </row>
        <row r="364">
          <cell r="A364" t="str">
            <v>In service</v>
          </cell>
          <cell r="B364" t="str">
            <v>Gulfstream Aerospace Gulfstream II</v>
          </cell>
          <cell r="C364" t="str">
            <v>TT</v>
          </cell>
          <cell r="D364">
            <v>1978</v>
          </cell>
          <cell r="E364" t="str">
            <v>PAM Aviation LLC</v>
          </cell>
          <cell r="F364">
            <v>26</v>
          </cell>
          <cell r="G364">
            <v>28778</v>
          </cell>
          <cell r="H364" t="str">
            <v>IITT</v>
          </cell>
          <cell r="I364" t="str">
            <v>North America</v>
          </cell>
          <cell r="J364" t="str">
            <v>USA</v>
          </cell>
          <cell r="K364">
            <v>27941</v>
          </cell>
        </row>
        <row r="365">
          <cell r="A365" t="str">
            <v>In service</v>
          </cell>
          <cell r="B365" t="str">
            <v>Gulfstream Aerospace Gulfstream II</v>
          </cell>
          <cell r="C365" t="str">
            <v>TT</v>
          </cell>
          <cell r="D365">
            <v>1978</v>
          </cell>
          <cell r="E365" t="str">
            <v>Jet-A-Way Charter LLC</v>
          </cell>
          <cell r="F365">
            <v>26</v>
          </cell>
          <cell r="G365">
            <v>28829</v>
          </cell>
          <cell r="H365" t="str">
            <v>IITT</v>
          </cell>
          <cell r="I365" t="str">
            <v>North America</v>
          </cell>
          <cell r="J365" t="str">
            <v>USA</v>
          </cell>
          <cell r="K365">
            <v>27941</v>
          </cell>
        </row>
        <row r="366">
          <cell r="A366" t="str">
            <v>In service</v>
          </cell>
          <cell r="B366" t="str">
            <v>Gulfstream Aerospace Gulfstream II</v>
          </cell>
          <cell r="C366" t="str">
            <v>TT</v>
          </cell>
          <cell r="D366">
            <v>1978</v>
          </cell>
          <cell r="E366" t="str">
            <v>R&amp;G Aviation LLC</v>
          </cell>
          <cell r="F366">
            <v>26</v>
          </cell>
          <cell r="G366">
            <v>29105</v>
          </cell>
          <cell r="H366" t="str">
            <v>IITT</v>
          </cell>
          <cell r="I366" t="str">
            <v>North America</v>
          </cell>
          <cell r="J366" t="str">
            <v>USA</v>
          </cell>
          <cell r="K366">
            <v>28671</v>
          </cell>
        </row>
        <row r="367">
          <cell r="A367" t="str">
            <v>In service</v>
          </cell>
          <cell r="B367" t="str">
            <v>Gulfstream Aerospace Gulfstream II</v>
          </cell>
          <cell r="C367" t="str">
            <v>TT</v>
          </cell>
          <cell r="D367">
            <v>1978</v>
          </cell>
          <cell r="E367" t="str">
            <v>Newcastle Corp</v>
          </cell>
          <cell r="F367">
            <v>26</v>
          </cell>
          <cell r="G367">
            <v>28843</v>
          </cell>
          <cell r="H367" t="str">
            <v>IITT</v>
          </cell>
          <cell r="I367" t="str">
            <v>North America</v>
          </cell>
          <cell r="J367" t="str">
            <v>USA</v>
          </cell>
          <cell r="K367">
            <v>28306</v>
          </cell>
        </row>
        <row r="368">
          <cell r="A368" t="str">
            <v>In service</v>
          </cell>
          <cell r="B368" t="str">
            <v>Gulfstream Aerospace Gulfstream II</v>
          </cell>
          <cell r="C368" t="str">
            <v>TT</v>
          </cell>
          <cell r="D368">
            <v>1979</v>
          </cell>
          <cell r="E368" t="str">
            <v>Charles Robert Palmer</v>
          </cell>
          <cell r="F368">
            <v>25</v>
          </cell>
          <cell r="G368">
            <v>28901</v>
          </cell>
          <cell r="H368" t="str">
            <v>IITT</v>
          </cell>
          <cell r="I368" t="str">
            <v>North America</v>
          </cell>
          <cell r="J368" t="str">
            <v>USA</v>
          </cell>
          <cell r="K368">
            <v>28306</v>
          </cell>
        </row>
        <row r="369">
          <cell r="A369" t="str">
            <v>In service</v>
          </cell>
          <cell r="B369" t="str">
            <v>Gulfstream Aerospace Gulfstream II</v>
          </cell>
          <cell r="C369" t="str">
            <v>TT</v>
          </cell>
          <cell r="D369">
            <v>1979</v>
          </cell>
          <cell r="E369" t="str">
            <v>Saudi Arabian Airlines</v>
          </cell>
          <cell r="F369">
            <v>25</v>
          </cell>
          <cell r="G369">
            <v>29246</v>
          </cell>
          <cell r="H369" t="str">
            <v>IITT</v>
          </cell>
          <cell r="I369" t="str">
            <v>Middle East</v>
          </cell>
          <cell r="J369" t="str">
            <v>Saudi Arabia</v>
          </cell>
          <cell r="K369">
            <v>29036</v>
          </cell>
        </row>
        <row r="370">
          <cell r="A370" t="str">
            <v>In service</v>
          </cell>
          <cell r="B370" t="str">
            <v>Gulfstream Aerospace Gulfstream II</v>
          </cell>
          <cell r="C370" t="str">
            <v>TT</v>
          </cell>
          <cell r="D370">
            <v>1979</v>
          </cell>
          <cell r="E370" t="str">
            <v>Geneva International Ltd</v>
          </cell>
          <cell r="F370">
            <v>25</v>
          </cell>
          <cell r="G370">
            <v>29181</v>
          </cell>
          <cell r="H370" t="str">
            <v>IITT</v>
          </cell>
          <cell r="I370" t="str">
            <v>North America</v>
          </cell>
          <cell r="J370" t="str">
            <v>USA</v>
          </cell>
          <cell r="K370">
            <v>28671</v>
          </cell>
        </row>
        <row r="371">
          <cell r="A371" t="str">
            <v>In service</v>
          </cell>
          <cell r="B371" t="str">
            <v>Gulfstream Aerospace Gulfstream II</v>
          </cell>
          <cell r="C371" t="str">
            <v>TT</v>
          </cell>
          <cell r="D371">
            <v>1979</v>
          </cell>
          <cell r="E371" t="str">
            <v>Share Force Two LLC</v>
          </cell>
          <cell r="F371">
            <v>25</v>
          </cell>
          <cell r="G371">
            <v>29174</v>
          </cell>
          <cell r="H371" t="str">
            <v>IITT</v>
          </cell>
          <cell r="I371" t="str">
            <v>North America</v>
          </cell>
          <cell r="J371" t="str">
            <v>USA</v>
          </cell>
          <cell r="K371">
            <v>28306</v>
          </cell>
        </row>
        <row r="372">
          <cell r="A372" t="str">
            <v>In service</v>
          </cell>
          <cell r="B372" t="str">
            <v>Gulfstream Aerospace Gulfstream III</v>
          </cell>
          <cell r="C372" t="str">
            <v xml:space="preserve"> </v>
          </cell>
          <cell r="D372">
            <v>1979</v>
          </cell>
          <cell r="E372" t="str">
            <v>247LG LLC</v>
          </cell>
          <cell r="F372">
            <v>25</v>
          </cell>
          <cell r="G372">
            <v>29216</v>
          </cell>
          <cell r="I372" t="str">
            <v>North America</v>
          </cell>
          <cell r="J372" t="str">
            <v>USA</v>
          </cell>
          <cell r="K372">
            <v>28671</v>
          </cell>
        </row>
        <row r="373">
          <cell r="A373" t="str">
            <v>In service</v>
          </cell>
          <cell r="B373" t="str">
            <v>Gulfstream Aerospace Gulfstream III</v>
          </cell>
          <cell r="C373" t="str">
            <v xml:space="preserve"> </v>
          </cell>
          <cell r="D373">
            <v>1980</v>
          </cell>
          <cell r="E373" t="str">
            <v>B H G Flights LLC</v>
          </cell>
          <cell r="F373">
            <v>24</v>
          </cell>
          <cell r="G373">
            <v>29591</v>
          </cell>
          <cell r="I373" t="str">
            <v>North America</v>
          </cell>
          <cell r="J373" t="str">
            <v>USA</v>
          </cell>
          <cell r="K373">
            <v>29036</v>
          </cell>
        </row>
        <row r="374">
          <cell r="A374" t="str">
            <v>In service</v>
          </cell>
          <cell r="B374" t="str">
            <v>Gulfstream Aerospace Gulfstream III</v>
          </cell>
          <cell r="C374" t="str">
            <v xml:space="preserve"> </v>
          </cell>
          <cell r="D374">
            <v>1980</v>
          </cell>
          <cell r="E374" t="str">
            <v>Regal Aviation LLC</v>
          </cell>
          <cell r="F374">
            <v>24</v>
          </cell>
          <cell r="G374">
            <v>29462</v>
          </cell>
          <cell r="I374" t="str">
            <v>North America</v>
          </cell>
          <cell r="J374" t="str">
            <v>USA</v>
          </cell>
          <cell r="K374">
            <v>29036</v>
          </cell>
        </row>
        <row r="375">
          <cell r="A375" t="str">
            <v>In service</v>
          </cell>
          <cell r="B375" t="str">
            <v>Gulfstream Aerospace Gulfstream III</v>
          </cell>
          <cell r="C375" t="str">
            <v xml:space="preserve"> </v>
          </cell>
          <cell r="D375">
            <v>1980</v>
          </cell>
          <cell r="E375" t="str">
            <v>S T Aviation LLC</v>
          </cell>
          <cell r="F375">
            <v>24</v>
          </cell>
          <cell r="G375">
            <v>29361</v>
          </cell>
          <cell r="I375" t="str">
            <v>North America</v>
          </cell>
          <cell r="J375" t="str">
            <v>USA</v>
          </cell>
          <cell r="K375">
            <v>29036</v>
          </cell>
        </row>
        <row r="376">
          <cell r="A376" t="str">
            <v>In service</v>
          </cell>
          <cell r="B376" t="str">
            <v>Gulfstream Aerospace Gulfstream III</v>
          </cell>
          <cell r="C376" t="str">
            <v xml:space="preserve"> </v>
          </cell>
          <cell r="D376">
            <v>1980</v>
          </cell>
          <cell r="E376" t="str">
            <v>Nomad Transportation LLC</v>
          </cell>
          <cell r="F376">
            <v>24</v>
          </cell>
          <cell r="G376">
            <v>29395</v>
          </cell>
          <cell r="I376" t="str">
            <v>North America</v>
          </cell>
          <cell r="J376" t="str">
            <v>USA</v>
          </cell>
          <cell r="K376">
            <v>28671</v>
          </cell>
        </row>
        <row r="377">
          <cell r="A377" t="str">
            <v>In service</v>
          </cell>
          <cell r="B377" t="str">
            <v>Gulfstream Aerospace Gulfstream III</v>
          </cell>
          <cell r="C377" t="str">
            <v xml:space="preserve"> </v>
          </cell>
          <cell r="D377">
            <v>1980</v>
          </cell>
          <cell r="E377" t="str">
            <v>Homedics Inc</v>
          </cell>
          <cell r="F377">
            <v>24</v>
          </cell>
          <cell r="G377">
            <v>29438</v>
          </cell>
          <cell r="I377" t="str">
            <v>North America</v>
          </cell>
          <cell r="J377" t="str">
            <v>USA</v>
          </cell>
          <cell r="K377">
            <v>28671</v>
          </cell>
        </row>
        <row r="378">
          <cell r="A378" t="str">
            <v>In service</v>
          </cell>
          <cell r="B378" t="str">
            <v>Gulfstream Aerospace Gulfstream III</v>
          </cell>
          <cell r="C378" t="str">
            <v xml:space="preserve"> </v>
          </cell>
          <cell r="D378">
            <v>1980</v>
          </cell>
          <cell r="E378" t="str">
            <v>Falconcrest Aviation LLC</v>
          </cell>
          <cell r="F378">
            <v>24</v>
          </cell>
          <cell r="G378">
            <v>29451</v>
          </cell>
          <cell r="I378" t="str">
            <v>North America</v>
          </cell>
          <cell r="J378" t="str">
            <v>USA</v>
          </cell>
          <cell r="K378">
            <v>28671</v>
          </cell>
        </row>
        <row r="379">
          <cell r="A379" t="str">
            <v>In service</v>
          </cell>
          <cell r="B379" t="str">
            <v>Gulfstream Aerospace Gulfstream III</v>
          </cell>
          <cell r="C379" t="str">
            <v xml:space="preserve"> </v>
          </cell>
          <cell r="D379">
            <v>1980</v>
          </cell>
          <cell r="E379" t="str">
            <v>Corporate Flight Inc</v>
          </cell>
          <cell r="F379">
            <v>24</v>
          </cell>
          <cell r="G379">
            <v>29437</v>
          </cell>
          <cell r="I379" t="str">
            <v>North America</v>
          </cell>
          <cell r="J379" t="str">
            <v>USA</v>
          </cell>
          <cell r="K379">
            <v>28671</v>
          </cell>
        </row>
        <row r="380">
          <cell r="A380" t="str">
            <v>In service</v>
          </cell>
          <cell r="B380" t="str">
            <v>Gulfstream Aerospace Gulfstream III</v>
          </cell>
          <cell r="C380" t="str">
            <v xml:space="preserve"> </v>
          </cell>
          <cell r="D380">
            <v>1980</v>
          </cell>
          <cell r="E380" t="str">
            <v>NASA</v>
          </cell>
          <cell r="F380">
            <v>24</v>
          </cell>
          <cell r="G380">
            <v>29481</v>
          </cell>
          <cell r="I380" t="str">
            <v>North America</v>
          </cell>
          <cell r="J380" t="str">
            <v>USA</v>
          </cell>
          <cell r="K380">
            <v>28671</v>
          </cell>
        </row>
        <row r="381">
          <cell r="A381" t="str">
            <v>In service</v>
          </cell>
          <cell r="B381" t="str">
            <v>Gulfstream Aerospace Gulfstream III</v>
          </cell>
          <cell r="C381" t="str">
            <v xml:space="preserve"> </v>
          </cell>
          <cell r="D381">
            <v>1980</v>
          </cell>
          <cell r="E381" t="str">
            <v>Water Over Mountains Holdings LLC</v>
          </cell>
          <cell r="F381">
            <v>24</v>
          </cell>
          <cell r="G381">
            <v>29459</v>
          </cell>
          <cell r="I381" t="str">
            <v>North America</v>
          </cell>
          <cell r="J381" t="str">
            <v>USA</v>
          </cell>
          <cell r="K381">
            <v>28671</v>
          </cell>
        </row>
        <row r="382">
          <cell r="A382" t="str">
            <v>In service</v>
          </cell>
          <cell r="B382" t="str">
            <v>Gulfstream Aerospace Gulfstream III</v>
          </cell>
          <cell r="C382" t="str">
            <v xml:space="preserve"> </v>
          </cell>
          <cell r="D382">
            <v>1980</v>
          </cell>
          <cell r="E382" t="str">
            <v>DAZ LLC &amp; Cove Partners LLC</v>
          </cell>
          <cell r="F382">
            <v>24</v>
          </cell>
          <cell r="G382">
            <v>29497</v>
          </cell>
          <cell r="I382" t="str">
            <v>North America</v>
          </cell>
          <cell r="J382" t="str">
            <v>USA</v>
          </cell>
          <cell r="K382">
            <v>28306</v>
          </cell>
        </row>
        <row r="383">
          <cell r="A383" t="str">
            <v>In service</v>
          </cell>
          <cell r="B383" t="str">
            <v>Gulfstream Aerospace Gulfstream III</v>
          </cell>
          <cell r="C383" t="str">
            <v xml:space="preserve"> </v>
          </cell>
          <cell r="D383">
            <v>1980</v>
          </cell>
          <cell r="E383" t="str">
            <v>Unconfirmed Mexican Operator</v>
          </cell>
          <cell r="F383">
            <v>24</v>
          </cell>
          <cell r="G383">
            <v>29514</v>
          </cell>
          <cell r="I383" t="str">
            <v>Latin America and Caribbean</v>
          </cell>
          <cell r="J383" t="str">
            <v>Mexico</v>
          </cell>
          <cell r="K383">
            <v>28306</v>
          </cell>
        </row>
        <row r="384">
          <cell r="A384" t="str">
            <v>In service</v>
          </cell>
          <cell r="B384" t="str">
            <v>Gulfstream Aerospace Gulfstream III</v>
          </cell>
          <cell r="C384" t="str">
            <v xml:space="preserve"> </v>
          </cell>
          <cell r="D384">
            <v>1980</v>
          </cell>
          <cell r="E384" t="str">
            <v>Hambrick Corp</v>
          </cell>
          <cell r="F384">
            <v>24</v>
          </cell>
          <cell r="G384">
            <v>29570</v>
          </cell>
          <cell r="I384" t="str">
            <v>North America</v>
          </cell>
          <cell r="J384" t="str">
            <v>USA</v>
          </cell>
          <cell r="K384">
            <v>29036</v>
          </cell>
        </row>
        <row r="385">
          <cell r="A385" t="str">
            <v>In service</v>
          </cell>
          <cell r="B385" t="str">
            <v>Gulfstream Aerospace Gulfstream III</v>
          </cell>
          <cell r="C385" t="str">
            <v xml:space="preserve"> </v>
          </cell>
          <cell r="D385">
            <v>1980</v>
          </cell>
          <cell r="E385" t="str">
            <v>Flight Stream LLC</v>
          </cell>
          <cell r="F385">
            <v>24</v>
          </cell>
          <cell r="G385">
            <v>29571</v>
          </cell>
          <cell r="I385" t="str">
            <v>North America</v>
          </cell>
          <cell r="J385" t="str">
            <v>USA</v>
          </cell>
          <cell r="K385">
            <v>28671</v>
          </cell>
        </row>
        <row r="386">
          <cell r="A386" t="str">
            <v>In service</v>
          </cell>
          <cell r="B386" t="str">
            <v>Gulfstream Aerospace Gulfstream III</v>
          </cell>
          <cell r="C386" t="str">
            <v xml:space="preserve"> </v>
          </cell>
          <cell r="D386">
            <v>1980</v>
          </cell>
          <cell r="E386" t="str">
            <v>Universal Jet Aviation</v>
          </cell>
          <cell r="F386">
            <v>24</v>
          </cell>
          <cell r="G386">
            <v>29573</v>
          </cell>
          <cell r="I386" t="str">
            <v>North America</v>
          </cell>
          <cell r="J386" t="str">
            <v>USA</v>
          </cell>
          <cell r="K386">
            <v>28671</v>
          </cell>
        </row>
        <row r="387">
          <cell r="A387" t="str">
            <v>In service</v>
          </cell>
          <cell r="B387" t="str">
            <v>Gulfstream Aerospace Gulfstream III</v>
          </cell>
          <cell r="C387" t="str">
            <v xml:space="preserve"> </v>
          </cell>
          <cell r="D387">
            <v>1980</v>
          </cell>
          <cell r="E387" t="str">
            <v>Dallah Avco</v>
          </cell>
          <cell r="F387">
            <v>24</v>
          </cell>
          <cell r="G387">
            <v>29578</v>
          </cell>
          <cell r="I387" t="str">
            <v>Middle East</v>
          </cell>
          <cell r="J387" t="str">
            <v>Saudi Arabia</v>
          </cell>
          <cell r="K387">
            <v>28671</v>
          </cell>
        </row>
        <row r="388">
          <cell r="A388" t="str">
            <v>In service</v>
          </cell>
          <cell r="B388" t="str">
            <v>Gulfstream Aerospace Gulfstream III</v>
          </cell>
          <cell r="C388" t="str">
            <v xml:space="preserve"> </v>
          </cell>
          <cell r="D388">
            <v>1980</v>
          </cell>
          <cell r="E388" t="str">
            <v>Avjet Corp</v>
          </cell>
          <cell r="F388">
            <v>24</v>
          </cell>
          <cell r="G388">
            <v>29578</v>
          </cell>
          <cell r="I388" t="str">
            <v>North America</v>
          </cell>
          <cell r="J388" t="str">
            <v>USA</v>
          </cell>
          <cell r="K388">
            <v>28671</v>
          </cell>
        </row>
        <row r="389">
          <cell r="A389" t="str">
            <v>In service</v>
          </cell>
          <cell r="B389" t="str">
            <v>Gulfstream Aerospace Gulfstream III</v>
          </cell>
          <cell r="C389" t="str">
            <v xml:space="preserve"> </v>
          </cell>
          <cell r="D389">
            <v>1981</v>
          </cell>
          <cell r="E389" t="str">
            <v>SK Travel LLC</v>
          </cell>
          <cell r="F389">
            <v>23</v>
          </cell>
          <cell r="G389">
            <v>29620</v>
          </cell>
          <cell r="I389" t="str">
            <v>North America</v>
          </cell>
          <cell r="J389" t="str">
            <v>USA</v>
          </cell>
          <cell r="K389">
            <v>29402</v>
          </cell>
        </row>
        <row r="390">
          <cell r="A390" t="str">
            <v>In service</v>
          </cell>
          <cell r="B390" t="str">
            <v>Gulfstream Aerospace Gulfstream III</v>
          </cell>
          <cell r="C390" t="str">
            <v xml:space="preserve"> </v>
          </cell>
          <cell r="D390">
            <v>1981</v>
          </cell>
          <cell r="E390" t="str">
            <v>Blue Skies Aircraft Holdings LLC</v>
          </cell>
          <cell r="F390">
            <v>23</v>
          </cell>
          <cell r="G390">
            <v>29649</v>
          </cell>
          <cell r="I390" t="str">
            <v>North America</v>
          </cell>
          <cell r="J390" t="str">
            <v>USA</v>
          </cell>
          <cell r="K390">
            <v>29036</v>
          </cell>
        </row>
        <row r="391">
          <cell r="A391" t="str">
            <v>In service</v>
          </cell>
          <cell r="B391" t="str">
            <v>Gulfstream Aerospace Gulfstream III</v>
          </cell>
          <cell r="C391" t="str">
            <v xml:space="preserve"> </v>
          </cell>
          <cell r="D391">
            <v>1981</v>
          </cell>
          <cell r="E391" t="str">
            <v>SPW LLC</v>
          </cell>
          <cell r="F391">
            <v>23</v>
          </cell>
          <cell r="G391">
            <v>29668</v>
          </cell>
          <cell r="I391" t="str">
            <v>North America</v>
          </cell>
          <cell r="J391" t="str">
            <v>USA</v>
          </cell>
          <cell r="K391">
            <v>29036</v>
          </cell>
        </row>
        <row r="392">
          <cell r="A392" t="str">
            <v>In service</v>
          </cell>
          <cell r="B392" t="str">
            <v>Gulfstream Aerospace Gulfstream III</v>
          </cell>
          <cell r="C392" t="str">
            <v xml:space="preserve"> </v>
          </cell>
          <cell r="D392">
            <v>1981</v>
          </cell>
          <cell r="E392" t="str">
            <v>Tropical Development LLC</v>
          </cell>
          <cell r="F392">
            <v>23</v>
          </cell>
          <cell r="G392">
            <v>29685</v>
          </cell>
          <cell r="I392" t="str">
            <v>North America</v>
          </cell>
          <cell r="J392" t="str">
            <v>USA</v>
          </cell>
          <cell r="K392">
            <v>29402</v>
          </cell>
        </row>
        <row r="393">
          <cell r="A393" t="str">
            <v>In service</v>
          </cell>
          <cell r="B393" t="str">
            <v>Gulfstream Aerospace Gulfstream III</v>
          </cell>
          <cell r="C393" t="str">
            <v xml:space="preserve"> </v>
          </cell>
          <cell r="D393">
            <v>1981</v>
          </cell>
          <cell r="E393" t="str">
            <v>Servair SA de CV</v>
          </cell>
          <cell r="F393">
            <v>23</v>
          </cell>
          <cell r="G393">
            <v>29710</v>
          </cell>
          <cell r="I393" t="str">
            <v>Latin America and Caribbean</v>
          </cell>
          <cell r="J393" t="str">
            <v>Mexico</v>
          </cell>
          <cell r="K393">
            <v>29036</v>
          </cell>
        </row>
        <row r="394">
          <cell r="A394" t="str">
            <v>In service</v>
          </cell>
          <cell r="B394" t="str">
            <v>Gulfstream Aerospace Gulfstream III</v>
          </cell>
          <cell r="C394" t="str">
            <v xml:space="preserve"> </v>
          </cell>
          <cell r="D394">
            <v>1981</v>
          </cell>
          <cell r="E394" t="str">
            <v>Cityair LLC</v>
          </cell>
          <cell r="F394">
            <v>23</v>
          </cell>
          <cell r="G394">
            <v>29730</v>
          </cell>
          <cell r="I394" t="str">
            <v>North America</v>
          </cell>
          <cell r="J394" t="str">
            <v>USA</v>
          </cell>
          <cell r="K394">
            <v>28306</v>
          </cell>
        </row>
        <row r="395">
          <cell r="A395" t="str">
            <v>In service</v>
          </cell>
          <cell r="B395" t="str">
            <v>Gulfstream Aerospace Gulfstream III</v>
          </cell>
          <cell r="C395" t="str">
            <v xml:space="preserve"> </v>
          </cell>
          <cell r="D395">
            <v>1981</v>
          </cell>
          <cell r="E395" t="str">
            <v>Northeastern Aviation Corp</v>
          </cell>
          <cell r="F395">
            <v>23</v>
          </cell>
          <cell r="G395">
            <v>29715</v>
          </cell>
          <cell r="I395" t="str">
            <v>North America</v>
          </cell>
          <cell r="J395" t="str">
            <v>USA</v>
          </cell>
          <cell r="K395">
            <v>29036</v>
          </cell>
        </row>
        <row r="396">
          <cell r="A396" t="str">
            <v>In service</v>
          </cell>
          <cell r="B396" t="str">
            <v>Gulfstream Aerospace Gulfstream III</v>
          </cell>
          <cell r="C396" t="str">
            <v xml:space="preserve"> </v>
          </cell>
          <cell r="D396">
            <v>1981</v>
          </cell>
          <cell r="E396" t="str">
            <v>James A McMahan</v>
          </cell>
          <cell r="F396">
            <v>23</v>
          </cell>
          <cell r="G396">
            <v>29724</v>
          </cell>
          <cell r="I396" t="str">
            <v>North America</v>
          </cell>
          <cell r="J396" t="str">
            <v>USA</v>
          </cell>
          <cell r="K396">
            <v>29036</v>
          </cell>
        </row>
        <row r="397">
          <cell r="A397" t="str">
            <v>In service</v>
          </cell>
          <cell r="B397" t="str">
            <v>Gulfstream Aerospace Gulfstream III</v>
          </cell>
          <cell r="C397" t="str">
            <v xml:space="preserve"> </v>
          </cell>
          <cell r="D397">
            <v>1981</v>
          </cell>
          <cell r="E397" t="str">
            <v>S&amp;K Aviation LLC</v>
          </cell>
          <cell r="F397">
            <v>23</v>
          </cell>
          <cell r="G397">
            <v>29769</v>
          </cell>
          <cell r="I397" t="str">
            <v>North America</v>
          </cell>
          <cell r="J397" t="str">
            <v>USA</v>
          </cell>
          <cell r="K397">
            <v>29036</v>
          </cell>
        </row>
        <row r="398">
          <cell r="A398" t="str">
            <v>In service</v>
          </cell>
          <cell r="B398" t="str">
            <v>Gulfstream Aerospace Gulfstream III</v>
          </cell>
          <cell r="C398" t="str">
            <v xml:space="preserve"> </v>
          </cell>
          <cell r="D398">
            <v>1981</v>
          </cell>
          <cell r="E398" t="str">
            <v>Martin Aviation</v>
          </cell>
          <cell r="F398">
            <v>23</v>
          </cell>
          <cell r="G398">
            <v>29781</v>
          </cell>
          <cell r="I398" t="str">
            <v>North America</v>
          </cell>
          <cell r="J398" t="str">
            <v>USA</v>
          </cell>
          <cell r="K398">
            <v>29036</v>
          </cell>
        </row>
        <row r="399">
          <cell r="A399" t="str">
            <v>In service</v>
          </cell>
          <cell r="B399" t="str">
            <v>Gulfstream Aerospace Gulfstream III</v>
          </cell>
          <cell r="C399" t="str">
            <v xml:space="preserve"> </v>
          </cell>
          <cell r="D399">
            <v>1981</v>
          </cell>
          <cell r="E399" t="str">
            <v>CFW LLC</v>
          </cell>
          <cell r="F399">
            <v>23</v>
          </cell>
          <cell r="G399">
            <v>29773</v>
          </cell>
          <cell r="I399" t="str">
            <v>North America</v>
          </cell>
          <cell r="J399" t="str">
            <v>USA</v>
          </cell>
          <cell r="K399">
            <v>29036</v>
          </cell>
        </row>
        <row r="400">
          <cell r="A400" t="str">
            <v>In service</v>
          </cell>
          <cell r="B400" t="str">
            <v>Gulfstream Aerospace Gulfstream III</v>
          </cell>
          <cell r="C400" t="str">
            <v xml:space="preserve"> </v>
          </cell>
          <cell r="D400">
            <v>1981</v>
          </cell>
          <cell r="E400" t="str">
            <v>Royal Commission for Jubail &amp; Yanbu</v>
          </cell>
          <cell r="F400">
            <v>23</v>
          </cell>
          <cell r="G400">
            <v>29826</v>
          </cell>
          <cell r="I400" t="str">
            <v>Middle East</v>
          </cell>
          <cell r="J400" t="str">
            <v>Saudi Arabia</v>
          </cell>
          <cell r="K400">
            <v>29036</v>
          </cell>
        </row>
        <row r="401">
          <cell r="A401" t="str">
            <v>In service</v>
          </cell>
          <cell r="B401" t="str">
            <v>Gulfstream Aerospace Gulfstream III</v>
          </cell>
          <cell r="C401" t="str">
            <v xml:space="preserve"> </v>
          </cell>
          <cell r="D401">
            <v>1981</v>
          </cell>
          <cell r="E401" t="str">
            <v>Ramsey Asset Management LLC</v>
          </cell>
          <cell r="F401">
            <v>23</v>
          </cell>
          <cell r="G401">
            <v>29837</v>
          </cell>
          <cell r="I401" t="str">
            <v>North America</v>
          </cell>
          <cell r="J401" t="str">
            <v>USA</v>
          </cell>
          <cell r="K401">
            <v>29036</v>
          </cell>
        </row>
        <row r="402">
          <cell r="A402" t="str">
            <v>In service</v>
          </cell>
          <cell r="B402" t="str">
            <v>Gulfstream Aerospace Gulfstream III</v>
          </cell>
          <cell r="C402" t="str">
            <v xml:space="preserve"> </v>
          </cell>
          <cell r="D402">
            <v>1981</v>
          </cell>
          <cell r="E402" t="str">
            <v>CCBCC Operations LLC</v>
          </cell>
          <cell r="F402">
            <v>23</v>
          </cell>
          <cell r="G402">
            <v>29859</v>
          </cell>
          <cell r="I402" t="str">
            <v>North America</v>
          </cell>
          <cell r="J402" t="str">
            <v>USA</v>
          </cell>
          <cell r="K402">
            <v>29036</v>
          </cell>
        </row>
        <row r="403">
          <cell r="A403" t="str">
            <v>In service</v>
          </cell>
          <cell r="B403" t="str">
            <v>Gulfstream Aerospace Gulfstream III</v>
          </cell>
          <cell r="C403" t="str">
            <v xml:space="preserve"> </v>
          </cell>
          <cell r="D403">
            <v>1981</v>
          </cell>
          <cell r="E403" t="str">
            <v>The Air Group Inc</v>
          </cell>
          <cell r="F403">
            <v>23</v>
          </cell>
          <cell r="G403">
            <v>29868</v>
          </cell>
          <cell r="I403" t="str">
            <v>North America</v>
          </cell>
          <cell r="J403" t="str">
            <v>USA</v>
          </cell>
          <cell r="K403">
            <v>29402</v>
          </cell>
        </row>
        <row r="404">
          <cell r="A404" t="str">
            <v>In service</v>
          </cell>
          <cell r="B404" t="str">
            <v>Gulfstream Aerospace Gulfstream III</v>
          </cell>
          <cell r="C404" t="str">
            <v xml:space="preserve"> </v>
          </cell>
          <cell r="D404">
            <v>1981</v>
          </cell>
          <cell r="E404" t="str">
            <v>ITT Flight Operations Inc</v>
          </cell>
          <cell r="F404">
            <v>23</v>
          </cell>
          <cell r="G404">
            <v>29896</v>
          </cell>
          <cell r="I404" t="str">
            <v>North America</v>
          </cell>
          <cell r="J404" t="str">
            <v>USA</v>
          </cell>
          <cell r="K404">
            <v>29036</v>
          </cell>
        </row>
        <row r="405">
          <cell r="A405" t="str">
            <v>In service</v>
          </cell>
          <cell r="B405" t="str">
            <v>Gulfstream Aerospace Gulfstream III</v>
          </cell>
          <cell r="C405" t="str">
            <v xml:space="preserve"> </v>
          </cell>
          <cell r="D405">
            <v>1981</v>
          </cell>
          <cell r="E405" t="str">
            <v>DX Service Co Inc &amp; DX Aviation Inc</v>
          </cell>
          <cell r="F405">
            <v>23</v>
          </cell>
          <cell r="G405">
            <v>29889</v>
          </cell>
          <cell r="I405" t="str">
            <v>North America</v>
          </cell>
          <cell r="J405" t="str">
            <v>USA</v>
          </cell>
          <cell r="K405">
            <v>29036</v>
          </cell>
        </row>
        <row r="406">
          <cell r="A406" t="str">
            <v>In service</v>
          </cell>
          <cell r="B406" t="str">
            <v>Gulfstream Aerospace Gulfstream III</v>
          </cell>
          <cell r="C406" t="str">
            <v xml:space="preserve"> </v>
          </cell>
          <cell r="D406">
            <v>1981</v>
          </cell>
          <cell r="E406" t="str">
            <v>Orkin Inc</v>
          </cell>
          <cell r="F406">
            <v>23</v>
          </cell>
          <cell r="G406">
            <v>29902</v>
          </cell>
          <cell r="I406" t="str">
            <v>North America</v>
          </cell>
          <cell r="J406" t="str">
            <v>USA</v>
          </cell>
          <cell r="K406">
            <v>29036</v>
          </cell>
        </row>
        <row r="407">
          <cell r="A407" t="str">
            <v>In service</v>
          </cell>
          <cell r="B407" t="str">
            <v>Gulfstream Aerospace Gulfstream III</v>
          </cell>
          <cell r="C407" t="str">
            <v xml:space="preserve"> </v>
          </cell>
          <cell r="D407">
            <v>1981</v>
          </cell>
          <cell r="E407" t="str">
            <v>Safeway Inc</v>
          </cell>
          <cell r="F407">
            <v>23</v>
          </cell>
          <cell r="G407">
            <v>29929</v>
          </cell>
          <cell r="I407" t="str">
            <v>North America</v>
          </cell>
          <cell r="J407" t="str">
            <v>USA</v>
          </cell>
          <cell r="K407">
            <v>29036</v>
          </cell>
        </row>
        <row r="408">
          <cell r="A408" t="str">
            <v>In service</v>
          </cell>
          <cell r="B408" t="str">
            <v>Gulfstream Aerospace Gulfstream III</v>
          </cell>
          <cell r="C408" t="str">
            <v xml:space="preserve"> </v>
          </cell>
          <cell r="D408">
            <v>1981</v>
          </cell>
          <cell r="E408" t="str">
            <v>Mill Creek Systems LLC &amp; 901 investments LLC</v>
          </cell>
          <cell r="F408">
            <v>23</v>
          </cell>
          <cell r="G408">
            <v>29933</v>
          </cell>
          <cell r="I408" t="str">
            <v>North America</v>
          </cell>
          <cell r="J408" t="str">
            <v>USA</v>
          </cell>
          <cell r="K408">
            <v>29402</v>
          </cell>
        </row>
        <row r="409">
          <cell r="A409" t="str">
            <v>In service</v>
          </cell>
          <cell r="B409" t="str">
            <v>Gulfstream Aerospace Gulfstream III</v>
          </cell>
          <cell r="C409" t="str">
            <v xml:space="preserve"> </v>
          </cell>
          <cell r="D409">
            <v>1981</v>
          </cell>
          <cell r="E409" t="str">
            <v>Bumi Aviation LLC</v>
          </cell>
          <cell r="F409">
            <v>23</v>
          </cell>
          <cell r="G409">
            <v>29950</v>
          </cell>
          <cell r="I409" t="str">
            <v>North America</v>
          </cell>
          <cell r="J409" t="str">
            <v>USA</v>
          </cell>
          <cell r="K409">
            <v>29036</v>
          </cell>
        </row>
        <row r="410">
          <cell r="A410" t="str">
            <v>In service</v>
          </cell>
          <cell r="B410" t="str">
            <v>Gulfstream Aerospace Gulfstream III</v>
          </cell>
          <cell r="C410" t="str">
            <v xml:space="preserve"> </v>
          </cell>
          <cell r="D410">
            <v>1981</v>
          </cell>
          <cell r="E410" t="str">
            <v>Paragon Leasing LLC</v>
          </cell>
          <cell r="F410">
            <v>23</v>
          </cell>
          <cell r="G410">
            <v>29943</v>
          </cell>
          <cell r="I410" t="str">
            <v>North America</v>
          </cell>
          <cell r="J410" t="str">
            <v>USA</v>
          </cell>
          <cell r="K410">
            <v>29943</v>
          </cell>
        </row>
        <row r="411">
          <cell r="A411" t="str">
            <v>In service</v>
          </cell>
          <cell r="B411" t="str">
            <v>Gulfstream Aerospace Gulfstream III</v>
          </cell>
          <cell r="C411" t="str">
            <v xml:space="preserve"> </v>
          </cell>
          <cell r="D411">
            <v>1981</v>
          </cell>
          <cell r="E411" t="str">
            <v>Pegasus North Inc</v>
          </cell>
          <cell r="F411">
            <v>23</v>
          </cell>
          <cell r="G411">
            <v>29950</v>
          </cell>
          <cell r="I411" t="str">
            <v>North America</v>
          </cell>
          <cell r="J411" t="str">
            <v>USA</v>
          </cell>
          <cell r="K411">
            <v>29036</v>
          </cell>
        </row>
        <row r="412">
          <cell r="A412" t="str">
            <v>In service</v>
          </cell>
          <cell r="B412" t="str">
            <v>Gulfstream Aerospace Gulfstream III</v>
          </cell>
          <cell r="C412" t="str">
            <v xml:space="preserve"> </v>
          </cell>
          <cell r="D412">
            <v>1982</v>
          </cell>
          <cell r="E412" t="str">
            <v>Trans-Exec Air Services Inc</v>
          </cell>
          <cell r="F412">
            <v>22</v>
          </cell>
          <cell r="G412">
            <v>29987</v>
          </cell>
          <cell r="I412" t="str">
            <v>North America</v>
          </cell>
          <cell r="J412" t="str">
            <v>USA</v>
          </cell>
          <cell r="K412">
            <v>29402</v>
          </cell>
        </row>
        <row r="413">
          <cell r="A413" t="str">
            <v>In service</v>
          </cell>
          <cell r="B413" t="str">
            <v>Gulfstream Aerospace Gulfstream III</v>
          </cell>
          <cell r="C413" t="str">
            <v xml:space="preserve"> </v>
          </cell>
          <cell r="D413">
            <v>1982</v>
          </cell>
          <cell r="E413" t="str">
            <v>Department of Energy Albuquerque operations Office</v>
          </cell>
          <cell r="F413">
            <v>22</v>
          </cell>
          <cell r="G413">
            <v>30002</v>
          </cell>
          <cell r="I413" t="str">
            <v>North America</v>
          </cell>
          <cell r="J413" t="str">
            <v>USA</v>
          </cell>
          <cell r="K413">
            <v>29402</v>
          </cell>
        </row>
        <row r="414">
          <cell r="A414" t="str">
            <v>In service</v>
          </cell>
          <cell r="B414" t="str">
            <v>Gulfstream Aerospace Gulfstream III</v>
          </cell>
          <cell r="C414" t="str">
            <v xml:space="preserve"> </v>
          </cell>
          <cell r="D414">
            <v>1982</v>
          </cell>
          <cell r="E414" t="str">
            <v>Shaw Managed Services Inc</v>
          </cell>
          <cell r="F414">
            <v>22</v>
          </cell>
          <cell r="G414">
            <v>30130</v>
          </cell>
          <cell r="I414" t="str">
            <v>North America</v>
          </cell>
          <cell r="J414" t="str">
            <v>USA</v>
          </cell>
          <cell r="K414">
            <v>29767</v>
          </cell>
        </row>
        <row r="415">
          <cell r="A415" t="str">
            <v>In service</v>
          </cell>
          <cell r="B415" t="str">
            <v>Gulfstream Aerospace Gulfstream III</v>
          </cell>
          <cell r="C415" t="str">
            <v xml:space="preserve"> </v>
          </cell>
          <cell r="D415">
            <v>1982</v>
          </cell>
          <cell r="E415" t="str">
            <v>Saudi Oger</v>
          </cell>
          <cell r="F415">
            <v>22</v>
          </cell>
          <cell r="G415">
            <v>30035</v>
          </cell>
          <cell r="I415" t="str">
            <v>Middle East</v>
          </cell>
          <cell r="J415" t="str">
            <v>Saudi Arabia</v>
          </cell>
          <cell r="K415">
            <v>29402</v>
          </cell>
        </row>
        <row r="416">
          <cell r="A416" t="str">
            <v>In service</v>
          </cell>
          <cell r="B416" t="str">
            <v>Gulfstream Aerospace Gulfstream III</v>
          </cell>
          <cell r="C416" t="str">
            <v xml:space="preserve"> </v>
          </cell>
          <cell r="D416">
            <v>1982</v>
          </cell>
          <cell r="E416" t="str">
            <v>GC Asset Management LLC</v>
          </cell>
          <cell r="F416">
            <v>22</v>
          </cell>
          <cell r="G416">
            <v>30050</v>
          </cell>
          <cell r="I416" t="str">
            <v>North America</v>
          </cell>
          <cell r="J416" t="str">
            <v>USA</v>
          </cell>
          <cell r="K416">
            <v>29402</v>
          </cell>
        </row>
        <row r="417">
          <cell r="A417" t="str">
            <v>In service</v>
          </cell>
          <cell r="B417" t="str">
            <v>Gulfstream Aerospace Gulfstream III</v>
          </cell>
          <cell r="C417" t="str">
            <v xml:space="preserve"> </v>
          </cell>
          <cell r="D417">
            <v>1982</v>
          </cell>
          <cell r="E417" t="str">
            <v>From the Heart Church Ministries</v>
          </cell>
          <cell r="F417">
            <v>22</v>
          </cell>
          <cell r="G417">
            <v>30050</v>
          </cell>
          <cell r="I417" t="str">
            <v>North America</v>
          </cell>
          <cell r="J417" t="str">
            <v>USA</v>
          </cell>
          <cell r="K417">
            <v>29402</v>
          </cell>
        </row>
        <row r="418">
          <cell r="A418" t="str">
            <v>In service</v>
          </cell>
          <cell r="B418" t="str">
            <v>Gulfstream Aerospace Gulfstream III</v>
          </cell>
          <cell r="C418" t="str">
            <v xml:space="preserve"> </v>
          </cell>
          <cell r="D418">
            <v>1982</v>
          </cell>
          <cell r="E418" t="str">
            <v>Entepreneurial Asset Management LLC</v>
          </cell>
          <cell r="F418">
            <v>22</v>
          </cell>
          <cell r="G418">
            <v>30062</v>
          </cell>
          <cell r="I418" t="str">
            <v>North America</v>
          </cell>
          <cell r="J418" t="str">
            <v>USA</v>
          </cell>
          <cell r="K418">
            <v>29402</v>
          </cell>
        </row>
        <row r="419">
          <cell r="A419" t="str">
            <v>In service</v>
          </cell>
          <cell r="B419" t="str">
            <v>Gulfstream Aerospace Gulfstream III</v>
          </cell>
          <cell r="C419" t="str">
            <v xml:space="preserve"> </v>
          </cell>
          <cell r="D419">
            <v>1982</v>
          </cell>
          <cell r="E419" t="str">
            <v>Guardian Gulfstream III-A LLC</v>
          </cell>
          <cell r="F419">
            <v>22</v>
          </cell>
          <cell r="G419">
            <v>30072</v>
          </cell>
          <cell r="I419" t="str">
            <v>North America</v>
          </cell>
          <cell r="J419" t="str">
            <v>USA</v>
          </cell>
          <cell r="K419">
            <v>29402</v>
          </cell>
        </row>
        <row r="420">
          <cell r="A420" t="str">
            <v>In service</v>
          </cell>
          <cell r="B420" t="str">
            <v>Gulfstream Aerospace Gulfstream III</v>
          </cell>
          <cell r="C420" t="str">
            <v xml:space="preserve"> </v>
          </cell>
          <cell r="D420">
            <v>1982</v>
          </cell>
          <cell r="E420" t="str">
            <v>YONA Aviation Corp</v>
          </cell>
          <cell r="F420">
            <v>22</v>
          </cell>
          <cell r="G420">
            <v>30082</v>
          </cell>
          <cell r="I420" t="str">
            <v>North America</v>
          </cell>
          <cell r="J420" t="str">
            <v>USA</v>
          </cell>
          <cell r="K420">
            <v>29402</v>
          </cell>
        </row>
        <row r="421">
          <cell r="A421" t="str">
            <v>In service</v>
          </cell>
          <cell r="B421" t="str">
            <v>Gulfstream Aerospace Gulfstream III</v>
          </cell>
          <cell r="C421" t="str">
            <v xml:space="preserve"> </v>
          </cell>
          <cell r="D421">
            <v>1982</v>
          </cell>
          <cell r="E421" t="str">
            <v>Mexican Air Force</v>
          </cell>
          <cell r="F421">
            <v>22</v>
          </cell>
          <cell r="G421">
            <v>30089</v>
          </cell>
          <cell r="I421" t="str">
            <v>Latin America and Caribbean</v>
          </cell>
          <cell r="J421" t="str">
            <v>Mexico</v>
          </cell>
          <cell r="K421">
            <v>29402</v>
          </cell>
        </row>
        <row r="422">
          <cell r="A422" t="str">
            <v>In service</v>
          </cell>
          <cell r="B422" t="str">
            <v>Gulfstream Aerospace Gulfstream III</v>
          </cell>
          <cell r="C422" t="str">
            <v xml:space="preserve"> </v>
          </cell>
          <cell r="D422">
            <v>1982</v>
          </cell>
          <cell r="E422" t="str">
            <v>Newshelf 696 (Pty) Ltd</v>
          </cell>
          <cell r="F422">
            <v>22</v>
          </cell>
          <cell r="G422">
            <v>30117</v>
          </cell>
          <cell r="I422" t="str">
            <v>Africa</v>
          </cell>
          <cell r="J422" t="str">
            <v>South Africa</v>
          </cell>
          <cell r="K422">
            <v>29402</v>
          </cell>
        </row>
        <row r="423">
          <cell r="A423" t="str">
            <v>In service</v>
          </cell>
          <cell r="B423" t="str">
            <v>Gulfstream Aerospace Gulfstream III</v>
          </cell>
          <cell r="C423" t="str">
            <v xml:space="preserve"> </v>
          </cell>
          <cell r="D423">
            <v>1982</v>
          </cell>
          <cell r="E423" t="str">
            <v>Academy of Art College</v>
          </cell>
          <cell r="F423">
            <v>22</v>
          </cell>
          <cell r="G423">
            <v>30148</v>
          </cell>
          <cell r="I423" t="str">
            <v>North America</v>
          </cell>
          <cell r="J423" t="str">
            <v>USA</v>
          </cell>
          <cell r="K423">
            <v>29402</v>
          </cell>
        </row>
        <row r="424">
          <cell r="A424" t="str">
            <v>In service</v>
          </cell>
          <cell r="B424" t="str">
            <v>Gulfstream Aerospace Gulfstream III</v>
          </cell>
          <cell r="C424" t="str">
            <v xml:space="preserve"> </v>
          </cell>
          <cell r="D424">
            <v>1982</v>
          </cell>
          <cell r="E424" t="str">
            <v>MGM Mirage</v>
          </cell>
          <cell r="F424">
            <v>22</v>
          </cell>
          <cell r="G424">
            <v>30818</v>
          </cell>
          <cell r="I424" t="str">
            <v>North America</v>
          </cell>
          <cell r="J424" t="str">
            <v>USA</v>
          </cell>
        </row>
        <row r="425">
          <cell r="A425" t="str">
            <v>In service</v>
          </cell>
          <cell r="B425" t="str">
            <v>Gulfstream Aerospace Gulfstream III</v>
          </cell>
          <cell r="C425" t="str">
            <v xml:space="preserve"> </v>
          </cell>
          <cell r="D425">
            <v>1982</v>
          </cell>
          <cell r="E425" t="str">
            <v>Crystal Jet Aviation Inc</v>
          </cell>
          <cell r="F425">
            <v>22</v>
          </cell>
          <cell r="G425">
            <v>30159</v>
          </cell>
          <cell r="I425" t="str">
            <v>North America</v>
          </cell>
          <cell r="J425" t="str">
            <v>USA</v>
          </cell>
          <cell r="K425">
            <v>29767</v>
          </cell>
        </row>
        <row r="426">
          <cell r="A426" t="str">
            <v>In service</v>
          </cell>
          <cell r="B426" t="str">
            <v>Gulfstream Aerospace Gulfstream III</v>
          </cell>
          <cell r="C426" t="str">
            <v xml:space="preserve"> </v>
          </cell>
          <cell r="D426">
            <v>1982</v>
          </cell>
          <cell r="E426" t="str">
            <v>Jet Aviation Private Fleet LLC</v>
          </cell>
          <cell r="F426">
            <v>22</v>
          </cell>
          <cell r="G426">
            <v>30307</v>
          </cell>
          <cell r="I426" t="str">
            <v>North America</v>
          </cell>
          <cell r="J426" t="str">
            <v>USA</v>
          </cell>
          <cell r="K426">
            <v>29402</v>
          </cell>
        </row>
        <row r="427">
          <cell r="A427" t="str">
            <v>In service</v>
          </cell>
          <cell r="B427" t="str">
            <v>Gulfstream Aerospace Gulfstream III</v>
          </cell>
          <cell r="C427" t="str">
            <v xml:space="preserve"> </v>
          </cell>
          <cell r="D427">
            <v>1982</v>
          </cell>
          <cell r="E427" t="str">
            <v>Thundervolt LLC</v>
          </cell>
          <cell r="F427">
            <v>22</v>
          </cell>
          <cell r="G427">
            <v>30181</v>
          </cell>
          <cell r="I427" t="str">
            <v>North America</v>
          </cell>
          <cell r="J427" t="str">
            <v>USA</v>
          </cell>
          <cell r="K427">
            <v>29767</v>
          </cell>
        </row>
        <row r="428">
          <cell r="A428" t="str">
            <v>In service</v>
          </cell>
          <cell r="B428" t="str">
            <v>Gulfstream Aerospace Gulfstream III</v>
          </cell>
          <cell r="C428" t="str">
            <v xml:space="preserve"> </v>
          </cell>
          <cell r="D428">
            <v>1982</v>
          </cell>
          <cell r="E428" t="str">
            <v>Lazy Lane Farms Inc &amp; Perpetual Corp</v>
          </cell>
          <cell r="F428">
            <v>22</v>
          </cell>
          <cell r="G428">
            <v>30189</v>
          </cell>
          <cell r="I428" t="str">
            <v>North America</v>
          </cell>
          <cell r="J428" t="str">
            <v>USA</v>
          </cell>
          <cell r="K428">
            <v>29767</v>
          </cell>
        </row>
        <row r="429">
          <cell r="A429" t="str">
            <v>In service</v>
          </cell>
          <cell r="B429" t="str">
            <v>Gulfstream Aerospace Gulfstream III</v>
          </cell>
          <cell r="C429" t="str">
            <v xml:space="preserve"> </v>
          </cell>
          <cell r="D429">
            <v>1982</v>
          </cell>
          <cell r="E429" t="str">
            <v>Atsinger Aviation LLC</v>
          </cell>
          <cell r="F429">
            <v>22</v>
          </cell>
          <cell r="G429">
            <v>30203</v>
          </cell>
          <cell r="I429" t="str">
            <v>North America</v>
          </cell>
          <cell r="J429" t="str">
            <v>USA</v>
          </cell>
          <cell r="K429">
            <v>29402</v>
          </cell>
        </row>
        <row r="430">
          <cell r="A430" t="str">
            <v>In service</v>
          </cell>
          <cell r="B430" t="str">
            <v>Gulfstream Aerospace Gulfstream III</v>
          </cell>
          <cell r="C430" t="str">
            <v xml:space="preserve"> </v>
          </cell>
          <cell r="D430">
            <v>1982</v>
          </cell>
          <cell r="E430" t="str">
            <v>Saudi Arabian Airlines</v>
          </cell>
          <cell r="F430">
            <v>22</v>
          </cell>
          <cell r="G430">
            <v>30215</v>
          </cell>
          <cell r="I430" t="str">
            <v>Middle East</v>
          </cell>
          <cell r="J430" t="str">
            <v>Saudi Arabia</v>
          </cell>
          <cell r="K430">
            <v>28306</v>
          </cell>
        </row>
        <row r="431">
          <cell r="A431" t="str">
            <v>In service</v>
          </cell>
          <cell r="B431" t="str">
            <v>Gulfstream Aerospace Gulfstream III</v>
          </cell>
          <cell r="C431" t="str">
            <v xml:space="preserve"> </v>
          </cell>
          <cell r="D431">
            <v>1982</v>
          </cell>
          <cell r="E431" t="str">
            <v>Government of Morocco</v>
          </cell>
          <cell r="F431">
            <v>22</v>
          </cell>
          <cell r="G431">
            <v>30227</v>
          </cell>
          <cell r="I431" t="str">
            <v>Africa</v>
          </cell>
          <cell r="J431" t="str">
            <v>Morocco</v>
          </cell>
          <cell r="K431">
            <v>28306</v>
          </cell>
        </row>
        <row r="432">
          <cell r="A432" t="str">
            <v>In service</v>
          </cell>
          <cell r="B432" t="str">
            <v>Gulfstream Aerospace Gulfstream III</v>
          </cell>
          <cell r="C432" t="str">
            <v xml:space="preserve"> </v>
          </cell>
          <cell r="D432">
            <v>1982</v>
          </cell>
          <cell r="E432" t="str">
            <v>JetAlliance</v>
          </cell>
          <cell r="F432">
            <v>22</v>
          </cell>
          <cell r="G432">
            <v>30224</v>
          </cell>
          <cell r="I432" t="str">
            <v>North America</v>
          </cell>
          <cell r="J432" t="str">
            <v>USA</v>
          </cell>
          <cell r="K432">
            <v>29402</v>
          </cell>
        </row>
        <row r="433">
          <cell r="A433" t="str">
            <v>In service</v>
          </cell>
          <cell r="B433" t="str">
            <v>Gulfstream Aerospace Gulfstream III</v>
          </cell>
          <cell r="C433" t="str">
            <v xml:space="preserve"> </v>
          </cell>
          <cell r="D433">
            <v>1982</v>
          </cell>
          <cell r="E433" t="str">
            <v>Aircraft Leasing Group LLC</v>
          </cell>
          <cell r="F433">
            <v>22</v>
          </cell>
          <cell r="G433">
            <v>30237</v>
          </cell>
          <cell r="I433" t="str">
            <v>North America</v>
          </cell>
          <cell r="J433" t="str">
            <v>USA</v>
          </cell>
          <cell r="K433">
            <v>29402</v>
          </cell>
        </row>
        <row r="434">
          <cell r="A434" t="str">
            <v>In service</v>
          </cell>
          <cell r="B434" t="str">
            <v>Gulfstream Aerospace Gulfstream III</v>
          </cell>
          <cell r="C434" t="str">
            <v xml:space="preserve"> </v>
          </cell>
          <cell r="D434">
            <v>1982</v>
          </cell>
          <cell r="E434" t="str">
            <v>Chartright Air</v>
          </cell>
          <cell r="F434">
            <v>22</v>
          </cell>
          <cell r="G434">
            <v>30242</v>
          </cell>
          <cell r="I434" t="str">
            <v>North America</v>
          </cell>
          <cell r="J434" t="str">
            <v>Canada</v>
          </cell>
          <cell r="K434">
            <v>29767</v>
          </cell>
        </row>
        <row r="435">
          <cell r="A435" t="str">
            <v>In service</v>
          </cell>
          <cell r="B435" t="str">
            <v>Gulfstream Aerospace Gulfstream III</v>
          </cell>
          <cell r="C435" t="str">
            <v xml:space="preserve"> </v>
          </cell>
          <cell r="D435">
            <v>1982</v>
          </cell>
          <cell r="E435" t="str">
            <v>Jetaway Air Service LLC</v>
          </cell>
          <cell r="F435">
            <v>22</v>
          </cell>
          <cell r="G435">
            <v>30245</v>
          </cell>
          <cell r="I435" t="str">
            <v>North America</v>
          </cell>
          <cell r="J435" t="str">
            <v>USA</v>
          </cell>
          <cell r="K435">
            <v>29402</v>
          </cell>
        </row>
        <row r="436">
          <cell r="A436" t="str">
            <v>In service</v>
          </cell>
          <cell r="B436" t="str">
            <v>Gulfstream Aerospace Gulfstream III</v>
          </cell>
          <cell r="C436" t="str">
            <v xml:space="preserve"> </v>
          </cell>
          <cell r="D436">
            <v>1982</v>
          </cell>
          <cell r="E436" t="str">
            <v>Kaizen Aviation Inc</v>
          </cell>
          <cell r="F436">
            <v>22</v>
          </cell>
          <cell r="G436">
            <v>30257</v>
          </cell>
          <cell r="I436" t="str">
            <v>North America</v>
          </cell>
          <cell r="J436" t="str">
            <v>USA</v>
          </cell>
          <cell r="K436">
            <v>29767</v>
          </cell>
        </row>
        <row r="437">
          <cell r="A437" t="str">
            <v>In service</v>
          </cell>
          <cell r="B437" t="str">
            <v>Gulfstream Aerospace Gulfstream III</v>
          </cell>
          <cell r="C437" t="str">
            <v xml:space="preserve"> </v>
          </cell>
          <cell r="D437">
            <v>1982</v>
          </cell>
          <cell r="E437" t="str">
            <v>Avjet Corp</v>
          </cell>
          <cell r="F437">
            <v>22</v>
          </cell>
          <cell r="G437">
            <v>30298</v>
          </cell>
          <cell r="I437" t="str">
            <v>North America</v>
          </cell>
          <cell r="J437" t="str">
            <v>USA</v>
          </cell>
          <cell r="K437">
            <v>29767</v>
          </cell>
        </row>
        <row r="438">
          <cell r="A438" t="str">
            <v>In service</v>
          </cell>
          <cell r="B438" t="str">
            <v>Gulfstream Aerospace Gulfstream III</v>
          </cell>
          <cell r="C438" t="str">
            <v xml:space="preserve"> </v>
          </cell>
          <cell r="D438">
            <v>1982</v>
          </cell>
          <cell r="E438" t="str">
            <v>N724DB LLC</v>
          </cell>
          <cell r="F438">
            <v>22</v>
          </cell>
          <cell r="G438">
            <v>30275</v>
          </cell>
          <cell r="I438" t="str">
            <v>North America</v>
          </cell>
          <cell r="J438" t="str">
            <v>USA</v>
          </cell>
          <cell r="K438">
            <v>29767</v>
          </cell>
        </row>
        <row r="439">
          <cell r="A439" t="str">
            <v>In service</v>
          </cell>
          <cell r="B439" t="str">
            <v>Gulfstream Aerospace Gulfstream III</v>
          </cell>
          <cell r="C439" t="str">
            <v xml:space="preserve"> </v>
          </cell>
          <cell r="D439">
            <v>1982</v>
          </cell>
          <cell r="E439" t="str">
            <v>Roberts Aviation LLC</v>
          </cell>
          <cell r="F439">
            <v>22</v>
          </cell>
          <cell r="G439">
            <v>30288</v>
          </cell>
          <cell r="I439" t="str">
            <v>North America</v>
          </cell>
          <cell r="J439" t="str">
            <v>USA</v>
          </cell>
          <cell r="K439">
            <v>29767</v>
          </cell>
        </row>
        <row r="440">
          <cell r="A440" t="str">
            <v>In service</v>
          </cell>
          <cell r="B440" t="str">
            <v>Gulfstream Aerospace Gulfstream III</v>
          </cell>
          <cell r="C440" t="str">
            <v xml:space="preserve"> </v>
          </cell>
          <cell r="D440">
            <v>1982</v>
          </cell>
          <cell r="E440" t="str">
            <v>Parke Aviation Corp</v>
          </cell>
          <cell r="F440">
            <v>22</v>
          </cell>
          <cell r="G440">
            <v>30288</v>
          </cell>
          <cell r="I440" t="str">
            <v>North America</v>
          </cell>
          <cell r="J440" t="str">
            <v>USA</v>
          </cell>
          <cell r="K440">
            <v>29767</v>
          </cell>
        </row>
        <row r="441">
          <cell r="A441" t="str">
            <v>In service</v>
          </cell>
          <cell r="B441" t="str">
            <v>Gulfstream Aerospace Gulfstream III</v>
          </cell>
          <cell r="C441" t="str">
            <v xml:space="preserve"> </v>
          </cell>
          <cell r="D441">
            <v>1982</v>
          </cell>
          <cell r="E441" t="str">
            <v>EHR Aviation Inc</v>
          </cell>
          <cell r="F441">
            <v>22</v>
          </cell>
          <cell r="G441">
            <v>30295</v>
          </cell>
          <cell r="I441" t="str">
            <v>North America</v>
          </cell>
          <cell r="J441" t="str">
            <v>USA</v>
          </cell>
          <cell r="K441">
            <v>29402</v>
          </cell>
        </row>
        <row r="442">
          <cell r="A442" t="str">
            <v>In service</v>
          </cell>
          <cell r="B442" t="str">
            <v>Gulfstream Aerospace Gulfstream III</v>
          </cell>
          <cell r="C442" t="str">
            <v xml:space="preserve"> </v>
          </cell>
          <cell r="D442">
            <v>1982</v>
          </cell>
          <cell r="E442" t="str">
            <v>Hansen Prero Aviation LLC</v>
          </cell>
          <cell r="F442">
            <v>22</v>
          </cell>
          <cell r="G442">
            <v>30315</v>
          </cell>
          <cell r="I442" t="str">
            <v>North America</v>
          </cell>
          <cell r="J442" t="str">
            <v>USA</v>
          </cell>
          <cell r="K442">
            <v>29402</v>
          </cell>
        </row>
        <row r="443">
          <cell r="A443" t="str">
            <v>In service</v>
          </cell>
          <cell r="B443" t="str">
            <v>Gulfstream Aerospace Gulfstream III</v>
          </cell>
          <cell r="C443" t="str">
            <v xml:space="preserve"> </v>
          </cell>
          <cell r="D443">
            <v>1982</v>
          </cell>
          <cell r="E443" t="str">
            <v>Aero Air LLC</v>
          </cell>
          <cell r="F443">
            <v>22</v>
          </cell>
          <cell r="G443">
            <v>30313</v>
          </cell>
          <cell r="I443" t="str">
            <v>North America</v>
          </cell>
          <cell r="J443" t="str">
            <v>USA</v>
          </cell>
          <cell r="K443">
            <v>29402</v>
          </cell>
        </row>
        <row r="444">
          <cell r="A444" t="str">
            <v>In service</v>
          </cell>
          <cell r="B444" t="str">
            <v>Gulfstream Aerospace Gulfstream III</v>
          </cell>
          <cell r="C444" t="str">
            <v xml:space="preserve"> </v>
          </cell>
          <cell r="D444">
            <v>1982</v>
          </cell>
          <cell r="E444" t="str">
            <v>Cinema Aircraft Executive Transportation LLC</v>
          </cell>
          <cell r="F444">
            <v>22</v>
          </cell>
          <cell r="G444">
            <v>30313</v>
          </cell>
          <cell r="I444" t="str">
            <v>North America</v>
          </cell>
          <cell r="J444" t="str">
            <v>USA</v>
          </cell>
          <cell r="K444">
            <v>29767</v>
          </cell>
        </row>
        <row r="445">
          <cell r="A445" t="str">
            <v>In service</v>
          </cell>
          <cell r="B445" t="str">
            <v>Gulfstream Aerospace Gulfstream III</v>
          </cell>
          <cell r="C445" t="str">
            <v xml:space="preserve"> </v>
          </cell>
          <cell r="D445">
            <v>1982</v>
          </cell>
          <cell r="E445" t="str">
            <v>Sonoram Charters LLC</v>
          </cell>
          <cell r="F445">
            <v>22</v>
          </cell>
          <cell r="G445">
            <v>30337</v>
          </cell>
          <cell r="I445" t="str">
            <v>North America</v>
          </cell>
          <cell r="J445" t="str">
            <v>USA</v>
          </cell>
          <cell r="K445">
            <v>29767</v>
          </cell>
        </row>
        <row r="446">
          <cell r="A446" t="str">
            <v>In service</v>
          </cell>
          <cell r="B446" t="str">
            <v>Gulfstream Aerospace Gulfstream III</v>
          </cell>
          <cell r="C446" t="str">
            <v xml:space="preserve"> </v>
          </cell>
          <cell r="D446">
            <v>1983</v>
          </cell>
          <cell r="E446" t="str">
            <v>LOR Inc</v>
          </cell>
          <cell r="F446">
            <v>21</v>
          </cell>
          <cell r="G446">
            <v>30347</v>
          </cell>
          <cell r="I446" t="str">
            <v>North America</v>
          </cell>
          <cell r="J446" t="str">
            <v>USA</v>
          </cell>
          <cell r="K446">
            <v>29767</v>
          </cell>
        </row>
        <row r="447">
          <cell r="A447" t="str">
            <v>In service</v>
          </cell>
          <cell r="B447" t="str">
            <v>Gulfstream Aerospace Gulfstream III</v>
          </cell>
          <cell r="C447" t="str">
            <v xml:space="preserve"> </v>
          </cell>
          <cell r="D447">
            <v>1983</v>
          </cell>
          <cell r="E447" t="str">
            <v>Westgate Aviation LLC</v>
          </cell>
          <cell r="F447">
            <v>21</v>
          </cell>
          <cell r="G447">
            <v>30369</v>
          </cell>
          <cell r="I447" t="str">
            <v>North America</v>
          </cell>
          <cell r="J447" t="str">
            <v>USA</v>
          </cell>
          <cell r="K447">
            <v>29767</v>
          </cell>
        </row>
        <row r="448">
          <cell r="A448" t="str">
            <v>In service</v>
          </cell>
          <cell r="B448" t="str">
            <v>Gulfstream Aerospace Gulfstream III</v>
          </cell>
          <cell r="C448" t="str">
            <v xml:space="preserve"> </v>
          </cell>
          <cell r="D448">
            <v>1983</v>
          </cell>
          <cell r="E448" t="str">
            <v>GKW United Holdings &amp; Twin Star LLC</v>
          </cell>
          <cell r="F448">
            <v>21</v>
          </cell>
          <cell r="G448">
            <v>30391</v>
          </cell>
          <cell r="I448" t="str">
            <v>North America</v>
          </cell>
          <cell r="J448" t="str">
            <v>USA</v>
          </cell>
          <cell r="K448">
            <v>29767</v>
          </cell>
        </row>
        <row r="449">
          <cell r="A449" t="str">
            <v>In service</v>
          </cell>
          <cell r="B449" t="str">
            <v>Gulfstream Aerospace Gulfstream III</v>
          </cell>
          <cell r="C449" t="str">
            <v xml:space="preserve"> </v>
          </cell>
          <cell r="D449">
            <v>1983</v>
          </cell>
          <cell r="E449" t="str">
            <v>Saudi Aeromedical Evacuation</v>
          </cell>
          <cell r="F449">
            <v>21</v>
          </cell>
          <cell r="G449">
            <v>30431</v>
          </cell>
          <cell r="I449" t="str">
            <v>Middle East</v>
          </cell>
          <cell r="J449" t="str">
            <v>Saudi Arabia</v>
          </cell>
          <cell r="K449">
            <v>29767</v>
          </cell>
        </row>
        <row r="450">
          <cell r="A450" t="str">
            <v>In service</v>
          </cell>
          <cell r="B450" t="str">
            <v>Gulfstream Aerospace Gulfstream III</v>
          </cell>
          <cell r="C450" t="str">
            <v xml:space="preserve"> </v>
          </cell>
          <cell r="D450">
            <v>1983</v>
          </cell>
          <cell r="E450" t="str">
            <v>Mexican Air Force</v>
          </cell>
          <cell r="F450">
            <v>21</v>
          </cell>
          <cell r="G450">
            <v>30406</v>
          </cell>
          <cell r="I450" t="str">
            <v>Latin America and Caribbean</v>
          </cell>
          <cell r="J450" t="str">
            <v>Mexico</v>
          </cell>
          <cell r="K450">
            <v>30132</v>
          </cell>
        </row>
        <row r="451">
          <cell r="A451" t="str">
            <v>In service</v>
          </cell>
          <cell r="B451" t="str">
            <v>Gulfstream Aerospace Gulfstream III</v>
          </cell>
          <cell r="C451" t="str">
            <v xml:space="preserve"> </v>
          </cell>
          <cell r="D451">
            <v>1983</v>
          </cell>
          <cell r="E451" t="str">
            <v>RMQ Ltd</v>
          </cell>
          <cell r="F451">
            <v>21</v>
          </cell>
          <cell r="G451">
            <v>30381</v>
          </cell>
          <cell r="I451" t="str">
            <v>North America</v>
          </cell>
          <cell r="J451" t="str">
            <v>USA</v>
          </cell>
          <cell r="K451">
            <v>29767</v>
          </cell>
        </row>
        <row r="452">
          <cell r="A452" t="str">
            <v>In service</v>
          </cell>
          <cell r="B452" t="str">
            <v>Gulfstream Aerospace Gulfstream III</v>
          </cell>
          <cell r="C452" t="str">
            <v xml:space="preserve"> </v>
          </cell>
          <cell r="D452">
            <v>1983</v>
          </cell>
          <cell r="E452" t="str">
            <v>Continental Aviation Services Inc</v>
          </cell>
          <cell r="F452">
            <v>21</v>
          </cell>
          <cell r="G452">
            <v>30418</v>
          </cell>
          <cell r="I452" t="str">
            <v>North America</v>
          </cell>
          <cell r="J452" t="str">
            <v>USA</v>
          </cell>
          <cell r="K452">
            <v>30132</v>
          </cell>
        </row>
        <row r="453">
          <cell r="A453" t="str">
            <v>In service</v>
          </cell>
          <cell r="B453" t="str">
            <v>Gulfstream Aerospace Gulfstream III</v>
          </cell>
          <cell r="C453" t="str">
            <v xml:space="preserve"> </v>
          </cell>
          <cell r="D453">
            <v>1983</v>
          </cell>
          <cell r="E453" t="str">
            <v>Air Troxel LLC</v>
          </cell>
          <cell r="F453">
            <v>21</v>
          </cell>
          <cell r="G453">
            <v>30409</v>
          </cell>
          <cell r="I453" t="str">
            <v>North America</v>
          </cell>
          <cell r="J453" t="str">
            <v>USA</v>
          </cell>
          <cell r="K453">
            <v>29767</v>
          </cell>
        </row>
        <row r="454">
          <cell r="A454" t="str">
            <v>In service</v>
          </cell>
          <cell r="B454" t="str">
            <v>Gulfstream Aerospace Gulfstream III</v>
          </cell>
          <cell r="C454" t="str">
            <v xml:space="preserve"> </v>
          </cell>
          <cell r="D454">
            <v>1983</v>
          </cell>
          <cell r="E454" t="str">
            <v>JetAlliance</v>
          </cell>
          <cell r="F454">
            <v>21</v>
          </cell>
          <cell r="G454">
            <v>30467</v>
          </cell>
          <cell r="I454" t="str">
            <v>North America</v>
          </cell>
          <cell r="J454" t="str">
            <v>USA</v>
          </cell>
          <cell r="K454">
            <v>29767</v>
          </cell>
        </row>
        <row r="455">
          <cell r="A455" t="str">
            <v>In service</v>
          </cell>
          <cell r="B455" t="str">
            <v>Gulfstream Aerospace Gulfstream III</v>
          </cell>
          <cell r="C455" t="str">
            <v xml:space="preserve"> </v>
          </cell>
          <cell r="D455">
            <v>1983</v>
          </cell>
          <cell r="E455" t="str">
            <v>Aircraft Network LLC</v>
          </cell>
          <cell r="F455">
            <v>21</v>
          </cell>
          <cell r="G455">
            <v>30467</v>
          </cell>
          <cell r="I455" t="str">
            <v>North America</v>
          </cell>
          <cell r="J455" t="str">
            <v>USA</v>
          </cell>
          <cell r="K455">
            <v>29767</v>
          </cell>
        </row>
        <row r="456">
          <cell r="A456" t="str">
            <v>In service</v>
          </cell>
          <cell r="B456" t="str">
            <v>Gulfstream Aerospace Gulfstream III</v>
          </cell>
          <cell r="C456" t="str">
            <v xml:space="preserve"> </v>
          </cell>
          <cell r="D456">
            <v>1983</v>
          </cell>
          <cell r="E456" t="str">
            <v>Nexxus Products</v>
          </cell>
          <cell r="F456">
            <v>21</v>
          </cell>
          <cell r="G456">
            <v>30589</v>
          </cell>
          <cell r="I456" t="str">
            <v>North America</v>
          </cell>
          <cell r="J456" t="str">
            <v>USA</v>
          </cell>
          <cell r="K456">
            <v>29767</v>
          </cell>
        </row>
        <row r="457">
          <cell r="A457" t="str">
            <v>In service</v>
          </cell>
          <cell r="B457" t="str">
            <v>Gulfstream Aerospace Gulfstream III</v>
          </cell>
          <cell r="C457" t="str">
            <v xml:space="preserve"> </v>
          </cell>
          <cell r="D457">
            <v>1983</v>
          </cell>
          <cell r="E457" t="str">
            <v>T-Bird Aviation Inc</v>
          </cell>
          <cell r="F457">
            <v>21</v>
          </cell>
          <cell r="G457">
            <v>30497</v>
          </cell>
          <cell r="I457" t="str">
            <v>North America</v>
          </cell>
          <cell r="J457" t="str">
            <v>USA</v>
          </cell>
          <cell r="K457">
            <v>29767</v>
          </cell>
        </row>
        <row r="458">
          <cell r="A458" t="str">
            <v>In service</v>
          </cell>
          <cell r="B458" t="str">
            <v>Gulfstream Aerospace Gulfstream III</v>
          </cell>
          <cell r="C458" t="str">
            <v xml:space="preserve"> </v>
          </cell>
          <cell r="D458">
            <v>1983</v>
          </cell>
          <cell r="E458" t="str">
            <v>Bentley Aviation LLC</v>
          </cell>
          <cell r="F458">
            <v>21</v>
          </cell>
          <cell r="G458">
            <v>30497</v>
          </cell>
          <cell r="I458" t="str">
            <v>North America</v>
          </cell>
          <cell r="J458" t="str">
            <v>USA</v>
          </cell>
          <cell r="K458">
            <v>29767</v>
          </cell>
        </row>
        <row r="459">
          <cell r="A459" t="str">
            <v>In service</v>
          </cell>
          <cell r="B459" t="str">
            <v>Gulfstream Aerospace Gulfstream III</v>
          </cell>
          <cell r="C459" t="str">
            <v xml:space="preserve"> </v>
          </cell>
          <cell r="D459">
            <v>1983</v>
          </cell>
          <cell r="E459" t="str">
            <v>Westwood One Inc</v>
          </cell>
          <cell r="F459">
            <v>21</v>
          </cell>
          <cell r="G459">
            <v>30528</v>
          </cell>
          <cell r="I459" t="str">
            <v>North America</v>
          </cell>
          <cell r="J459" t="str">
            <v>USA</v>
          </cell>
          <cell r="K459">
            <v>30132</v>
          </cell>
        </row>
        <row r="460">
          <cell r="A460" t="str">
            <v>In service</v>
          </cell>
          <cell r="B460" t="str">
            <v>Gulfstream Aerospace Gulfstream III</v>
          </cell>
          <cell r="C460" t="str">
            <v xml:space="preserve"> </v>
          </cell>
          <cell r="D460">
            <v>1983</v>
          </cell>
          <cell r="E460" t="str">
            <v>Air Lake Lines II Inc</v>
          </cell>
          <cell r="F460">
            <v>21</v>
          </cell>
          <cell r="G460">
            <v>30528</v>
          </cell>
          <cell r="I460" t="str">
            <v>North America</v>
          </cell>
          <cell r="J460" t="str">
            <v>USA</v>
          </cell>
          <cell r="K460">
            <v>30132</v>
          </cell>
        </row>
        <row r="461">
          <cell r="A461" t="str">
            <v>In service</v>
          </cell>
          <cell r="B461" t="str">
            <v>Gulfstream Aerospace Gulfstream III</v>
          </cell>
          <cell r="C461" t="str">
            <v xml:space="preserve"> </v>
          </cell>
          <cell r="D461">
            <v>1983</v>
          </cell>
          <cell r="E461" t="str">
            <v>Emerson Fitipaldi</v>
          </cell>
          <cell r="F461">
            <v>21</v>
          </cell>
          <cell r="G461">
            <v>30559</v>
          </cell>
          <cell r="I461" t="str">
            <v>North America</v>
          </cell>
          <cell r="J461" t="str">
            <v>USA</v>
          </cell>
          <cell r="K461">
            <v>29767</v>
          </cell>
        </row>
        <row r="462">
          <cell r="A462" t="str">
            <v>In service</v>
          </cell>
          <cell r="B462" t="str">
            <v>Gulfstream Aerospace Gulfstream III</v>
          </cell>
          <cell r="C462" t="str">
            <v xml:space="preserve"> </v>
          </cell>
          <cell r="D462">
            <v>1983</v>
          </cell>
          <cell r="E462" t="str">
            <v>JGL Aviation LLC</v>
          </cell>
          <cell r="F462">
            <v>21</v>
          </cell>
          <cell r="G462">
            <v>30559</v>
          </cell>
          <cell r="I462" t="str">
            <v>North America</v>
          </cell>
          <cell r="J462" t="str">
            <v>USA</v>
          </cell>
          <cell r="K462">
            <v>30132</v>
          </cell>
        </row>
        <row r="463">
          <cell r="A463" t="str">
            <v>In service</v>
          </cell>
          <cell r="B463" t="str">
            <v>Gulfstream Aerospace Gulfstream III</v>
          </cell>
          <cell r="C463" t="str">
            <v xml:space="preserve"> </v>
          </cell>
          <cell r="D463">
            <v>1983</v>
          </cell>
          <cell r="E463" t="str">
            <v>GSL Aviation Inc</v>
          </cell>
          <cell r="F463">
            <v>21</v>
          </cell>
          <cell r="G463">
            <v>30589</v>
          </cell>
          <cell r="I463" t="str">
            <v>North America</v>
          </cell>
          <cell r="J463" t="str">
            <v>USA</v>
          </cell>
          <cell r="K463">
            <v>29767</v>
          </cell>
        </row>
        <row r="464">
          <cell r="A464" t="str">
            <v>In service</v>
          </cell>
          <cell r="B464" t="str">
            <v>Gulfstream Aerospace Gulfstream III</v>
          </cell>
          <cell r="C464" t="str">
            <v xml:space="preserve"> </v>
          </cell>
          <cell r="D464">
            <v>1983</v>
          </cell>
          <cell r="E464" t="str">
            <v>Safari Aero Inc</v>
          </cell>
          <cell r="F464">
            <v>21</v>
          </cell>
          <cell r="G464">
            <v>30589</v>
          </cell>
          <cell r="I464" t="str">
            <v>North America</v>
          </cell>
          <cell r="J464" t="str">
            <v>USA</v>
          </cell>
          <cell r="K464">
            <v>30132</v>
          </cell>
        </row>
        <row r="465">
          <cell r="A465" t="str">
            <v>In service</v>
          </cell>
          <cell r="B465" t="str">
            <v>Gulfstream Aerospace Gulfstream III</v>
          </cell>
          <cell r="C465" t="str">
            <v xml:space="preserve"> </v>
          </cell>
          <cell r="D465">
            <v>1983</v>
          </cell>
          <cell r="E465" t="str">
            <v>Regal Aviation LLC</v>
          </cell>
          <cell r="F465">
            <v>21</v>
          </cell>
          <cell r="G465">
            <v>30589</v>
          </cell>
          <cell r="I465" t="str">
            <v>North America</v>
          </cell>
          <cell r="J465" t="str">
            <v>USA</v>
          </cell>
          <cell r="K465">
            <v>29767</v>
          </cell>
        </row>
        <row r="466">
          <cell r="A466" t="str">
            <v>In service</v>
          </cell>
          <cell r="B466" t="str">
            <v>Gulfstream Aerospace Gulfstream III</v>
          </cell>
          <cell r="C466" t="str">
            <v xml:space="preserve"> </v>
          </cell>
          <cell r="D466">
            <v>1983</v>
          </cell>
          <cell r="E466" t="str">
            <v>United States Steel Corp</v>
          </cell>
          <cell r="F466">
            <v>21</v>
          </cell>
          <cell r="G466">
            <v>30620</v>
          </cell>
          <cell r="I466" t="str">
            <v>North America</v>
          </cell>
          <cell r="J466" t="str">
            <v>USA</v>
          </cell>
          <cell r="K466">
            <v>29767</v>
          </cell>
        </row>
        <row r="467">
          <cell r="A467" t="str">
            <v>In service</v>
          </cell>
          <cell r="B467" t="str">
            <v>Gulfstream Aerospace Gulfstream III</v>
          </cell>
          <cell r="C467" t="str">
            <v xml:space="preserve"> </v>
          </cell>
          <cell r="D467">
            <v>1983</v>
          </cell>
          <cell r="E467" t="str">
            <v>Mary Kay Inc</v>
          </cell>
          <cell r="F467">
            <v>21</v>
          </cell>
          <cell r="G467">
            <v>30620</v>
          </cell>
          <cell r="I467" t="str">
            <v>North America</v>
          </cell>
          <cell r="J467" t="str">
            <v>USA</v>
          </cell>
          <cell r="K467">
            <v>30132</v>
          </cell>
        </row>
        <row r="468">
          <cell r="A468" t="str">
            <v>In service</v>
          </cell>
          <cell r="B468" t="str">
            <v>Gulfstream Aerospace Gulfstream III</v>
          </cell>
          <cell r="C468" t="str">
            <v xml:space="preserve"> </v>
          </cell>
          <cell r="D468">
            <v>1983</v>
          </cell>
          <cell r="E468" t="str">
            <v>Raleigh Holdings LLC</v>
          </cell>
          <cell r="F468">
            <v>21</v>
          </cell>
          <cell r="G468">
            <v>30650</v>
          </cell>
          <cell r="I468" t="str">
            <v>North America</v>
          </cell>
          <cell r="J468" t="str">
            <v>USA</v>
          </cell>
          <cell r="K468">
            <v>30132</v>
          </cell>
        </row>
        <row r="469">
          <cell r="A469" t="str">
            <v>In service</v>
          </cell>
          <cell r="B469" t="str">
            <v>Gulfstream Aerospace Gulfstream III</v>
          </cell>
          <cell r="C469" t="str">
            <v xml:space="preserve"> </v>
          </cell>
          <cell r="D469">
            <v>1983</v>
          </cell>
          <cell r="E469" t="str">
            <v>Saudi Arabian Airlines</v>
          </cell>
          <cell r="F469">
            <v>21</v>
          </cell>
          <cell r="G469">
            <v>30650</v>
          </cell>
          <cell r="I469" t="str">
            <v>Middle East</v>
          </cell>
          <cell r="J469" t="str">
            <v>Saudi Arabia</v>
          </cell>
          <cell r="K469">
            <v>29767</v>
          </cell>
        </row>
        <row r="470">
          <cell r="A470" t="str">
            <v>In service</v>
          </cell>
          <cell r="B470" t="str">
            <v>Gulfstream Aerospace Gulfstream III</v>
          </cell>
          <cell r="C470" t="str">
            <v xml:space="preserve"> </v>
          </cell>
          <cell r="D470">
            <v>1983</v>
          </cell>
          <cell r="E470" t="str">
            <v>Deeside Trading Co Ltd</v>
          </cell>
          <cell r="F470">
            <v>21</v>
          </cell>
          <cell r="G470">
            <v>30650</v>
          </cell>
          <cell r="I470" t="str">
            <v>North America</v>
          </cell>
          <cell r="J470" t="str">
            <v>USA</v>
          </cell>
          <cell r="K470">
            <v>29767</v>
          </cell>
        </row>
        <row r="471">
          <cell r="A471" t="str">
            <v>In service</v>
          </cell>
          <cell r="B471" t="str">
            <v>Gulfstream Aerospace Gulfstream III</v>
          </cell>
          <cell r="C471" t="str">
            <v xml:space="preserve"> </v>
          </cell>
          <cell r="D471">
            <v>1983</v>
          </cell>
          <cell r="E471" t="str">
            <v>Oxy Petroleum Inc</v>
          </cell>
          <cell r="F471">
            <v>21</v>
          </cell>
          <cell r="G471">
            <v>30650</v>
          </cell>
          <cell r="I471" t="str">
            <v>North America</v>
          </cell>
          <cell r="J471" t="str">
            <v>USA</v>
          </cell>
          <cell r="K471">
            <v>30132</v>
          </cell>
        </row>
        <row r="472">
          <cell r="A472" t="str">
            <v>In service</v>
          </cell>
          <cell r="B472" t="str">
            <v>Gulfstream Aerospace Gulfstream III</v>
          </cell>
          <cell r="C472" t="str">
            <v xml:space="preserve"> </v>
          </cell>
          <cell r="D472">
            <v>1983</v>
          </cell>
          <cell r="E472" t="str">
            <v>ACG3 LLC</v>
          </cell>
          <cell r="F472">
            <v>21</v>
          </cell>
          <cell r="G472">
            <v>30681</v>
          </cell>
          <cell r="I472" t="str">
            <v>North America</v>
          </cell>
          <cell r="J472" t="str">
            <v>USA</v>
          </cell>
          <cell r="K472">
            <v>29767</v>
          </cell>
        </row>
        <row r="473">
          <cell r="A473" t="str">
            <v>In service</v>
          </cell>
          <cell r="B473" t="str">
            <v>Gulfstream Aerospace Gulfstream III</v>
          </cell>
          <cell r="C473" t="str">
            <v xml:space="preserve"> </v>
          </cell>
          <cell r="D473">
            <v>1983</v>
          </cell>
          <cell r="E473" t="str">
            <v>Harwinton Aviation LLC</v>
          </cell>
          <cell r="F473">
            <v>21</v>
          </cell>
          <cell r="G473">
            <v>30681</v>
          </cell>
          <cell r="I473" t="str">
            <v>North America</v>
          </cell>
          <cell r="J473" t="str">
            <v>USA</v>
          </cell>
          <cell r="K473">
            <v>29767</v>
          </cell>
        </row>
        <row r="474">
          <cell r="A474" t="str">
            <v>In service</v>
          </cell>
          <cell r="B474" t="str">
            <v>Gulfstream Aerospace Gulfstream III</v>
          </cell>
          <cell r="C474" t="str">
            <v xml:space="preserve"> </v>
          </cell>
          <cell r="D474">
            <v>1983</v>
          </cell>
          <cell r="E474" t="str">
            <v>Nadir Industries Ltd</v>
          </cell>
          <cell r="F474">
            <v>21</v>
          </cell>
          <cell r="G474">
            <v>30712</v>
          </cell>
          <cell r="I474" t="str">
            <v>Unknown area</v>
          </cell>
          <cell r="J474" t="str">
            <v>Unknown Country</v>
          </cell>
          <cell r="K474">
            <v>30132</v>
          </cell>
        </row>
        <row r="475">
          <cell r="A475" t="str">
            <v>In service</v>
          </cell>
          <cell r="B475" t="str">
            <v>Gulfstream Aerospace Gulfstream III</v>
          </cell>
          <cell r="C475" t="str">
            <v xml:space="preserve"> </v>
          </cell>
          <cell r="D475">
            <v>1983</v>
          </cell>
          <cell r="E475" t="str">
            <v>Platinum Dunes Productions</v>
          </cell>
          <cell r="F475">
            <v>21</v>
          </cell>
          <cell r="G475">
            <v>30712</v>
          </cell>
          <cell r="I475" t="str">
            <v>North America</v>
          </cell>
          <cell r="J475" t="str">
            <v>USA</v>
          </cell>
          <cell r="K475">
            <v>30132</v>
          </cell>
        </row>
        <row r="476">
          <cell r="A476" t="str">
            <v>In service</v>
          </cell>
          <cell r="B476" t="str">
            <v>Gulfstream Aerospace Gulfstream III</v>
          </cell>
          <cell r="C476" t="str">
            <v xml:space="preserve"> </v>
          </cell>
          <cell r="D476">
            <v>1983</v>
          </cell>
          <cell r="E476" t="str">
            <v>JT Aviation Corp</v>
          </cell>
          <cell r="F476">
            <v>21</v>
          </cell>
          <cell r="G476">
            <v>30712</v>
          </cell>
          <cell r="I476" t="str">
            <v>North America</v>
          </cell>
          <cell r="J476" t="str">
            <v>USA</v>
          </cell>
          <cell r="K476">
            <v>30132</v>
          </cell>
        </row>
        <row r="477">
          <cell r="A477" t="str">
            <v>In service</v>
          </cell>
          <cell r="B477" t="str">
            <v>Gulfstream Aerospace Gulfstream III</v>
          </cell>
          <cell r="C477" t="str">
            <v xml:space="preserve"> </v>
          </cell>
          <cell r="D477">
            <v>1983</v>
          </cell>
          <cell r="E477" t="str">
            <v>World Heir Inc</v>
          </cell>
          <cell r="F477">
            <v>21</v>
          </cell>
          <cell r="G477">
            <v>30741</v>
          </cell>
          <cell r="I477" t="str">
            <v>North America</v>
          </cell>
          <cell r="J477" t="str">
            <v>USA</v>
          </cell>
          <cell r="K477">
            <v>30132</v>
          </cell>
        </row>
        <row r="478">
          <cell r="A478" t="str">
            <v>In service</v>
          </cell>
          <cell r="B478" t="str">
            <v>Gulfstream Aerospace Gulfstream III</v>
          </cell>
          <cell r="C478" t="str">
            <v xml:space="preserve"> </v>
          </cell>
          <cell r="D478">
            <v>1984</v>
          </cell>
          <cell r="E478" t="str">
            <v>Indian Air Force</v>
          </cell>
          <cell r="F478">
            <v>20</v>
          </cell>
          <cell r="G478">
            <v>31928</v>
          </cell>
          <cell r="H478" t="str">
            <v>SRA-1</v>
          </cell>
          <cell r="I478" t="str">
            <v>Asia</v>
          </cell>
          <cell r="J478" t="str">
            <v>India</v>
          </cell>
        </row>
        <row r="479">
          <cell r="A479" t="str">
            <v>In service</v>
          </cell>
          <cell r="B479" t="str">
            <v>Gulfstream Aerospace Gulfstream III</v>
          </cell>
          <cell r="C479" t="str">
            <v xml:space="preserve"> </v>
          </cell>
          <cell r="D479">
            <v>1984</v>
          </cell>
          <cell r="E479" t="str">
            <v>Zuffa LLC</v>
          </cell>
          <cell r="F479">
            <v>20</v>
          </cell>
          <cell r="G479">
            <v>30741</v>
          </cell>
          <cell r="I479" t="str">
            <v>North America</v>
          </cell>
          <cell r="J479" t="str">
            <v>USA</v>
          </cell>
          <cell r="K479">
            <v>30132</v>
          </cell>
        </row>
        <row r="480">
          <cell r="A480" t="str">
            <v>In service</v>
          </cell>
          <cell r="B480" t="str">
            <v>Gulfstream Aerospace Gulfstream III</v>
          </cell>
          <cell r="C480" t="str">
            <v xml:space="preserve"> </v>
          </cell>
          <cell r="D480">
            <v>1984</v>
          </cell>
          <cell r="E480" t="str">
            <v>Owen-Illinois Leasing Inc</v>
          </cell>
          <cell r="F480">
            <v>20</v>
          </cell>
          <cell r="G480">
            <v>30772</v>
          </cell>
          <cell r="I480" t="str">
            <v>North America</v>
          </cell>
          <cell r="J480" t="str">
            <v>USA</v>
          </cell>
          <cell r="K480">
            <v>30132</v>
          </cell>
        </row>
        <row r="481">
          <cell r="A481" t="str">
            <v>In service</v>
          </cell>
          <cell r="B481" t="str">
            <v>Gulfstream Aerospace Gulfstream III</v>
          </cell>
          <cell r="C481" t="str">
            <v xml:space="preserve"> </v>
          </cell>
          <cell r="D481">
            <v>1984</v>
          </cell>
          <cell r="E481" t="str">
            <v>Vinson Group G III LLC</v>
          </cell>
          <cell r="F481">
            <v>20</v>
          </cell>
          <cell r="G481">
            <v>30772</v>
          </cell>
          <cell r="I481" t="str">
            <v>North America</v>
          </cell>
          <cell r="J481" t="str">
            <v>USA</v>
          </cell>
          <cell r="K481">
            <v>30132</v>
          </cell>
        </row>
        <row r="482">
          <cell r="A482" t="str">
            <v>In service</v>
          </cell>
          <cell r="B482" t="str">
            <v>Gulfstream Aerospace Gulfstream III</v>
          </cell>
          <cell r="C482" t="str">
            <v xml:space="preserve"> </v>
          </cell>
          <cell r="D482">
            <v>1984</v>
          </cell>
          <cell r="E482" t="str">
            <v>Texas Aviation Sales &amp; Leasing LLC</v>
          </cell>
          <cell r="F482">
            <v>20</v>
          </cell>
          <cell r="G482">
            <v>30772</v>
          </cell>
          <cell r="I482" t="str">
            <v>North America</v>
          </cell>
          <cell r="J482" t="str">
            <v>USA</v>
          </cell>
          <cell r="K482">
            <v>30132</v>
          </cell>
        </row>
        <row r="483">
          <cell r="A483" t="str">
            <v>In service</v>
          </cell>
          <cell r="B483" t="str">
            <v>Gulfstream Aerospace Gulfstream III</v>
          </cell>
          <cell r="C483" t="str">
            <v xml:space="preserve"> </v>
          </cell>
          <cell r="D483">
            <v>1984</v>
          </cell>
          <cell r="E483" t="str">
            <v>Sonic Financial Corp</v>
          </cell>
          <cell r="F483">
            <v>20</v>
          </cell>
          <cell r="G483">
            <v>30772</v>
          </cell>
          <cell r="I483" t="str">
            <v>North America</v>
          </cell>
          <cell r="J483" t="str">
            <v>USA</v>
          </cell>
          <cell r="K483">
            <v>30132</v>
          </cell>
        </row>
        <row r="484">
          <cell r="A484" t="str">
            <v>In service</v>
          </cell>
          <cell r="B484" t="str">
            <v>Gulfstream Aerospace Gulfstream III</v>
          </cell>
          <cell r="C484" t="str">
            <v xml:space="preserve"> </v>
          </cell>
          <cell r="D484">
            <v>1984</v>
          </cell>
          <cell r="E484" t="str">
            <v>Unconfirmed Mexican Operator</v>
          </cell>
          <cell r="F484">
            <v>20</v>
          </cell>
          <cell r="G484">
            <v>30802</v>
          </cell>
          <cell r="I484" t="str">
            <v>Latin America and Caribbean</v>
          </cell>
          <cell r="J484" t="str">
            <v>Mexico</v>
          </cell>
          <cell r="K484">
            <v>30497</v>
          </cell>
        </row>
        <row r="485">
          <cell r="A485" t="str">
            <v>In service</v>
          </cell>
          <cell r="B485" t="str">
            <v>Gulfstream Aerospace Gulfstream III</v>
          </cell>
          <cell r="C485" t="str">
            <v xml:space="preserve"> </v>
          </cell>
          <cell r="D485">
            <v>1984</v>
          </cell>
          <cell r="E485" t="str">
            <v>Papa Grande Aviation LLC</v>
          </cell>
          <cell r="F485">
            <v>20</v>
          </cell>
          <cell r="G485">
            <v>30833</v>
          </cell>
          <cell r="I485" t="str">
            <v>North America</v>
          </cell>
          <cell r="J485" t="str">
            <v>USA</v>
          </cell>
          <cell r="K485">
            <v>30132</v>
          </cell>
        </row>
        <row r="486">
          <cell r="A486" t="str">
            <v>In service</v>
          </cell>
          <cell r="B486" t="str">
            <v>Gulfstream Aerospace Gulfstream III</v>
          </cell>
          <cell r="C486" t="str">
            <v xml:space="preserve"> </v>
          </cell>
          <cell r="D486">
            <v>1984</v>
          </cell>
          <cell r="E486" t="str">
            <v>Harbour Group Industries Inc</v>
          </cell>
          <cell r="F486">
            <v>20</v>
          </cell>
          <cell r="G486">
            <v>30833</v>
          </cell>
          <cell r="I486" t="str">
            <v>North America</v>
          </cell>
          <cell r="J486" t="str">
            <v>USA</v>
          </cell>
          <cell r="K486">
            <v>30132</v>
          </cell>
        </row>
        <row r="487">
          <cell r="A487" t="str">
            <v>In service</v>
          </cell>
          <cell r="B487" t="str">
            <v>Gulfstream Aerospace Gulfstream III</v>
          </cell>
          <cell r="C487" t="str">
            <v xml:space="preserve"> </v>
          </cell>
          <cell r="D487">
            <v>1984</v>
          </cell>
          <cell r="E487" t="str">
            <v>BSI Holdings LLC</v>
          </cell>
          <cell r="F487">
            <v>20</v>
          </cell>
          <cell r="G487">
            <v>30833</v>
          </cell>
          <cell r="I487" t="str">
            <v>North America</v>
          </cell>
          <cell r="J487" t="str">
            <v>USA</v>
          </cell>
          <cell r="K487">
            <v>30132</v>
          </cell>
        </row>
        <row r="488">
          <cell r="A488" t="str">
            <v>In service</v>
          </cell>
          <cell r="B488" t="str">
            <v>Gulfstream Aerospace Gulfstream III</v>
          </cell>
          <cell r="C488" t="str">
            <v xml:space="preserve"> </v>
          </cell>
          <cell r="D488">
            <v>1984</v>
          </cell>
          <cell r="E488" t="str">
            <v>New World Jet Corp</v>
          </cell>
          <cell r="F488">
            <v>20</v>
          </cell>
          <cell r="G488">
            <v>30863</v>
          </cell>
          <cell r="I488" t="str">
            <v>North America</v>
          </cell>
          <cell r="J488" t="str">
            <v>USA</v>
          </cell>
          <cell r="K488">
            <v>30132</v>
          </cell>
        </row>
        <row r="489">
          <cell r="A489" t="str">
            <v>In service</v>
          </cell>
          <cell r="B489" t="str">
            <v>Gulfstream Aerospace Gulfstream III</v>
          </cell>
          <cell r="C489" t="str">
            <v xml:space="preserve"> </v>
          </cell>
          <cell r="D489">
            <v>1984</v>
          </cell>
          <cell r="E489" t="str">
            <v>Time Warner Entertainment</v>
          </cell>
          <cell r="F489">
            <v>20</v>
          </cell>
          <cell r="G489">
            <v>30863</v>
          </cell>
          <cell r="I489" t="str">
            <v>North America</v>
          </cell>
          <cell r="J489" t="str">
            <v>USA</v>
          </cell>
          <cell r="K489">
            <v>30132</v>
          </cell>
        </row>
        <row r="490">
          <cell r="A490" t="str">
            <v>In service</v>
          </cell>
          <cell r="B490" t="str">
            <v>Gulfstream Aerospace Gulfstream III</v>
          </cell>
          <cell r="C490" t="str">
            <v xml:space="preserve"> </v>
          </cell>
          <cell r="D490">
            <v>1984</v>
          </cell>
          <cell r="E490" t="str">
            <v>World Healing Center Church Inc</v>
          </cell>
          <cell r="F490">
            <v>20</v>
          </cell>
          <cell r="G490">
            <v>30863</v>
          </cell>
          <cell r="I490" t="str">
            <v>North America</v>
          </cell>
          <cell r="J490" t="str">
            <v>USA</v>
          </cell>
          <cell r="K490">
            <v>30132</v>
          </cell>
        </row>
        <row r="491">
          <cell r="A491" t="str">
            <v>In service</v>
          </cell>
          <cell r="B491" t="str">
            <v>Gulfstream Aerospace Gulfstream III</v>
          </cell>
          <cell r="C491" t="str">
            <v xml:space="preserve"> </v>
          </cell>
          <cell r="D491">
            <v>1984</v>
          </cell>
          <cell r="E491" t="str">
            <v>KOMAR Aviation LLC</v>
          </cell>
          <cell r="F491">
            <v>20</v>
          </cell>
          <cell r="G491">
            <v>30894</v>
          </cell>
          <cell r="I491" t="str">
            <v>North America</v>
          </cell>
          <cell r="J491" t="str">
            <v>USA</v>
          </cell>
          <cell r="K491">
            <v>30132</v>
          </cell>
        </row>
        <row r="492">
          <cell r="A492" t="str">
            <v>In service</v>
          </cell>
          <cell r="B492" t="str">
            <v>Gulfstream Aerospace Gulfstream III</v>
          </cell>
          <cell r="C492" t="str">
            <v xml:space="preserve"> </v>
          </cell>
          <cell r="D492">
            <v>1984</v>
          </cell>
          <cell r="E492" t="str">
            <v>Sinclair Oil Corp</v>
          </cell>
          <cell r="F492">
            <v>20</v>
          </cell>
          <cell r="G492">
            <v>30925</v>
          </cell>
          <cell r="I492" t="str">
            <v>North America</v>
          </cell>
          <cell r="J492" t="str">
            <v>USA</v>
          </cell>
          <cell r="K492">
            <v>30132</v>
          </cell>
        </row>
        <row r="493">
          <cell r="A493" t="str">
            <v>In service</v>
          </cell>
          <cell r="B493" t="str">
            <v>Gulfstream Aerospace Gulfstream III</v>
          </cell>
          <cell r="C493" t="str">
            <v xml:space="preserve"> </v>
          </cell>
          <cell r="D493">
            <v>1984</v>
          </cell>
          <cell r="E493" t="str">
            <v>Automotive Air Charter</v>
          </cell>
          <cell r="F493">
            <v>20</v>
          </cell>
          <cell r="G493">
            <v>30925</v>
          </cell>
          <cell r="I493" t="str">
            <v>North America</v>
          </cell>
          <cell r="J493" t="str">
            <v>USA</v>
          </cell>
          <cell r="K493">
            <v>30132</v>
          </cell>
        </row>
        <row r="494">
          <cell r="A494" t="str">
            <v>In service</v>
          </cell>
          <cell r="B494" t="str">
            <v>Gulfstream Aerospace Gulfstream III</v>
          </cell>
          <cell r="C494" t="str">
            <v xml:space="preserve"> </v>
          </cell>
          <cell r="D494">
            <v>1984</v>
          </cell>
          <cell r="E494" t="str">
            <v>Government of Egypt</v>
          </cell>
          <cell r="F494">
            <v>20</v>
          </cell>
          <cell r="G494">
            <v>30955</v>
          </cell>
          <cell r="I494" t="str">
            <v>Africa</v>
          </cell>
          <cell r="J494" t="str">
            <v>Egypt</v>
          </cell>
          <cell r="K494">
            <v>30132</v>
          </cell>
        </row>
        <row r="495">
          <cell r="A495" t="str">
            <v>In service</v>
          </cell>
          <cell r="B495" t="str">
            <v>Gulfstream Aerospace Gulfstream III</v>
          </cell>
          <cell r="C495" t="str">
            <v xml:space="preserve"> </v>
          </cell>
          <cell r="D495">
            <v>1984</v>
          </cell>
          <cell r="E495" t="str">
            <v>Billionaire Inc</v>
          </cell>
          <cell r="F495">
            <v>20</v>
          </cell>
          <cell r="G495">
            <v>30955</v>
          </cell>
          <cell r="I495" t="str">
            <v>North America</v>
          </cell>
          <cell r="J495" t="str">
            <v>USA</v>
          </cell>
          <cell r="K495">
            <v>30132</v>
          </cell>
        </row>
        <row r="496">
          <cell r="A496" t="str">
            <v>In service</v>
          </cell>
          <cell r="B496" t="str">
            <v>Gulfstream Aerospace Gulfstream III</v>
          </cell>
          <cell r="C496" t="str">
            <v xml:space="preserve"> </v>
          </cell>
          <cell r="D496">
            <v>1984</v>
          </cell>
          <cell r="E496" t="str">
            <v>Coastal Aviation Development LLC</v>
          </cell>
          <cell r="F496">
            <v>20</v>
          </cell>
          <cell r="G496">
            <v>30955</v>
          </cell>
          <cell r="I496" t="str">
            <v>North America</v>
          </cell>
          <cell r="J496" t="str">
            <v>USA</v>
          </cell>
          <cell r="K496">
            <v>30132</v>
          </cell>
        </row>
        <row r="497">
          <cell r="A497" t="str">
            <v>In service</v>
          </cell>
          <cell r="B497" t="str">
            <v>Gulfstream Aerospace Gulfstream III</v>
          </cell>
          <cell r="C497" t="str">
            <v xml:space="preserve"> </v>
          </cell>
          <cell r="D497">
            <v>1984</v>
          </cell>
          <cell r="E497" t="str">
            <v>Government of Egypt</v>
          </cell>
          <cell r="F497">
            <v>20</v>
          </cell>
          <cell r="G497">
            <v>30986</v>
          </cell>
          <cell r="I497" t="str">
            <v>Africa</v>
          </cell>
          <cell r="J497" t="str">
            <v>Egypt</v>
          </cell>
          <cell r="K497">
            <v>30132</v>
          </cell>
        </row>
        <row r="498">
          <cell r="A498" t="str">
            <v>In service</v>
          </cell>
          <cell r="B498" t="str">
            <v>Gulfstream Aerospace Gulfstream III</v>
          </cell>
          <cell r="C498" t="str">
            <v xml:space="preserve"> </v>
          </cell>
          <cell r="D498">
            <v>1984</v>
          </cell>
          <cell r="E498" t="str">
            <v>DirecTV Group Inc</v>
          </cell>
          <cell r="F498">
            <v>20</v>
          </cell>
          <cell r="G498">
            <v>30986</v>
          </cell>
          <cell r="I498" t="str">
            <v>North America</v>
          </cell>
          <cell r="J498" t="str">
            <v>USA</v>
          </cell>
          <cell r="K498">
            <v>30497</v>
          </cell>
        </row>
        <row r="499">
          <cell r="A499" t="str">
            <v>In service</v>
          </cell>
          <cell r="B499" t="str">
            <v>Gulfstream Aerospace Gulfstream III</v>
          </cell>
          <cell r="C499" t="str">
            <v xml:space="preserve"> </v>
          </cell>
          <cell r="D499">
            <v>1984</v>
          </cell>
          <cell r="E499" t="str">
            <v>DKH Services LLC</v>
          </cell>
          <cell r="F499">
            <v>20</v>
          </cell>
          <cell r="G499">
            <v>30986</v>
          </cell>
          <cell r="I499" t="str">
            <v>North America</v>
          </cell>
          <cell r="J499" t="str">
            <v>USA</v>
          </cell>
          <cell r="K499">
            <v>30497</v>
          </cell>
        </row>
        <row r="500">
          <cell r="A500" t="str">
            <v>In service</v>
          </cell>
          <cell r="B500" t="str">
            <v>Gulfstream Aerospace Gulfstream III</v>
          </cell>
          <cell r="C500" t="str">
            <v xml:space="preserve"> </v>
          </cell>
          <cell r="D500">
            <v>1984</v>
          </cell>
          <cell r="E500" t="str">
            <v>Oslo Express Inc</v>
          </cell>
          <cell r="F500">
            <v>20</v>
          </cell>
          <cell r="G500">
            <v>31016</v>
          </cell>
          <cell r="I500" t="str">
            <v>North America</v>
          </cell>
          <cell r="J500" t="str">
            <v>USA</v>
          </cell>
          <cell r="K500">
            <v>30132</v>
          </cell>
        </row>
        <row r="501">
          <cell r="A501" t="str">
            <v>In service</v>
          </cell>
          <cell r="B501" t="str">
            <v>Gulfstream Aerospace Gulfstream III</v>
          </cell>
          <cell r="C501" t="str">
            <v xml:space="preserve"> </v>
          </cell>
          <cell r="D501">
            <v>1984</v>
          </cell>
          <cell r="E501" t="str">
            <v>Air Sterling LLC</v>
          </cell>
          <cell r="F501">
            <v>20</v>
          </cell>
          <cell r="G501">
            <v>31047</v>
          </cell>
          <cell r="I501" t="str">
            <v>North America</v>
          </cell>
          <cell r="J501" t="str">
            <v>USA</v>
          </cell>
          <cell r="K501">
            <v>30497</v>
          </cell>
        </row>
        <row r="502">
          <cell r="A502" t="str">
            <v>In service</v>
          </cell>
          <cell r="B502" t="str">
            <v>Gulfstream Aerospace Gulfstream III</v>
          </cell>
          <cell r="C502" t="str">
            <v xml:space="preserve"> </v>
          </cell>
          <cell r="D502">
            <v>1984</v>
          </cell>
          <cell r="E502" t="str">
            <v>New World Jet Corp</v>
          </cell>
          <cell r="F502">
            <v>20</v>
          </cell>
          <cell r="G502">
            <v>31016</v>
          </cell>
          <cell r="I502" t="str">
            <v>North America</v>
          </cell>
          <cell r="J502" t="str">
            <v>USA</v>
          </cell>
          <cell r="K502">
            <v>30132</v>
          </cell>
        </row>
        <row r="503">
          <cell r="A503" t="str">
            <v>In service</v>
          </cell>
          <cell r="B503" t="str">
            <v>Gulfstream Aerospace Gulfstream III</v>
          </cell>
          <cell r="C503" t="str">
            <v xml:space="preserve"> </v>
          </cell>
          <cell r="D503">
            <v>1984</v>
          </cell>
          <cell r="E503" t="str">
            <v>WMA Aviation LLC</v>
          </cell>
          <cell r="F503">
            <v>20</v>
          </cell>
          <cell r="G503">
            <v>31047</v>
          </cell>
          <cell r="I503" t="str">
            <v>North America</v>
          </cell>
          <cell r="J503" t="str">
            <v>USA</v>
          </cell>
          <cell r="K503">
            <v>30497</v>
          </cell>
        </row>
        <row r="504">
          <cell r="A504" t="str">
            <v>In service</v>
          </cell>
          <cell r="B504" t="str">
            <v>Gulfstream Aerospace Gulfstream III</v>
          </cell>
          <cell r="C504" t="str">
            <v xml:space="preserve"> </v>
          </cell>
          <cell r="D504">
            <v>1984</v>
          </cell>
          <cell r="E504" t="str">
            <v>Bay Hawk LLC</v>
          </cell>
          <cell r="F504">
            <v>20</v>
          </cell>
          <cell r="G504">
            <v>31136</v>
          </cell>
          <cell r="I504" t="str">
            <v>North America</v>
          </cell>
          <cell r="J504" t="str">
            <v>USA</v>
          </cell>
          <cell r="K504">
            <v>30497</v>
          </cell>
        </row>
        <row r="505">
          <cell r="A505" t="str">
            <v>In service</v>
          </cell>
          <cell r="B505" t="str">
            <v>Gulfstream Aerospace Gulfstream III</v>
          </cell>
          <cell r="C505" t="str">
            <v xml:space="preserve"> </v>
          </cell>
          <cell r="D505">
            <v>1984</v>
          </cell>
          <cell r="E505" t="str">
            <v>Hendrick Motorsports Inc</v>
          </cell>
          <cell r="F505">
            <v>20</v>
          </cell>
          <cell r="G505">
            <v>31047</v>
          </cell>
          <cell r="I505" t="str">
            <v>North America</v>
          </cell>
          <cell r="J505" t="str">
            <v>USA</v>
          </cell>
          <cell r="K505">
            <v>30132</v>
          </cell>
        </row>
        <row r="506">
          <cell r="A506" t="str">
            <v>In service</v>
          </cell>
          <cell r="B506" t="str">
            <v>Gulfstream Aerospace Gulfstream III</v>
          </cell>
          <cell r="C506" t="str">
            <v xml:space="preserve"> </v>
          </cell>
          <cell r="D506">
            <v>1985</v>
          </cell>
          <cell r="E506" t="str">
            <v>Oslo Express Inc</v>
          </cell>
          <cell r="F506">
            <v>19</v>
          </cell>
          <cell r="G506">
            <v>31670</v>
          </cell>
          <cell r="I506" t="str">
            <v>North America</v>
          </cell>
          <cell r="J506" t="str">
            <v>USA</v>
          </cell>
          <cell r="K506">
            <v>30863</v>
          </cell>
        </row>
        <row r="507">
          <cell r="A507" t="str">
            <v>In service</v>
          </cell>
          <cell r="B507" t="str">
            <v>Gulfstream Aerospace Gulfstream III</v>
          </cell>
          <cell r="C507" t="str">
            <v xml:space="preserve"> </v>
          </cell>
          <cell r="D507">
            <v>1985</v>
          </cell>
          <cell r="E507" t="str">
            <v>Rodatz Financial Group Inc</v>
          </cell>
          <cell r="F507">
            <v>19</v>
          </cell>
          <cell r="G507">
            <v>31106</v>
          </cell>
          <cell r="I507" t="str">
            <v>North America</v>
          </cell>
          <cell r="J507" t="str">
            <v>USA</v>
          </cell>
          <cell r="K507">
            <v>30497</v>
          </cell>
        </row>
        <row r="508">
          <cell r="A508" t="str">
            <v>In service</v>
          </cell>
          <cell r="B508" t="str">
            <v>Gulfstream Aerospace Gulfstream III</v>
          </cell>
          <cell r="C508" t="str">
            <v xml:space="preserve"> </v>
          </cell>
          <cell r="D508">
            <v>1985</v>
          </cell>
          <cell r="E508" t="str">
            <v>Tesoro Petroleum Co Inc</v>
          </cell>
          <cell r="F508">
            <v>19</v>
          </cell>
          <cell r="G508">
            <v>31137</v>
          </cell>
          <cell r="I508" t="str">
            <v>North America</v>
          </cell>
          <cell r="J508" t="str">
            <v>USA</v>
          </cell>
          <cell r="K508">
            <v>30497</v>
          </cell>
        </row>
        <row r="509">
          <cell r="A509" t="str">
            <v>In service</v>
          </cell>
          <cell r="B509" t="str">
            <v>Gulfstream Aerospace Gulfstream III</v>
          </cell>
          <cell r="C509" t="str">
            <v xml:space="preserve"> </v>
          </cell>
          <cell r="D509">
            <v>1985</v>
          </cell>
          <cell r="E509" t="str">
            <v>Voyager YC Aviation LLC</v>
          </cell>
          <cell r="F509">
            <v>19</v>
          </cell>
          <cell r="G509">
            <v>31137</v>
          </cell>
          <cell r="I509" t="str">
            <v>North America</v>
          </cell>
          <cell r="J509" t="str">
            <v>USA</v>
          </cell>
          <cell r="K509">
            <v>30497</v>
          </cell>
        </row>
        <row r="510">
          <cell r="A510" t="str">
            <v>In service</v>
          </cell>
          <cell r="B510" t="str">
            <v>Gulfstream Aerospace Gulfstream III</v>
          </cell>
          <cell r="C510" t="str">
            <v xml:space="preserve"> </v>
          </cell>
          <cell r="D510">
            <v>1985</v>
          </cell>
          <cell r="E510" t="str">
            <v>CorporatAir LLC</v>
          </cell>
          <cell r="F510">
            <v>19</v>
          </cell>
          <cell r="G510">
            <v>31137</v>
          </cell>
          <cell r="I510" t="str">
            <v>North America</v>
          </cell>
          <cell r="J510" t="str">
            <v>USA</v>
          </cell>
          <cell r="K510">
            <v>30497</v>
          </cell>
        </row>
        <row r="511">
          <cell r="A511" t="str">
            <v>In service</v>
          </cell>
          <cell r="B511" t="str">
            <v>Gulfstream Aerospace Gulfstream III</v>
          </cell>
          <cell r="C511" t="str">
            <v xml:space="preserve"> </v>
          </cell>
          <cell r="D511">
            <v>1985</v>
          </cell>
          <cell r="E511" t="str">
            <v>MidSouth Services Inc</v>
          </cell>
          <cell r="F511">
            <v>19</v>
          </cell>
          <cell r="G511">
            <v>31259</v>
          </cell>
          <cell r="I511" t="str">
            <v>North America</v>
          </cell>
          <cell r="J511" t="str">
            <v>USA</v>
          </cell>
          <cell r="K511">
            <v>30863</v>
          </cell>
        </row>
        <row r="512">
          <cell r="A512" t="str">
            <v>In service</v>
          </cell>
          <cell r="B512" t="str">
            <v>Gulfstream Aerospace Gulfstream III</v>
          </cell>
          <cell r="C512" t="str">
            <v xml:space="preserve"> </v>
          </cell>
          <cell r="D512">
            <v>1985</v>
          </cell>
          <cell r="E512" t="str">
            <v>Magic Johnson Entertainment Inc</v>
          </cell>
          <cell r="F512">
            <v>19</v>
          </cell>
          <cell r="G512">
            <v>31198</v>
          </cell>
          <cell r="I512" t="str">
            <v>North America</v>
          </cell>
          <cell r="J512" t="str">
            <v>USA</v>
          </cell>
          <cell r="K512">
            <v>30497</v>
          </cell>
        </row>
        <row r="513">
          <cell r="A513" t="str">
            <v>In service</v>
          </cell>
          <cell r="B513" t="str">
            <v>Gulfstream Aerospace Gulfstream III</v>
          </cell>
          <cell r="C513" t="str">
            <v xml:space="preserve"> </v>
          </cell>
          <cell r="D513">
            <v>1985</v>
          </cell>
          <cell r="E513" t="str">
            <v>Flying Eagle Aviation Inc</v>
          </cell>
          <cell r="F513">
            <v>19</v>
          </cell>
          <cell r="G513">
            <v>31228</v>
          </cell>
          <cell r="I513" t="str">
            <v>North America</v>
          </cell>
          <cell r="J513" t="str">
            <v>USA</v>
          </cell>
          <cell r="K513">
            <v>30497</v>
          </cell>
        </row>
        <row r="514">
          <cell r="A514" t="str">
            <v>In service</v>
          </cell>
          <cell r="B514" t="str">
            <v>Gulfstream Aerospace Gulfstream III</v>
          </cell>
          <cell r="C514" t="str">
            <v xml:space="preserve"> </v>
          </cell>
          <cell r="D514">
            <v>1985</v>
          </cell>
          <cell r="E514" t="str">
            <v>Government of Ivory Coast</v>
          </cell>
          <cell r="F514">
            <v>19</v>
          </cell>
          <cell r="G514">
            <v>31228</v>
          </cell>
          <cell r="I514" t="str">
            <v>Africa</v>
          </cell>
          <cell r="J514" t="str">
            <v>Ivory Coast</v>
          </cell>
          <cell r="K514">
            <v>30497</v>
          </cell>
        </row>
        <row r="515">
          <cell r="A515" t="str">
            <v>In service</v>
          </cell>
          <cell r="B515" t="str">
            <v>Gulfstream Aerospace Gulfstream III</v>
          </cell>
          <cell r="C515" t="str">
            <v xml:space="preserve"> </v>
          </cell>
          <cell r="D515">
            <v>1985</v>
          </cell>
          <cell r="E515" t="str">
            <v>Southlake Aviation LLC</v>
          </cell>
          <cell r="F515">
            <v>19</v>
          </cell>
          <cell r="G515">
            <v>31259</v>
          </cell>
          <cell r="I515" t="str">
            <v>North America</v>
          </cell>
          <cell r="J515" t="str">
            <v>USA</v>
          </cell>
          <cell r="K515">
            <v>30497</v>
          </cell>
        </row>
        <row r="516">
          <cell r="A516" t="str">
            <v>In service</v>
          </cell>
          <cell r="B516" t="str">
            <v>Gulfstream Aerospace Gulfstream III</v>
          </cell>
          <cell r="C516" t="str">
            <v xml:space="preserve"> </v>
          </cell>
          <cell r="D516">
            <v>1985</v>
          </cell>
          <cell r="E516" t="str">
            <v>Caesar's Entertainment Inc</v>
          </cell>
          <cell r="F516">
            <v>19</v>
          </cell>
          <cell r="G516">
            <v>31381</v>
          </cell>
          <cell r="I516" t="str">
            <v>North America</v>
          </cell>
          <cell r="J516" t="str">
            <v>USA</v>
          </cell>
          <cell r="K516">
            <v>30497</v>
          </cell>
        </row>
        <row r="517">
          <cell r="A517" t="str">
            <v>In service</v>
          </cell>
          <cell r="B517" t="str">
            <v>Gulfstream Aerospace Gulfstream III</v>
          </cell>
          <cell r="C517" t="str">
            <v xml:space="preserve"> </v>
          </cell>
          <cell r="D517">
            <v>1985</v>
          </cell>
          <cell r="E517" t="str">
            <v>Monroe Business Ventures LLC</v>
          </cell>
          <cell r="F517">
            <v>19</v>
          </cell>
          <cell r="G517">
            <v>31381</v>
          </cell>
          <cell r="I517" t="str">
            <v>North America</v>
          </cell>
          <cell r="J517" t="str">
            <v>USA</v>
          </cell>
          <cell r="K517">
            <v>30863</v>
          </cell>
        </row>
        <row r="518">
          <cell r="A518" t="str">
            <v>In service</v>
          </cell>
          <cell r="B518" t="str">
            <v>Gulfstream Aerospace Gulfstream III</v>
          </cell>
          <cell r="C518" t="str">
            <v xml:space="preserve"> </v>
          </cell>
          <cell r="D518">
            <v>1985</v>
          </cell>
          <cell r="E518" t="str">
            <v>Hill Air Corp</v>
          </cell>
          <cell r="F518">
            <v>19</v>
          </cell>
          <cell r="G518">
            <v>31517</v>
          </cell>
          <cell r="I518" t="str">
            <v>North America</v>
          </cell>
          <cell r="J518" t="str">
            <v>USA</v>
          </cell>
          <cell r="K518">
            <v>31228</v>
          </cell>
        </row>
        <row r="519">
          <cell r="A519" t="str">
            <v>In service</v>
          </cell>
          <cell r="B519" t="str">
            <v>Gulfstream Aerospace Gulfstream III</v>
          </cell>
          <cell r="C519" t="str">
            <v xml:space="preserve"> </v>
          </cell>
          <cell r="D519">
            <v>1985</v>
          </cell>
          <cell r="E519" t="str">
            <v>Thompson Tractor Co</v>
          </cell>
          <cell r="F519">
            <v>19</v>
          </cell>
          <cell r="G519">
            <v>31344</v>
          </cell>
          <cell r="I519" t="str">
            <v>North America</v>
          </cell>
          <cell r="J519" t="str">
            <v>USA</v>
          </cell>
          <cell r="K519">
            <v>30863</v>
          </cell>
        </row>
        <row r="520">
          <cell r="A520" t="str">
            <v>In service</v>
          </cell>
          <cell r="B520" t="str">
            <v>Gulfstream Aerospace Gulfstream III</v>
          </cell>
          <cell r="C520" t="str">
            <v xml:space="preserve"> </v>
          </cell>
          <cell r="D520">
            <v>1985</v>
          </cell>
          <cell r="E520" t="str">
            <v>Executive Charters Inc</v>
          </cell>
          <cell r="F520">
            <v>19</v>
          </cell>
          <cell r="G520">
            <v>31412</v>
          </cell>
          <cell r="I520" t="str">
            <v>North America</v>
          </cell>
          <cell r="J520" t="str">
            <v>USA</v>
          </cell>
        </row>
        <row r="521">
          <cell r="A521" t="str">
            <v>In service</v>
          </cell>
          <cell r="B521" t="str">
            <v>Gulfstream Aerospace Gulfstream III</v>
          </cell>
          <cell r="C521" t="str">
            <v xml:space="preserve"> </v>
          </cell>
          <cell r="D521">
            <v>1985</v>
          </cell>
          <cell r="E521" t="str">
            <v>Government of Angola</v>
          </cell>
          <cell r="F521">
            <v>19</v>
          </cell>
          <cell r="G521">
            <v>31547</v>
          </cell>
          <cell r="I521" t="str">
            <v>Africa</v>
          </cell>
          <cell r="J521" t="str">
            <v>Angola</v>
          </cell>
          <cell r="K521">
            <v>30863</v>
          </cell>
        </row>
        <row r="522">
          <cell r="A522" t="str">
            <v>In service</v>
          </cell>
          <cell r="B522" t="str">
            <v>Gulfstream Aerospace Gulfstream III</v>
          </cell>
          <cell r="C522" t="str">
            <v xml:space="preserve"> </v>
          </cell>
          <cell r="D522">
            <v>1986</v>
          </cell>
          <cell r="E522" t="str">
            <v>R &amp; L Air LLC</v>
          </cell>
          <cell r="F522">
            <v>18</v>
          </cell>
          <cell r="G522">
            <v>31761</v>
          </cell>
          <cell r="I522" t="str">
            <v>North America</v>
          </cell>
          <cell r="J522" t="str">
            <v>USA</v>
          </cell>
          <cell r="K522">
            <v>30863</v>
          </cell>
        </row>
        <row r="523">
          <cell r="A523" t="str">
            <v>In service</v>
          </cell>
          <cell r="B523" t="str">
            <v>Gulfstream Aerospace Gulfstream III</v>
          </cell>
          <cell r="C523" t="str">
            <v xml:space="preserve"> </v>
          </cell>
          <cell r="D523">
            <v>1986</v>
          </cell>
          <cell r="E523" t="str">
            <v>Collins Brothers Corp &amp; Terrible Herbst Inc</v>
          </cell>
          <cell r="F523">
            <v>18</v>
          </cell>
          <cell r="G523">
            <v>31674</v>
          </cell>
          <cell r="I523" t="str">
            <v>North America</v>
          </cell>
          <cell r="J523" t="str">
            <v>USA</v>
          </cell>
          <cell r="K523">
            <v>31228</v>
          </cell>
        </row>
        <row r="524">
          <cell r="A524" t="str">
            <v>In service</v>
          </cell>
          <cell r="B524" t="str">
            <v>Gulfstream Aerospace Gulfstream III</v>
          </cell>
          <cell r="C524" t="str">
            <v xml:space="preserve"> </v>
          </cell>
          <cell r="D524">
            <v>1986</v>
          </cell>
          <cell r="E524" t="str">
            <v>Meridian Equipment Co Inc</v>
          </cell>
          <cell r="F524">
            <v>18</v>
          </cell>
          <cell r="G524">
            <v>31523</v>
          </cell>
          <cell r="I524" t="str">
            <v>North America</v>
          </cell>
          <cell r="J524" t="str">
            <v>USA</v>
          </cell>
          <cell r="K524">
            <v>30863</v>
          </cell>
        </row>
        <row r="525">
          <cell r="A525" t="str">
            <v>In service</v>
          </cell>
          <cell r="B525" t="str">
            <v>Gulfstream Aerospace Gulfstream III</v>
          </cell>
          <cell r="C525" t="str">
            <v xml:space="preserve"> </v>
          </cell>
          <cell r="D525">
            <v>1986</v>
          </cell>
          <cell r="E525" t="str">
            <v>Rida Aviation Ltd</v>
          </cell>
          <cell r="F525">
            <v>18</v>
          </cell>
          <cell r="G525">
            <v>31560</v>
          </cell>
          <cell r="I525" t="str">
            <v>Latin America and Caribbean</v>
          </cell>
          <cell r="J525" t="str">
            <v>Bermuda</v>
          </cell>
          <cell r="K525">
            <v>31228</v>
          </cell>
        </row>
        <row r="526">
          <cell r="A526" t="str">
            <v>In service</v>
          </cell>
          <cell r="B526" t="str">
            <v>Gulfstream Aerospace Gulfstream III</v>
          </cell>
          <cell r="C526" t="str">
            <v xml:space="preserve"> </v>
          </cell>
          <cell r="D526">
            <v>1986</v>
          </cell>
          <cell r="E526" t="str">
            <v>McWane Inc</v>
          </cell>
          <cell r="F526">
            <v>18</v>
          </cell>
          <cell r="G526">
            <v>31774</v>
          </cell>
          <cell r="I526" t="str">
            <v>North America</v>
          </cell>
          <cell r="J526" t="str">
            <v>USA</v>
          </cell>
        </row>
        <row r="527">
          <cell r="A527" t="str">
            <v>In service</v>
          </cell>
          <cell r="B527" t="str">
            <v>Gulfstream Aerospace Gulfstream III</v>
          </cell>
          <cell r="C527" t="str">
            <v xml:space="preserve"> </v>
          </cell>
          <cell r="D527">
            <v>1986</v>
          </cell>
          <cell r="E527" t="str">
            <v>Government of Cameroon</v>
          </cell>
          <cell r="F527">
            <v>18</v>
          </cell>
          <cell r="G527">
            <v>31578</v>
          </cell>
          <cell r="I527" t="str">
            <v>Africa</v>
          </cell>
          <cell r="J527" t="str">
            <v>Cameroon</v>
          </cell>
          <cell r="K527">
            <v>30863</v>
          </cell>
        </row>
        <row r="528">
          <cell r="A528" t="str">
            <v>In service</v>
          </cell>
          <cell r="B528" t="str">
            <v>Gulfstream Aerospace Gulfstream III</v>
          </cell>
          <cell r="C528" t="str">
            <v xml:space="preserve"> </v>
          </cell>
          <cell r="D528">
            <v>1986</v>
          </cell>
          <cell r="E528" t="str">
            <v>Walter McPhail</v>
          </cell>
          <cell r="F528">
            <v>18</v>
          </cell>
          <cell r="G528">
            <v>31670</v>
          </cell>
          <cell r="I528" t="str">
            <v>North America</v>
          </cell>
          <cell r="J528" t="str">
            <v>USA</v>
          </cell>
          <cell r="K528">
            <v>30863</v>
          </cell>
        </row>
        <row r="529">
          <cell r="A529" t="str">
            <v>In service</v>
          </cell>
          <cell r="B529" t="str">
            <v>Gulfstream Aerospace Gulfstream III</v>
          </cell>
          <cell r="C529" t="str">
            <v xml:space="preserve"> </v>
          </cell>
          <cell r="D529">
            <v>1986</v>
          </cell>
          <cell r="E529" t="str">
            <v>Commerce Leasing Co</v>
          </cell>
          <cell r="F529">
            <v>18</v>
          </cell>
          <cell r="G529">
            <v>31729</v>
          </cell>
          <cell r="I529" t="str">
            <v>North America</v>
          </cell>
          <cell r="J529" t="str">
            <v>USA</v>
          </cell>
          <cell r="K529">
            <v>31228</v>
          </cell>
        </row>
        <row r="530">
          <cell r="A530" t="str">
            <v>In service</v>
          </cell>
          <cell r="B530" t="str">
            <v>Gulfstream Aerospace Gulfstream III</v>
          </cell>
          <cell r="C530" t="str">
            <v xml:space="preserve"> </v>
          </cell>
          <cell r="D530">
            <v>1986</v>
          </cell>
          <cell r="E530" t="str">
            <v>Deniston Enterprises Inc</v>
          </cell>
          <cell r="F530">
            <v>18</v>
          </cell>
          <cell r="G530">
            <v>31700</v>
          </cell>
          <cell r="I530" t="str">
            <v>North America</v>
          </cell>
          <cell r="J530" t="str">
            <v>USA</v>
          </cell>
          <cell r="K530">
            <v>31228</v>
          </cell>
        </row>
        <row r="531">
          <cell r="A531" t="str">
            <v>In service</v>
          </cell>
          <cell r="B531" t="str">
            <v>Gulfstream Aerospace Gulfstream III</v>
          </cell>
          <cell r="C531" t="str">
            <v xml:space="preserve"> </v>
          </cell>
          <cell r="D531">
            <v>1986</v>
          </cell>
          <cell r="E531" t="str">
            <v>Franklin/Templeton Travel Inc</v>
          </cell>
          <cell r="F531">
            <v>18</v>
          </cell>
          <cell r="G531">
            <v>31702</v>
          </cell>
          <cell r="I531" t="str">
            <v>North America</v>
          </cell>
          <cell r="J531" t="str">
            <v>USA</v>
          </cell>
          <cell r="K531">
            <v>31228</v>
          </cell>
        </row>
        <row r="532">
          <cell r="A532" t="str">
            <v>In service</v>
          </cell>
          <cell r="B532" t="str">
            <v>Gulfstream Aerospace Gulfstream III</v>
          </cell>
          <cell r="C532" t="str">
            <v xml:space="preserve"> </v>
          </cell>
          <cell r="D532">
            <v>1986</v>
          </cell>
          <cell r="E532" t="str">
            <v>Ferrell Schultz Aviation LLC</v>
          </cell>
          <cell r="F532">
            <v>18</v>
          </cell>
          <cell r="G532">
            <v>31728</v>
          </cell>
          <cell r="I532" t="str">
            <v>North America</v>
          </cell>
          <cell r="J532" t="str">
            <v>USA</v>
          </cell>
          <cell r="K532">
            <v>31228</v>
          </cell>
        </row>
        <row r="533">
          <cell r="A533" t="str">
            <v>In service</v>
          </cell>
          <cell r="B533" t="str">
            <v>Gulfstream Aerospace Gulfstream III</v>
          </cell>
          <cell r="C533" t="str">
            <v xml:space="preserve"> </v>
          </cell>
          <cell r="D533">
            <v>1986</v>
          </cell>
          <cell r="E533" t="str">
            <v>N848RJ Inc</v>
          </cell>
          <cell r="F533">
            <v>18</v>
          </cell>
          <cell r="G533">
            <v>32126</v>
          </cell>
          <cell r="I533" t="str">
            <v>North America</v>
          </cell>
          <cell r="J533" t="str">
            <v>USA</v>
          </cell>
          <cell r="K533">
            <v>31593</v>
          </cell>
        </row>
        <row r="534">
          <cell r="A534" t="str">
            <v>In service</v>
          </cell>
          <cell r="B534" t="str">
            <v>Gulfstream Aerospace Gulfstream III</v>
          </cell>
          <cell r="C534" t="str">
            <v xml:space="preserve"> </v>
          </cell>
          <cell r="D534">
            <v>1986</v>
          </cell>
          <cell r="E534" t="str">
            <v>Ghana Air Force</v>
          </cell>
          <cell r="F534">
            <v>18</v>
          </cell>
          <cell r="G534">
            <v>31770</v>
          </cell>
          <cell r="I534" t="str">
            <v>Africa</v>
          </cell>
          <cell r="J534" t="str">
            <v>Ghana</v>
          </cell>
        </row>
        <row r="535">
          <cell r="A535" t="str">
            <v>In service</v>
          </cell>
          <cell r="B535" t="str">
            <v>Gulfstream Aerospace Gulfstream III</v>
          </cell>
          <cell r="C535" t="str">
            <v xml:space="preserve"> </v>
          </cell>
          <cell r="D535">
            <v>1987</v>
          </cell>
          <cell r="E535" t="str">
            <v xml:space="preserve">Independent Aviation Services Ltd Coutts (Cayman) </v>
          </cell>
          <cell r="F535">
            <v>17</v>
          </cell>
          <cell r="G535">
            <v>32134</v>
          </cell>
          <cell r="I535" t="str">
            <v>Latin America and Caribbean</v>
          </cell>
          <cell r="J535" t="str">
            <v>Cayman Islands</v>
          </cell>
        </row>
        <row r="536">
          <cell r="A536" t="str">
            <v>In service</v>
          </cell>
          <cell r="B536" t="str">
            <v>Gulfstream Aerospace Gulfstream III</v>
          </cell>
          <cell r="C536" t="str">
            <v xml:space="preserve"> </v>
          </cell>
          <cell r="D536">
            <v>1981</v>
          </cell>
          <cell r="E536" t="str">
            <v>UJZ LLC</v>
          </cell>
          <cell r="F536">
            <v>23</v>
          </cell>
          <cell r="G536">
            <v>29654</v>
          </cell>
          <cell r="I536" t="str">
            <v>North America</v>
          </cell>
          <cell r="J536" t="str">
            <v>USA</v>
          </cell>
          <cell r="K536">
            <v>29036</v>
          </cell>
        </row>
        <row r="537">
          <cell r="A537" t="str">
            <v>In service</v>
          </cell>
          <cell r="B537" t="str">
            <v>Gulfstream Aerospace Gulfstream III</v>
          </cell>
          <cell r="C537" t="str">
            <v>(SCD)</v>
          </cell>
          <cell r="D537">
            <v>1980</v>
          </cell>
          <cell r="E537" t="str">
            <v>Royal Danish Air Force</v>
          </cell>
          <cell r="F537">
            <v>24</v>
          </cell>
          <cell r="G537">
            <v>29465</v>
          </cell>
          <cell r="H537" t="str">
            <v>(SCD)</v>
          </cell>
          <cell r="I537" t="str">
            <v>Europe</v>
          </cell>
          <cell r="J537" t="str">
            <v>Denmark</v>
          </cell>
          <cell r="K537">
            <v>29036</v>
          </cell>
        </row>
        <row r="538">
          <cell r="A538" t="str">
            <v>In service</v>
          </cell>
          <cell r="B538" t="str">
            <v>Gulfstream Aerospace Gulfstream III</v>
          </cell>
          <cell r="C538" t="str">
            <v>(SCD)</v>
          </cell>
          <cell r="D538">
            <v>1986</v>
          </cell>
          <cell r="E538" t="str">
            <v>Indian Air Force</v>
          </cell>
          <cell r="F538">
            <v>18</v>
          </cell>
          <cell r="G538">
            <v>31770</v>
          </cell>
          <cell r="H538" t="str">
            <v>(SCD)</v>
          </cell>
          <cell r="I538" t="str">
            <v>Asia</v>
          </cell>
          <cell r="J538" t="str">
            <v>India</v>
          </cell>
        </row>
        <row r="539">
          <cell r="A539" t="str">
            <v>In service</v>
          </cell>
          <cell r="B539" t="str">
            <v>Gulfstream Aerospace Gulfstream III</v>
          </cell>
          <cell r="C539" t="str">
            <v>(SCD)</v>
          </cell>
          <cell r="D539">
            <v>1986</v>
          </cell>
          <cell r="E539" t="str">
            <v>Indian Air Force</v>
          </cell>
          <cell r="F539">
            <v>18</v>
          </cell>
          <cell r="G539">
            <v>31776</v>
          </cell>
          <cell r="H539" t="str">
            <v>(SCD)</v>
          </cell>
          <cell r="I539" t="str">
            <v>Asia</v>
          </cell>
          <cell r="J539" t="str">
            <v>India</v>
          </cell>
        </row>
        <row r="540">
          <cell r="A540" t="str">
            <v>In service</v>
          </cell>
          <cell r="B540" t="str">
            <v>Gulfstream Aerospace Gulfstream III</v>
          </cell>
          <cell r="C540" t="str">
            <v>C-20A</v>
          </cell>
          <cell r="D540">
            <v>1983</v>
          </cell>
          <cell r="E540" t="str">
            <v>US Navy</v>
          </cell>
          <cell r="F540">
            <v>21</v>
          </cell>
          <cell r="G540">
            <v>30619</v>
          </cell>
          <cell r="H540" t="str">
            <v>C-20A</v>
          </cell>
          <cell r="I540" t="str">
            <v>North America</v>
          </cell>
          <cell r="J540" t="str">
            <v>USA</v>
          </cell>
          <cell r="K540">
            <v>30474</v>
          </cell>
        </row>
        <row r="541">
          <cell r="A541" t="str">
            <v>In service</v>
          </cell>
          <cell r="B541" t="str">
            <v>Gulfstream Aerospace Gulfstream III</v>
          </cell>
          <cell r="C541" t="str">
            <v>C-20A</v>
          </cell>
          <cell r="D541">
            <v>1983</v>
          </cell>
          <cell r="E541" t="str">
            <v>US Army - Corp of Engineers</v>
          </cell>
          <cell r="F541">
            <v>21</v>
          </cell>
          <cell r="G541">
            <v>30589</v>
          </cell>
          <cell r="H541" t="str">
            <v>C-20A</v>
          </cell>
          <cell r="I541" t="str">
            <v>North America</v>
          </cell>
          <cell r="J541" t="str">
            <v>USA</v>
          </cell>
          <cell r="K541">
            <v>30474</v>
          </cell>
        </row>
        <row r="542">
          <cell r="A542" t="str">
            <v>In service</v>
          </cell>
          <cell r="B542" t="str">
            <v>Gulfstream Aerospace Gulfstream III</v>
          </cell>
          <cell r="C542" t="str">
            <v>C-20A</v>
          </cell>
          <cell r="D542">
            <v>1983</v>
          </cell>
          <cell r="E542" t="str">
            <v>NASA</v>
          </cell>
          <cell r="F542">
            <v>21</v>
          </cell>
          <cell r="G542">
            <v>30650</v>
          </cell>
          <cell r="H542" t="str">
            <v>C-20A</v>
          </cell>
          <cell r="I542" t="str">
            <v>North America</v>
          </cell>
          <cell r="J542" t="str">
            <v>USA</v>
          </cell>
          <cell r="K542">
            <v>30474</v>
          </cell>
        </row>
        <row r="543">
          <cell r="A543" t="str">
            <v>In service</v>
          </cell>
          <cell r="B543" t="str">
            <v>Gulfstream Aerospace Gulfstream III</v>
          </cell>
          <cell r="C543" t="str">
            <v>C-20B</v>
          </cell>
          <cell r="D543">
            <v>1985</v>
          </cell>
          <cell r="E543" t="str">
            <v>Trans Gulf Corp</v>
          </cell>
          <cell r="F543">
            <v>19</v>
          </cell>
          <cell r="G543">
            <v>31851</v>
          </cell>
          <cell r="I543" t="str">
            <v>North America</v>
          </cell>
          <cell r="J543" t="str">
            <v>USA</v>
          </cell>
          <cell r="K543">
            <v>31427</v>
          </cell>
        </row>
        <row r="544">
          <cell r="A544" t="str">
            <v>In service</v>
          </cell>
          <cell r="B544" t="str">
            <v>Gulfstream Aerospace Gulfstream III</v>
          </cell>
          <cell r="C544" t="str">
            <v>C-20B</v>
          </cell>
          <cell r="D544">
            <v>1985</v>
          </cell>
          <cell r="E544" t="str">
            <v>US Air Force</v>
          </cell>
          <cell r="F544">
            <v>19</v>
          </cell>
          <cell r="G544">
            <v>31882</v>
          </cell>
          <cell r="H544" t="str">
            <v>C-20B</v>
          </cell>
          <cell r="I544" t="str">
            <v>North America</v>
          </cell>
          <cell r="J544" t="str">
            <v>USA</v>
          </cell>
          <cell r="K544">
            <v>31427</v>
          </cell>
        </row>
        <row r="545">
          <cell r="A545" t="str">
            <v>In service</v>
          </cell>
          <cell r="B545" t="str">
            <v>Gulfstream Aerospace Gulfstream III</v>
          </cell>
          <cell r="C545" t="str">
            <v>C-20B</v>
          </cell>
          <cell r="D545">
            <v>1985</v>
          </cell>
          <cell r="E545" t="str">
            <v>US Air Force</v>
          </cell>
          <cell r="F545">
            <v>19</v>
          </cell>
          <cell r="G545">
            <v>31912</v>
          </cell>
          <cell r="H545" t="str">
            <v>C-20B</v>
          </cell>
          <cell r="I545" t="str">
            <v>North America</v>
          </cell>
          <cell r="J545" t="str">
            <v>USA</v>
          </cell>
          <cell r="K545">
            <v>31427</v>
          </cell>
        </row>
        <row r="546">
          <cell r="A546" t="str">
            <v>In service</v>
          </cell>
          <cell r="B546" t="str">
            <v>Gulfstream Aerospace Gulfstream III</v>
          </cell>
          <cell r="C546" t="str">
            <v>C-20B</v>
          </cell>
          <cell r="D546">
            <v>1985</v>
          </cell>
          <cell r="E546" t="str">
            <v>US Air Force</v>
          </cell>
          <cell r="F546">
            <v>19</v>
          </cell>
          <cell r="G546">
            <v>32004</v>
          </cell>
          <cell r="H546" t="str">
            <v>C-20B</v>
          </cell>
          <cell r="I546" t="str">
            <v>North America</v>
          </cell>
          <cell r="J546" t="str">
            <v>USA</v>
          </cell>
          <cell r="K546">
            <v>31427</v>
          </cell>
        </row>
        <row r="547">
          <cell r="A547" t="str">
            <v>In service</v>
          </cell>
          <cell r="B547" t="str">
            <v>Gulfstream Aerospace Gulfstream III</v>
          </cell>
          <cell r="C547" t="str">
            <v>C-20B</v>
          </cell>
          <cell r="D547">
            <v>1985</v>
          </cell>
          <cell r="E547" t="str">
            <v>US Air Force</v>
          </cell>
          <cell r="F547">
            <v>19</v>
          </cell>
          <cell r="G547">
            <v>32035</v>
          </cell>
          <cell r="H547" t="str">
            <v>C-20B</v>
          </cell>
          <cell r="I547" t="str">
            <v>North America</v>
          </cell>
          <cell r="J547" t="str">
            <v>USA</v>
          </cell>
          <cell r="K547">
            <v>31427</v>
          </cell>
        </row>
        <row r="548">
          <cell r="A548" t="str">
            <v>In service</v>
          </cell>
          <cell r="B548" t="str">
            <v>Gulfstream Aerospace Gulfstream III</v>
          </cell>
          <cell r="C548" t="str">
            <v>C-20B</v>
          </cell>
          <cell r="D548">
            <v>1985</v>
          </cell>
          <cell r="E548" t="str">
            <v>Meregrass Inc</v>
          </cell>
          <cell r="F548">
            <v>19</v>
          </cell>
          <cell r="G548">
            <v>32065</v>
          </cell>
          <cell r="I548" t="str">
            <v>North America</v>
          </cell>
          <cell r="J548" t="str">
            <v>USA</v>
          </cell>
          <cell r="K548">
            <v>31427</v>
          </cell>
        </row>
        <row r="549">
          <cell r="A549" t="str">
            <v>In service</v>
          </cell>
          <cell r="B549" t="str">
            <v>Gulfstream Aerospace Gulfstream III</v>
          </cell>
          <cell r="C549" t="str">
            <v>C-20B</v>
          </cell>
          <cell r="D549">
            <v>1985</v>
          </cell>
          <cell r="E549" t="str">
            <v>US Air Force</v>
          </cell>
          <cell r="F549">
            <v>19</v>
          </cell>
          <cell r="G549">
            <v>31517</v>
          </cell>
          <cell r="H549" t="str">
            <v>C-20B</v>
          </cell>
          <cell r="I549" t="str">
            <v>North America</v>
          </cell>
          <cell r="J549" t="str">
            <v>USA</v>
          </cell>
          <cell r="K549">
            <v>31427</v>
          </cell>
        </row>
        <row r="550">
          <cell r="A550" t="str">
            <v>In service</v>
          </cell>
          <cell r="B550" t="str">
            <v>Gulfstream Aerospace Gulfstream III</v>
          </cell>
          <cell r="C550" t="str">
            <v>C-20C</v>
          </cell>
          <cell r="D550">
            <v>1985</v>
          </cell>
          <cell r="E550" t="str">
            <v>US Army</v>
          </cell>
          <cell r="F550">
            <v>19</v>
          </cell>
          <cell r="G550">
            <v>31593</v>
          </cell>
          <cell r="H550" t="str">
            <v>C-20C</v>
          </cell>
          <cell r="I550" t="str">
            <v>North America</v>
          </cell>
          <cell r="J550" t="str">
            <v>USA</v>
          </cell>
          <cell r="K550">
            <v>30863</v>
          </cell>
        </row>
        <row r="551">
          <cell r="A551" t="str">
            <v>In service</v>
          </cell>
          <cell r="B551" t="str">
            <v>Gulfstream Aerospace Gulfstream III</v>
          </cell>
          <cell r="C551" t="str">
            <v>C-20C</v>
          </cell>
          <cell r="D551">
            <v>1985</v>
          </cell>
          <cell r="E551" t="str">
            <v>US Army</v>
          </cell>
          <cell r="F551">
            <v>19</v>
          </cell>
          <cell r="G551">
            <v>31593</v>
          </cell>
          <cell r="H551" t="str">
            <v>C-20C</v>
          </cell>
          <cell r="I551" t="str">
            <v>North America</v>
          </cell>
          <cell r="J551" t="str">
            <v>USA</v>
          </cell>
          <cell r="K551">
            <v>30863</v>
          </cell>
        </row>
        <row r="552">
          <cell r="A552" t="str">
            <v>In service</v>
          </cell>
          <cell r="B552" t="str">
            <v>Gulfstream Aerospace Gulfstream III</v>
          </cell>
          <cell r="C552" t="str">
            <v>C-20C</v>
          </cell>
          <cell r="D552">
            <v>1985</v>
          </cell>
          <cell r="E552" t="str">
            <v>US Air Force</v>
          </cell>
          <cell r="F552">
            <v>19</v>
          </cell>
          <cell r="G552">
            <v>31973</v>
          </cell>
          <cell r="H552" t="str">
            <v>C-20C</v>
          </cell>
          <cell r="I552" t="str">
            <v>North America</v>
          </cell>
          <cell r="J552" t="str">
            <v>USA</v>
          </cell>
          <cell r="K552">
            <v>31593</v>
          </cell>
        </row>
        <row r="553">
          <cell r="A553" t="str">
            <v>In service</v>
          </cell>
          <cell r="B553" t="str">
            <v>Gulfstream Aerospace Gulfstream III</v>
          </cell>
          <cell r="C553" t="str">
            <v>C-20D</v>
          </cell>
          <cell r="D553">
            <v>1986</v>
          </cell>
          <cell r="E553" t="str">
            <v>US Navy</v>
          </cell>
          <cell r="F553">
            <v>18</v>
          </cell>
          <cell r="G553">
            <v>31578</v>
          </cell>
          <cell r="H553" t="str">
            <v>C-20D</v>
          </cell>
          <cell r="I553" t="str">
            <v>North America</v>
          </cell>
          <cell r="J553" t="str">
            <v>USA</v>
          </cell>
          <cell r="K553">
            <v>30863</v>
          </cell>
        </row>
        <row r="554">
          <cell r="A554" t="str">
            <v>In service</v>
          </cell>
          <cell r="B554" t="str">
            <v>Gulfstream Aerospace Gulfstream III</v>
          </cell>
          <cell r="C554" t="str">
            <v>C-20D</v>
          </cell>
          <cell r="D554">
            <v>1986</v>
          </cell>
          <cell r="E554" t="str">
            <v>US Navy</v>
          </cell>
          <cell r="F554">
            <v>18</v>
          </cell>
          <cell r="G554">
            <v>31578</v>
          </cell>
          <cell r="H554" t="str">
            <v>C-20D</v>
          </cell>
          <cell r="I554" t="str">
            <v>North America</v>
          </cell>
          <cell r="J554" t="str">
            <v>USA</v>
          </cell>
          <cell r="K554">
            <v>30863</v>
          </cell>
        </row>
        <row r="555">
          <cell r="A555" t="str">
            <v>In service</v>
          </cell>
          <cell r="B555" t="str">
            <v>Gulfstream Aerospace Gulfstream III</v>
          </cell>
          <cell r="C555" t="str">
            <v>C-20E</v>
          </cell>
          <cell r="D555">
            <v>1987</v>
          </cell>
          <cell r="E555" t="str">
            <v>US Army</v>
          </cell>
          <cell r="F555">
            <v>17</v>
          </cell>
          <cell r="G555">
            <v>32278</v>
          </cell>
          <cell r="H555" t="str">
            <v>C-20E</v>
          </cell>
          <cell r="I555" t="str">
            <v>North America</v>
          </cell>
          <cell r="J555" t="str">
            <v>USA</v>
          </cell>
          <cell r="K555">
            <v>31593</v>
          </cell>
        </row>
        <row r="556">
          <cell r="A556" t="str">
            <v>In service</v>
          </cell>
          <cell r="B556" t="str">
            <v>Gulfstream Aerospace Gulfstream III</v>
          </cell>
          <cell r="C556" t="str">
            <v>C-20E</v>
          </cell>
          <cell r="D556">
            <v>1987</v>
          </cell>
          <cell r="E556" t="str">
            <v>US Army</v>
          </cell>
          <cell r="F556">
            <v>17</v>
          </cell>
          <cell r="G556">
            <v>32278</v>
          </cell>
          <cell r="H556" t="str">
            <v>C-20E</v>
          </cell>
          <cell r="I556" t="str">
            <v>North America</v>
          </cell>
          <cell r="J556" t="str">
            <v>USA</v>
          </cell>
          <cell r="K556">
            <v>31593</v>
          </cell>
        </row>
        <row r="557">
          <cell r="A557" t="str">
            <v>In service</v>
          </cell>
          <cell r="B557" t="str">
            <v>Gulfstream Aerospace Gulfstream III</v>
          </cell>
          <cell r="C557" t="str">
            <v>Stage III Hushkit</v>
          </cell>
          <cell r="D557">
            <v>1980</v>
          </cell>
          <cell r="E557" t="str">
            <v>JT Aviation Corp</v>
          </cell>
          <cell r="F557">
            <v>24</v>
          </cell>
          <cell r="G557">
            <v>29408</v>
          </cell>
          <cell r="I557" t="str">
            <v>North America</v>
          </cell>
          <cell r="J557" t="str">
            <v>USA</v>
          </cell>
          <cell r="K557">
            <v>28671</v>
          </cell>
        </row>
        <row r="558">
          <cell r="A558" t="str">
            <v>In service</v>
          </cell>
          <cell r="B558" t="str">
            <v>Gulfstream Aerospace Gulfstream III</v>
          </cell>
          <cell r="C558" t="str">
            <v>Stage III Hushkit</v>
          </cell>
          <cell r="D558">
            <v>1982</v>
          </cell>
          <cell r="E558" t="str">
            <v>MTF Corp</v>
          </cell>
          <cell r="F558">
            <v>22</v>
          </cell>
          <cell r="G558">
            <v>30102</v>
          </cell>
          <cell r="I558" t="str">
            <v>North America</v>
          </cell>
          <cell r="J558" t="str">
            <v>USA</v>
          </cell>
          <cell r="K558">
            <v>29767</v>
          </cell>
        </row>
        <row r="559">
          <cell r="A559" t="str">
            <v>In service</v>
          </cell>
          <cell r="B559" t="str">
            <v>Gulfstream Aerospace Gulfstream III</v>
          </cell>
          <cell r="C559" t="str">
            <v>Stage III Hushkit</v>
          </cell>
          <cell r="D559">
            <v>1982</v>
          </cell>
          <cell r="E559" t="str">
            <v>International Jet Charter</v>
          </cell>
          <cell r="F559">
            <v>22</v>
          </cell>
          <cell r="G559">
            <v>30140</v>
          </cell>
          <cell r="I559" t="str">
            <v>North America</v>
          </cell>
          <cell r="J559" t="str">
            <v>USA</v>
          </cell>
          <cell r="K559">
            <v>29402</v>
          </cell>
        </row>
        <row r="560">
          <cell r="A560" t="str">
            <v>In service</v>
          </cell>
          <cell r="B560" t="str">
            <v>Gulfstream Aerospace Gulfstream III</v>
          </cell>
          <cell r="C560" t="str">
            <v>Stage III Hushkit</v>
          </cell>
          <cell r="D560">
            <v>1983</v>
          </cell>
          <cell r="E560" t="str">
            <v>Nu Skin USA Inc</v>
          </cell>
          <cell r="F560">
            <v>21</v>
          </cell>
          <cell r="G560">
            <v>30559</v>
          </cell>
          <cell r="I560" t="str">
            <v>North America</v>
          </cell>
          <cell r="J560" t="str">
            <v>USA</v>
          </cell>
          <cell r="K560">
            <v>29767</v>
          </cell>
        </row>
        <row r="561">
          <cell r="A561" t="str">
            <v>In service</v>
          </cell>
          <cell r="B561" t="str">
            <v>Gulfstream Aerospace Gulfstream III</v>
          </cell>
          <cell r="C561" t="str">
            <v>Stage III Hushkit</v>
          </cell>
          <cell r="D561">
            <v>1984</v>
          </cell>
          <cell r="E561" t="str">
            <v>C&amp;S Aviation Ltd</v>
          </cell>
          <cell r="F561">
            <v>20</v>
          </cell>
          <cell r="G561">
            <v>30833</v>
          </cell>
          <cell r="I561" t="str">
            <v>North America</v>
          </cell>
          <cell r="J561" t="str">
            <v>USA</v>
          </cell>
          <cell r="K561">
            <v>30497</v>
          </cell>
        </row>
        <row r="562">
          <cell r="A562" t="str">
            <v>In service</v>
          </cell>
          <cell r="B562" t="str">
            <v>Gulfstream Aerospace Gulfstream III</v>
          </cell>
          <cell r="C562" t="str">
            <v>Stage III Hushkit</v>
          </cell>
          <cell r="D562">
            <v>1984</v>
          </cell>
          <cell r="E562" t="str">
            <v>Monarch Flight Inc</v>
          </cell>
          <cell r="F562">
            <v>20</v>
          </cell>
          <cell r="G562">
            <v>30863</v>
          </cell>
          <cell r="I562" t="str">
            <v>North America</v>
          </cell>
          <cell r="J562" t="str">
            <v>USA</v>
          </cell>
          <cell r="K562">
            <v>30132</v>
          </cell>
        </row>
        <row r="563">
          <cell r="A563" t="str">
            <v>In service</v>
          </cell>
          <cell r="B563" t="str">
            <v>Gulfstream Aerospace Gulfstream III</v>
          </cell>
          <cell r="C563" t="str">
            <v>Stage III Hushkit</v>
          </cell>
          <cell r="D563">
            <v>1984</v>
          </cell>
          <cell r="E563" t="str">
            <v>Pacific Diversified Investments Inc</v>
          </cell>
          <cell r="F563">
            <v>20</v>
          </cell>
          <cell r="G563">
            <v>30925</v>
          </cell>
          <cell r="I563" t="str">
            <v>North America</v>
          </cell>
          <cell r="J563" t="str">
            <v>USA</v>
          </cell>
          <cell r="K563">
            <v>30497</v>
          </cell>
        </row>
        <row r="564">
          <cell r="A564" t="str">
            <v>In service</v>
          </cell>
          <cell r="B564" t="str">
            <v>Gulfstream Aerospace Gulfstream III</v>
          </cell>
          <cell r="C564" t="str">
            <v>Stage III Hushkit</v>
          </cell>
          <cell r="D564">
            <v>1985</v>
          </cell>
          <cell r="E564" t="str">
            <v>C&amp;S Aviation Ltd</v>
          </cell>
          <cell r="F564">
            <v>19</v>
          </cell>
          <cell r="G564">
            <v>31517</v>
          </cell>
          <cell r="I564" t="str">
            <v>North America</v>
          </cell>
          <cell r="J564" t="str">
            <v>USA</v>
          </cell>
          <cell r="K564">
            <v>30863</v>
          </cell>
        </row>
        <row r="565">
          <cell r="A565" t="str">
            <v>In service</v>
          </cell>
          <cell r="B565" t="str">
            <v>Gulfstream Aerospace Gulfstream IV</v>
          </cell>
          <cell r="C565" t="str">
            <v xml:space="preserve"> </v>
          </cell>
          <cell r="D565">
            <v>1985</v>
          </cell>
          <cell r="E565" t="str">
            <v>Emmis Operating Co</v>
          </cell>
          <cell r="F565">
            <v>19</v>
          </cell>
          <cell r="G565">
            <v>31396</v>
          </cell>
          <cell r="I565" t="str">
            <v>North America</v>
          </cell>
          <cell r="J565" t="str">
            <v>USA</v>
          </cell>
        </row>
        <row r="566">
          <cell r="A566" t="str">
            <v>In service</v>
          </cell>
          <cell r="B566" t="str">
            <v>Gulfstream Aerospace Gulfstream IV</v>
          </cell>
          <cell r="C566" t="str">
            <v xml:space="preserve"> </v>
          </cell>
          <cell r="D566">
            <v>1986</v>
          </cell>
          <cell r="E566" t="str">
            <v>Flight Options</v>
          </cell>
          <cell r="F566">
            <v>18</v>
          </cell>
          <cell r="G566">
            <v>31756</v>
          </cell>
          <cell r="I566" t="str">
            <v>North America</v>
          </cell>
          <cell r="J566" t="str">
            <v>USA</v>
          </cell>
          <cell r="K566">
            <v>30863</v>
          </cell>
        </row>
        <row r="567">
          <cell r="A567" t="str">
            <v>In service</v>
          </cell>
          <cell r="B567" t="str">
            <v>Gulfstream Aerospace Gulfstream IV</v>
          </cell>
          <cell r="C567" t="str">
            <v xml:space="preserve"> </v>
          </cell>
          <cell r="D567">
            <v>1986</v>
          </cell>
          <cell r="E567" t="str">
            <v>CNM Gulf Air LLC</v>
          </cell>
          <cell r="F567">
            <v>18</v>
          </cell>
          <cell r="G567">
            <v>31775</v>
          </cell>
          <cell r="I567" t="str">
            <v>North America</v>
          </cell>
          <cell r="J567" t="str">
            <v>USA</v>
          </cell>
          <cell r="K567">
            <v>30863</v>
          </cell>
        </row>
        <row r="568">
          <cell r="A568" t="str">
            <v>In service</v>
          </cell>
          <cell r="B568" t="str">
            <v>Gulfstream Aerospace Gulfstream IV</v>
          </cell>
          <cell r="C568" t="str">
            <v xml:space="preserve"> </v>
          </cell>
          <cell r="D568">
            <v>1986</v>
          </cell>
          <cell r="E568" t="str">
            <v>Yellowstone Aviation &amp; Marine LLC</v>
          </cell>
          <cell r="F568">
            <v>18</v>
          </cell>
          <cell r="G568">
            <v>31608</v>
          </cell>
          <cell r="I568" t="str">
            <v>North America</v>
          </cell>
          <cell r="J568" t="str">
            <v>USA</v>
          </cell>
          <cell r="K568">
            <v>30863</v>
          </cell>
        </row>
        <row r="569">
          <cell r="A569" t="str">
            <v>In service</v>
          </cell>
          <cell r="B569" t="str">
            <v>Gulfstream Aerospace Gulfstream IV</v>
          </cell>
          <cell r="C569" t="str">
            <v xml:space="preserve"> </v>
          </cell>
          <cell r="D569">
            <v>1986</v>
          </cell>
          <cell r="E569" t="str">
            <v>Paramount Aviation II LLC</v>
          </cell>
          <cell r="F569">
            <v>18</v>
          </cell>
          <cell r="G569">
            <v>31653</v>
          </cell>
          <cell r="I569" t="str">
            <v>North America</v>
          </cell>
          <cell r="J569" t="str">
            <v>USA</v>
          </cell>
          <cell r="K569">
            <v>31228</v>
          </cell>
        </row>
        <row r="570">
          <cell r="A570" t="str">
            <v>In service</v>
          </cell>
          <cell r="B570" t="str">
            <v>Gulfstream Aerospace Gulfstream IV</v>
          </cell>
          <cell r="C570" t="str">
            <v xml:space="preserve"> </v>
          </cell>
          <cell r="D570">
            <v>1986</v>
          </cell>
          <cell r="E570" t="str">
            <v>Guardian Gulfstream IV-B LLC</v>
          </cell>
          <cell r="F570">
            <v>18</v>
          </cell>
          <cell r="G570">
            <v>31700</v>
          </cell>
          <cell r="I570" t="str">
            <v>North America</v>
          </cell>
          <cell r="J570" t="str">
            <v>USA</v>
          </cell>
          <cell r="K570">
            <v>30863</v>
          </cell>
        </row>
        <row r="571">
          <cell r="A571" t="str">
            <v>In service</v>
          </cell>
          <cell r="B571" t="str">
            <v>Gulfstream Aerospace Gulfstream IV</v>
          </cell>
          <cell r="C571" t="str">
            <v xml:space="preserve"> </v>
          </cell>
          <cell r="D571">
            <v>1986</v>
          </cell>
          <cell r="E571" t="str">
            <v>COR Aviation LLC</v>
          </cell>
          <cell r="F571">
            <v>18</v>
          </cell>
          <cell r="G571">
            <v>31715</v>
          </cell>
          <cell r="I571" t="str">
            <v>North America</v>
          </cell>
          <cell r="J571" t="str">
            <v>USA</v>
          </cell>
          <cell r="K571">
            <v>30863</v>
          </cell>
        </row>
        <row r="572">
          <cell r="A572" t="str">
            <v>In service</v>
          </cell>
          <cell r="B572" t="str">
            <v>Gulfstream Aerospace Gulfstream IV</v>
          </cell>
          <cell r="C572" t="str">
            <v xml:space="preserve"> </v>
          </cell>
          <cell r="D572">
            <v>1986</v>
          </cell>
          <cell r="E572" t="str">
            <v>E I Aviation Inc</v>
          </cell>
          <cell r="F572">
            <v>18</v>
          </cell>
          <cell r="G572">
            <v>31749</v>
          </cell>
          <cell r="I572" t="str">
            <v>North America</v>
          </cell>
          <cell r="J572" t="str">
            <v>USA</v>
          </cell>
          <cell r="K572">
            <v>30863</v>
          </cell>
        </row>
        <row r="573">
          <cell r="A573" t="str">
            <v>In service</v>
          </cell>
          <cell r="B573" t="str">
            <v>Gulfstream Aerospace Gulfstream IV</v>
          </cell>
          <cell r="C573" t="str">
            <v xml:space="preserve"> </v>
          </cell>
          <cell r="D573">
            <v>1986</v>
          </cell>
          <cell r="E573" t="str">
            <v>Weeks Davies Aviation Inc</v>
          </cell>
          <cell r="F573">
            <v>18</v>
          </cell>
          <cell r="G573">
            <v>31957</v>
          </cell>
          <cell r="I573" t="str">
            <v>North America</v>
          </cell>
          <cell r="J573" t="str">
            <v>USA</v>
          </cell>
          <cell r="K573">
            <v>30863</v>
          </cell>
        </row>
        <row r="574">
          <cell r="A574" t="str">
            <v>In service</v>
          </cell>
          <cell r="B574" t="str">
            <v>Gulfstream Aerospace Gulfstream IV</v>
          </cell>
          <cell r="C574" t="str">
            <v xml:space="preserve"> </v>
          </cell>
          <cell r="D574">
            <v>1986</v>
          </cell>
          <cell r="E574" t="str">
            <v>Royal Netherlands Air Force</v>
          </cell>
          <cell r="F574">
            <v>18</v>
          </cell>
          <cell r="G574">
            <v>31766</v>
          </cell>
          <cell r="I574" t="str">
            <v>Europe</v>
          </cell>
          <cell r="J574" t="str">
            <v>Netherlands</v>
          </cell>
          <cell r="K574">
            <v>30863</v>
          </cell>
        </row>
        <row r="575">
          <cell r="A575" t="str">
            <v>In service</v>
          </cell>
          <cell r="B575" t="str">
            <v>Gulfstream Aerospace Gulfstream IV</v>
          </cell>
          <cell r="C575" t="str">
            <v xml:space="preserve"> </v>
          </cell>
          <cell r="D575">
            <v>1986</v>
          </cell>
          <cell r="E575" t="str">
            <v>Fairmont Aviation LLC</v>
          </cell>
          <cell r="F575">
            <v>18</v>
          </cell>
          <cell r="G575">
            <v>31787</v>
          </cell>
          <cell r="I575" t="str">
            <v>North America</v>
          </cell>
          <cell r="J575" t="str">
            <v>USA</v>
          </cell>
          <cell r="K575">
            <v>31228</v>
          </cell>
        </row>
        <row r="576">
          <cell r="A576" t="str">
            <v>In service</v>
          </cell>
          <cell r="B576" t="str">
            <v>Gulfstream Aerospace Gulfstream IV</v>
          </cell>
          <cell r="C576" t="str">
            <v xml:space="preserve"> </v>
          </cell>
          <cell r="D576">
            <v>1987</v>
          </cell>
          <cell r="E576" t="str">
            <v>Dubai Air Wing</v>
          </cell>
          <cell r="F576">
            <v>17</v>
          </cell>
          <cell r="G576">
            <v>32115</v>
          </cell>
          <cell r="I576" t="str">
            <v>Middle East</v>
          </cell>
          <cell r="J576" t="str">
            <v>United Arab Emirates</v>
          </cell>
          <cell r="K576">
            <v>30863</v>
          </cell>
        </row>
        <row r="577">
          <cell r="A577" t="str">
            <v>In service</v>
          </cell>
          <cell r="B577" t="str">
            <v>Gulfstream Aerospace Gulfstream IV</v>
          </cell>
          <cell r="C577" t="str">
            <v xml:space="preserve"> </v>
          </cell>
          <cell r="D577">
            <v>1987</v>
          </cell>
          <cell r="E577" t="str">
            <v>GDR Aviation LLC</v>
          </cell>
          <cell r="F577">
            <v>17</v>
          </cell>
          <cell r="G577">
            <v>31868</v>
          </cell>
          <cell r="I577" t="str">
            <v>North America</v>
          </cell>
          <cell r="J577" t="str">
            <v>USA</v>
          </cell>
          <cell r="K577">
            <v>31228</v>
          </cell>
        </row>
        <row r="578">
          <cell r="A578" t="str">
            <v>In service</v>
          </cell>
          <cell r="B578" t="str">
            <v>Gulfstream Aerospace Gulfstream IV</v>
          </cell>
          <cell r="C578" t="str">
            <v xml:space="preserve"> </v>
          </cell>
          <cell r="D578">
            <v>1987</v>
          </cell>
          <cell r="E578" t="str">
            <v>Air Logic Sales Inc</v>
          </cell>
          <cell r="F578">
            <v>17</v>
          </cell>
          <cell r="G578">
            <v>31883</v>
          </cell>
          <cell r="I578" t="str">
            <v>North America</v>
          </cell>
          <cell r="J578" t="str">
            <v>USA</v>
          </cell>
          <cell r="K578">
            <v>31228</v>
          </cell>
        </row>
        <row r="579">
          <cell r="A579" t="str">
            <v>In service</v>
          </cell>
          <cell r="B579" t="str">
            <v>Gulfstream Aerospace Gulfstream IV</v>
          </cell>
          <cell r="C579" t="str">
            <v xml:space="preserve"> </v>
          </cell>
          <cell r="D579">
            <v>1987</v>
          </cell>
          <cell r="E579" t="str">
            <v>Swedish Air Force</v>
          </cell>
          <cell r="F579">
            <v>17</v>
          </cell>
          <cell r="G579">
            <v>31888</v>
          </cell>
          <cell r="H579" t="str">
            <v>TP-102</v>
          </cell>
          <cell r="I579" t="str">
            <v>Europe</v>
          </cell>
          <cell r="J579" t="str">
            <v>Sweden</v>
          </cell>
          <cell r="K579">
            <v>31228</v>
          </cell>
        </row>
        <row r="580">
          <cell r="A580" t="str">
            <v>In service</v>
          </cell>
          <cell r="B580" t="str">
            <v>Gulfstream Aerospace Gulfstream IV</v>
          </cell>
          <cell r="C580" t="str">
            <v xml:space="preserve"> </v>
          </cell>
          <cell r="D580">
            <v>1987</v>
          </cell>
          <cell r="E580" t="str">
            <v>Bowen Family Homes Inc</v>
          </cell>
          <cell r="F580">
            <v>17</v>
          </cell>
          <cell r="G580">
            <v>32006</v>
          </cell>
          <cell r="I580" t="str">
            <v>North America</v>
          </cell>
          <cell r="J580" t="str">
            <v>USA</v>
          </cell>
          <cell r="K580">
            <v>31228</v>
          </cell>
        </row>
        <row r="581">
          <cell r="A581" t="str">
            <v>In service</v>
          </cell>
          <cell r="B581" t="str">
            <v>Gulfstream Aerospace Gulfstream IV</v>
          </cell>
          <cell r="C581" t="str">
            <v xml:space="preserve"> </v>
          </cell>
          <cell r="D581">
            <v>1987</v>
          </cell>
          <cell r="E581" t="str">
            <v>Guardian Industries Corp</v>
          </cell>
          <cell r="F581">
            <v>17</v>
          </cell>
          <cell r="G581">
            <v>31919</v>
          </cell>
          <cell r="I581" t="str">
            <v>North America</v>
          </cell>
          <cell r="J581" t="str">
            <v>USA</v>
          </cell>
          <cell r="K581">
            <v>31228</v>
          </cell>
        </row>
        <row r="582">
          <cell r="A582" t="str">
            <v>In service</v>
          </cell>
          <cell r="B582" t="str">
            <v>Gulfstream Aerospace Gulfstream IV</v>
          </cell>
          <cell r="C582" t="str">
            <v xml:space="preserve"> </v>
          </cell>
          <cell r="D582">
            <v>1987</v>
          </cell>
          <cell r="E582" t="str">
            <v>Zulu Enterprises/National 36 LLC/NJL Enterprises</v>
          </cell>
          <cell r="F582">
            <v>17</v>
          </cell>
          <cell r="G582">
            <v>32203</v>
          </cell>
          <cell r="I582" t="str">
            <v>North America</v>
          </cell>
          <cell r="J582" t="str">
            <v>USA</v>
          </cell>
          <cell r="K582">
            <v>31593</v>
          </cell>
        </row>
        <row r="583">
          <cell r="A583" t="str">
            <v>In service</v>
          </cell>
          <cell r="B583" t="str">
            <v>Gulfstream Aerospace Gulfstream IV</v>
          </cell>
          <cell r="C583" t="str">
            <v xml:space="preserve"> </v>
          </cell>
          <cell r="D583">
            <v>1987</v>
          </cell>
          <cell r="E583" t="str">
            <v>Summit Aviation Inc &amp; Quest Software Inc</v>
          </cell>
          <cell r="F583">
            <v>17</v>
          </cell>
          <cell r="G583">
            <v>31992</v>
          </cell>
          <cell r="I583" t="str">
            <v>North America</v>
          </cell>
          <cell r="J583" t="str">
            <v>USA</v>
          </cell>
          <cell r="K583">
            <v>31228</v>
          </cell>
        </row>
        <row r="584">
          <cell r="A584" t="str">
            <v>In service</v>
          </cell>
          <cell r="B584" t="str">
            <v>Gulfstream Aerospace Gulfstream IV</v>
          </cell>
          <cell r="C584" t="str">
            <v xml:space="preserve"> </v>
          </cell>
          <cell r="D584">
            <v>1987</v>
          </cell>
          <cell r="E584" t="str">
            <v>Government of Ivory Coast</v>
          </cell>
          <cell r="F584">
            <v>17</v>
          </cell>
          <cell r="G584">
            <v>32126</v>
          </cell>
          <cell r="I584" t="str">
            <v>Africa</v>
          </cell>
          <cell r="J584" t="str">
            <v>Ivory Coast</v>
          </cell>
          <cell r="K584">
            <v>31228</v>
          </cell>
        </row>
        <row r="585">
          <cell r="A585" t="str">
            <v>In service</v>
          </cell>
          <cell r="B585" t="str">
            <v>Gulfstream Aerospace Gulfstream IV</v>
          </cell>
          <cell r="C585" t="str">
            <v xml:space="preserve"> </v>
          </cell>
          <cell r="D585">
            <v>1987</v>
          </cell>
          <cell r="E585" t="str">
            <v>The Air Group Inc</v>
          </cell>
          <cell r="F585">
            <v>17</v>
          </cell>
          <cell r="G585">
            <v>31957</v>
          </cell>
          <cell r="I585" t="str">
            <v>North America</v>
          </cell>
          <cell r="J585" t="str">
            <v>USA</v>
          </cell>
          <cell r="K585">
            <v>31228</v>
          </cell>
        </row>
        <row r="586">
          <cell r="A586" t="str">
            <v>In service</v>
          </cell>
          <cell r="B586" t="str">
            <v>Gulfstream Aerospace Gulfstream IV</v>
          </cell>
          <cell r="C586" t="str">
            <v xml:space="preserve"> </v>
          </cell>
          <cell r="D586">
            <v>1987</v>
          </cell>
          <cell r="E586" t="str">
            <v>Eli Lilly &amp; Co</v>
          </cell>
          <cell r="F586">
            <v>17</v>
          </cell>
          <cell r="G586">
            <v>32134</v>
          </cell>
          <cell r="I586" t="str">
            <v>North America</v>
          </cell>
          <cell r="J586" t="str">
            <v>USA</v>
          </cell>
          <cell r="K586">
            <v>31228</v>
          </cell>
        </row>
        <row r="587">
          <cell r="A587" t="str">
            <v>In service</v>
          </cell>
          <cell r="B587" t="str">
            <v>Gulfstream Aerospace Gulfstream IV</v>
          </cell>
          <cell r="C587" t="str">
            <v xml:space="preserve"> </v>
          </cell>
          <cell r="D587">
            <v>1987</v>
          </cell>
          <cell r="E587" t="str">
            <v>Paul Davril Inc</v>
          </cell>
          <cell r="F587">
            <v>17</v>
          </cell>
          <cell r="G587">
            <v>32233</v>
          </cell>
          <cell r="I587" t="str">
            <v>North America</v>
          </cell>
          <cell r="J587" t="str">
            <v>USA</v>
          </cell>
          <cell r="K587">
            <v>31228</v>
          </cell>
        </row>
        <row r="588">
          <cell r="A588" t="str">
            <v>In service</v>
          </cell>
          <cell r="B588" t="str">
            <v>Gulfstream Aerospace Gulfstream IV</v>
          </cell>
          <cell r="C588" t="str">
            <v xml:space="preserve"> </v>
          </cell>
          <cell r="D588">
            <v>1987</v>
          </cell>
          <cell r="E588" t="str">
            <v>EFB Aviation LLC</v>
          </cell>
          <cell r="F588">
            <v>17</v>
          </cell>
          <cell r="G588">
            <v>31993</v>
          </cell>
          <cell r="I588" t="str">
            <v>North America</v>
          </cell>
          <cell r="J588" t="str">
            <v>USA</v>
          </cell>
          <cell r="K588">
            <v>30863</v>
          </cell>
        </row>
        <row r="589">
          <cell r="A589" t="str">
            <v>In service</v>
          </cell>
          <cell r="B589" t="str">
            <v>Gulfstream Aerospace Gulfstream IV</v>
          </cell>
          <cell r="C589" t="str">
            <v xml:space="preserve"> </v>
          </cell>
          <cell r="D589">
            <v>1987</v>
          </cell>
          <cell r="E589" t="str">
            <v>Wings Aviation International Inc</v>
          </cell>
          <cell r="F589">
            <v>17</v>
          </cell>
          <cell r="G589">
            <v>32016</v>
          </cell>
          <cell r="I589" t="str">
            <v>North America</v>
          </cell>
          <cell r="J589" t="str">
            <v>USA</v>
          </cell>
          <cell r="K589">
            <v>31228</v>
          </cell>
        </row>
        <row r="590">
          <cell r="A590" t="str">
            <v>In service</v>
          </cell>
          <cell r="B590" t="str">
            <v>Gulfstream Aerospace Gulfstream IV</v>
          </cell>
          <cell r="C590" t="str">
            <v xml:space="preserve"> </v>
          </cell>
          <cell r="D590">
            <v>1987</v>
          </cell>
          <cell r="E590" t="str">
            <v>B-Jet LLC</v>
          </cell>
          <cell r="F590">
            <v>17</v>
          </cell>
          <cell r="G590">
            <v>32024</v>
          </cell>
          <cell r="I590" t="str">
            <v>North America</v>
          </cell>
          <cell r="J590" t="str">
            <v>USA</v>
          </cell>
          <cell r="K590">
            <v>31228</v>
          </cell>
        </row>
        <row r="591">
          <cell r="A591" t="str">
            <v>In service</v>
          </cell>
          <cell r="B591" t="str">
            <v>Gulfstream Aerospace Gulfstream IV</v>
          </cell>
          <cell r="C591" t="str">
            <v xml:space="preserve"> </v>
          </cell>
          <cell r="D591">
            <v>1987</v>
          </cell>
          <cell r="E591" t="str">
            <v>Harbour Group Industries Inc</v>
          </cell>
          <cell r="F591">
            <v>17</v>
          </cell>
          <cell r="G591">
            <v>32055</v>
          </cell>
          <cell r="I591" t="str">
            <v>North America</v>
          </cell>
          <cell r="J591" t="str">
            <v>USA</v>
          </cell>
          <cell r="K591">
            <v>31228</v>
          </cell>
        </row>
        <row r="592">
          <cell r="A592" t="str">
            <v>In service</v>
          </cell>
          <cell r="B592" t="str">
            <v>Gulfstream Aerospace Gulfstream IV</v>
          </cell>
          <cell r="C592" t="str">
            <v xml:space="preserve"> </v>
          </cell>
          <cell r="D592">
            <v>1987</v>
          </cell>
          <cell r="E592" t="str">
            <v>Government of Turkey</v>
          </cell>
          <cell r="F592">
            <v>17</v>
          </cell>
          <cell r="G592">
            <v>32286</v>
          </cell>
          <cell r="I592" t="str">
            <v>Europe</v>
          </cell>
          <cell r="J592" t="str">
            <v>Turkey</v>
          </cell>
          <cell r="K592">
            <v>31593</v>
          </cell>
        </row>
        <row r="593">
          <cell r="A593" t="str">
            <v>In service</v>
          </cell>
          <cell r="B593" t="str">
            <v>Gulfstream Aerospace Gulfstream IV</v>
          </cell>
          <cell r="C593" t="str">
            <v xml:space="preserve"> </v>
          </cell>
          <cell r="D593">
            <v>1987</v>
          </cell>
          <cell r="E593" t="str">
            <v>SAH Enterprises Inc</v>
          </cell>
          <cell r="F593">
            <v>17</v>
          </cell>
          <cell r="G593">
            <v>32134</v>
          </cell>
          <cell r="I593" t="str">
            <v>North America</v>
          </cell>
          <cell r="J593" t="str">
            <v>USA</v>
          </cell>
          <cell r="K593">
            <v>31228</v>
          </cell>
        </row>
        <row r="594">
          <cell r="A594" t="str">
            <v>In service</v>
          </cell>
          <cell r="B594" t="str">
            <v>Gulfstream Aerospace Gulfstream IV</v>
          </cell>
          <cell r="C594" t="str">
            <v xml:space="preserve"> </v>
          </cell>
          <cell r="D594">
            <v>1987</v>
          </cell>
          <cell r="E594" t="str">
            <v>Specialised Transportation (Bermuda) Ltd</v>
          </cell>
          <cell r="F594">
            <v>17</v>
          </cell>
          <cell r="G594">
            <v>32078</v>
          </cell>
          <cell r="I594" t="str">
            <v>Latin America and Caribbean</v>
          </cell>
          <cell r="J594" t="str">
            <v>Bermuda</v>
          </cell>
          <cell r="K594">
            <v>31228</v>
          </cell>
        </row>
        <row r="595">
          <cell r="A595" t="str">
            <v>In service</v>
          </cell>
          <cell r="B595" t="str">
            <v>Gulfstream Aerospace Gulfstream IV</v>
          </cell>
          <cell r="C595" t="str">
            <v xml:space="preserve"> </v>
          </cell>
          <cell r="D595">
            <v>1987</v>
          </cell>
          <cell r="E595" t="str">
            <v>WNP Aviation Inc</v>
          </cell>
          <cell r="F595">
            <v>17</v>
          </cell>
          <cell r="G595">
            <v>32188</v>
          </cell>
          <cell r="I595" t="str">
            <v>North America</v>
          </cell>
          <cell r="J595" t="str">
            <v>USA</v>
          </cell>
          <cell r="K595">
            <v>31593</v>
          </cell>
        </row>
        <row r="596">
          <cell r="A596" t="str">
            <v>In service</v>
          </cell>
          <cell r="B596" t="str">
            <v>Gulfstream Aerospace Gulfstream IV</v>
          </cell>
          <cell r="C596" t="str">
            <v xml:space="preserve"> </v>
          </cell>
          <cell r="D596">
            <v>1987</v>
          </cell>
          <cell r="E596" t="str">
            <v>Saudi Arabian Airlines</v>
          </cell>
          <cell r="F596">
            <v>17</v>
          </cell>
          <cell r="G596">
            <v>32827</v>
          </cell>
          <cell r="I596" t="str">
            <v>Middle East</v>
          </cell>
          <cell r="J596" t="str">
            <v>Saudi Arabia</v>
          </cell>
          <cell r="K596">
            <v>31593</v>
          </cell>
        </row>
        <row r="597">
          <cell r="A597" t="str">
            <v>In service</v>
          </cell>
          <cell r="B597" t="str">
            <v>Gulfstream Aerospace Gulfstream IV</v>
          </cell>
          <cell r="C597" t="str">
            <v xml:space="preserve"> </v>
          </cell>
          <cell r="D597">
            <v>1987</v>
          </cell>
          <cell r="E597" t="str">
            <v>Netjets Middle East</v>
          </cell>
          <cell r="F597">
            <v>17</v>
          </cell>
          <cell r="G597">
            <v>31847</v>
          </cell>
          <cell r="I597" t="str">
            <v>Middle East</v>
          </cell>
          <cell r="J597" t="str">
            <v>Saudi Arabia</v>
          </cell>
          <cell r="K597">
            <v>31228</v>
          </cell>
        </row>
        <row r="598">
          <cell r="A598" t="str">
            <v>In service</v>
          </cell>
          <cell r="B598" t="str">
            <v>Gulfstream Aerospace Gulfstream IV</v>
          </cell>
          <cell r="C598" t="str">
            <v xml:space="preserve"> </v>
          </cell>
          <cell r="D598">
            <v>1987</v>
          </cell>
          <cell r="E598" t="str">
            <v>Las Vegas Jet LLC</v>
          </cell>
          <cell r="F598">
            <v>17</v>
          </cell>
          <cell r="G598">
            <v>32278</v>
          </cell>
          <cell r="I598" t="str">
            <v>North America</v>
          </cell>
          <cell r="J598" t="str">
            <v>USA</v>
          </cell>
          <cell r="K598">
            <v>31593</v>
          </cell>
        </row>
        <row r="599">
          <cell r="A599" t="str">
            <v>In service</v>
          </cell>
          <cell r="B599" t="str">
            <v>Gulfstream Aerospace Gulfstream IV</v>
          </cell>
          <cell r="C599" t="str">
            <v xml:space="preserve"> </v>
          </cell>
          <cell r="D599">
            <v>1987</v>
          </cell>
          <cell r="E599" t="str">
            <v>G IV Leasing LLC</v>
          </cell>
          <cell r="F599">
            <v>17</v>
          </cell>
          <cell r="G599">
            <v>33527</v>
          </cell>
          <cell r="I599" t="str">
            <v>North America</v>
          </cell>
          <cell r="J599" t="str">
            <v>USA</v>
          </cell>
        </row>
        <row r="600">
          <cell r="A600" t="str">
            <v>In service</v>
          </cell>
          <cell r="B600" t="str">
            <v>Gulfstream Aerospace Gulfstream IV</v>
          </cell>
          <cell r="C600" t="str">
            <v xml:space="preserve"> </v>
          </cell>
          <cell r="D600">
            <v>1988</v>
          </cell>
          <cell r="E600" t="str">
            <v>Saudi Arabian Airlines</v>
          </cell>
          <cell r="F600">
            <v>16</v>
          </cell>
          <cell r="G600">
            <v>32777</v>
          </cell>
          <cell r="I600" t="str">
            <v>Middle East</v>
          </cell>
          <cell r="J600" t="str">
            <v>Saudi Arabia</v>
          </cell>
          <cell r="K600">
            <v>31593</v>
          </cell>
        </row>
        <row r="601">
          <cell r="A601" t="str">
            <v>In service</v>
          </cell>
          <cell r="B601" t="str">
            <v>Gulfstream Aerospace Gulfstream IV</v>
          </cell>
          <cell r="C601" t="str">
            <v xml:space="preserve"> </v>
          </cell>
          <cell r="D601">
            <v>1987</v>
          </cell>
          <cell r="E601" t="str">
            <v>Ashton Capital Corp</v>
          </cell>
          <cell r="F601">
            <v>17</v>
          </cell>
          <cell r="G601">
            <v>32160</v>
          </cell>
          <cell r="I601" t="str">
            <v>North America</v>
          </cell>
          <cell r="J601" t="str">
            <v>USA</v>
          </cell>
          <cell r="K601">
            <v>31228</v>
          </cell>
        </row>
        <row r="602">
          <cell r="A602" t="str">
            <v>In service</v>
          </cell>
          <cell r="B602" t="str">
            <v>Gulfstream Aerospace Gulfstream IV</v>
          </cell>
          <cell r="C602" t="str">
            <v xml:space="preserve"> </v>
          </cell>
          <cell r="D602">
            <v>1987</v>
          </cell>
          <cell r="E602" t="str">
            <v>Royal Saudi Arabian Air Force</v>
          </cell>
          <cell r="F602">
            <v>17</v>
          </cell>
          <cell r="G602">
            <v>32309</v>
          </cell>
          <cell r="I602" t="str">
            <v>Middle East</v>
          </cell>
          <cell r="J602" t="str">
            <v>Saudi Arabia</v>
          </cell>
          <cell r="K602">
            <v>31593</v>
          </cell>
        </row>
        <row r="603">
          <cell r="A603" t="str">
            <v>In service</v>
          </cell>
          <cell r="B603" t="str">
            <v>Gulfstream Aerospace Gulfstream IV</v>
          </cell>
          <cell r="C603" t="str">
            <v xml:space="preserve"> </v>
          </cell>
          <cell r="D603">
            <v>1987</v>
          </cell>
          <cell r="E603" t="str">
            <v>Saudi Arabian Airlines</v>
          </cell>
          <cell r="F603">
            <v>17</v>
          </cell>
          <cell r="G603">
            <v>32827</v>
          </cell>
          <cell r="I603" t="str">
            <v>Middle East</v>
          </cell>
          <cell r="J603" t="str">
            <v>Saudi Arabia</v>
          </cell>
          <cell r="K603">
            <v>31593</v>
          </cell>
        </row>
        <row r="604">
          <cell r="A604" t="str">
            <v>In service</v>
          </cell>
          <cell r="B604" t="str">
            <v>Gulfstream Aerospace Gulfstream IV</v>
          </cell>
          <cell r="C604" t="str">
            <v xml:space="preserve"> </v>
          </cell>
          <cell r="D604">
            <v>1988</v>
          </cell>
          <cell r="E604" t="str">
            <v>HUALALAI 1 LLC</v>
          </cell>
          <cell r="F604">
            <v>16</v>
          </cell>
          <cell r="G604">
            <v>32335</v>
          </cell>
          <cell r="I604" t="str">
            <v>North America</v>
          </cell>
          <cell r="J604" t="str">
            <v>USA</v>
          </cell>
          <cell r="K604">
            <v>31593</v>
          </cell>
        </row>
        <row r="605">
          <cell r="A605" t="str">
            <v>In service</v>
          </cell>
          <cell r="B605" t="str">
            <v>Gulfstream Aerospace Gulfstream IV</v>
          </cell>
          <cell r="C605" t="str">
            <v xml:space="preserve"> </v>
          </cell>
          <cell r="D605">
            <v>1987</v>
          </cell>
          <cell r="E605" t="str">
            <v>GR1040 Inc</v>
          </cell>
          <cell r="F605">
            <v>17</v>
          </cell>
          <cell r="G605">
            <v>32188</v>
          </cell>
          <cell r="I605" t="str">
            <v>North America</v>
          </cell>
          <cell r="J605" t="str">
            <v>USA</v>
          </cell>
          <cell r="K605">
            <v>31593</v>
          </cell>
        </row>
        <row r="606">
          <cell r="A606" t="str">
            <v>In service</v>
          </cell>
          <cell r="B606" t="str">
            <v>Gulfstream Aerospace Gulfstream IV</v>
          </cell>
          <cell r="C606" t="str">
            <v xml:space="preserve"> </v>
          </cell>
          <cell r="D606">
            <v>1987</v>
          </cell>
          <cell r="E606" t="str">
            <v>New World Jet Corp</v>
          </cell>
          <cell r="F606">
            <v>17</v>
          </cell>
          <cell r="G606">
            <v>32188</v>
          </cell>
          <cell r="I606" t="str">
            <v>North America</v>
          </cell>
          <cell r="J606" t="str">
            <v>USA</v>
          </cell>
          <cell r="K606">
            <v>31593</v>
          </cell>
        </row>
        <row r="607">
          <cell r="A607" t="str">
            <v>In service</v>
          </cell>
          <cell r="B607" t="str">
            <v>Gulfstream Aerospace Gulfstream IV</v>
          </cell>
          <cell r="C607" t="str">
            <v xml:space="preserve"> </v>
          </cell>
          <cell r="D607">
            <v>1987</v>
          </cell>
          <cell r="E607" t="str">
            <v>Rutter Aviation LLC</v>
          </cell>
          <cell r="F607">
            <v>17</v>
          </cell>
          <cell r="G607">
            <v>34288</v>
          </cell>
          <cell r="I607" t="str">
            <v>North America</v>
          </cell>
          <cell r="J607" t="str">
            <v>USA</v>
          </cell>
        </row>
        <row r="608">
          <cell r="A608" t="str">
            <v>In service</v>
          </cell>
          <cell r="B608" t="str">
            <v>Gulfstream Aerospace Gulfstream IV</v>
          </cell>
          <cell r="C608" t="str">
            <v xml:space="preserve"> </v>
          </cell>
          <cell r="D608">
            <v>1988</v>
          </cell>
          <cell r="E608" t="str">
            <v>Government of Turkey</v>
          </cell>
          <cell r="F608">
            <v>16</v>
          </cell>
          <cell r="G608">
            <v>32378</v>
          </cell>
          <cell r="I608" t="str">
            <v>Europe</v>
          </cell>
          <cell r="J608" t="str">
            <v>Turkey</v>
          </cell>
          <cell r="K608">
            <v>31593</v>
          </cell>
        </row>
        <row r="609">
          <cell r="A609" t="str">
            <v>In service</v>
          </cell>
          <cell r="B609" t="str">
            <v>Gulfstream Aerospace Gulfstream IV</v>
          </cell>
          <cell r="C609" t="str">
            <v xml:space="preserve"> </v>
          </cell>
          <cell r="D609">
            <v>1988</v>
          </cell>
          <cell r="E609" t="str">
            <v>Timberland Aviation Inc</v>
          </cell>
          <cell r="F609">
            <v>16</v>
          </cell>
          <cell r="G609">
            <v>32380</v>
          </cell>
          <cell r="I609" t="str">
            <v>North America</v>
          </cell>
          <cell r="J609" t="str">
            <v>USA</v>
          </cell>
          <cell r="K609">
            <v>31593</v>
          </cell>
        </row>
        <row r="610">
          <cell r="A610" t="str">
            <v>In service</v>
          </cell>
          <cell r="B610" t="str">
            <v>Gulfstream Aerospace Gulfstream IV</v>
          </cell>
          <cell r="C610" t="str">
            <v xml:space="preserve"> </v>
          </cell>
          <cell r="D610">
            <v>1987</v>
          </cell>
          <cell r="E610" t="str">
            <v>Mariner Management LLC</v>
          </cell>
          <cell r="F610">
            <v>17</v>
          </cell>
          <cell r="G610">
            <v>32204</v>
          </cell>
          <cell r="I610" t="str">
            <v>North America</v>
          </cell>
          <cell r="J610" t="str">
            <v>USA</v>
          </cell>
          <cell r="K610">
            <v>31593</v>
          </cell>
        </row>
        <row r="611">
          <cell r="A611" t="str">
            <v>In service</v>
          </cell>
          <cell r="B611" t="str">
            <v>Gulfstream Aerospace Gulfstream IV</v>
          </cell>
          <cell r="C611" t="str">
            <v xml:space="preserve"> </v>
          </cell>
          <cell r="D611">
            <v>1988</v>
          </cell>
          <cell r="E611" t="str">
            <v>KaiserAir Inc</v>
          </cell>
          <cell r="F611">
            <v>16</v>
          </cell>
          <cell r="G611">
            <v>32552</v>
          </cell>
          <cell r="I611" t="str">
            <v>North America</v>
          </cell>
          <cell r="J611" t="str">
            <v>USA</v>
          </cell>
          <cell r="K611">
            <v>31958</v>
          </cell>
        </row>
        <row r="612">
          <cell r="A612" t="str">
            <v>In service</v>
          </cell>
          <cell r="B612" t="str">
            <v>Gulfstream Aerospace Gulfstream IV</v>
          </cell>
          <cell r="C612" t="str">
            <v xml:space="preserve"> </v>
          </cell>
          <cell r="D612">
            <v>1988</v>
          </cell>
          <cell r="E612" t="str">
            <v>Government of Egypt</v>
          </cell>
          <cell r="F612">
            <v>16</v>
          </cell>
          <cell r="G612">
            <v>32462</v>
          </cell>
          <cell r="I612" t="str">
            <v>Africa</v>
          </cell>
          <cell r="J612" t="str">
            <v>Egypt</v>
          </cell>
          <cell r="K612">
            <v>31593</v>
          </cell>
        </row>
        <row r="613">
          <cell r="A613" t="str">
            <v>In service</v>
          </cell>
          <cell r="B613" t="str">
            <v>Gulfstream Aerospace Gulfstream IV</v>
          </cell>
          <cell r="C613" t="str">
            <v xml:space="preserve"> </v>
          </cell>
          <cell r="D613">
            <v>1988</v>
          </cell>
          <cell r="E613" t="str">
            <v>113CS LLC</v>
          </cell>
          <cell r="F613">
            <v>16</v>
          </cell>
          <cell r="G613">
            <v>32519</v>
          </cell>
          <cell r="I613" t="str">
            <v>North America</v>
          </cell>
          <cell r="J613" t="str">
            <v>USA</v>
          </cell>
          <cell r="K613">
            <v>31958</v>
          </cell>
        </row>
        <row r="614">
          <cell r="A614" t="str">
            <v>In service</v>
          </cell>
          <cell r="B614" t="str">
            <v>Gulfstream Aerospace Gulfstream IV</v>
          </cell>
          <cell r="C614" t="str">
            <v xml:space="preserve"> </v>
          </cell>
          <cell r="D614">
            <v>1987</v>
          </cell>
          <cell r="E614" t="str">
            <v>ITT Flight Operations Inc</v>
          </cell>
          <cell r="F614">
            <v>17</v>
          </cell>
          <cell r="G614">
            <v>32233</v>
          </cell>
          <cell r="I614" t="str">
            <v>North America</v>
          </cell>
          <cell r="J614" t="str">
            <v>USA</v>
          </cell>
          <cell r="K614">
            <v>31228</v>
          </cell>
        </row>
        <row r="615">
          <cell r="A615" t="str">
            <v>In service</v>
          </cell>
          <cell r="B615" t="str">
            <v>Gulfstream Aerospace Gulfstream IV</v>
          </cell>
          <cell r="C615" t="str">
            <v xml:space="preserve"> </v>
          </cell>
          <cell r="D615">
            <v>1987</v>
          </cell>
          <cell r="E615" t="str">
            <v>Aero Air LLC</v>
          </cell>
          <cell r="F615">
            <v>17</v>
          </cell>
          <cell r="G615">
            <v>32259</v>
          </cell>
          <cell r="I615" t="str">
            <v>North America</v>
          </cell>
          <cell r="J615" t="str">
            <v>USA</v>
          </cell>
          <cell r="K615">
            <v>31593</v>
          </cell>
        </row>
        <row r="616">
          <cell r="A616" t="str">
            <v>In service</v>
          </cell>
          <cell r="B616" t="str">
            <v>Gulfstream Aerospace Gulfstream IV</v>
          </cell>
          <cell r="C616" t="str">
            <v xml:space="preserve"> </v>
          </cell>
          <cell r="D616">
            <v>1988</v>
          </cell>
          <cell r="E616" t="str">
            <v>Mirage Leasing Corp</v>
          </cell>
          <cell r="F616">
            <v>16</v>
          </cell>
          <cell r="G616">
            <v>32741</v>
          </cell>
          <cell r="I616" t="str">
            <v>North America</v>
          </cell>
          <cell r="J616" t="str">
            <v>USA</v>
          </cell>
          <cell r="K616">
            <v>31958</v>
          </cell>
        </row>
        <row r="617">
          <cell r="A617" t="str">
            <v>In service</v>
          </cell>
          <cell r="B617" t="str">
            <v>Gulfstream Aerospace Gulfstream IV</v>
          </cell>
          <cell r="C617" t="str">
            <v xml:space="preserve"> </v>
          </cell>
          <cell r="D617">
            <v>1988</v>
          </cell>
          <cell r="E617" t="str">
            <v>JM Family Enterprises Inc</v>
          </cell>
          <cell r="F617">
            <v>16</v>
          </cell>
          <cell r="G617">
            <v>32278</v>
          </cell>
          <cell r="I617" t="str">
            <v>North America</v>
          </cell>
          <cell r="J617" t="str">
            <v>USA</v>
          </cell>
          <cell r="K617">
            <v>31593</v>
          </cell>
        </row>
        <row r="618">
          <cell r="A618" t="str">
            <v>In service</v>
          </cell>
          <cell r="B618" t="str">
            <v>Gulfstream Aerospace Gulfstream IV</v>
          </cell>
          <cell r="C618" t="str">
            <v xml:space="preserve"> </v>
          </cell>
          <cell r="D618">
            <v>1988</v>
          </cell>
          <cell r="E618" t="str">
            <v>JBNB Falcon LLC</v>
          </cell>
          <cell r="F618">
            <v>16</v>
          </cell>
          <cell r="G618">
            <v>32275</v>
          </cell>
          <cell r="I618" t="str">
            <v>North America</v>
          </cell>
          <cell r="J618" t="str">
            <v>USA</v>
          </cell>
          <cell r="K618">
            <v>31593</v>
          </cell>
        </row>
        <row r="619">
          <cell r="A619" t="str">
            <v>In service</v>
          </cell>
          <cell r="B619" t="str">
            <v>Gulfstream Aerospace Gulfstream IV</v>
          </cell>
          <cell r="C619" t="str">
            <v xml:space="preserve"> </v>
          </cell>
          <cell r="D619">
            <v>1988</v>
          </cell>
          <cell r="E619" t="str">
            <v>Netjets Middle East</v>
          </cell>
          <cell r="F619">
            <v>16</v>
          </cell>
          <cell r="G619">
            <v>32731</v>
          </cell>
          <cell r="I619" t="str">
            <v>Middle East</v>
          </cell>
          <cell r="J619" t="str">
            <v>Saudi Arabia</v>
          </cell>
          <cell r="K619">
            <v>31958</v>
          </cell>
        </row>
        <row r="620">
          <cell r="A620" t="str">
            <v>In service</v>
          </cell>
          <cell r="B620" t="str">
            <v>Gulfstream Aerospace Gulfstream IV</v>
          </cell>
          <cell r="C620" t="str">
            <v xml:space="preserve"> </v>
          </cell>
          <cell r="D620">
            <v>1988</v>
          </cell>
          <cell r="E620" t="str">
            <v>STN Aviation Inc</v>
          </cell>
          <cell r="F620">
            <v>16</v>
          </cell>
          <cell r="G620">
            <v>32294</v>
          </cell>
          <cell r="I620" t="str">
            <v>North America</v>
          </cell>
          <cell r="J620" t="str">
            <v>USA</v>
          </cell>
          <cell r="K620">
            <v>31228</v>
          </cell>
        </row>
        <row r="621">
          <cell r="A621" t="str">
            <v>In service</v>
          </cell>
          <cell r="B621" t="str">
            <v>Gulfstream Aerospace Gulfstream IV</v>
          </cell>
          <cell r="C621" t="str">
            <v xml:space="preserve"> </v>
          </cell>
          <cell r="D621">
            <v>1988</v>
          </cell>
          <cell r="E621" t="str">
            <v>Aircraft Holdings LLC</v>
          </cell>
          <cell r="F621">
            <v>16</v>
          </cell>
          <cell r="G621">
            <v>32297</v>
          </cell>
          <cell r="I621" t="str">
            <v>North America</v>
          </cell>
          <cell r="J621" t="str">
            <v>USA</v>
          </cell>
          <cell r="K621">
            <v>31228</v>
          </cell>
        </row>
        <row r="622">
          <cell r="A622" t="str">
            <v>In service</v>
          </cell>
          <cell r="B622" t="str">
            <v>Gulfstream Aerospace Gulfstream IV</v>
          </cell>
          <cell r="C622" t="str">
            <v xml:space="preserve"> </v>
          </cell>
          <cell r="D622">
            <v>1989</v>
          </cell>
          <cell r="E622" t="str">
            <v>Levitical Equipment &amp; Leasing LLC</v>
          </cell>
          <cell r="F622">
            <v>15</v>
          </cell>
          <cell r="G622">
            <v>32626</v>
          </cell>
          <cell r="I622" t="str">
            <v>North America</v>
          </cell>
          <cell r="J622" t="str">
            <v>USA</v>
          </cell>
          <cell r="K622">
            <v>31958</v>
          </cell>
        </row>
        <row r="623">
          <cell r="A623" t="str">
            <v>In service</v>
          </cell>
          <cell r="B623" t="str">
            <v>Gulfstream Aerospace Gulfstream IV</v>
          </cell>
          <cell r="C623" t="str">
            <v xml:space="preserve"> </v>
          </cell>
          <cell r="D623">
            <v>1988</v>
          </cell>
          <cell r="E623" t="str">
            <v>Reliance Transport &amp; Travel LT</v>
          </cell>
          <cell r="F623">
            <v>16</v>
          </cell>
          <cell r="G623">
            <v>32463</v>
          </cell>
          <cell r="I623" t="str">
            <v>Asia</v>
          </cell>
          <cell r="J623" t="str">
            <v>India</v>
          </cell>
          <cell r="K623">
            <v>31593</v>
          </cell>
        </row>
        <row r="624">
          <cell r="A624" t="str">
            <v>In service</v>
          </cell>
          <cell r="B624" t="str">
            <v>Gulfstream Aerospace Gulfstream IV</v>
          </cell>
          <cell r="C624" t="str">
            <v xml:space="preserve"> </v>
          </cell>
          <cell r="D624">
            <v>1988</v>
          </cell>
          <cell r="E624" t="str">
            <v>Servair</v>
          </cell>
          <cell r="F624">
            <v>16</v>
          </cell>
          <cell r="G624">
            <v>32330</v>
          </cell>
          <cell r="I624" t="str">
            <v>Europe</v>
          </cell>
          <cell r="J624" t="str">
            <v>Switzerland</v>
          </cell>
          <cell r="K624">
            <v>31958</v>
          </cell>
        </row>
        <row r="625">
          <cell r="A625" t="str">
            <v>In service</v>
          </cell>
          <cell r="B625" t="str">
            <v>Gulfstream Aerospace Gulfstream IV</v>
          </cell>
          <cell r="C625" t="str">
            <v xml:space="preserve"> </v>
          </cell>
          <cell r="D625">
            <v>1988</v>
          </cell>
          <cell r="E625" t="str">
            <v>First Commercial Corp</v>
          </cell>
          <cell r="F625">
            <v>16</v>
          </cell>
          <cell r="G625">
            <v>32337</v>
          </cell>
          <cell r="I625" t="str">
            <v>North America</v>
          </cell>
          <cell r="J625" t="str">
            <v>USA</v>
          </cell>
          <cell r="K625">
            <v>31593</v>
          </cell>
        </row>
        <row r="626">
          <cell r="A626" t="str">
            <v>In service</v>
          </cell>
          <cell r="B626" t="str">
            <v>Gulfstream Aerospace Gulfstream IV</v>
          </cell>
          <cell r="C626" t="str">
            <v xml:space="preserve"> </v>
          </cell>
          <cell r="D626">
            <v>1988</v>
          </cell>
          <cell r="E626" t="str">
            <v>M Ventures LLC</v>
          </cell>
          <cell r="F626">
            <v>16</v>
          </cell>
          <cell r="G626">
            <v>32489</v>
          </cell>
          <cell r="I626" t="str">
            <v>North America</v>
          </cell>
          <cell r="J626" t="str">
            <v>USA</v>
          </cell>
          <cell r="K626">
            <v>31593</v>
          </cell>
        </row>
        <row r="627">
          <cell r="A627" t="str">
            <v>In service</v>
          </cell>
          <cell r="B627" t="str">
            <v>Gulfstream Aerospace Gulfstream IV</v>
          </cell>
          <cell r="C627" t="str">
            <v xml:space="preserve"> </v>
          </cell>
          <cell r="D627">
            <v>1988</v>
          </cell>
          <cell r="E627" t="str">
            <v>HM LLC</v>
          </cell>
          <cell r="F627">
            <v>16</v>
          </cell>
          <cell r="G627">
            <v>32346</v>
          </cell>
          <cell r="I627" t="str">
            <v>North America</v>
          </cell>
          <cell r="J627" t="str">
            <v>USA</v>
          </cell>
          <cell r="K627">
            <v>31593</v>
          </cell>
        </row>
        <row r="628">
          <cell r="A628" t="str">
            <v>In service</v>
          </cell>
          <cell r="B628" t="str">
            <v>Gulfstream Aerospace Gulfstream IV</v>
          </cell>
          <cell r="C628" t="str">
            <v xml:space="preserve"> </v>
          </cell>
          <cell r="D628">
            <v>1988</v>
          </cell>
          <cell r="E628" t="str">
            <v>Illinois Central Railroad Co</v>
          </cell>
          <cell r="F628">
            <v>16</v>
          </cell>
          <cell r="G628">
            <v>32324</v>
          </cell>
          <cell r="I628" t="str">
            <v>North America</v>
          </cell>
          <cell r="J628" t="str">
            <v>USA</v>
          </cell>
          <cell r="K628">
            <v>31593</v>
          </cell>
        </row>
        <row r="629">
          <cell r="A629" t="str">
            <v>In service</v>
          </cell>
          <cell r="B629" t="str">
            <v>Gulfstream Aerospace Gulfstream IV</v>
          </cell>
          <cell r="C629" t="str">
            <v xml:space="preserve"> </v>
          </cell>
          <cell r="D629">
            <v>1988</v>
          </cell>
          <cell r="E629" t="str">
            <v>The Air Group Inc</v>
          </cell>
          <cell r="F629">
            <v>16</v>
          </cell>
          <cell r="G629">
            <v>32353</v>
          </cell>
          <cell r="I629" t="str">
            <v>North America</v>
          </cell>
          <cell r="J629" t="str">
            <v>USA</v>
          </cell>
          <cell r="K629">
            <v>31593</v>
          </cell>
        </row>
        <row r="630">
          <cell r="A630" t="str">
            <v>In service</v>
          </cell>
          <cell r="B630" t="str">
            <v>Gulfstream Aerospace Gulfstream IV</v>
          </cell>
          <cell r="C630" t="str">
            <v xml:space="preserve"> </v>
          </cell>
          <cell r="D630">
            <v>1989</v>
          </cell>
          <cell r="E630" t="str">
            <v>Prudential Insurance Company of America</v>
          </cell>
          <cell r="F630">
            <v>15</v>
          </cell>
          <cell r="G630">
            <v>32821</v>
          </cell>
          <cell r="I630" t="str">
            <v>North America</v>
          </cell>
          <cell r="J630" t="str">
            <v>USA</v>
          </cell>
          <cell r="K630">
            <v>31958</v>
          </cell>
        </row>
        <row r="631">
          <cell r="A631" t="str">
            <v>In service</v>
          </cell>
          <cell r="B631" t="str">
            <v>Gulfstream Aerospace Gulfstream IV</v>
          </cell>
          <cell r="C631" t="str">
            <v xml:space="preserve"> </v>
          </cell>
          <cell r="D631">
            <v>1988</v>
          </cell>
          <cell r="E631" t="str">
            <v>Saudi ARAMCO Aviation</v>
          </cell>
          <cell r="F631">
            <v>16</v>
          </cell>
          <cell r="G631">
            <v>32388</v>
          </cell>
          <cell r="I631" t="str">
            <v>Middle East</v>
          </cell>
          <cell r="J631" t="str">
            <v>Saudi Arabia</v>
          </cell>
          <cell r="K631">
            <v>31228</v>
          </cell>
        </row>
        <row r="632">
          <cell r="A632" t="str">
            <v>In service</v>
          </cell>
          <cell r="B632" t="str">
            <v>Gulfstream Aerospace Gulfstream IV</v>
          </cell>
          <cell r="C632" t="str">
            <v xml:space="preserve"> </v>
          </cell>
          <cell r="D632">
            <v>1988</v>
          </cell>
          <cell r="E632" t="str">
            <v>Saudi ARAMCO Aviation</v>
          </cell>
          <cell r="F632">
            <v>16</v>
          </cell>
          <cell r="G632">
            <v>32400</v>
          </cell>
          <cell r="I632" t="str">
            <v>Middle East</v>
          </cell>
          <cell r="J632" t="str">
            <v>Saudi Arabia</v>
          </cell>
          <cell r="K632">
            <v>31228</v>
          </cell>
        </row>
        <row r="633">
          <cell r="A633" t="str">
            <v>In service</v>
          </cell>
          <cell r="B633" t="str">
            <v>Gulfstream Aerospace Gulfstream IV</v>
          </cell>
          <cell r="C633" t="str">
            <v xml:space="preserve"> </v>
          </cell>
          <cell r="D633">
            <v>1988</v>
          </cell>
          <cell r="E633" t="str">
            <v>FAA / US DoT</v>
          </cell>
          <cell r="F633">
            <v>16</v>
          </cell>
          <cell r="G633">
            <v>32674</v>
          </cell>
          <cell r="I633" t="str">
            <v>North America</v>
          </cell>
          <cell r="J633" t="str">
            <v>USA</v>
          </cell>
          <cell r="K633">
            <v>31943</v>
          </cell>
        </row>
        <row r="634">
          <cell r="A634" t="str">
            <v>In service</v>
          </cell>
          <cell r="B634" t="str">
            <v>Gulfstream Aerospace Gulfstream IV</v>
          </cell>
          <cell r="C634" t="str">
            <v xml:space="preserve"> </v>
          </cell>
          <cell r="D634">
            <v>1989</v>
          </cell>
          <cell r="E634" t="str">
            <v>Crescent Heights of America Inc</v>
          </cell>
          <cell r="F634">
            <v>15</v>
          </cell>
          <cell r="G634">
            <v>32652</v>
          </cell>
          <cell r="I634" t="str">
            <v>North America</v>
          </cell>
          <cell r="J634" t="str">
            <v>USA</v>
          </cell>
          <cell r="K634">
            <v>31958</v>
          </cell>
        </row>
        <row r="635">
          <cell r="A635" t="str">
            <v>In service</v>
          </cell>
          <cell r="B635" t="str">
            <v>Gulfstream Aerospace Gulfstream IV</v>
          </cell>
          <cell r="C635" t="str">
            <v xml:space="preserve"> </v>
          </cell>
          <cell r="D635">
            <v>1988</v>
          </cell>
          <cell r="E635" t="str">
            <v>Solar II Inc</v>
          </cell>
          <cell r="F635">
            <v>16</v>
          </cell>
          <cell r="G635">
            <v>32423</v>
          </cell>
          <cell r="I635" t="str">
            <v>North America</v>
          </cell>
          <cell r="J635" t="str">
            <v>USA</v>
          </cell>
          <cell r="K635">
            <v>31593</v>
          </cell>
        </row>
        <row r="636">
          <cell r="A636" t="str">
            <v>In service</v>
          </cell>
          <cell r="B636" t="str">
            <v>Gulfstream Aerospace Gulfstream IV</v>
          </cell>
          <cell r="C636" t="str">
            <v xml:space="preserve"> </v>
          </cell>
          <cell r="D636">
            <v>1989</v>
          </cell>
          <cell r="E636" t="str">
            <v>Guardian Gulfstream IV-A LLC/CJ Air LLC/et al</v>
          </cell>
          <cell r="F636">
            <v>15</v>
          </cell>
          <cell r="G636">
            <v>32609</v>
          </cell>
          <cell r="I636" t="str">
            <v>North America</v>
          </cell>
          <cell r="J636" t="str">
            <v>USA</v>
          </cell>
          <cell r="K636">
            <v>31958</v>
          </cell>
        </row>
        <row r="637">
          <cell r="A637" t="str">
            <v>In service</v>
          </cell>
          <cell r="B637" t="str">
            <v>Gulfstream Aerospace Gulfstream IV</v>
          </cell>
          <cell r="C637" t="str">
            <v xml:space="preserve"> </v>
          </cell>
          <cell r="D637">
            <v>1988</v>
          </cell>
          <cell r="E637" t="str">
            <v>Liamaj Aviation Inc</v>
          </cell>
          <cell r="F637">
            <v>16</v>
          </cell>
          <cell r="G637">
            <v>32426</v>
          </cell>
          <cell r="I637" t="str">
            <v>North America</v>
          </cell>
          <cell r="J637" t="str">
            <v>USA</v>
          </cell>
          <cell r="K637">
            <v>31958</v>
          </cell>
        </row>
        <row r="638">
          <cell r="A638" t="str">
            <v>In service</v>
          </cell>
          <cell r="B638" t="str">
            <v>Gulfstream Aerospace Gulfstream IV</v>
          </cell>
          <cell r="C638" t="str">
            <v xml:space="preserve"> </v>
          </cell>
          <cell r="D638">
            <v>1989</v>
          </cell>
          <cell r="E638" t="str">
            <v>Templeton Asset Management Ltd</v>
          </cell>
          <cell r="F638">
            <v>15</v>
          </cell>
          <cell r="G638">
            <v>32829</v>
          </cell>
          <cell r="I638" t="str">
            <v>Asia</v>
          </cell>
          <cell r="J638" t="str">
            <v>Singapore</v>
          </cell>
          <cell r="K638">
            <v>31958</v>
          </cell>
        </row>
        <row r="639">
          <cell r="A639" t="str">
            <v>In service</v>
          </cell>
          <cell r="B639" t="str">
            <v>Gulfstream Aerospace Gulfstream IV</v>
          </cell>
          <cell r="C639" t="str">
            <v xml:space="preserve"> </v>
          </cell>
          <cell r="D639">
            <v>1988</v>
          </cell>
          <cell r="E639" t="str">
            <v>Dankjold Reed Aviation LLC</v>
          </cell>
          <cell r="F639">
            <v>16</v>
          </cell>
          <cell r="G639">
            <v>32447</v>
          </cell>
          <cell r="I639" t="str">
            <v>North America</v>
          </cell>
          <cell r="J639" t="str">
            <v>USA</v>
          </cell>
          <cell r="K639">
            <v>31593</v>
          </cell>
        </row>
        <row r="640">
          <cell r="A640" t="str">
            <v>In service</v>
          </cell>
          <cell r="B640" t="str">
            <v>Gulfstream Aerospace Gulfstream IV</v>
          </cell>
          <cell r="C640" t="str">
            <v xml:space="preserve"> </v>
          </cell>
          <cell r="D640">
            <v>1989</v>
          </cell>
          <cell r="E640" t="str">
            <v>Shell Aircraft Ltd</v>
          </cell>
          <cell r="F640">
            <v>15</v>
          </cell>
          <cell r="G640">
            <v>32805</v>
          </cell>
          <cell r="I640" t="str">
            <v>Europe</v>
          </cell>
          <cell r="J640" t="str">
            <v>United Kingdom</v>
          </cell>
          <cell r="K640">
            <v>31958</v>
          </cell>
        </row>
        <row r="641">
          <cell r="A641" t="str">
            <v>In service</v>
          </cell>
          <cell r="B641" t="str">
            <v>Gulfstream Aerospace Gulfstream IV</v>
          </cell>
          <cell r="C641" t="str">
            <v xml:space="preserve"> </v>
          </cell>
          <cell r="D641">
            <v>1989</v>
          </cell>
          <cell r="E641" t="str">
            <v>Wham Leasing Corp</v>
          </cell>
          <cell r="F641">
            <v>15</v>
          </cell>
          <cell r="G641">
            <v>32689</v>
          </cell>
          <cell r="I641" t="str">
            <v>North America</v>
          </cell>
          <cell r="J641" t="str">
            <v>USA</v>
          </cell>
          <cell r="K641">
            <v>32324</v>
          </cell>
        </row>
        <row r="642">
          <cell r="A642" t="str">
            <v>In service</v>
          </cell>
          <cell r="B642" t="str">
            <v>Gulfstream Aerospace Gulfstream IV</v>
          </cell>
          <cell r="C642" t="str">
            <v xml:space="preserve"> </v>
          </cell>
          <cell r="D642">
            <v>1988</v>
          </cell>
          <cell r="E642" t="str">
            <v>Oxy Petroleum Inc</v>
          </cell>
          <cell r="F642">
            <v>16</v>
          </cell>
          <cell r="G642">
            <v>32478</v>
          </cell>
          <cell r="I642" t="str">
            <v>North America</v>
          </cell>
          <cell r="J642" t="str">
            <v>USA</v>
          </cell>
          <cell r="K642">
            <v>31593</v>
          </cell>
        </row>
        <row r="643">
          <cell r="A643" t="str">
            <v>In service</v>
          </cell>
          <cell r="B643" t="str">
            <v>Gulfstream Aerospace Gulfstream IV</v>
          </cell>
          <cell r="C643" t="str">
            <v xml:space="preserve"> </v>
          </cell>
          <cell r="D643">
            <v>1988</v>
          </cell>
          <cell r="E643" t="str">
            <v>Management Investments Enterprises LLC</v>
          </cell>
          <cell r="F643">
            <v>16</v>
          </cell>
          <cell r="G643">
            <v>32476</v>
          </cell>
          <cell r="I643" t="str">
            <v>North America</v>
          </cell>
          <cell r="J643" t="str">
            <v>USA</v>
          </cell>
          <cell r="K643">
            <v>31958</v>
          </cell>
        </row>
        <row r="644">
          <cell r="A644" t="str">
            <v>In service</v>
          </cell>
          <cell r="B644" t="str">
            <v>Gulfstream Aerospace Gulfstream IV</v>
          </cell>
          <cell r="C644" t="str">
            <v xml:space="preserve"> </v>
          </cell>
          <cell r="D644">
            <v>1988</v>
          </cell>
          <cell r="E644" t="str">
            <v>Burlington Resources Oil &amp; Gas Co</v>
          </cell>
          <cell r="F644">
            <v>16</v>
          </cell>
          <cell r="G644">
            <v>32498</v>
          </cell>
          <cell r="I644" t="str">
            <v>North America</v>
          </cell>
          <cell r="J644" t="str">
            <v>USA</v>
          </cell>
          <cell r="K644">
            <v>31958</v>
          </cell>
        </row>
        <row r="645">
          <cell r="A645" t="str">
            <v>In service</v>
          </cell>
          <cell r="B645" t="str">
            <v>Gulfstream Aerospace Gulfstream IV</v>
          </cell>
          <cell r="C645" t="str">
            <v xml:space="preserve"> </v>
          </cell>
          <cell r="D645">
            <v>1988</v>
          </cell>
          <cell r="E645" t="str">
            <v>Crown Ltd</v>
          </cell>
          <cell r="F645">
            <v>16</v>
          </cell>
          <cell r="G645">
            <v>32766</v>
          </cell>
          <cell r="I645" t="str">
            <v>Australasia</v>
          </cell>
          <cell r="J645" t="str">
            <v>Australia</v>
          </cell>
          <cell r="K645">
            <v>31958</v>
          </cell>
        </row>
        <row r="646">
          <cell r="A646" t="str">
            <v>In service</v>
          </cell>
          <cell r="B646" t="str">
            <v>Gulfstream Aerospace Gulfstream IV</v>
          </cell>
          <cell r="C646" t="str">
            <v xml:space="preserve"> </v>
          </cell>
          <cell r="D646">
            <v>1989</v>
          </cell>
          <cell r="E646" t="str">
            <v>Sit-Set Aviation AG</v>
          </cell>
          <cell r="F646">
            <v>15</v>
          </cell>
          <cell r="G646">
            <v>32746</v>
          </cell>
          <cell r="I646" t="str">
            <v>Europe</v>
          </cell>
          <cell r="J646" t="str">
            <v>Switzerland</v>
          </cell>
          <cell r="K646">
            <v>31958</v>
          </cell>
        </row>
        <row r="647">
          <cell r="A647" t="str">
            <v>In service</v>
          </cell>
          <cell r="B647" t="str">
            <v>Gulfstream Aerospace Gulfstream IV</v>
          </cell>
          <cell r="C647" t="str">
            <v xml:space="preserve"> </v>
          </cell>
          <cell r="D647">
            <v>1988</v>
          </cell>
          <cell r="E647" t="str">
            <v>Petersen Aviation</v>
          </cell>
          <cell r="F647">
            <v>16</v>
          </cell>
          <cell r="G647">
            <v>32506</v>
          </cell>
          <cell r="I647" t="str">
            <v>North America</v>
          </cell>
          <cell r="J647" t="str">
            <v>USA</v>
          </cell>
          <cell r="K647">
            <v>31958</v>
          </cell>
        </row>
        <row r="648">
          <cell r="A648" t="str">
            <v>In service</v>
          </cell>
          <cell r="B648" t="str">
            <v>Gulfstream Aerospace Gulfstream IV</v>
          </cell>
          <cell r="C648" t="str">
            <v xml:space="preserve"> </v>
          </cell>
          <cell r="D648">
            <v>1988</v>
          </cell>
          <cell r="E648" t="str">
            <v>Stockwood Inc</v>
          </cell>
          <cell r="F648">
            <v>16</v>
          </cell>
          <cell r="G648">
            <v>32506</v>
          </cell>
          <cell r="I648" t="str">
            <v>North America</v>
          </cell>
          <cell r="J648" t="str">
            <v>USA</v>
          </cell>
          <cell r="K648">
            <v>31958</v>
          </cell>
        </row>
        <row r="649">
          <cell r="A649" t="str">
            <v>In service</v>
          </cell>
          <cell r="B649" t="str">
            <v>Gulfstream Aerospace Gulfstream IV</v>
          </cell>
          <cell r="C649" t="str">
            <v xml:space="preserve"> </v>
          </cell>
          <cell r="D649">
            <v>1989</v>
          </cell>
          <cell r="E649" t="str">
            <v>Blue Sky Group Inc</v>
          </cell>
          <cell r="F649">
            <v>15</v>
          </cell>
          <cell r="G649">
            <v>32560</v>
          </cell>
          <cell r="I649" t="str">
            <v>North America</v>
          </cell>
          <cell r="J649" t="str">
            <v>USA</v>
          </cell>
          <cell r="K649">
            <v>31958</v>
          </cell>
        </row>
        <row r="650">
          <cell r="A650" t="str">
            <v>In service</v>
          </cell>
          <cell r="B650" t="str">
            <v>Gulfstream Aerospace Gulfstream IV</v>
          </cell>
          <cell r="C650" t="str">
            <v xml:space="preserve"> </v>
          </cell>
          <cell r="D650">
            <v>1989</v>
          </cell>
          <cell r="E650" t="str">
            <v>Nicklaus Design LLC</v>
          </cell>
          <cell r="F650">
            <v>15</v>
          </cell>
          <cell r="G650">
            <v>32561</v>
          </cell>
          <cell r="I650" t="str">
            <v>North America</v>
          </cell>
          <cell r="J650" t="str">
            <v>USA</v>
          </cell>
          <cell r="K650">
            <v>31958</v>
          </cell>
        </row>
        <row r="651">
          <cell r="A651" t="str">
            <v>In service</v>
          </cell>
          <cell r="B651" t="str">
            <v>Gulfstream Aerospace Gulfstream IV</v>
          </cell>
          <cell r="C651" t="str">
            <v xml:space="preserve"> </v>
          </cell>
          <cell r="D651">
            <v>1989</v>
          </cell>
          <cell r="E651" t="str">
            <v>Chilean Air Force</v>
          </cell>
          <cell r="F651">
            <v>15</v>
          </cell>
          <cell r="G651">
            <v>32566</v>
          </cell>
          <cell r="I651" t="str">
            <v>Latin America and Caribbean</v>
          </cell>
          <cell r="J651" t="str">
            <v>Chile</v>
          </cell>
          <cell r="K651">
            <v>31593</v>
          </cell>
        </row>
        <row r="652">
          <cell r="A652" t="str">
            <v>In service</v>
          </cell>
          <cell r="B652" t="str">
            <v>Gulfstream Aerospace Gulfstream IV</v>
          </cell>
          <cell r="C652" t="str">
            <v xml:space="preserve"> </v>
          </cell>
          <cell r="D652">
            <v>1989</v>
          </cell>
          <cell r="E652" t="str">
            <v>Star Plane Inc</v>
          </cell>
          <cell r="F652">
            <v>15</v>
          </cell>
          <cell r="G652">
            <v>32947</v>
          </cell>
          <cell r="I652" t="str">
            <v>North America</v>
          </cell>
          <cell r="J652" t="str">
            <v>USA</v>
          </cell>
          <cell r="K652">
            <v>32324</v>
          </cell>
        </row>
        <row r="653">
          <cell r="A653" t="str">
            <v>In service</v>
          </cell>
          <cell r="B653" t="str">
            <v>Gulfstream Aerospace Gulfstream IV</v>
          </cell>
          <cell r="C653" t="str">
            <v xml:space="preserve"> </v>
          </cell>
          <cell r="D653">
            <v>1989</v>
          </cell>
          <cell r="E653" t="str">
            <v>General Electric Company</v>
          </cell>
          <cell r="F653">
            <v>15</v>
          </cell>
          <cell r="G653">
            <v>32583</v>
          </cell>
          <cell r="I653" t="str">
            <v>North America</v>
          </cell>
          <cell r="J653" t="str">
            <v>USA</v>
          </cell>
          <cell r="K653">
            <v>31958</v>
          </cell>
        </row>
        <row r="654">
          <cell r="A654" t="str">
            <v>In service</v>
          </cell>
          <cell r="B654" t="str">
            <v>Gulfstream Aerospace Gulfstream IV</v>
          </cell>
          <cell r="C654" t="str">
            <v xml:space="preserve"> </v>
          </cell>
          <cell r="D654">
            <v>1989</v>
          </cell>
          <cell r="E654" t="str">
            <v>NBL LLC</v>
          </cell>
          <cell r="F654">
            <v>15</v>
          </cell>
          <cell r="G654">
            <v>32590</v>
          </cell>
          <cell r="I654" t="str">
            <v>North America</v>
          </cell>
          <cell r="J654" t="str">
            <v>USA</v>
          </cell>
          <cell r="K654">
            <v>31958</v>
          </cell>
        </row>
        <row r="655">
          <cell r="A655" t="str">
            <v>In service</v>
          </cell>
          <cell r="B655" t="str">
            <v>Gulfstream Aerospace Gulfstream IV</v>
          </cell>
          <cell r="C655" t="str">
            <v xml:space="preserve"> </v>
          </cell>
          <cell r="D655">
            <v>1989</v>
          </cell>
          <cell r="E655" t="str">
            <v>Ogden Flight Services Group Inc</v>
          </cell>
          <cell r="F655">
            <v>15</v>
          </cell>
          <cell r="G655">
            <v>32857</v>
          </cell>
          <cell r="I655" t="str">
            <v>North America</v>
          </cell>
          <cell r="J655" t="str">
            <v>USA</v>
          </cell>
          <cell r="K655">
            <v>31958</v>
          </cell>
        </row>
        <row r="656">
          <cell r="A656" t="str">
            <v>In service</v>
          </cell>
          <cell r="B656" t="str">
            <v>Gulfstream Aerospace Gulfstream IV</v>
          </cell>
          <cell r="C656" t="str">
            <v xml:space="preserve"> </v>
          </cell>
          <cell r="D656">
            <v>1989</v>
          </cell>
          <cell r="E656" t="str">
            <v>North American Packaging Corp</v>
          </cell>
          <cell r="F656">
            <v>15</v>
          </cell>
          <cell r="G656">
            <v>32611</v>
          </cell>
          <cell r="I656" t="str">
            <v>North America</v>
          </cell>
          <cell r="J656" t="str">
            <v>USA</v>
          </cell>
          <cell r="K656">
            <v>31958</v>
          </cell>
        </row>
        <row r="657">
          <cell r="A657" t="str">
            <v>In service</v>
          </cell>
          <cell r="B657" t="str">
            <v>Gulfstream Aerospace Gulfstream IV</v>
          </cell>
          <cell r="C657" t="str">
            <v xml:space="preserve"> </v>
          </cell>
          <cell r="D657">
            <v>1989</v>
          </cell>
          <cell r="E657" t="str">
            <v>Eli Lilly International Corp</v>
          </cell>
          <cell r="F657">
            <v>15</v>
          </cell>
          <cell r="G657">
            <v>32619</v>
          </cell>
          <cell r="I657" t="str">
            <v>North America</v>
          </cell>
          <cell r="J657" t="str">
            <v>USA</v>
          </cell>
          <cell r="K657">
            <v>31958</v>
          </cell>
        </row>
        <row r="658">
          <cell r="A658" t="str">
            <v>In service</v>
          </cell>
          <cell r="B658" t="str">
            <v>Gulfstream Aerospace Gulfstream IV</v>
          </cell>
          <cell r="C658" t="str">
            <v xml:space="preserve"> </v>
          </cell>
          <cell r="D658">
            <v>1989</v>
          </cell>
          <cell r="E658" t="str">
            <v>Rolls-Royce</v>
          </cell>
          <cell r="F658">
            <v>15</v>
          </cell>
          <cell r="G658">
            <v>32857</v>
          </cell>
          <cell r="I658" t="str">
            <v>Europe</v>
          </cell>
          <cell r="J658" t="str">
            <v>United Kingdom</v>
          </cell>
          <cell r="K658">
            <v>31958</v>
          </cell>
        </row>
        <row r="659">
          <cell r="A659" t="str">
            <v>In service</v>
          </cell>
          <cell r="B659" t="str">
            <v>Gulfstream Aerospace Gulfstream IV</v>
          </cell>
          <cell r="C659" t="str">
            <v xml:space="preserve"> </v>
          </cell>
          <cell r="D659">
            <v>1989</v>
          </cell>
          <cell r="E659" t="str">
            <v>ABT Flight Inc</v>
          </cell>
          <cell r="F659">
            <v>15</v>
          </cell>
          <cell r="G659">
            <v>32637</v>
          </cell>
          <cell r="I659" t="str">
            <v>North America</v>
          </cell>
          <cell r="J659" t="str">
            <v>USA</v>
          </cell>
          <cell r="K659">
            <v>31958</v>
          </cell>
        </row>
        <row r="660">
          <cell r="A660" t="str">
            <v>In service</v>
          </cell>
          <cell r="B660" t="str">
            <v>Gulfstream Aerospace Gulfstream IV</v>
          </cell>
          <cell r="C660" t="str">
            <v xml:space="preserve"> </v>
          </cell>
          <cell r="D660">
            <v>1989</v>
          </cell>
          <cell r="E660" t="str">
            <v>SeaFlight Aviation Ltd</v>
          </cell>
          <cell r="F660">
            <v>15</v>
          </cell>
          <cell r="G660">
            <v>32660</v>
          </cell>
          <cell r="I660" t="str">
            <v>Latin America and Caribbean</v>
          </cell>
          <cell r="J660" t="str">
            <v>Bermuda</v>
          </cell>
          <cell r="K660">
            <v>31958</v>
          </cell>
        </row>
        <row r="661">
          <cell r="A661" t="str">
            <v>In service</v>
          </cell>
          <cell r="B661" t="str">
            <v>Gulfstream Aerospace Gulfstream IV</v>
          </cell>
          <cell r="C661" t="str">
            <v xml:space="preserve"> </v>
          </cell>
          <cell r="D661">
            <v>1989</v>
          </cell>
          <cell r="E661" t="str">
            <v>CKE Associates LLC</v>
          </cell>
          <cell r="F661">
            <v>15</v>
          </cell>
          <cell r="G661">
            <v>32780</v>
          </cell>
          <cell r="I661" t="str">
            <v>North America</v>
          </cell>
          <cell r="J661" t="str">
            <v>USA</v>
          </cell>
          <cell r="K661">
            <v>31958</v>
          </cell>
        </row>
        <row r="662">
          <cell r="A662" t="str">
            <v>In service</v>
          </cell>
          <cell r="B662" t="str">
            <v>Gulfstream Aerospace Gulfstream IV</v>
          </cell>
          <cell r="C662" t="str">
            <v xml:space="preserve"> </v>
          </cell>
          <cell r="D662">
            <v>1989</v>
          </cell>
          <cell r="E662" t="str">
            <v>Deer Jet</v>
          </cell>
          <cell r="F662">
            <v>15</v>
          </cell>
          <cell r="G662">
            <v>32668</v>
          </cell>
          <cell r="I662" t="str">
            <v>Asia</v>
          </cell>
          <cell r="J662" t="str">
            <v>China</v>
          </cell>
          <cell r="K662">
            <v>31958</v>
          </cell>
        </row>
        <row r="663">
          <cell r="A663" t="str">
            <v>In service</v>
          </cell>
          <cell r="B663" t="str">
            <v>Gulfstream Aerospace Gulfstream IV</v>
          </cell>
          <cell r="C663" t="str">
            <v xml:space="preserve"> </v>
          </cell>
          <cell r="D663">
            <v>1989</v>
          </cell>
          <cell r="E663" t="str">
            <v>General Electric Company</v>
          </cell>
          <cell r="F663">
            <v>15</v>
          </cell>
          <cell r="G663">
            <v>32675</v>
          </cell>
          <cell r="I663" t="str">
            <v>North America</v>
          </cell>
          <cell r="J663" t="str">
            <v>USA</v>
          </cell>
          <cell r="K663">
            <v>31958</v>
          </cell>
        </row>
        <row r="664">
          <cell r="A664" t="str">
            <v>In service</v>
          </cell>
          <cell r="B664" t="str">
            <v>Gulfstream Aerospace Gulfstream IV</v>
          </cell>
          <cell r="C664" t="str">
            <v xml:space="preserve"> </v>
          </cell>
          <cell r="D664">
            <v>1989</v>
          </cell>
          <cell r="E664" t="str">
            <v>Aerotaxis Metropolitanos SA de CV</v>
          </cell>
          <cell r="F664">
            <v>15</v>
          </cell>
          <cell r="G664">
            <v>32687</v>
          </cell>
          <cell r="I664" t="str">
            <v>Latin America and Caribbean</v>
          </cell>
          <cell r="J664" t="str">
            <v>Mexico</v>
          </cell>
          <cell r="K664">
            <v>31958</v>
          </cell>
        </row>
        <row r="665">
          <cell r="A665" t="str">
            <v>In service</v>
          </cell>
          <cell r="B665" t="str">
            <v>Gulfstream Aerospace Gulfstream IV</v>
          </cell>
          <cell r="C665" t="str">
            <v xml:space="preserve"> </v>
          </cell>
          <cell r="D665">
            <v>1989</v>
          </cell>
          <cell r="E665" t="str">
            <v>Barrick Gold Corp</v>
          </cell>
          <cell r="F665">
            <v>15</v>
          </cell>
          <cell r="G665">
            <v>32692</v>
          </cell>
          <cell r="I665" t="str">
            <v>North America</v>
          </cell>
          <cell r="J665" t="str">
            <v>Canada</v>
          </cell>
          <cell r="K665">
            <v>31958</v>
          </cell>
        </row>
        <row r="666">
          <cell r="A666" t="str">
            <v>In service</v>
          </cell>
          <cell r="B666" t="str">
            <v>Gulfstream Aerospace Gulfstream IV</v>
          </cell>
          <cell r="C666" t="str">
            <v xml:space="preserve"> </v>
          </cell>
          <cell r="D666">
            <v>1989</v>
          </cell>
          <cell r="E666" t="str">
            <v>Stanford Aircraft LLC</v>
          </cell>
          <cell r="F666">
            <v>15</v>
          </cell>
          <cell r="G666">
            <v>32884</v>
          </cell>
          <cell r="I666" t="str">
            <v>North America</v>
          </cell>
          <cell r="J666" t="str">
            <v>USA</v>
          </cell>
          <cell r="K666">
            <v>32324</v>
          </cell>
        </row>
        <row r="667">
          <cell r="A667" t="str">
            <v>In service</v>
          </cell>
          <cell r="B667" t="str">
            <v>Gulfstream Aerospace Gulfstream IV</v>
          </cell>
          <cell r="C667" t="str">
            <v xml:space="preserve"> </v>
          </cell>
          <cell r="D667">
            <v>1989</v>
          </cell>
          <cell r="E667" t="str">
            <v>Eli Lilly International Corp</v>
          </cell>
          <cell r="F667">
            <v>15</v>
          </cell>
          <cell r="G667">
            <v>32722</v>
          </cell>
          <cell r="I667" t="str">
            <v>North America</v>
          </cell>
          <cell r="J667" t="str">
            <v>USA</v>
          </cell>
          <cell r="K667">
            <v>31958</v>
          </cell>
        </row>
        <row r="668">
          <cell r="A668" t="str">
            <v>In service</v>
          </cell>
          <cell r="B668" t="str">
            <v>Gulfstream Aerospace Gulfstream IV</v>
          </cell>
          <cell r="C668" t="str">
            <v xml:space="preserve"> </v>
          </cell>
          <cell r="D668">
            <v>1990</v>
          </cell>
          <cell r="E668" t="str">
            <v>Sultanate of Johore Malaysia</v>
          </cell>
          <cell r="F668">
            <v>14</v>
          </cell>
          <cell r="G668">
            <v>33312</v>
          </cell>
          <cell r="I668" t="str">
            <v>Asia</v>
          </cell>
          <cell r="J668" t="str">
            <v>Malaysia</v>
          </cell>
          <cell r="K668">
            <v>32689</v>
          </cell>
        </row>
        <row r="669">
          <cell r="A669" t="str">
            <v>In service</v>
          </cell>
          <cell r="B669" t="str">
            <v>Gulfstream Aerospace Gulfstream IV</v>
          </cell>
          <cell r="C669" t="str">
            <v xml:space="preserve"> </v>
          </cell>
          <cell r="D669">
            <v>1989</v>
          </cell>
          <cell r="E669" t="str">
            <v>Ford Aviation LLC</v>
          </cell>
          <cell r="F669">
            <v>15</v>
          </cell>
          <cell r="G669">
            <v>32919</v>
          </cell>
          <cell r="I669" t="str">
            <v>North America</v>
          </cell>
          <cell r="J669" t="str">
            <v>USA</v>
          </cell>
          <cell r="K669">
            <v>32324</v>
          </cell>
        </row>
        <row r="670">
          <cell r="A670" t="str">
            <v>In service</v>
          </cell>
          <cell r="B670" t="str">
            <v>Gulfstream Aerospace Gulfstream IV</v>
          </cell>
          <cell r="C670" t="str">
            <v xml:space="preserve"> </v>
          </cell>
          <cell r="D670">
            <v>1989</v>
          </cell>
          <cell r="E670" t="str">
            <v>News Limited</v>
          </cell>
          <cell r="F670">
            <v>15</v>
          </cell>
          <cell r="G670">
            <v>32736</v>
          </cell>
          <cell r="I670" t="str">
            <v>Australasia</v>
          </cell>
          <cell r="J670" t="str">
            <v>Australia</v>
          </cell>
          <cell r="K670">
            <v>31958</v>
          </cell>
        </row>
        <row r="671">
          <cell r="A671" t="str">
            <v>In service</v>
          </cell>
          <cell r="B671" t="str">
            <v>Gulfstream Aerospace Gulfstream IV</v>
          </cell>
          <cell r="C671" t="str">
            <v xml:space="preserve"> </v>
          </cell>
          <cell r="D671">
            <v>1990</v>
          </cell>
          <cell r="E671" t="str">
            <v>Gestair</v>
          </cell>
          <cell r="F671">
            <v>14</v>
          </cell>
          <cell r="G671">
            <v>33312</v>
          </cell>
          <cell r="I671" t="str">
            <v>Europe</v>
          </cell>
          <cell r="J671" t="str">
            <v>Spain</v>
          </cell>
          <cell r="K671">
            <v>32689</v>
          </cell>
        </row>
        <row r="672">
          <cell r="A672" t="str">
            <v>In service</v>
          </cell>
          <cell r="B672" t="str">
            <v>Gulfstream Aerospace Gulfstream IV</v>
          </cell>
          <cell r="C672" t="str">
            <v xml:space="preserve"> </v>
          </cell>
          <cell r="D672">
            <v>1989</v>
          </cell>
          <cell r="E672" t="str">
            <v>Maxim Aviation Co</v>
          </cell>
          <cell r="F672">
            <v>15</v>
          </cell>
          <cell r="G672">
            <v>32744</v>
          </cell>
          <cell r="I672" t="str">
            <v>North America</v>
          </cell>
          <cell r="J672" t="str">
            <v>USA</v>
          </cell>
          <cell r="K672">
            <v>31958</v>
          </cell>
        </row>
        <row r="673">
          <cell r="A673" t="str">
            <v>In service</v>
          </cell>
          <cell r="B673" t="str">
            <v>Gulfstream Aerospace Gulfstream IV</v>
          </cell>
          <cell r="C673" t="str">
            <v xml:space="preserve"> </v>
          </cell>
          <cell r="D673">
            <v>1989</v>
          </cell>
          <cell r="E673" t="str">
            <v>Apex Oil Co Inc</v>
          </cell>
          <cell r="F673">
            <v>15</v>
          </cell>
          <cell r="G673">
            <v>32762</v>
          </cell>
          <cell r="I673" t="str">
            <v>North America</v>
          </cell>
          <cell r="J673" t="str">
            <v>USA</v>
          </cell>
          <cell r="K673">
            <v>31958</v>
          </cell>
        </row>
        <row r="674">
          <cell r="A674" t="str">
            <v>In service</v>
          </cell>
          <cell r="B674" t="str">
            <v>Gulfstream Aerospace Gulfstream IV</v>
          </cell>
          <cell r="C674" t="str">
            <v xml:space="preserve"> </v>
          </cell>
          <cell r="D674">
            <v>1989</v>
          </cell>
          <cell r="E674" t="str">
            <v>United Technologies Corp</v>
          </cell>
          <cell r="F674">
            <v>15</v>
          </cell>
          <cell r="G674">
            <v>32770</v>
          </cell>
          <cell r="I674" t="str">
            <v>North America</v>
          </cell>
          <cell r="J674" t="str">
            <v>USA</v>
          </cell>
          <cell r="K674">
            <v>31958</v>
          </cell>
        </row>
        <row r="675">
          <cell r="A675" t="str">
            <v>In service</v>
          </cell>
          <cell r="B675" t="str">
            <v>Gulfstream Aerospace Gulfstream IV</v>
          </cell>
          <cell r="C675" t="str">
            <v xml:space="preserve"> </v>
          </cell>
          <cell r="D675">
            <v>1989</v>
          </cell>
          <cell r="E675" t="str">
            <v>TRT Leasing Inc</v>
          </cell>
          <cell r="F675">
            <v>15</v>
          </cell>
          <cell r="G675">
            <v>32787</v>
          </cell>
          <cell r="I675" t="str">
            <v>North America</v>
          </cell>
          <cell r="J675" t="str">
            <v>USA</v>
          </cell>
          <cell r="K675">
            <v>32324</v>
          </cell>
        </row>
        <row r="676">
          <cell r="A676" t="str">
            <v>In service</v>
          </cell>
          <cell r="B676" t="str">
            <v>Gulfstream Aerospace Gulfstream IV</v>
          </cell>
          <cell r="C676" t="str">
            <v xml:space="preserve"> </v>
          </cell>
          <cell r="D676">
            <v>1989</v>
          </cell>
          <cell r="E676" t="str">
            <v>Lexair Ltd/LG Euro Holdings LLC/et al</v>
          </cell>
          <cell r="F676">
            <v>15</v>
          </cell>
          <cell r="G676">
            <v>33012</v>
          </cell>
          <cell r="I676" t="str">
            <v>North America</v>
          </cell>
          <cell r="J676" t="str">
            <v>USA</v>
          </cell>
          <cell r="K676">
            <v>32324</v>
          </cell>
        </row>
        <row r="677">
          <cell r="A677" t="str">
            <v>In service</v>
          </cell>
          <cell r="B677" t="str">
            <v>Gulfstream Aerospace Gulfstream IV</v>
          </cell>
          <cell r="C677" t="str">
            <v xml:space="preserve"> </v>
          </cell>
          <cell r="D677">
            <v>1989</v>
          </cell>
          <cell r="E677" t="str">
            <v>Meridian Services Inc</v>
          </cell>
          <cell r="F677">
            <v>15</v>
          </cell>
          <cell r="G677">
            <v>32799</v>
          </cell>
          <cell r="I677" t="str">
            <v>North America</v>
          </cell>
          <cell r="J677" t="str">
            <v>USA</v>
          </cell>
          <cell r="K677">
            <v>31958</v>
          </cell>
        </row>
        <row r="678">
          <cell r="A678" t="str">
            <v>In service</v>
          </cell>
          <cell r="B678" t="str">
            <v>Gulfstream Aerospace Gulfstream IV</v>
          </cell>
          <cell r="C678" t="str">
            <v xml:space="preserve"> </v>
          </cell>
          <cell r="D678">
            <v>1989</v>
          </cell>
          <cell r="E678" t="str">
            <v>National City Leasing Corp</v>
          </cell>
          <cell r="F678">
            <v>15</v>
          </cell>
          <cell r="G678">
            <v>33100</v>
          </cell>
          <cell r="I678" t="str">
            <v>North America</v>
          </cell>
          <cell r="J678" t="str">
            <v>USA</v>
          </cell>
          <cell r="K678">
            <v>32324</v>
          </cell>
        </row>
        <row r="679">
          <cell r="A679" t="str">
            <v>In service</v>
          </cell>
          <cell r="B679" t="str">
            <v>Gulfstream Aerospace Gulfstream IV</v>
          </cell>
          <cell r="C679" t="str">
            <v xml:space="preserve"> </v>
          </cell>
          <cell r="D679">
            <v>1991</v>
          </cell>
          <cell r="E679" t="str">
            <v>Fayair</v>
          </cell>
          <cell r="F679">
            <v>13</v>
          </cell>
          <cell r="G679">
            <v>33520</v>
          </cell>
          <cell r="I679" t="str">
            <v>Europe</v>
          </cell>
          <cell r="J679" t="str">
            <v>United Kingdom</v>
          </cell>
          <cell r="K679">
            <v>32689</v>
          </cell>
        </row>
        <row r="680">
          <cell r="A680" t="str">
            <v>In service</v>
          </cell>
          <cell r="B680" t="str">
            <v>Gulfstream Aerospace Gulfstream IV</v>
          </cell>
          <cell r="C680" t="str">
            <v xml:space="preserve"> </v>
          </cell>
          <cell r="D680">
            <v>1989</v>
          </cell>
          <cell r="E680" t="str">
            <v>N720CH LLC</v>
          </cell>
          <cell r="F680">
            <v>15</v>
          </cell>
          <cell r="G680">
            <v>32821</v>
          </cell>
          <cell r="I680" t="str">
            <v>North America</v>
          </cell>
          <cell r="J680" t="str">
            <v>USA</v>
          </cell>
          <cell r="K680">
            <v>31958</v>
          </cell>
        </row>
        <row r="681">
          <cell r="A681" t="str">
            <v>In service</v>
          </cell>
          <cell r="B681" t="str">
            <v>Gulfstream Aerospace Gulfstream IV</v>
          </cell>
          <cell r="C681" t="str">
            <v xml:space="preserve"> </v>
          </cell>
          <cell r="D681">
            <v>1989</v>
          </cell>
          <cell r="E681" t="str">
            <v>Harrinfield Ltd</v>
          </cell>
          <cell r="F681">
            <v>15</v>
          </cell>
          <cell r="G681">
            <v>32834</v>
          </cell>
          <cell r="I681" t="str">
            <v>Unknown area</v>
          </cell>
          <cell r="J681" t="str">
            <v>Unknown Country</v>
          </cell>
          <cell r="K681">
            <v>32324</v>
          </cell>
        </row>
        <row r="682">
          <cell r="A682" t="str">
            <v>In service</v>
          </cell>
          <cell r="B682" t="str">
            <v>Gulfstream Aerospace Gulfstream IV</v>
          </cell>
          <cell r="C682" t="str">
            <v xml:space="preserve"> </v>
          </cell>
          <cell r="D682">
            <v>1990</v>
          </cell>
          <cell r="E682" t="str">
            <v>C and S Aviation LLC</v>
          </cell>
          <cell r="F682">
            <v>14</v>
          </cell>
          <cell r="G682">
            <v>33082</v>
          </cell>
          <cell r="I682" t="str">
            <v>North America</v>
          </cell>
          <cell r="J682" t="str">
            <v>USA</v>
          </cell>
          <cell r="K682">
            <v>32324</v>
          </cell>
        </row>
        <row r="683">
          <cell r="A683" t="str">
            <v>In service</v>
          </cell>
          <cell r="B683" t="str">
            <v>Gulfstream Aerospace Gulfstream IV</v>
          </cell>
          <cell r="C683" t="str">
            <v xml:space="preserve"> </v>
          </cell>
          <cell r="D683">
            <v>1989</v>
          </cell>
          <cell r="E683" t="str">
            <v>Aero Toy Store LLC</v>
          </cell>
          <cell r="F683">
            <v>15</v>
          </cell>
          <cell r="G683">
            <v>32843</v>
          </cell>
          <cell r="I683" t="str">
            <v>North America</v>
          </cell>
          <cell r="J683" t="str">
            <v>USA</v>
          </cell>
          <cell r="K683">
            <v>32324</v>
          </cell>
        </row>
        <row r="684">
          <cell r="A684" t="str">
            <v>In service</v>
          </cell>
          <cell r="B684" t="str">
            <v>Gulfstream Aerospace Gulfstream IV</v>
          </cell>
          <cell r="C684" t="str">
            <v xml:space="preserve"> </v>
          </cell>
          <cell r="D684">
            <v>1989</v>
          </cell>
          <cell r="E684" t="str">
            <v>Majjec Jhett LLC</v>
          </cell>
          <cell r="F684">
            <v>15</v>
          </cell>
          <cell r="G684">
            <v>32849</v>
          </cell>
          <cell r="I684" t="str">
            <v>North America</v>
          </cell>
          <cell r="J684" t="str">
            <v>USA</v>
          </cell>
          <cell r="K684">
            <v>31958</v>
          </cell>
        </row>
        <row r="685">
          <cell r="A685" t="str">
            <v>In service</v>
          </cell>
          <cell r="B685" t="str">
            <v>Gulfstream Aerospace Gulfstream IV</v>
          </cell>
          <cell r="C685" t="str">
            <v xml:space="preserve"> </v>
          </cell>
          <cell r="D685">
            <v>1990</v>
          </cell>
          <cell r="E685" t="str">
            <v>ConAero Inc</v>
          </cell>
          <cell r="F685">
            <v>14</v>
          </cell>
          <cell r="G685">
            <v>33222</v>
          </cell>
          <cell r="I685" t="str">
            <v>North America</v>
          </cell>
          <cell r="J685" t="str">
            <v>USA</v>
          </cell>
          <cell r="K685">
            <v>32324</v>
          </cell>
        </row>
        <row r="686">
          <cell r="A686" t="str">
            <v>In service</v>
          </cell>
          <cell r="B686" t="str">
            <v>Gulfstream Aerospace Gulfstream IV</v>
          </cell>
          <cell r="C686" t="str">
            <v xml:space="preserve"> </v>
          </cell>
          <cell r="D686">
            <v>1990</v>
          </cell>
          <cell r="E686" t="str">
            <v>Whirlpool Corp</v>
          </cell>
          <cell r="F686">
            <v>14</v>
          </cell>
          <cell r="G686">
            <v>33162</v>
          </cell>
          <cell r="I686" t="str">
            <v>North America</v>
          </cell>
          <cell r="J686" t="str">
            <v>USA</v>
          </cell>
          <cell r="K686">
            <v>32324</v>
          </cell>
        </row>
        <row r="687">
          <cell r="A687" t="str">
            <v>In service</v>
          </cell>
          <cell r="B687" t="str">
            <v>Gulfstream Aerospace Gulfstream IV</v>
          </cell>
          <cell r="C687" t="str">
            <v xml:space="preserve"> </v>
          </cell>
          <cell r="D687">
            <v>1989</v>
          </cell>
          <cell r="E687" t="str">
            <v>LVH Corp</v>
          </cell>
          <cell r="F687">
            <v>15</v>
          </cell>
          <cell r="G687">
            <v>32869</v>
          </cell>
          <cell r="I687" t="str">
            <v>North America</v>
          </cell>
          <cell r="J687" t="str">
            <v>USA</v>
          </cell>
          <cell r="K687">
            <v>31958</v>
          </cell>
        </row>
        <row r="688">
          <cell r="A688" t="str">
            <v>In service</v>
          </cell>
          <cell r="B688" t="str">
            <v>Gulfstream Aerospace Gulfstream IV</v>
          </cell>
          <cell r="C688" t="str">
            <v xml:space="preserve"> </v>
          </cell>
          <cell r="D688">
            <v>1990</v>
          </cell>
          <cell r="E688" t="str">
            <v>Federal Government of Nigeria</v>
          </cell>
          <cell r="F688">
            <v>14</v>
          </cell>
          <cell r="G688">
            <v>33192</v>
          </cell>
          <cell r="I688" t="str">
            <v>Africa</v>
          </cell>
          <cell r="J688" t="str">
            <v>Nigeria</v>
          </cell>
          <cell r="K688">
            <v>31958</v>
          </cell>
        </row>
        <row r="689">
          <cell r="A689" t="str">
            <v>In service</v>
          </cell>
          <cell r="B689" t="str">
            <v>Gulfstream Aerospace Gulfstream IV</v>
          </cell>
          <cell r="C689" t="str">
            <v xml:space="preserve"> </v>
          </cell>
          <cell r="D689">
            <v>1990</v>
          </cell>
          <cell r="E689" t="str">
            <v>AEC International Ltd</v>
          </cell>
          <cell r="F689">
            <v>14</v>
          </cell>
          <cell r="G689">
            <v>32912</v>
          </cell>
          <cell r="I689" t="str">
            <v>Latin America and Caribbean</v>
          </cell>
          <cell r="J689" t="str">
            <v>Bermuda</v>
          </cell>
          <cell r="K689">
            <v>32689</v>
          </cell>
        </row>
        <row r="690">
          <cell r="A690" t="str">
            <v>In service</v>
          </cell>
          <cell r="B690" t="str">
            <v>Gulfstream Aerospace Gulfstream IV</v>
          </cell>
          <cell r="C690" t="str">
            <v xml:space="preserve"> </v>
          </cell>
          <cell r="D690">
            <v>1990</v>
          </cell>
          <cell r="E690" t="str">
            <v>Saudi Arabian Airlines</v>
          </cell>
          <cell r="F690">
            <v>14</v>
          </cell>
          <cell r="G690">
            <v>33297</v>
          </cell>
          <cell r="I690" t="str">
            <v>Middle East</v>
          </cell>
          <cell r="J690" t="str">
            <v>Saudi Arabia</v>
          </cell>
          <cell r="K690">
            <v>32324</v>
          </cell>
        </row>
        <row r="691">
          <cell r="A691" t="str">
            <v>In service</v>
          </cell>
          <cell r="B691" t="str">
            <v>Gulfstream Aerospace Gulfstream IV</v>
          </cell>
          <cell r="C691" t="str">
            <v xml:space="preserve"> </v>
          </cell>
          <cell r="D691">
            <v>1990</v>
          </cell>
          <cell r="E691" t="str">
            <v>Monaco Coach Corp</v>
          </cell>
          <cell r="F691">
            <v>14</v>
          </cell>
          <cell r="G691">
            <v>33131</v>
          </cell>
          <cell r="I691" t="str">
            <v>North America</v>
          </cell>
          <cell r="J691" t="str">
            <v>USA</v>
          </cell>
          <cell r="K691">
            <v>32324</v>
          </cell>
        </row>
        <row r="692">
          <cell r="A692" t="str">
            <v>In service</v>
          </cell>
          <cell r="B692" t="str">
            <v>Gulfstream Aerospace Gulfstream IV</v>
          </cell>
          <cell r="C692" t="str">
            <v xml:space="preserve"> </v>
          </cell>
          <cell r="D692">
            <v>1990</v>
          </cell>
          <cell r="E692" t="str">
            <v>G &amp; L Aviation</v>
          </cell>
          <cell r="F692">
            <v>14</v>
          </cell>
          <cell r="G692">
            <v>32954</v>
          </cell>
          <cell r="I692" t="str">
            <v>North America</v>
          </cell>
          <cell r="J692" t="str">
            <v>USA</v>
          </cell>
          <cell r="K692">
            <v>32324</v>
          </cell>
        </row>
        <row r="693">
          <cell r="A693" t="str">
            <v>In service</v>
          </cell>
          <cell r="B693" t="str">
            <v>Gulfstream Aerospace Gulfstream IV</v>
          </cell>
          <cell r="C693" t="str">
            <v xml:space="preserve"> </v>
          </cell>
          <cell r="D693">
            <v>1990</v>
          </cell>
          <cell r="E693" t="str">
            <v>Threshold Ventures Inc</v>
          </cell>
          <cell r="F693">
            <v>14</v>
          </cell>
          <cell r="G693">
            <v>32969</v>
          </cell>
          <cell r="I693" t="str">
            <v>North America</v>
          </cell>
          <cell r="J693" t="str">
            <v>USA</v>
          </cell>
          <cell r="K693">
            <v>32324</v>
          </cell>
        </row>
        <row r="694">
          <cell r="A694" t="str">
            <v>In service</v>
          </cell>
          <cell r="B694" t="str">
            <v>Gulfstream Aerospace Gulfstream IV</v>
          </cell>
          <cell r="C694" t="str">
            <v xml:space="preserve"> </v>
          </cell>
          <cell r="D694">
            <v>1991</v>
          </cell>
          <cell r="E694" t="str">
            <v>Scout Aviation LLC</v>
          </cell>
          <cell r="F694">
            <v>13</v>
          </cell>
          <cell r="G694">
            <v>33434</v>
          </cell>
          <cell r="I694" t="str">
            <v>North America</v>
          </cell>
          <cell r="J694" t="str">
            <v>USA</v>
          </cell>
          <cell r="K694">
            <v>32689</v>
          </cell>
        </row>
        <row r="695">
          <cell r="A695" t="str">
            <v>In service</v>
          </cell>
          <cell r="B695" t="str">
            <v>Gulfstream Aerospace Gulfstream IV</v>
          </cell>
          <cell r="C695" t="str">
            <v xml:space="preserve"> </v>
          </cell>
          <cell r="D695">
            <v>1990</v>
          </cell>
          <cell r="E695" t="str">
            <v>Copley Press Inc</v>
          </cell>
          <cell r="F695">
            <v>14</v>
          </cell>
          <cell r="G695">
            <v>33192</v>
          </cell>
          <cell r="I695" t="str">
            <v>North America</v>
          </cell>
          <cell r="J695" t="str">
            <v>USA</v>
          </cell>
          <cell r="K695">
            <v>32324</v>
          </cell>
        </row>
        <row r="696">
          <cell r="A696" t="str">
            <v>In service</v>
          </cell>
          <cell r="B696" t="str">
            <v>Gulfstream Aerospace Gulfstream IV</v>
          </cell>
          <cell r="C696" t="str">
            <v xml:space="preserve"> </v>
          </cell>
          <cell r="D696">
            <v>1990</v>
          </cell>
          <cell r="E696" t="str">
            <v>Gulfstream International Corp</v>
          </cell>
          <cell r="F696">
            <v>14</v>
          </cell>
          <cell r="G696">
            <v>33193</v>
          </cell>
          <cell r="I696" t="str">
            <v>North America</v>
          </cell>
          <cell r="J696" t="str">
            <v>USA</v>
          </cell>
          <cell r="K696">
            <v>32324</v>
          </cell>
        </row>
        <row r="697">
          <cell r="A697" t="str">
            <v>In service</v>
          </cell>
          <cell r="B697" t="str">
            <v>Gulfstream Aerospace Gulfstream IV</v>
          </cell>
          <cell r="C697" t="str">
            <v xml:space="preserve"> </v>
          </cell>
          <cell r="D697">
            <v>1990</v>
          </cell>
          <cell r="E697" t="str">
            <v>Billionaire Inc</v>
          </cell>
          <cell r="F697">
            <v>14</v>
          </cell>
          <cell r="G697">
            <v>33253</v>
          </cell>
          <cell r="I697" t="str">
            <v>North America</v>
          </cell>
          <cell r="J697" t="str">
            <v>USA</v>
          </cell>
          <cell r="K697">
            <v>32689</v>
          </cell>
        </row>
        <row r="698">
          <cell r="A698" t="str">
            <v>In service</v>
          </cell>
          <cell r="B698" t="str">
            <v>Gulfstream Aerospace Gulfstream IV</v>
          </cell>
          <cell r="C698" t="str">
            <v xml:space="preserve"> </v>
          </cell>
          <cell r="D698">
            <v>1990</v>
          </cell>
          <cell r="E698" t="str">
            <v>Schering Plough Corp</v>
          </cell>
          <cell r="F698">
            <v>14</v>
          </cell>
          <cell r="G698">
            <v>33207</v>
          </cell>
          <cell r="I698" t="str">
            <v>North America</v>
          </cell>
          <cell r="J698" t="str">
            <v>USA</v>
          </cell>
          <cell r="K698">
            <v>32324</v>
          </cell>
        </row>
        <row r="699">
          <cell r="A699" t="str">
            <v>In service</v>
          </cell>
          <cell r="B699" t="str">
            <v>Gulfstream Aerospace Gulfstream IV</v>
          </cell>
          <cell r="C699" t="str">
            <v xml:space="preserve"> </v>
          </cell>
          <cell r="D699">
            <v>1990</v>
          </cell>
          <cell r="E699" t="str">
            <v xml:space="preserve">I M S Health Transportation Services </v>
          </cell>
          <cell r="F699">
            <v>14</v>
          </cell>
          <cell r="G699">
            <v>33161</v>
          </cell>
          <cell r="I699" t="str">
            <v>North America</v>
          </cell>
          <cell r="J699" t="str">
            <v>USA</v>
          </cell>
          <cell r="K699">
            <v>32324</v>
          </cell>
        </row>
        <row r="700">
          <cell r="A700" t="str">
            <v>In service</v>
          </cell>
          <cell r="B700" t="str">
            <v>Gulfstream Aerospace Gulfstream IV</v>
          </cell>
          <cell r="C700" t="str">
            <v xml:space="preserve"> </v>
          </cell>
          <cell r="D700">
            <v>1991</v>
          </cell>
          <cell r="E700" t="str">
            <v>Exxon Mobil Corp</v>
          </cell>
          <cell r="F700">
            <v>13</v>
          </cell>
          <cell r="G700">
            <v>33249</v>
          </cell>
          <cell r="I700" t="str">
            <v>North America</v>
          </cell>
          <cell r="J700" t="str">
            <v>USA</v>
          </cell>
          <cell r="K700">
            <v>32689</v>
          </cell>
        </row>
        <row r="701">
          <cell r="A701" t="str">
            <v>In service</v>
          </cell>
          <cell r="B701" t="str">
            <v>Gulfstream Aerospace Gulfstream IV</v>
          </cell>
          <cell r="C701" t="str">
            <v xml:space="preserve"> </v>
          </cell>
          <cell r="D701">
            <v>1991</v>
          </cell>
          <cell r="E701" t="str">
            <v>GSCP (NJ) Inc</v>
          </cell>
          <cell r="F701">
            <v>13</v>
          </cell>
          <cell r="G701">
            <v>33253</v>
          </cell>
          <cell r="I701" t="str">
            <v>North America</v>
          </cell>
          <cell r="J701" t="str">
            <v>USA</v>
          </cell>
          <cell r="K701">
            <v>32689</v>
          </cell>
        </row>
        <row r="702">
          <cell r="A702" t="str">
            <v>In service</v>
          </cell>
          <cell r="B702" t="str">
            <v>Gulfstream Aerospace Gulfstream IV</v>
          </cell>
          <cell r="C702" t="str">
            <v xml:space="preserve"> </v>
          </cell>
          <cell r="D702">
            <v>1990</v>
          </cell>
          <cell r="E702" t="str">
            <v>Presley CMR Inc</v>
          </cell>
          <cell r="F702">
            <v>14</v>
          </cell>
          <cell r="G702">
            <v>33053</v>
          </cell>
          <cell r="I702" t="str">
            <v>North America</v>
          </cell>
          <cell r="J702" t="str">
            <v>USA</v>
          </cell>
          <cell r="K702">
            <v>32324</v>
          </cell>
        </row>
        <row r="703">
          <cell r="A703" t="str">
            <v>In service</v>
          </cell>
          <cell r="B703" t="str">
            <v>Gulfstream Aerospace Gulfstream IV</v>
          </cell>
          <cell r="C703" t="str">
            <v xml:space="preserve"> </v>
          </cell>
          <cell r="D703">
            <v>1990</v>
          </cell>
          <cell r="E703" t="str">
            <v>Ronin LLC</v>
          </cell>
          <cell r="F703">
            <v>14</v>
          </cell>
          <cell r="G703">
            <v>33087</v>
          </cell>
          <cell r="I703" t="str">
            <v>North America</v>
          </cell>
          <cell r="J703" t="str">
            <v>USA</v>
          </cell>
          <cell r="K703">
            <v>32324</v>
          </cell>
        </row>
        <row r="704">
          <cell r="A704" t="str">
            <v>In service</v>
          </cell>
          <cell r="B704" t="str">
            <v>Gulfstream Aerospace Gulfstream IV</v>
          </cell>
          <cell r="C704" t="str">
            <v xml:space="preserve"> </v>
          </cell>
          <cell r="D704">
            <v>1991</v>
          </cell>
          <cell r="E704" t="str">
            <v>Gypsy Two LLC</v>
          </cell>
          <cell r="F704">
            <v>13</v>
          </cell>
          <cell r="G704">
            <v>33343</v>
          </cell>
          <cell r="I704" t="str">
            <v>North America</v>
          </cell>
          <cell r="J704" t="str">
            <v>USA</v>
          </cell>
          <cell r="K704">
            <v>33054</v>
          </cell>
        </row>
        <row r="705">
          <cell r="A705" t="str">
            <v>In service</v>
          </cell>
          <cell r="B705" t="str">
            <v>Gulfstream Aerospace Gulfstream IV</v>
          </cell>
          <cell r="C705" t="str">
            <v xml:space="preserve"> </v>
          </cell>
          <cell r="D705">
            <v>1991</v>
          </cell>
          <cell r="E705" t="str">
            <v>Saudi Arabian Airlines</v>
          </cell>
          <cell r="F705">
            <v>13</v>
          </cell>
          <cell r="G705">
            <v>33320</v>
          </cell>
          <cell r="I705" t="str">
            <v>Middle East</v>
          </cell>
          <cell r="J705" t="str">
            <v>Saudi Arabia</v>
          </cell>
          <cell r="K705">
            <v>32689</v>
          </cell>
        </row>
        <row r="706">
          <cell r="A706" t="str">
            <v>In service</v>
          </cell>
          <cell r="B706" t="str">
            <v>Gulfstream Aerospace Gulfstream IV</v>
          </cell>
          <cell r="C706" t="str">
            <v xml:space="preserve"> </v>
          </cell>
          <cell r="D706">
            <v>1991</v>
          </cell>
          <cell r="E706" t="str">
            <v>Air China Business Jet</v>
          </cell>
          <cell r="F706">
            <v>13</v>
          </cell>
          <cell r="G706">
            <v>33284</v>
          </cell>
          <cell r="I706" t="str">
            <v>Asia</v>
          </cell>
          <cell r="J706" t="str">
            <v>China</v>
          </cell>
          <cell r="K706">
            <v>32689</v>
          </cell>
        </row>
        <row r="707">
          <cell r="A707" t="str">
            <v>In service</v>
          </cell>
          <cell r="B707" t="str">
            <v>Gulfstream Aerospace Gulfstream IV</v>
          </cell>
          <cell r="C707" t="str">
            <v xml:space="preserve"> </v>
          </cell>
          <cell r="D707">
            <v>1991</v>
          </cell>
          <cell r="E707" t="str">
            <v>Countrywide Home Loans Inc</v>
          </cell>
          <cell r="F707">
            <v>13</v>
          </cell>
          <cell r="G707">
            <v>33399</v>
          </cell>
          <cell r="I707" t="str">
            <v>North America</v>
          </cell>
          <cell r="J707" t="str">
            <v>USA</v>
          </cell>
          <cell r="K707">
            <v>32689</v>
          </cell>
        </row>
        <row r="708">
          <cell r="A708" t="str">
            <v>In service</v>
          </cell>
          <cell r="B708" t="str">
            <v>Gulfstream Aerospace Gulfstream IV</v>
          </cell>
          <cell r="C708" t="str">
            <v xml:space="preserve"> </v>
          </cell>
          <cell r="D708">
            <v>1990</v>
          </cell>
          <cell r="E708" t="str">
            <v>New World Aircraft GIV-1146 LLC</v>
          </cell>
          <cell r="F708">
            <v>14</v>
          </cell>
          <cell r="G708">
            <v>33337</v>
          </cell>
          <cell r="I708" t="str">
            <v>North America</v>
          </cell>
          <cell r="J708" t="str">
            <v>USA</v>
          </cell>
          <cell r="K708">
            <v>32689</v>
          </cell>
        </row>
        <row r="709">
          <cell r="A709" t="str">
            <v>In service</v>
          </cell>
          <cell r="B709" t="str">
            <v>Gulfstream Aerospace Gulfstream IV</v>
          </cell>
          <cell r="C709" t="str">
            <v xml:space="preserve"> </v>
          </cell>
          <cell r="D709">
            <v>1990</v>
          </cell>
          <cell r="E709" t="str">
            <v>Koloa Aviation LLC</v>
          </cell>
          <cell r="F709">
            <v>14</v>
          </cell>
          <cell r="G709">
            <v>33161</v>
          </cell>
          <cell r="I709" t="str">
            <v>North America</v>
          </cell>
          <cell r="J709" t="str">
            <v>USA</v>
          </cell>
          <cell r="K709">
            <v>32324</v>
          </cell>
        </row>
        <row r="710">
          <cell r="A710" t="str">
            <v>In service</v>
          </cell>
          <cell r="B710" t="str">
            <v>Gulfstream Aerospace Gulfstream IV</v>
          </cell>
          <cell r="C710" t="str">
            <v xml:space="preserve"> </v>
          </cell>
          <cell r="D710">
            <v>1991</v>
          </cell>
          <cell r="E710" t="str">
            <v>T-Bird Aviation Inc</v>
          </cell>
          <cell r="F710">
            <v>13</v>
          </cell>
          <cell r="G710">
            <v>33511</v>
          </cell>
          <cell r="I710" t="str">
            <v>North America</v>
          </cell>
          <cell r="J710" t="str">
            <v>USA</v>
          </cell>
          <cell r="K710">
            <v>32689</v>
          </cell>
        </row>
        <row r="711">
          <cell r="A711" t="str">
            <v>In service</v>
          </cell>
          <cell r="B711" t="str">
            <v>Gulfstream Aerospace Gulfstream IV</v>
          </cell>
          <cell r="C711" t="str">
            <v xml:space="preserve"> </v>
          </cell>
          <cell r="D711">
            <v>1990</v>
          </cell>
          <cell r="E711" t="str">
            <v>Blum Capital Partners LP</v>
          </cell>
          <cell r="F711">
            <v>14</v>
          </cell>
          <cell r="G711">
            <v>33069</v>
          </cell>
          <cell r="I711" t="str">
            <v>North America</v>
          </cell>
          <cell r="J711" t="str">
            <v>USA</v>
          </cell>
          <cell r="K711">
            <v>32689</v>
          </cell>
        </row>
        <row r="712">
          <cell r="A712" t="str">
            <v>In service</v>
          </cell>
          <cell r="B712" t="str">
            <v>Gulfstream Aerospace Gulfstream IV</v>
          </cell>
          <cell r="C712" t="str">
            <v xml:space="preserve"> </v>
          </cell>
          <cell r="D712">
            <v>1991</v>
          </cell>
          <cell r="E712" t="str">
            <v>Elite Aviation LLC</v>
          </cell>
          <cell r="F712">
            <v>13</v>
          </cell>
          <cell r="G712">
            <v>33587</v>
          </cell>
          <cell r="I712" t="str">
            <v>North America</v>
          </cell>
          <cell r="J712" t="str">
            <v>USA</v>
          </cell>
          <cell r="K712">
            <v>32689</v>
          </cell>
        </row>
        <row r="713">
          <cell r="A713" t="str">
            <v>In service</v>
          </cell>
          <cell r="B713" t="str">
            <v>Gulfstream Aerospace Gulfstream IV</v>
          </cell>
          <cell r="C713" t="str">
            <v xml:space="preserve"> </v>
          </cell>
          <cell r="D713">
            <v>1990</v>
          </cell>
          <cell r="E713" t="str">
            <v>S T Aviation LLC</v>
          </cell>
          <cell r="F713">
            <v>14</v>
          </cell>
          <cell r="G713">
            <v>33222</v>
          </cell>
          <cell r="I713" t="str">
            <v>North America</v>
          </cell>
          <cell r="J713" t="str">
            <v>USA</v>
          </cell>
          <cell r="K713">
            <v>32324</v>
          </cell>
        </row>
        <row r="714">
          <cell r="A714" t="str">
            <v>In service</v>
          </cell>
          <cell r="B714" t="str">
            <v>Gulfstream Aerospace Gulfstream IV</v>
          </cell>
          <cell r="C714" t="str">
            <v xml:space="preserve"> </v>
          </cell>
          <cell r="D714">
            <v>1990</v>
          </cell>
          <cell r="E714" t="str">
            <v>International Group Inc</v>
          </cell>
          <cell r="F714">
            <v>14</v>
          </cell>
          <cell r="G714">
            <v>33203</v>
          </cell>
          <cell r="I714" t="str">
            <v>North America</v>
          </cell>
          <cell r="J714" t="str">
            <v>USA</v>
          </cell>
          <cell r="K714">
            <v>32324</v>
          </cell>
        </row>
        <row r="715">
          <cell r="A715" t="str">
            <v>In service</v>
          </cell>
          <cell r="B715" t="str">
            <v>Gulfstream Aerospace Gulfstream IV</v>
          </cell>
          <cell r="C715" t="str">
            <v xml:space="preserve"> </v>
          </cell>
          <cell r="D715">
            <v>1990</v>
          </cell>
          <cell r="E715" t="str">
            <v>International Home Foods Inc</v>
          </cell>
          <cell r="F715">
            <v>14</v>
          </cell>
          <cell r="G715">
            <v>33224</v>
          </cell>
          <cell r="I715" t="str">
            <v>North America</v>
          </cell>
          <cell r="J715" t="str">
            <v>USA</v>
          </cell>
          <cell r="K715">
            <v>32324</v>
          </cell>
        </row>
        <row r="716">
          <cell r="A716" t="str">
            <v>In service</v>
          </cell>
          <cell r="B716" t="str">
            <v>Gulfstream Aerospace Gulfstream IV</v>
          </cell>
          <cell r="C716" t="str">
            <v xml:space="preserve"> </v>
          </cell>
          <cell r="D716">
            <v>1990</v>
          </cell>
          <cell r="E716" t="str">
            <v>Alcatel USA Marketing Inc</v>
          </cell>
          <cell r="F716">
            <v>14</v>
          </cell>
          <cell r="G716">
            <v>33225</v>
          </cell>
          <cell r="I716" t="str">
            <v>North America</v>
          </cell>
          <cell r="J716" t="str">
            <v>USA</v>
          </cell>
        </row>
        <row r="717">
          <cell r="A717" t="str">
            <v>In service</v>
          </cell>
          <cell r="B717" t="str">
            <v>Gulfstream Aerospace Gulfstream IV</v>
          </cell>
          <cell r="C717" t="str">
            <v xml:space="preserve"> </v>
          </cell>
          <cell r="D717">
            <v>1990</v>
          </cell>
          <cell r="E717" t="str">
            <v>BP Amoco Corp</v>
          </cell>
          <cell r="F717">
            <v>14</v>
          </cell>
          <cell r="G717">
            <v>33235</v>
          </cell>
          <cell r="I717" t="str">
            <v>North America</v>
          </cell>
          <cell r="J717" t="str">
            <v>USA</v>
          </cell>
          <cell r="K717">
            <v>32324</v>
          </cell>
        </row>
        <row r="718">
          <cell r="A718" t="str">
            <v>In service</v>
          </cell>
          <cell r="B718" t="str">
            <v>Gulfstream Aerospace Gulfstream IV</v>
          </cell>
          <cell r="C718" t="str">
            <v xml:space="preserve"> </v>
          </cell>
          <cell r="D718">
            <v>1990</v>
          </cell>
          <cell r="E718" t="str">
            <v>Gandel Group Pty Ltd</v>
          </cell>
          <cell r="F718">
            <v>14</v>
          </cell>
          <cell r="G718">
            <v>33260</v>
          </cell>
          <cell r="I718" t="str">
            <v>Australasia</v>
          </cell>
          <cell r="J718" t="str">
            <v>Australia</v>
          </cell>
          <cell r="K718">
            <v>33054</v>
          </cell>
        </row>
        <row r="719">
          <cell r="A719" t="str">
            <v>In service</v>
          </cell>
          <cell r="B719" t="str">
            <v>Gulfstream Aerospace Gulfstream IV</v>
          </cell>
          <cell r="C719" t="str">
            <v xml:space="preserve"> </v>
          </cell>
          <cell r="D719">
            <v>1991</v>
          </cell>
          <cell r="E719" t="str">
            <v>Jetalliance Flugbetriebs</v>
          </cell>
          <cell r="F719">
            <v>13</v>
          </cell>
          <cell r="G719">
            <v>33529</v>
          </cell>
          <cell r="I719" t="str">
            <v>Europe</v>
          </cell>
          <cell r="J719" t="str">
            <v>Austria</v>
          </cell>
          <cell r="K719">
            <v>32689</v>
          </cell>
        </row>
        <row r="720">
          <cell r="A720" t="str">
            <v>In service</v>
          </cell>
          <cell r="B720" t="str">
            <v>Gulfstream Aerospace Gulfstream IV</v>
          </cell>
          <cell r="C720" t="str">
            <v xml:space="preserve"> </v>
          </cell>
          <cell r="D720">
            <v>1991</v>
          </cell>
          <cell r="E720" t="str">
            <v>Evergreen International Aviation Inc</v>
          </cell>
          <cell r="F720">
            <v>13</v>
          </cell>
          <cell r="G720">
            <v>33288</v>
          </cell>
          <cell r="I720" t="str">
            <v>North America</v>
          </cell>
          <cell r="J720" t="str">
            <v>USA</v>
          </cell>
          <cell r="K720">
            <v>32689</v>
          </cell>
        </row>
        <row r="721">
          <cell r="A721" t="str">
            <v>In service</v>
          </cell>
          <cell r="B721" t="str">
            <v>Gulfstream Aerospace Gulfstream IV</v>
          </cell>
          <cell r="C721" t="str">
            <v xml:space="preserve"> </v>
          </cell>
          <cell r="D721">
            <v>1991</v>
          </cell>
          <cell r="E721" t="str">
            <v>Jetclub AG</v>
          </cell>
          <cell r="F721">
            <v>13</v>
          </cell>
          <cell r="G721">
            <v>33591</v>
          </cell>
          <cell r="I721" t="str">
            <v>Europe</v>
          </cell>
          <cell r="J721" t="str">
            <v>Switzerland</v>
          </cell>
          <cell r="K721">
            <v>32689</v>
          </cell>
        </row>
        <row r="722">
          <cell r="A722" t="str">
            <v>In service</v>
          </cell>
          <cell r="B722" t="str">
            <v>Gulfstream Aerospace Gulfstream IV</v>
          </cell>
          <cell r="C722" t="str">
            <v xml:space="preserve"> </v>
          </cell>
          <cell r="D722">
            <v>1991</v>
          </cell>
          <cell r="E722" t="str">
            <v>Irish Air Corps</v>
          </cell>
          <cell r="F722">
            <v>13</v>
          </cell>
          <cell r="G722">
            <v>33591</v>
          </cell>
          <cell r="I722" t="str">
            <v>Europe</v>
          </cell>
          <cell r="J722" t="str">
            <v>Ireland</v>
          </cell>
          <cell r="K722">
            <v>33054</v>
          </cell>
        </row>
        <row r="723">
          <cell r="A723" t="str">
            <v>In service</v>
          </cell>
          <cell r="B723" t="str">
            <v>Gulfstream Aerospace Gulfstream IV</v>
          </cell>
          <cell r="C723" t="str">
            <v xml:space="preserve"> </v>
          </cell>
          <cell r="D723">
            <v>1992</v>
          </cell>
          <cell r="E723" t="str">
            <v>Executive Fliteways Inc</v>
          </cell>
          <cell r="F723">
            <v>12</v>
          </cell>
          <cell r="G723">
            <v>33616</v>
          </cell>
          <cell r="I723" t="str">
            <v>North America</v>
          </cell>
          <cell r="J723" t="str">
            <v>USA</v>
          </cell>
          <cell r="K723">
            <v>32689</v>
          </cell>
        </row>
        <row r="724">
          <cell r="A724" t="str">
            <v>In service</v>
          </cell>
          <cell r="B724" t="str">
            <v>Gulfstream Aerospace Gulfstream IV</v>
          </cell>
          <cell r="C724" t="str">
            <v xml:space="preserve"> </v>
          </cell>
          <cell r="D724">
            <v>1991</v>
          </cell>
          <cell r="E724" t="str">
            <v>Turkish Air Force</v>
          </cell>
          <cell r="F724">
            <v>13</v>
          </cell>
          <cell r="G724">
            <v>33587</v>
          </cell>
          <cell r="I724" t="str">
            <v>Europe</v>
          </cell>
          <cell r="J724" t="str">
            <v>Turkey</v>
          </cell>
        </row>
        <row r="725">
          <cell r="A725" t="str">
            <v>In service</v>
          </cell>
          <cell r="B725" t="str">
            <v>Gulfstream Aerospace Gulfstream IV</v>
          </cell>
          <cell r="C725" t="str">
            <v xml:space="preserve"> </v>
          </cell>
          <cell r="D725">
            <v>1991</v>
          </cell>
          <cell r="E725" t="str">
            <v>Wells Fargo &amp; Co</v>
          </cell>
          <cell r="F725">
            <v>13</v>
          </cell>
          <cell r="G725">
            <v>33353</v>
          </cell>
          <cell r="I725" t="str">
            <v>North America</v>
          </cell>
          <cell r="J725" t="str">
            <v>USA</v>
          </cell>
          <cell r="K725">
            <v>32689</v>
          </cell>
        </row>
        <row r="726">
          <cell r="A726" t="str">
            <v>In service</v>
          </cell>
          <cell r="B726" t="str">
            <v>Gulfstream Aerospace Gulfstream IV</v>
          </cell>
          <cell r="C726" t="str">
            <v xml:space="preserve"> </v>
          </cell>
          <cell r="D726">
            <v>1991</v>
          </cell>
          <cell r="E726" t="str">
            <v>International Business Machines (IBM) Corp</v>
          </cell>
          <cell r="F726">
            <v>13</v>
          </cell>
          <cell r="G726">
            <v>33284</v>
          </cell>
          <cell r="I726" t="str">
            <v>North America</v>
          </cell>
          <cell r="J726" t="str">
            <v>USA</v>
          </cell>
        </row>
        <row r="727">
          <cell r="A727" t="str">
            <v>In service</v>
          </cell>
          <cell r="B727" t="str">
            <v>Gulfstream Aerospace Gulfstream IV</v>
          </cell>
          <cell r="C727" t="str">
            <v xml:space="preserve"> </v>
          </cell>
          <cell r="D727">
            <v>1991</v>
          </cell>
          <cell r="E727" t="str">
            <v>Saudi Arabian Airlines</v>
          </cell>
          <cell r="F727">
            <v>13</v>
          </cell>
          <cell r="G727">
            <v>33526</v>
          </cell>
          <cell r="I727" t="str">
            <v>Middle East</v>
          </cell>
          <cell r="J727" t="str">
            <v>Saudi Arabia</v>
          </cell>
        </row>
        <row r="728">
          <cell r="A728" t="str">
            <v>In service</v>
          </cell>
          <cell r="B728" t="str">
            <v>Gulfstream Aerospace Gulfstream IV</v>
          </cell>
          <cell r="C728" t="str">
            <v xml:space="preserve"> </v>
          </cell>
          <cell r="D728">
            <v>1991</v>
          </cell>
          <cell r="E728" t="str">
            <v>Sara Lee Corp</v>
          </cell>
          <cell r="F728">
            <v>13</v>
          </cell>
          <cell r="G728">
            <v>33399</v>
          </cell>
          <cell r="I728" t="str">
            <v>North America</v>
          </cell>
          <cell r="J728" t="str">
            <v>USA</v>
          </cell>
          <cell r="K728">
            <v>32689</v>
          </cell>
        </row>
        <row r="729">
          <cell r="A729" t="str">
            <v>In service</v>
          </cell>
          <cell r="B729" t="str">
            <v>Gulfstream Aerospace Gulfstream IV</v>
          </cell>
          <cell r="C729" t="str">
            <v xml:space="preserve"> </v>
          </cell>
          <cell r="D729">
            <v>1991</v>
          </cell>
          <cell r="E729" t="str">
            <v>Oman Royal Flight</v>
          </cell>
          <cell r="F729">
            <v>13</v>
          </cell>
          <cell r="G729">
            <v>33395</v>
          </cell>
          <cell r="I729" t="str">
            <v>Middle East</v>
          </cell>
          <cell r="J729" t="str">
            <v>Oman</v>
          </cell>
        </row>
        <row r="730">
          <cell r="A730" t="str">
            <v>In service</v>
          </cell>
          <cell r="B730" t="str">
            <v>Gulfstream Aerospace Gulfstream IV</v>
          </cell>
          <cell r="C730" t="str">
            <v xml:space="preserve"> </v>
          </cell>
          <cell r="D730">
            <v>1991</v>
          </cell>
          <cell r="E730" t="str">
            <v>CRK Studio LLC</v>
          </cell>
          <cell r="F730">
            <v>13</v>
          </cell>
          <cell r="G730">
            <v>33441</v>
          </cell>
          <cell r="I730" t="str">
            <v>North America</v>
          </cell>
          <cell r="J730" t="str">
            <v>USA</v>
          </cell>
          <cell r="K730">
            <v>32689</v>
          </cell>
        </row>
        <row r="731">
          <cell r="A731" t="str">
            <v>In service</v>
          </cell>
          <cell r="B731" t="str">
            <v>Gulfstream Aerospace Gulfstream IV</v>
          </cell>
          <cell r="C731" t="str">
            <v xml:space="preserve"> </v>
          </cell>
          <cell r="D731">
            <v>1991</v>
          </cell>
          <cell r="E731" t="str">
            <v>J Porter Enterprises Inc</v>
          </cell>
          <cell r="F731">
            <v>13</v>
          </cell>
          <cell r="G731">
            <v>33504</v>
          </cell>
          <cell r="I731" t="str">
            <v>North America</v>
          </cell>
          <cell r="J731" t="str">
            <v>USA</v>
          </cell>
          <cell r="K731">
            <v>33054</v>
          </cell>
        </row>
        <row r="732">
          <cell r="A732" t="str">
            <v>In service</v>
          </cell>
          <cell r="B732" t="str">
            <v>Gulfstream Aerospace Gulfstream IV</v>
          </cell>
          <cell r="C732" t="str">
            <v xml:space="preserve"> </v>
          </cell>
          <cell r="D732">
            <v>1991</v>
          </cell>
          <cell r="E732" t="str">
            <v>Stanford Aviation 5555 LLC</v>
          </cell>
          <cell r="F732">
            <v>13</v>
          </cell>
          <cell r="G732">
            <v>33470</v>
          </cell>
          <cell r="I732" t="str">
            <v>North America</v>
          </cell>
          <cell r="J732" t="str">
            <v>USA</v>
          </cell>
          <cell r="K732">
            <v>32689</v>
          </cell>
        </row>
        <row r="733">
          <cell r="A733" t="str">
            <v>In service</v>
          </cell>
          <cell r="B733" t="str">
            <v>Gulfstream Aerospace Gulfstream IV</v>
          </cell>
          <cell r="C733" t="str">
            <v xml:space="preserve"> </v>
          </cell>
          <cell r="D733">
            <v>1991</v>
          </cell>
          <cell r="E733" t="str">
            <v>Assembly Pointe Aviation</v>
          </cell>
          <cell r="F733">
            <v>13</v>
          </cell>
          <cell r="G733">
            <v>33526</v>
          </cell>
          <cell r="I733" t="str">
            <v>North America</v>
          </cell>
          <cell r="J733" t="str">
            <v>USA</v>
          </cell>
          <cell r="K733">
            <v>32689</v>
          </cell>
        </row>
        <row r="734">
          <cell r="A734" t="str">
            <v>In service</v>
          </cell>
          <cell r="B734" t="str">
            <v>Gulfstream Aerospace Gulfstream IV</v>
          </cell>
          <cell r="C734" t="str">
            <v xml:space="preserve"> </v>
          </cell>
          <cell r="D734">
            <v>1992</v>
          </cell>
          <cell r="E734" t="str">
            <v>Government of Botswana</v>
          </cell>
          <cell r="F734">
            <v>12</v>
          </cell>
          <cell r="G734">
            <v>33636</v>
          </cell>
          <cell r="I734" t="str">
            <v>Africa</v>
          </cell>
          <cell r="J734" t="str">
            <v>Botswana</v>
          </cell>
          <cell r="K734">
            <v>33192</v>
          </cell>
        </row>
        <row r="735">
          <cell r="A735" t="str">
            <v>In service</v>
          </cell>
          <cell r="B735" t="str">
            <v>Gulfstream Aerospace Gulfstream IV</v>
          </cell>
          <cell r="C735" t="str">
            <v xml:space="preserve"> </v>
          </cell>
          <cell r="D735">
            <v>1992</v>
          </cell>
          <cell r="E735" t="str">
            <v>Paramount Pictures Corp</v>
          </cell>
          <cell r="F735">
            <v>12</v>
          </cell>
          <cell r="G735">
            <v>33862</v>
          </cell>
          <cell r="I735" t="str">
            <v>North America</v>
          </cell>
          <cell r="J735" t="str">
            <v>USA</v>
          </cell>
          <cell r="K735">
            <v>33054</v>
          </cell>
        </row>
        <row r="736">
          <cell r="A736" t="str">
            <v>In service</v>
          </cell>
          <cell r="B736" t="str">
            <v>Gulfstream Aerospace Gulfstream IV</v>
          </cell>
          <cell r="C736" t="str">
            <v xml:space="preserve"> </v>
          </cell>
          <cell r="D736">
            <v>1992</v>
          </cell>
          <cell r="E736" t="str">
            <v>NM Rothschild &amp; Sons Ltd</v>
          </cell>
          <cell r="F736">
            <v>12</v>
          </cell>
          <cell r="G736">
            <v>33936</v>
          </cell>
          <cell r="I736" t="str">
            <v>Europe</v>
          </cell>
          <cell r="J736" t="str">
            <v>United Kingdom</v>
          </cell>
          <cell r="K736">
            <v>33054</v>
          </cell>
        </row>
        <row r="737">
          <cell r="A737" t="str">
            <v>In service</v>
          </cell>
          <cell r="B737" t="str">
            <v>Gulfstream Aerospace Gulfstream IV</v>
          </cell>
          <cell r="C737" t="str">
            <v xml:space="preserve"> </v>
          </cell>
          <cell r="D737">
            <v>1992</v>
          </cell>
          <cell r="E737" t="str">
            <v>The Air Group Inc</v>
          </cell>
          <cell r="F737">
            <v>12</v>
          </cell>
          <cell r="G737">
            <v>33798</v>
          </cell>
          <cell r="I737" t="str">
            <v>North America</v>
          </cell>
          <cell r="J737" t="str">
            <v>USA</v>
          </cell>
          <cell r="K737">
            <v>33054</v>
          </cell>
        </row>
        <row r="738">
          <cell r="A738" t="str">
            <v>In service</v>
          </cell>
          <cell r="B738" t="str">
            <v>Gulfstream Aerospace Gulfstream IV</v>
          </cell>
          <cell r="C738" t="str">
            <v xml:space="preserve"> </v>
          </cell>
          <cell r="D738">
            <v>1992</v>
          </cell>
          <cell r="E738" t="str">
            <v>The Coca-Cola Co</v>
          </cell>
          <cell r="F738">
            <v>12</v>
          </cell>
          <cell r="G738">
            <v>34010</v>
          </cell>
          <cell r="I738" t="str">
            <v>North America</v>
          </cell>
          <cell r="J738" t="str">
            <v>USA</v>
          </cell>
          <cell r="K738">
            <v>33419</v>
          </cell>
        </row>
        <row r="739">
          <cell r="A739" t="str">
            <v>In service</v>
          </cell>
          <cell r="B739" t="str">
            <v>Gulfstream Aerospace Gulfstream IV</v>
          </cell>
          <cell r="C739" t="str">
            <v xml:space="preserve"> </v>
          </cell>
          <cell r="D739">
            <v>1992</v>
          </cell>
          <cell r="E739" t="str">
            <v>JFM Inc</v>
          </cell>
          <cell r="F739">
            <v>12</v>
          </cell>
          <cell r="G739">
            <v>33678</v>
          </cell>
          <cell r="I739" t="str">
            <v>North America</v>
          </cell>
          <cell r="J739" t="str">
            <v>USA</v>
          </cell>
          <cell r="K739">
            <v>33054</v>
          </cell>
        </row>
        <row r="740">
          <cell r="A740" t="str">
            <v>In service</v>
          </cell>
          <cell r="B740" t="str">
            <v>Gulfstream Aerospace Gulfstream IV</v>
          </cell>
          <cell r="C740" t="str">
            <v xml:space="preserve"> </v>
          </cell>
          <cell r="D740">
            <v>1991</v>
          </cell>
          <cell r="E740" t="str">
            <v>JM Family Enterprises Inc</v>
          </cell>
          <cell r="F740">
            <v>13</v>
          </cell>
          <cell r="G740">
            <v>33557</v>
          </cell>
          <cell r="I740" t="str">
            <v>North America</v>
          </cell>
          <cell r="J740" t="str">
            <v>USA</v>
          </cell>
          <cell r="K740">
            <v>32689</v>
          </cell>
        </row>
        <row r="741">
          <cell r="A741" t="str">
            <v>In service</v>
          </cell>
          <cell r="B741" t="str">
            <v>Gulfstream Aerospace Gulfstream IV</v>
          </cell>
          <cell r="C741" t="str">
            <v xml:space="preserve"> </v>
          </cell>
          <cell r="D741">
            <v>1992</v>
          </cell>
          <cell r="E741" t="str">
            <v>BC Enterprises LLC</v>
          </cell>
          <cell r="F741">
            <v>12</v>
          </cell>
          <cell r="G741">
            <v>33759</v>
          </cell>
          <cell r="I741" t="str">
            <v>North America</v>
          </cell>
          <cell r="J741" t="str">
            <v>USA</v>
          </cell>
          <cell r="K741">
            <v>33054</v>
          </cell>
        </row>
        <row r="742">
          <cell r="A742" t="str">
            <v>In service</v>
          </cell>
          <cell r="B742" t="str">
            <v>Gulfstream Aerospace Gulfstream IV</v>
          </cell>
          <cell r="C742" t="str">
            <v xml:space="preserve"> </v>
          </cell>
          <cell r="D742">
            <v>1992</v>
          </cell>
          <cell r="E742" t="str">
            <v>Crown Credit Co Ltd</v>
          </cell>
          <cell r="F742">
            <v>12</v>
          </cell>
          <cell r="G742">
            <v>33812</v>
          </cell>
          <cell r="I742" t="str">
            <v>North America</v>
          </cell>
          <cell r="J742" t="str">
            <v>USA</v>
          </cell>
          <cell r="K742">
            <v>33054</v>
          </cell>
        </row>
        <row r="743">
          <cell r="A743" t="str">
            <v>In service</v>
          </cell>
          <cell r="B743" t="str">
            <v>Gulfstream Aerospace Gulfstream IV</v>
          </cell>
          <cell r="C743" t="str">
            <v xml:space="preserve"> </v>
          </cell>
          <cell r="D743">
            <v>1992</v>
          </cell>
          <cell r="E743" t="str">
            <v>Moss Trust</v>
          </cell>
          <cell r="F743">
            <v>12</v>
          </cell>
          <cell r="G743">
            <v>33680</v>
          </cell>
          <cell r="I743" t="str">
            <v>North America</v>
          </cell>
          <cell r="J743" t="str">
            <v>USA</v>
          </cell>
          <cell r="K743">
            <v>33054</v>
          </cell>
        </row>
        <row r="744">
          <cell r="A744" t="str">
            <v>In service</v>
          </cell>
          <cell r="B744" t="str">
            <v>Gulfstream Aerospace Gulfstream IV</v>
          </cell>
          <cell r="C744" t="str">
            <v xml:space="preserve"> </v>
          </cell>
          <cell r="D744">
            <v>1992</v>
          </cell>
          <cell r="E744" t="str">
            <v>711 Air Corp</v>
          </cell>
          <cell r="F744">
            <v>12</v>
          </cell>
          <cell r="G744">
            <v>34150</v>
          </cell>
          <cell r="I744" t="str">
            <v>North America</v>
          </cell>
          <cell r="J744" t="str">
            <v>USA</v>
          </cell>
          <cell r="K744">
            <v>33419</v>
          </cell>
        </row>
        <row r="745">
          <cell r="A745" t="str">
            <v>In service</v>
          </cell>
          <cell r="B745" t="str">
            <v>Gulfstream Aerospace Gulfstream IV</v>
          </cell>
          <cell r="C745" t="str">
            <v xml:space="preserve"> </v>
          </cell>
          <cell r="D745">
            <v>1992</v>
          </cell>
          <cell r="E745" t="str">
            <v>Korean Air</v>
          </cell>
          <cell r="F745">
            <v>12</v>
          </cell>
          <cell r="G745">
            <v>34655</v>
          </cell>
          <cell r="I745" t="str">
            <v>Asia</v>
          </cell>
          <cell r="J745" t="str">
            <v>South Korea</v>
          </cell>
          <cell r="K745">
            <v>33785</v>
          </cell>
        </row>
        <row r="746">
          <cell r="A746" t="str">
            <v>In service</v>
          </cell>
          <cell r="B746" t="str">
            <v>Gulfstream Aerospace Gulfstream IV</v>
          </cell>
          <cell r="C746" t="str">
            <v xml:space="preserve"> </v>
          </cell>
          <cell r="D746">
            <v>1992</v>
          </cell>
          <cell r="E746" t="str">
            <v>Japan Civil Aviation Bureau</v>
          </cell>
          <cell r="F746">
            <v>12</v>
          </cell>
          <cell r="G746">
            <v>34237</v>
          </cell>
          <cell r="I746" t="str">
            <v>Asia</v>
          </cell>
          <cell r="J746" t="str">
            <v>Japan</v>
          </cell>
          <cell r="K746">
            <v>34150</v>
          </cell>
        </row>
        <row r="747">
          <cell r="A747" t="str">
            <v>In service</v>
          </cell>
          <cell r="B747" t="str">
            <v>Gulfstream Aerospace Gulfstream IV</v>
          </cell>
          <cell r="C747" t="str">
            <v xml:space="preserve"> </v>
          </cell>
          <cell r="D747">
            <v>1992</v>
          </cell>
          <cell r="E747" t="str">
            <v>TB Aviation LLC</v>
          </cell>
          <cell r="F747">
            <v>12</v>
          </cell>
          <cell r="G747">
            <v>34124</v>
          </cell>
          <cell r="I747" t="str">
            <v>North America</v>
          </cell>
          <cell r="J747" t="str">
            <v>USA</v>
          </cell>
          <cell r="K747">
            <v>33419</v>
          </cell>
        </row>
        <row r="748">
          <cell r="A748" t="str">
            <v>In service</v>
          </cell>
          <cell r="B748" t="str">
            <v>Gulfstream Aerospace Gulfstream IV</v>
          </cell>
          <cell r="C748" t="str">
            <v xml:space="preserve"> </v>
          </cell>
          <cell r="D748">
            <v>1993</v>
          </cell>
          <cell r="E748" t="str">
            <v>Newcourt Capital USA Inc</v>
          </cell>
          <cell r="F748">
            <v>11</v>
          </cell>
          <cell r="G748">
            <v>34059</v>
          </cell>
          <cell r="I748" t="str">
            <v>North America</v>
          </cell>
          <cell r="J748" t="str">
            <v>Canada</v>
          </cell>
          <cell r="K748">
            <v>33419</v>
          </cell>
        </row>
        <row r="749">
          <cell r="A749" t="str">
            <v>In service</v>
          </cell>
          <cell r="B749" t="str">
            <v>Gulfstream Aerospace Gulfstream IV</v>
          </cell>
          <cell r="C749" t="str">
            <v xml:space="preserve"> </v>
          </cell>
          <cell r="D749">
            <v>1992</v>
          </cell>
          <cell r="E749" t="str">
            <v>Cassandra Lee Flight operations LLC</v>
          </cell>
          <cell r="F749">
            <v>12</v>
          </cell>
          <cell r="G749">
            <v>33926</v>
          </cell>
          <cell r="I749" t="str">
            <v>North America</v>
          </cell>
          <cell r="J749" t="str">
            <v>USA</v>
          </cell>
          <cell r="K749">
            <v>33054</v>
          </cell>
        </row>
        <row r="750">
          <cell r="A750" t="str">
            <v>In service</v>
          </cell>
          <cell r="B750" t="str">
            <v>Gulfstream Aerospace Gulfstream IV</v>
          </cell>
          <cell r="C750" t="str">
            <v xml:space="preserve"> </v>
          </cell>
          <cell r="D750">
            <v>1992</v>
          </cell>
          <cell r="E750" t="str">
            <v>Automotive Air Charter</v>
          </cell>
          <cell r="F750">
            <v>12</v>
          </cell>
          <cell r="G750">
            <v>33926</v>
          </cell>
          <cell r="I750" t="str">
            <v>North America</v>
          </cell>
          <cell r="J750" t="str">
            <v>USA</v>
          </cell>
          <cell r="K750">
            <v>33054</v>
          </cell>
        </row>
        <row r="751">
          <cell r="A751" t="str">
            <v>In service</v>
          </cell>
          <cell r="B751" t="str">
            <v>Gulfstream Aerospace Gulfstream IV</v>
          </cell>
          <cell r="C751" t="str">
            <v xml:space="preserve"> </v>
          </cell>
          <cell r="D751">
            <v>1993</v>
          </cell>
          <cell r="E751" t="str">
            <v>Red White &amp; Blue Pictures</v>
          </cell>
          <cell r="F751">
            <v>11</v>
          </cell>
          <cell r="G751">
            <v>34074</v>
          </cell>
          <cell r="I751" t="str">
            <v>North America</v>
          </cell>
          <cell r="J751" t="str">
            <v>USA</v>
          </cell>
          <cell r="K751">
            <v>33419</v>
          </cell>
        </row>
        <row r="752">
          <cell r="A752" t="str">
            <v>In service</v>
          </cell>
          <cell r="B752" t="str">
            <v>Gulfstream Aerospace Gulfstream IV</v>
          </cell>
          <cell r="C752" t="str">
            <v xml:space="preserve"> </v>
          </cell>
          <cell r="D752">
            <v>1992</v>
          </cell>
          <cell r="E752" t="str">
            <v>Oman Royal Flight</v>
          </cell>
          <cell r="F752">
            <v>12</v>
          </cell>
          <cell r="G752">
            <v>33947</v>
          </cell>
          <cell r="I752" t="str">
            <v>Middle East</v>
          </cell>
          <cell r="J752" t="str">
            <v>Oman</v>
          </cell>
          <cell r="K752">
            <v>33054</v>
          </cell>
        </row>
        <row r="753">
          <cell r="A753" t="str">
            <v>In service</v>
          </cell>
          <cell r="B753" t="str">
            <v>Gulfstream Aerospace Gulfstream IV</v>
          </cell>
          <cell r="C753" t="str">
            <v xml:space="preserve"> </v>
          </cell>
          <cell r="D753">
            <v>1992</v>
          </cell>
          <cell r="E753" t="str">
            <v>Moon Doggie Aircraft Services Corp</v>
          </cell>
          <cell r="F753">
            <v>12</v>
          </cell>
          <cell r="G753">
            <v>33830</v>
          </cell>
          <cell r="I753" t="str">
            <v>North America</v>
          </cell>
          <cell r="J753" t="str">
            <v>USA</v>
          </cell>
          <cell r="K753">
            <v>33054</v>
          </cell>
        </row>
        <row r="754">
          <cell r="A754" t="str">
            <v>In service</v>
          </cell>
          <cell r="B754" t="str">
            <v>Gulfstream Aerospace Gulfstream IV</v>
          </cell>
          <cell r="C754" t="str">
            <v xml:space="preserve"> </v>
          </cell>
          <cell r="D754">
            <v>1992</v>
          </cell>
          <cell r="E754" t="str">
            <v>Viad Corp</v>
          </cell>
          <cell r="F754">
            <v>12</v>
          </cell>
          <cell r="G754">
            <v>33872</v>
          </cell>
          <cell r="I754" t="str">
            <v>North America</v>
          </cell>
          <cell r="J754" t="str">
            <v>USA</v>
          </cell>
          <cell r="K754">
            <v>33054</v>
          </cell>
        </row>
        <row r="755">
          <cell r="A755" t="str">
            <v>In service</v>
          </cell>
          <cell r="B755" t="str">
            <v>Gulfstream Aerospace Gulfstream IV</v>
          </cell>
          <cell r="C755" t="str">
            <v xml:space="preserve"> </v>
          </cell>
          <cell r="D755">
            <v>1993</v>
          </cell>
          <cell r="E755" t="str">
            <v>Gama Aviation SA</v>
          </cell>
          <cell r="F755">
            <v>11</v>
          </cell>
          <cell r="G755">
            <v>34165</v>
          </cell>
          <cell r="I755" t="str">
            <v>Europe</v>
          </cell>
          <cell r="J755" t="str">
            <v>Switzerland</v>
          </cell>
          <cell r="K755">
            <v>33419</v>
          </cell>
        </row>
        <row r="756">
          <cell r="A756" t="str">
            <v>In service</v>
          </cell>
          <cell r="B756" t="str">
            <v>Gulfstream Aerospace Gulfstream IV</v>
          </cell>
          <cell r="C756" t="str">
            <v xml:space="preserve"> </v>
          </cell>
          <cell r="D756">
            <v>1993</v>
          </cell>
          <cell r="E756" t="str">
            <v>AT&amp;T Corp</v>
          </cell>
          <cell r="F756">
            <v>11</v>
          </cell>
          <cell r="G756">
            <v>34213</v>
          </cell>
          <cell r="I756" t="str">
            <v>North America</v>
          </cell>
          <cell r="J756" t="str">
            <v>USA</v>
          </cell>
          <cell r="K756">
            <v>33054</v>
          </cell>
        </row>
        <row r="757">
          <cell r="A757" t="str">
            <v>In service</v>
          </cell>
          <cell r="B757" t="str">
            <v>Gulfstream Aerospace Gulfstream IV</v>
          </cell>
          <cell r="C757" t="str">
            <v xml:space="preserve"> </v>
          </cell>
          <cell r="D757">
            <v>1992</v>
          </cell>
          <cell r="E757" t="str">
            <v>Cox Communications Inc</v>
          </cell>
          <cell r="F757">
            <v>12</v>
          </cell>
          <cell r="G757">
            <v>33938</v>
          </cell>
          <cell r="I757" t="str">
            <v>North America</v>
          </cell>
          <cell r="J757" t="str">
            <v>USA</v>
          </cell>
          <cell r="K757">
            <v>33054</v>
          </cell>
        </row>
        <row r="758">
          <cell r="A758" t="str">
            <v>In service</v>
          </cell>
          <cell r="B758" t="str">
            <v>Gulfstream Aerospace Gulfstream IV</v>
          </cell>
          <cell r="C758" t="str">
            <v xml:space="preserve"> </v>
          </cell>
          <cell r="D758">
            <v>1993</v>
          </cell>
          <cell r="E758" t="str">
            <v>711 Air Corp</v>
          </cell>
          <cell r="F758">
            <v>11</v>
          </cell>
          <cell r="G758">
            <v>34204</v>
          </cell>
          <cell r="I758" t="str">
            <v>North America</v>
          </cell>
          <cell r="J758" t="str">
            <v>USA</v>
          </cell>
          <cell r="K758">
            <v>33419</v>
          </cell>
        </row>
        <row r="759">
          <cell r="A759" t="str">
            <v>In service</v>
          </cell>
          <cell r="B759" t="str">
            <v>Gulfstream Aerospace Gulfstream IV</v>
          </cell>
          <cell r="C759" t="str">
            <v xml:space="preserve"> </v>
          </cell>
          <cell r="D759">
            <v>1993</v>
          </cell>
          <cell r="E759" t="str">
            <v>Great Buy Inc</v>
          </cell>
          <cell r="F759">
            <v>11</v>
          </cell>
          <cell r="G759">
            <v>34229</v>
          </cell>
          <cell r="I759" t="str">
            <v>North America</v>
          </cell>
          <cell r="J759" t="str">
            <v>USA</v>
          </cell>
          <cell r="K759">
            <v>33419</v>
          </cell>
        </row>
        <row r="760">
          <cell r="A760" t="str">
            <v>In service</v>
          </cell>
          <cell r="B760" t="str">
            <v>Gulfstream Aerospace Gulfstream IV</v>
          </cell>
          <cell r="C760" t="str">
            <v xml:space="preserve"> </v>
          </cell>
          <cell r="D760">
            <v>1993</v>
          </cell>
          <cell r="E760" t="str">
            <v>N724DB LLC</v>
          </cell>
          <cell r="F760">
            <v>11</v>
          </cell>
          <cell r="G760">
            <v>34380</v>
          </cell>
          <cell r="I760" t="str">
            <v>North America</v>
          </cell>
          <cell r="J760" t="str">
            <v>USA</v>
          </cell>
        </row>
        <row r="761">
          <cell r="A761" t="str">
            <v>In service</v>
          </cell>
          <cell r="B761" t="str">
            <v>Gulfstream Aerospace Gulfstream IV</v>
          </cell>
          <cell r="C761" t="str">
            <v xml:space="preserve"> </v>
          </cell>
          <cell r="D761">
            <v>1992</v>
          </cell>
          <cell r="E761" t="str">
            <v>PK Aire Inc</v>
          </cell>
          <cell r="F761">
            <v>12</v>
          </cell>
          <cell r="G761">
            <v>33962</v>
          </cell>
          <cell r="I761" t="str">
            <v>North America</v>
          </cell>
          <cell r="J761" t="str">
            <v>USA</v>
          </cell>
          <cell r="K761">
            <v>33054</v>
          </cell>
        </row>
        <row r="762">
          <cell r="A762" t="str">
            <v>In service</v>
          </cell>
          <cell r="B762" t="str">
            <v>Gulfstream Aerospace Gulfstream IV</v>
          </cell>
          <cell r="C762" t="str">
            <v xml:space="preserve"> </v>
          </cell>
          <cell r="D762">
            <v>1993</v>
          </cell>
          <cell r="E762" t="str">
            <v>Vista Capital Management LLC</v>
          </cell>
          <cell r="F762">
            <v>11</v>
          </cell>
          <cell r="G762">
            <v>34488</v>
          </cell>
          <cell r="I762" t="str">
            <v>North America</v>
          </cell>
          <cell r="J762" t="str">
            <v>USA</v>
          </cell>
          <cell r="K762">
            <v>33785</v>
          </cell>
        </row>
        <row r="763">
          <cell r="A763" t="str">
            <v>In service</v>
          </cell>
          <cell r="B763" t="str">
            <v>Gulfstream Aerospace Gulfstream IV</v>
          </cell>
          <cell r="C763" t="str">
            <v xml:space="preserve"> </v>
          </cell>
          <cell r="D763">
            <v>1993</v>
          </cell>
          <cell r="E763" t="str">
            <v>Hewlett-Packard Co</v>
          </cell>
          <cell r="F763">
            <v>11</v>
          </cell>
          <cell r="G763">
            <v>34194</v>
          </cell>
          <cell r="I763" t="str">
            <v>North America</v>
          </cell>
          <cell r="J763" t="str">
            <v>USA</v>
          </cell>
          <cell r="K763">
            <v>33419</v>
          </cell>
        </row>
        <row r="764">
          <cell r="A764" t="str">
            <v>In service</v>
          </cell>
          <cell r="B764" t="str">
            <v>Gulfstream Aerospace Gulfstream IV</v>
          </cell>
          <cell r="C764" t="str">
            <v xml:space="preserve"> </v>
          </cell>
          <cell r="D764">
            <v>1993</v>
          </cell>
          <cell r="E764" t="str">
            <v>News America Inc</v>
          </cell>
          <cell r="F764">
            <v>11</v>
          </cell>
          <cell r="G764">
            <v>34369</v>
          </cell>
          <cell r="I764" t="str">
            <v>North America</v>
          </cell>
          <cell r="J764" t="str">
            <v>USA</v>
          </cell>
          <cell r="K764">
            <v>34150</v>
          </cell>
        </row>
        <row r="765">
          <cell r="A765" t="str">
            <v>In service</v>
          </cell>
          <cell r="B765" t="str">
            <v>Gulfstream Aerospace Gulfstream IV</v>
          </cell>
          <cell r="C765" t="str">
            <v xml:space="preserve"> </v>
          </cell>
          <cell r="D765">
            <v>1993</v>
          </cell>
          <cell r="E765" t="str">
            <v>The Air Group Inc</v>
          </cell>
          <cell r="F765">
            <v>11</v>
          </cell>
          <cell r="G765">
            <v>34227</v>
          </cell>
          <cell r="I765" t="str">
            <v>North America</v>
          </cell>
          <cell r="J765" t="str">
            <v>USA</v>
          </cell>
          <cell r="K765">
            <v>33419</v>
          </cell>
        </row>
        <row r="766">
          <cell r="A766" t="str">
            <v>In service</v>
          </cell>
          <cell r="B766" t="str">
            <v>Gulfstream Aerospace Gulfstream IV</v>
          </cell>
          <cell r="C766" t="str">
            <v xml:space="preserve"> </v>
          </cell>
          <cell r="D766">
            <v>1993</v>
          </cell>
          <cell r="E766" t="str">
            <v>Hewlett-Packard Co</v>
          </cell>
          <cell r="F766">
            <v>11</v>
          </cell>
          <cell r="G766">
            <v>34311</v>
          </cell>
          <cell r="I766" t="str">
            <v>North America</v>
          </cell>
          <cell r="J766" t="str">
            <v>USA</v>
          </cell>
          <cell r="K766">
            <v>33419</v>
          </cell>
        </row>
        <row r="767">
          <cell r="A767" t="str">
            <v>In service</v>
          </cell>
          <cell r="B767" t="str">
            <v>Gulfstream Aerospace Gulfstream IV</v>
          </cell>
          <cell r="C767" t="str">
            <v xml:space="preserve"> </v>
          </cell>
          <cell r="D767">
            <v>1993</v>
          </cell>
          <cell r="E767" t="str">
            <v>Consortium of AOL Time Warner Companies</v>
          </cell>
          <cell r="F767">
            <v>11</v>
          </cell>
          <cell r="G767">
            <v>34380</v>
          </cell>
          <cell r="I767" t="str">
            <v>North America</v>
          </cell>
          <cell r="J767" t="str">
            <v>USA</v>
          </cell>
          <cell r="K767">
            <v>33785</v>
          </cell>
        </row>
        <row r="768">
          <cell r="A768" t="str">
            <v>In service</v>
          </cell>
          <cell r="B768" t="str">
            <v>Gulfstream Aerospace Gulfstream IV</v>
          </cell>
          <cell r="C768" t="str">
            <v xml:space="preserve"> </v>
          </cell>
          <cell r="D768">
            <v>1993</v>
          </cell>
          <cell r="E768" t="str">
            <v>Amgen Inc</v>
          </cell>
          <cell r="F768">
            <v>11</v>
          </cell>
          <cell r="G768">
            <v>34349</v>
          </cell>
          <cell r="I768" t="str">
            <v>North America</v>
          </cell>
          <cell r="J768" t="str">
            <v>USA</v>
          </cell>
          <cell r="K768">
            <v>33785</v>
          </cell>
        </row>
        <row r="769">
          <cell r="A769" t="str">
            <v>In service</v>
          </cell>
          <cell r="B769" t="str">
            <v>Gulfstream Aerospace Gulfstream IV</v>
          </cell>
          <cell r="C769" t="str">
            <v xml:space="preserve"> </v>
          </cell>
          <cell r="D769">
            <v>1993</v>
          </cell>
          <cell r="E769" t="str">
            <v>N171JC LLC</v>
          </cell>
          <cell r="F769">
            <v>11</v>
          </cell>
          <cell r="G769">
            <v>34380</v>
          </cell>
          <cell r="I769" t="str">
            <v>North America</v>
          </cell>
          <cell r="J769" t="str">
            <v>USA</v>
          </cell>
          <cell r="K769">
            <v>33785</v>
          </cell>
        </row>
        <row r="770">
          <cell r="A770" t="str">
            <v>In service</v>
          </cell>
          <cell r="B770" t="str">
            <v>Gulfstream Aerospace Gulfstream IV</v>
          </cell>
          <cell r="C770" t="str">
            <v xml:space="preserve"> </v>
          </cell>
          <cell r="D770">
            <v>1993</v>
          </cell>
          <cell r="E770" t="str">
            <v>H J Heinz Co</v>
          </cell>
          <cell r="F770">
            <v>11</v>
          </cell>
          <cell r="G770">
            <v>34682</v>
          </cell>
          <cell r="I770" t="str">
            <v>North America</v>
          </cell>
          <cell r="J770" t="str">
            <v>USA</v>
          </cell>
          <cell r="K770">
            <v>33785</v>
          </cell>
        </row>
        <row r="771">
          <cell r="A771" t="str">
            <v>In service</v>
          </cell>
          <cell r="B771" t="str">
            <v>Gulfstream Aerospace Gulfstream IV</v>
          </cell>
          <cell r="C771" t="str">
            <v xml:space="preserve"> </v>
          </cell>
          <cell r="D771">
            <v>1993</v>
          </cell>
          <cell r="E771" t="str">
            <v>Skyservice Airlines</v>
          </cell>
          <cell r="F771">
            <v>11</v>
          </cell>
          <cell r="G771">
            <v>34318</v>
          </cell>
          <cell r="I771" t="str">
            <v>North America</v>
          </cell>
          <cell r="J771" t="str">
            <v>Canada</v>
          </cell>
          <cell r="K771">
            <v>33419</v>
          </cell>
        </row>
        <row r="772">
          <cell r="A772" t="str">
            <v>In service</v>
          </cell>
          <cell r="B772" t="str">
            <v>Gulfstream Aerospace Gulfstream IV</v>
          </cell>
          <cell r="C772" t="str">
            <v xml:space="preserve"> </v>
          </cell>
          <cell r="D772">
            <v>1993</v>
          </cell>
          <cell r="E772" t="str">
            <v>Silver Stream Aviation LLC</v>
          </cell>
          <cell r="F772">
            <v>11</v>
          </cell>
          <cell r="G772">
            <v>34212</v>
          </cell>
          <cell r="I772" t="str">
            <v>North America</v>
          </cell>
          <cell r="J772" t="str">
            <v>USA</v>
          </cell>
          <cell r="K772">
            <v>33419</v>
          </cell>
        </row>
        <row r="773">
          <cell r="A773" t="str">
            <v>In service</v>
          </cell>
          <cell r="B773" t="str">
            <v>Gulfstream Aerospace Gulfstream IV</v>
          </cell>
          <cell r="C773" t="str">
            <v xml:space="preserve"> </v>
          </cell>
          <cell r="D773">
            <v>1993</v>
          </cell>
          <cell r="E773" t="str">
            <v>1226 Enterprises LLC</v>
          </cell>
          <cell r="F773">
            <v>11</v>
          </cell>
          <cell r="G773">
            <v>34515</v>
          </cell>
          <cell r="I773" t="str">
            <v>North America</v>
          </cell>
          <cell r="J773" t="str">
            <v>USA</v>
          </cell>
          <cell r="K773">
            <v>33785</v>
          </cell>
        </row>
        <row r="774">
          <cell r="A774" t="str">
            <v>In service</v>
          </cell>
          <cell r="B774" t="str">
            <v>Gulfstream Aerospace Gulfstream IV</v>
          </cell>
          <cell r="C774" t="str">
            <v xml:space="preserve"> </v>
          </cell>
          <cell r="D774">
            <v>1993</v>
          </cell>
          <cell r="E774" t="str">
            <v>Automotive Air Charter</v>
          </cell>
          <cell r="F774">
            <v>11</v>
          </cell>
          <cell r="G774">
            <v>34452</v>
          </cell>
          <cell r="I774" t="str">
            <v>North America</v>
          </cell>
          <cell r="J774" t="str">
            <v>USA</v>
          </cell>
          <cell r="K774">
            <v>33785</v>
          </cell>
        </row>
        <row r="775">
          <cell r="A775" t="str">
            <v>In service</v>
          </cell>
          <cell r="B775" t="str">
            <v>Gulfstream Aerospace Gulfstream IV</v>
          </cell>
          <cell r="C775" t="str">
            <v xml:space="preserve"> </v>
          </cell>
          <cell r="D775">
            <v>1993</v>
          </cell>
          <cell r="E775" t="str">
            <v>Trans Exec Air Service</v>
          </cell>
          <cell r="F775">
            <v>11</v>
          </cell>
          <cell r="G775">
            <v>34561</v>
          </cell>
          <cell r="I775" t="str">
            <v>North America</v>
          </cell>
          <cell r="J775" t="str">
            <v>USA</v>
          </cell>
          <cell r="K775">
            <v>33785</v>
          </cell>
        </row>
        <row r="776">
          <cell r="A776" t="str">
            <v>In service</v>
          </cell>
          <cell r="B776" t="str">
            <v>Gulfstream Aerospace Gulfstream IV</v>
          </cell>
          <cell r="C776" t="str">
            <v>C-20F</v>
          </cell>
          <cell r="D776">
            <v>1991</v>
          </cell>
          <cell r="E776" t="str">
            <v>US Army</v>
          </cell>
          <cell r="F776">
            <v>13</v>
          </cell>
          <cell r="G776">
            <v>33411</v>
          </cell>
          <cell r="H776" t="str">
            <v>C-20F</v>
          </cell>
          <cell r="I776" t="str">
            <v>North America</v>
          </cell>
          <cell r="J776" t="str">
            <v>USA</v>
          </cell>
        </row>
        <row r="777">
          <cell r="A777" t="str">
            <v>In service</v>
          </cell>
          <cell r="B777" t="str">
            <v>Gulfstream Aerospace Gulfstream IV</v>
          </cell>
          <cell r="C777" t="str">
            <v>C-20G</v>
          </cell>
          <cell r="D777">
            <v>1994</v>
          </cell>
          <cell r="E777" t="str">
            <v>US Air Force</v>
          </cell>
          <cell r="F777">
            <v>10</v>
          </cell>
          <cell r="G777">
            <v>34622</v>
          </cell>
          <cell r="H777" t="str">
            <v>C-20G</v>
          </cell>
          <cell r="I777" t="str">
            <v>North America</v>
          </cell>
          <cell r="J777" t="str">
            <v>USA</v>
          </cell>
          <cell r="K777">
            <v>34150</v>
          </cell>
        </row>
        <row r="778">
          <cell r="A778" t="str">
            <v>In service</v>
          </cell>
          <cell r="B778" t="str">
            <v>Gulfstream Aerospace Gulfstream IV</v>
          </cell>
          <cell r="C778" t="str">
            <v>C-20G</v>
          </cell>
          <cell r="D778">
            <v>1992</v>
          </cell>
          <cell r="E778" t="str">
            <v>US Navy</v>
          </cell>
          <cell r="F778">
            <v>12</v>
          </cell>
          <cell r="G778">
            <v>34369</v>
          </cell>
          <cell r="H778" t="str">
            <v>C-20G</v>
          </cell>
          <cell r="I778" t="str">
            <v>North America</v>
          </cell>
          <cell r="J778" t="str">
            <v>USA</v>
          </cell>
          <cell r="K778">
            <v>33284</v>
          </cell>
        </row>
        <row r="779">
          <cell r="A779" t="str">
            <v>In service</v>
          </cell>
          <cell r="B779" t="str">
            <v>Gulfstream Aerospace Gulfstream IV</v>
          </cell>
          <cell r="C779" t="str">
            <v>C-20G</v>
          </cell>
          <cell r="D779">
            <v>1992</v>
          </cell>
          <cell r="E779" t="str">
            <v>US Navy</v>
          </cell>
          <cell r="F779">
            <v>12</v>
          </cell>
          <cell r="G779">
            <v>34515</v>
          </cell>
          <cell r="H779" t="str">
            <v>C-20G</v>
          </cell>
          <cell r="I779" t="str">
            <v>North America</v>
          </cell>
          <cell r="J779" t="str">
            <v>USA</v>
          </cell>
          <cell r="K779">
            <v>33284</v>
          </cell>
        </row>
        <row r="780">
          <cell r="A780" t="str">
            <v>In service</v>
          </cell>
          <cell r="B780" t="str">
            <v>Gulfstream Aerospace Gulfstream IV</v>
          </cell>
          <cell r="C780" t="str">
            <v>C-20G</v>
          </cell>
          <cell r="D780">
            <v>1992</v>
          </cell>
          <cell r="E780" t="str">
            <v>US Navy</v>
          </cell>
          <cell r="F780">
            <v>12</v>
          </cell>
          <cell r="G780">
            <v>34683</v>
          </cell>
          <cell r="H780" t="str">
            <v>C-20G</v>
          </cell>
          <cell r="I780" t="str">
            <v>North America</v>
          </cell>
          <cell r="J780" t="str">
            <v>USA</v>
          </cell>
          <cell r="K780">
            <v>33785</v>
          </cell>
        </row>
        <row r="781">
          <cell r="A781" t="str">
            <v>In service</v>
          </cell>
          <cell r="B781" t="str">
            <v>Gulfstream Aerospace Gulfstream IV</v>
          </cell>
          <cell r="C781" t="str">
            <v>C-20G</v>
          </cell>
          <cell r="D781">
            <v>1992</v>
          </cell>
          <cell r="E781" t="str">
            <v>US Marine Corps</v>
          </cell>
          <cell r="F781">
            <v>12</v>
          </cell>
          <cell r="G781">
            <v>34653</v>
          </cell>
          <cell r="H781" t="str">
            <v>C-20G</v>
          </cell>
          <cell r="I781" t="str">
            <v>North America</v>
          </cell>
          <cell r="J781" t="str">
            <v>USA</v>
          </cell>
          <cell r="K781">
            <v>33785</v>
          </cell>
        </row>
        <row r="782">
          <cell r="A782" t="str">
            <v>In service</v>
          </cell>
          <cell r="B782" t="str">
            <v>Gulfstream Aerospace Gulfstream IV</v>
          </cell>
          <cell r="C782" t="str">
            <v>C-20G</v>
          </cell>
          <cell r="D782">
            <v>1992</v>
          </cell>
          <cell r="E782" t="str">
            <v>US Marine Corps</v>
          </cell>
          <cell r="F782">
            <v>12</v>
          </cell>
          <cell r="G782">
            <v>34653</v>
          </cell>
          <cell r="H782" t="str">
            <v>C-20G</v>
          </cell>
          <cell r="I782" t="str">
            <v>North America</v>
          </cell>
          <cell r="J782" t="str">
            <v>USA</v>
          </cell>
          <cell r="K782">
            <v>33785</v>
          </cell>
        </row>
        <row r="783">
          <cell r="A783" t="str">
            <v>In service</v>
          </cell>
          <cell r="B783" t="str">
            <v>Gulfstream Aerospace Gulfstream IV</v>
          </cell>
          <cell r="C783" t="str">
            <v>C-20H</v>
          </cell>
          <cell r="D783">
            <v>1995</v>
          </cell>
          <cell r="E783" t="str">
            <v>US Air Force</v>
          </cell>
          <cell r="F783">
            <v>9</v>
          </cell>
          <cell r="G783">
            <v>35110</v>
          </cell>
          <cell r="H783" t="str">
            <v>C-20H</v>
          </cell>
          <cell r="I783" t="str">
            <v>North America</v>
          </cell>
          <cell r="J783" t="str">
            <v>USA</v>
          </cell>
          <cell r="K783">
            <v>33785</v>
          </cell>
        </row>
        <row r="784">
          <cell r="A784" t="str">
            <v>In service</v>
          </cell>
          <cell r="B784" t="str">
            <v>Gulfstream Aerospace Gulfstream IV</v>
          </cell>
          <cell r="C784" t="str">
            <v>S 102B</v>
          </cell>
          <cell r="D784">
            <v>1993</v>
          </cell>
          <cell r="E784" t="str">
            <v>Swedish Air Force</v>
          </cell>
          <cell r="F784">
            <v>11</v>
          </cell>
          <cell r="G784">
            <v>34935</v>
          </cell>
          <cell r="H784" t="str">
            <v>S 102B</v>
          </cell>
          <cell r="I784" t="str">
            <v>Europe</v>
          </cell>
          <cell r="J784" t="str">
            <v>Sweden</v>
          </cell>
          <cell r="K784">
            <v>33784</v>
          </cell>
        </row>
        <row r="785">
          <cell r="A785" t="str">
            <v>In service</v>
          </cell>
          <cell r="B785" t="str">
            <v>Gulfstream Aerospace Gulfstream IV</v>
          </cell>
          <cell r="C785" t="str">
            <v>S 102B</v>
          </cell>
          <cell r="D785">
            <v>1993</v>
          </cell>
          <cell r="E785" t="str">
            <v>Swedish Air Force</v>
          </cell>
          <cell r="F785">
            <v>11</v>
          </cell>
          <cell r="G785">
            <v>34987</v>
          </cell>
          <cell r="H785" t="str">
            <v>S 102B</v>
          </cell>
          <cell r="I785" t="str">
            <v>Europe</v>
          </cell>
          <cell r="J785" t="str">
            <v>Sweden</v>
          </cell>
          <cell r="K785">
            <v>33784</v>
          </cell>
        </row>
        <row r="786">
          <cell r="A786" t="str">
            <v>In service</v>
          </cell>
          <cell r="B786" t="str">
            <v>Gulfstream Aerospace Gulfstream IV</v>
          </cell>
          <cell r="C786" t="str">
            <v>SP</v>
          </cell>
          <cell r="D786">
            <v>1991</v>
          </cell>
          <cell r="E786" t="str">
            <v>Jetclub AG</v>
          </cell>
          <cell r="F786">
            <v>13</v>
          </cell>
          <cell r="G786">
            <v>34380</v>
          </cell>
          <cell r="H786" t="str">
            <v>SP</v>
          </cell>
          <cell r="I786" t="str">
            <v>Europe</v>
          </cell>
          <cell r="J786" t="str">
            <v>Switzerland</v>
          </cell>
        </row>
        <row r="787">
          <cell r="A787" t="str">
            <v>In service</v>
          </cell>
          <cell r="B787" t="str">
            <v>Gulfstream Aerospace Gulfstream IV</v>
          </cell>
          <cell r="C787" t="str">
            <v>SP</v>
          </cell>
          <cell r="D787">
            <v>1992</v>
          </cell>
          <cell r="E787" t="str">
            <v>The Air Group Inc</v>
          </cell>
          <cell r="F787">
            <v>12</v>
          </cell>
          <cell r="G787">
            <v>33785</v>
          </cell>
          <cell r="H787" t="str">
            <v>SP</v>
          </cell>
          <cell r="I787" t="str">
            <v>North America</v>
          </cell>
          <cell r="J787" t="str">
            <v>USA</v>
          </cell>
        </row>
        <row r="788">
          <cell r="A788" t="str">
            <v>In service</v>
          </cell>
          <cell r="B788" t="str">
            <v>Gulfstream Aerospace Gulfstream IV</v>
          </cell>
          <cell r="C788" t="str">
            <v>SP</v>
          </cell>
          <cell r="D788">
            <v>1992</v>
          </cell>
          <cell r="E788" t="str">
            <v>Zeno Air Inc</v>
          </cell>
          <cell r="F788">
            <v>12</v>
          </cell>
          <cell r="G788">
            <v>33907</v>
          </cell>
          <cell r="H788" t="str">
            <v>SP</v>
          </cell>
          <cell r="I788" t="str">
            <v>North America</v>
          </cell>
          <cell r="J788" t="str">
            <v>USA</v>
          </cell>
          <cell r="K788">
            <v>33419</v>
          </cell>
        </row>
        <row r="789">
          <cell r="A789" t="str">
            <v>In service</v>
          </cell>
          <cell r="B789" t="str">
            <v>Gulfstream Aerospace Gulfstream IV</v>
          </cell>
          <cell r="C789" t="str">
            <v>SP</v>
          </cell>
          <cell r="D789">
            <v>1993</v>
          </cell>
          <cell r="E789" t="str">
            <v>USA Video Distribution LLC &amp; Nineteen Forty CC Inc</v>
          </cell>
          <cell r="F789">
            <v>11</v>
          </cell>
          <cell r="G789">
            <v>34200</v>
          </cell>
          <cell r="H789" t="str">
            <v>SP</v>
          </cell>
          <cell r="I789" t="str">
            <v>North America</v>
          </cell>
          <cell r="J789" t="str">
            <v>USA</v>
          </cell>
          <cell r="K789">
            <v>33785</v>
          </cell>
        </row>
        <row r="790">
          <cell r="A790" t="str">
            <v>In service</v>
          </cell>
          <cell r="B790" t="str">
            <v>Gulfstream Aerospace Gulfstream IV</v>
          </cell>
          <cell r="C790" t="str">
            <v>SP</v>
          </cell>
          <cell r="D790">
            <v>1993</v>
          </cell>
          <cell r="E790" t="str">
            <v>Executive Jet Charter</v>
          </cell>
          <cell r="F790">
            <v>11</v>
          </cell>
          <cell r="G790">
            <v>34058</v>
          </cell>
          <cell r="H790" t="str">
            <v>SP</v>
          </cell>
          <cell r="I790" t="str">
            <v>North America</v>
          </cell>
          <cell r="J790" t="str">
            <v>USA</v>
          </cell>
          <cell r="K790">
            <v>33419</v>
          </cell>
        </row>
        <row r="791">
          <cell r="A791" t="str">
            <v>In service</v>
          </cell>
          <cell r="B791" t="str">
            <v>Gulfstream Aerospace Gulfstream IV</v>
          </cell>
          <cell r="C791" t="str">
            <v>SP</v>
          </cell>
          <cell r="D791">
            <v>1993</v>
          </cell>
          <cell r="E791" t="str">
            <v>Georgetown Interstate Aviation Inc</v>
          </cell>
          <cell r="F791">
            <v>11</v>
          </cell>
          <cell r="G791">
            <v>34096</v>
          </cell>
          <cell r="H791" t="str">
            <v>SP</v>
          </cell>
          <cell r="I791" t="str">
            <v>North America</v>
          </cell>
          <cell r="J791" t="str">
            <v>USA</v>
          </cell>
          <cell r="K791">
            <v>33419</v>
          </cell>
        </row>
        <row r="792">
          <cell r="A792" t="str">
            <v>In service</v>
          </cell>
          <cell r="B792" t="str">
            <v>Gulfstream Aerospace Gulfstream IV</v>
          </cell>
          <cell r="C792" t="str">
            <v>SP</v>
          </cell>
          <cell r="D792">
            <v>1993</v>
          </cell>
          <cell r="E792" t="str">
            <v>AON Service Corporation</v>
          </cell>
          <cell r="F792">
            <v>11</v>
          </cell>
          <cell r="G792">
            <v>34495</v>
          </cell>
          <cell r="H792" t="str">
            <v>SP</v>
          </cell>
          <cell r="I792" t="str">
            <v>North America</v>
          </cell>
          <cell r="J792" t="str">
            <v>USA</v>
          </cell>
          <cell r="K792">
            <v>33785</v>
          </cell>
        </row>
        <row r="793">
          <cell r="A793" t="str">
            <v>In service</v>
          </cell>
          <cell r="B793" t="str">
            <v>Gulfstream Aerospace Gulfstream IV</v>
          </cell>
          <cell r="C793" t="str">
            <v>SP</v>
          </cell>
          <cell r="D793">
            <v>1993</v>
          </cell>
          <cell r="E793" t="str">
            <v>CSC Transport Inc</v>
          </cell>
          <cell r="F793">
            <v>11</v>
          </cell>
          <cell r="G793">
            <v>34564</v>
          </cell>
          <cell r="H793" t="str">
            <v>SP</v>
          </cell>
          <cell r="I793" t="str">
            <v>North America</v>
          </cell>
          <cell r="J793" t="str">
            <v>USA</v>
          </cell>
          <cell r="K793">
            <v>33785</v>
          </cell>
        </row>
        <row r="794">
          <cell r="A794" t="str">
            <v>In service</v>
          </cell>
          <cell r="B794" t="str">
            <v>Gulfstream Aerospace Gulfstream IV</v>
          </cell>
          <cell r="C794" t="str">
            <v>SP</v>
          </cell>
          <cell r="D794">
            <v>1993</v>
          </cell>
          <cell r="E794" t="str">
            <v>TransMeridian Aviation LLC</v>
          </cell>
          <cell r="F794">
            <v>11</v>
          </cell>
          <cell r="G794">
            <v>34333</v>
          </cell>
          <cell r="H794" t="str">
            <v>SP</v>
          </cell>
          <cell r="I794" t="str">
            <v>North America</v>
          </cell>
          <cell r="J794" t="str">
            <v>USA</v>
          </cell>
          <cell r="K794">
            <v>33419</v>
          </cell>
        </row>
        <row r="795">
          <cell r="A795" t="str">
            <v>In service</v>
          </cell>
          <cell r="B795" t="str">
            <v>Gulfstream Aerospace Gulfstream IV</v>
          </cell>
          <cell r="C795" t="str">
            <v>SP</v>
          </cell>
          <cell r="D795">
            <v>1993</v>
          </cell>
          <cell r="E795" t="str">
            <v>KaiserAir Inc</v>
          </cell>
          <cell r="F795">
            <v>11</v>
          </cell>
          <cell r="G795">
            <v>34522</v>
          </cell>
          <cell r="H795" t="str">
            <v>SP</v>
          </cell>
          <cell r="I795" t="str">
            <v>North America</v>
          </cell>
          <cell r="J795" t="str">
            <v>USA</v>
          </cell>
          <cell r="K795">
            <v>33785</v>
          </cell>
        </row>
        <row r="796">
          <cell r="A796" t="str">
            <v>In service</v>
          </cell>
          <cell r="B796" t="str">
            <v>Gulfstream Aerospace Gulfstream IV</v>
          </cell>
          <cell r="C796" t="str">
            <v>SP</v>
          </cell>
          <cell r="D796">
            <v>1994</v>
          </cell>
          <cell r="E796" t="str">
            <v>Jet Aviation Business Jets</v>
          </cell>
          <cell r="F796">
            <v>10</v>
          </cell>
          <cell r="G796">
            <v>34590</v>
          </cell>
          <cell r="H796" t="str">
            <v>SP</v>
          </cell>
          <cell r="I796" t="str">
            <v>Europe</v>
          </cell>
          <cell r="J796" t="str">
            <v>Switzerland</v>
          </cell>
          <cell r="K796">
            <v>33785</v>
          </cell>
        </row>
        <row r="797">
          <cell r="A797" t="str">
            <v>In service</v>
          </cell>
          <cell r="B797" t="str">
            <v>Gulfstream Aerospace Gulfstream IV</v>
          </cell>
          <cell r="C797" t="str">
            <v>SP</v>
          </cell>
          <cell r="D797">
            <v>1994</v>
          </cell>
          <cell r="E797" t="str">
            <v>Sirio</v>
          </cell>
          <cell r="F797">
            <v>10</v>
          </cell>
          <cell r="G797">
            <v>34592</v>
          </cell>
          <cell r="H797" t="str">
            <v>SP</v>
          </cell>
          <cell r="I797" t="str">
            <v>Europe</v>
          </cell>
          <cell r="J797" t="str">
            <v>Italy</v>
          </cell>
          <cell r="K797">
            <v>34150</v>
          </cell>
        </row>
        <row r="798">
          <cell r="A798" t="str">
            <v>In service</v>
          </cell>
          <cell r="B798" t="str">
            <v>Gulfstream Aerospace Gulfstream IV</v>
          </cell>
          <cell r="C798" t="str">
            <v>SP</v>
          </cell>
          <cell r="D798">
            <v>1994</v>
          </cell>
          <cell r="E798" t="str">
            <v>Exxon Mobil Corp</v>
          </cell>
          <cell r="F798">
            <v>10</v>
          </cell>
          <cell r="G798">
            <v>34611</v>
          </cell>
          <cell r="H798" t="str">
            <v>SP</v>
          </cell>
          <cell r="I798" t="str">
            <v>North America</v>
          </cell>
          <cell r="J798" t="str">
            <v>USA</v>
          </cell>
          <cell r="K798">
            <v>33785</v>
          </cell>
        </row>
        <row r="799">
          <cell r="A799" t="str">
            <v>In service</v>
          </cell>
          <cell r="B799" t="str">
            <v>Gulfstream Aerospace Gulfstream IV</v>
          </cell>
          <cell r="C799" t="str">
            <v>SP</v>
          </cell>
          <cell r="D799">
            <v>1994</v>
          </cell>
          <cell r="E799" t="str">
            <v>Gannett Co Inc</v>
          </cell>
          <cell r="F799">
            <v>10</v>
          </cell>
          <cell r="G799">
            <v>34773</v>
          </cell>
          <cell r="H799" t="str">
            <v>SP</v>
          </cell>
          <cell r="I799" t="str">
            <v>North America</v>
          </cell>
          <cell r="J799" t="str">
            <v>USA</v>
          </cell>
          <cell r="K799">
            <v>34150</v>
          </cell>
        </row>
        <row r="800">
          <cell r="A800" t="str">
            <v>In service</v>
          </cell>
          <cell r="B800" t="str">
            <v>Gulfstream Aerospace Gulfstream IV</v>
          </cell>
          <cell r="C800" t="str">
            <v>SP</v>
          </cell>
          <cell r="D800">
            <v>1994</v>
          </cell>
          <cell r="E800" t="str">
            <v>Whirlpool Corp</v>
          </cell>
          <cell r="F800">
            <v>10</v>
          </cell>
          <cell r="G800">
            <v>34421</v>
          </cell>
          <cell r="H800" t="str">
            <v>SP</v>
          </cell>
          <cell r="I800" t="str">
            <v>North America</v>
          </cell>
          <cell r="J800" t="str">
            <v>USA</v>
          </cell>
          <cell r="K800">
            <v>33785</v>
          </cell>
        </row>
        <row r="801">
          <cell r="A801" t="str">
            <v>In service</v>
          </cell>
          <cell r="B801" t="str">
            <v>Gulfstream Aerospace Gulfstream IV</v>
          </cell>
          <cell r="C801" t="str">
            <v>SP</v>
          </cell>
          <cell r="D801">
            <v>1994</v>
          </cell>
          <cell r="E801" t="str">
            <v>Parkside Aviation Corp</v>
          </cell>
          <cell r="F801">
            <v>10</v>
          </cell>
          <cell r="G801">
            <v>34764</v>
          </cell>
          <cell r="H801" t="str">
            <v>SP</v>
          </cell>
          <cell r="I801" t="str">
            <v>North America</v>
          </cell>
          <cell r="J801" t="str">
            <v>USA</v>
          </cell>
          <cell r="K801">
            <v>34515</v>
          </cell>
        </row>
        <row r="802">
          <cell r="A802" t="str">
            <v>In service</v>
          </cell>
          <cell r="B802" t="str">
            <v>Gulfstream Aerospace Gulfstream IV</v>
          </cell>
          <cell r="C802" t="str">
            <v>SP</v>
          </cell>
          <cell r="D802">
            <v>1994</v>
          </cell>
          <cell r="E802" t="str">
            <v>Hoescht Marion Roussel Inc</v>
          </cell>
          <cell r="F802">
            <v>10</v>
          </cell>
          <cell r="G802">
            <v>34653</v>
          </cell>
          <cell r="H802" t="str">
            <v>SP</v>
          </cell>
          <cell r="I802" t="str">
            <v>North America</v>
          </cell>
          <cell r="J802" t="str">
            <v>USA</v>
          </cell>
          <cell r="K802">
            <v>33785</v>
          </cell>
        </row>
        <row r="803">
          <cell r="A803" t="str">
            <v>In service</v>
          </cell>
          <cell r="B803" t="str">
            <v>Gulfstream Aerospace Gulfstream IV</v>
          </cell>
          <cell r="C803" t="str">
            <v>SP</v>
          </cell>
          <cell r="D803">
            <v>1994</v>
          </cell>
          <cell r="E803" t="str">
            <v>New Cingular Wireless Flight Operations LLC</v>
          </cell>
          <cell r="F803">
            <v>10</v>
          </cell>
          <cell r="G803">
            <v>34696</v>
          </cell>
          <cell r="H803" t="str">
            <v>SP</v>
          </cell>
          <cell r="I803" t="str">
            <v>North America</v>
          </cell>
          <cell r="J803" t="str">
            <v>USA</v>
          </cell>
          <cell r="K803">
            <v>33785</v>
          </cell>
        </row>
        <row r="804">
          <cell r="A804" t="str">
            <v>In service</v>
          </cell>
          <cell r="B804" t="str">
            <v>Gulfstream Aerospace Gulfstream IV</v>
          </cell>
          <cell r="C804" t="str">
            <v>SP</v>
          </cell>
          <cell r="D804">
            <v>1994</v>
          </cell>
          <cell r="E804" t="str">
            <v>Parkview Acquisitions Inc</v>
          </cell>
          <cell r="F804">
            <v>10</v>
          </cell>
          <cell r="G804">
            <v>34782</v>
          </cell>
          <cell r="H804" t="str">
            <v>SP</v>
          </cell>
          <cell r="I804" t="str">
            <v>North America</v>
          </cell>
          <cell r="J804" t="str">
            <v>USA</v>
          </cell>
          <cell r="K804">
            <v>34150</v>
          </cell>
        </row>
        <row r="805">
          <cell r="A805" t="str">
            <v>In service</v>
          </cell>
          <cell r="B805" t="str">
            <v>Gulfstream Aerospace Gulfstream IV</v>
          </cell>
          <cell r="C805" t="str">
            <v>SP</v>
          </cell>
          <cell r="D805">
            <v>1994</v>
          </cell>
          <cell r="E805" t="str">
            <v>Brokerage &amp; Management Corp</v>
          </cell>
          <cell r="F805">
            <v>10</v>
          </cell>
          <cell r="G805">
            <v>34859</v>
          </cell>
          <cell r="H805" t="str">
            <v>SP</v>
          </cell>
          <cell r="I805" t="str">
            <v>North America</v>
          </cell>
          <cell r="J805" t="str">
            <v>USA</v>
          </cell>
          <cell r="K805">
            <v>34150</v>
          </cell>
        </row>
        <row r="806">
          <cell r="A806" t="str">
            <v>In service</v>
          </cell>
          <cell r="B806" t="str">
            <v>Gulfstream Aerospace Gulfstream IV</v>
          </cell>
          <cell r="C806" t="str">
            <v>SP</v>
          </cell>
          <cell r="D806">
            <v>1995</v>
          </cell>
          <cell r="E806" t="str">
            <v>Huizenga Holdings</v>
          </cell>
          <cell r="F806">
            <v>9</v>
          </cell>
          <cell r="G806">
            <v>35292</v>
          </cell>
          <cell r="H806" t="str">
            <v>SP</v>
          </cell>
          <cell r="I806" t="str">
            <v>North America</v>
          </cell>
          <cell r="J806" t="str">
            <v>USA</v>
          </cell>
        </row>
        <row r="807">
          <cell r="A807" t="str">
            <v>In service</v>
          </cell>
          <cell r="B807" t="str">
            <v>Gulfstream Aerospace Gulfstream IV</v>
          </cell>
          <cell r="C807" t="str">
            <v>SP</v>
          </cell>
          <cell r="D807">
            <v>1994</v>
          </cell>
          <cell r="E807" t="str">
            <v>Japan Civil Aviation Bureau</v>
          </cell>
          <cell r="F807">
            <v>10</v>
          </cell>
          <cell r="G807">
            <v>35016</v>
          </cell>
          <cell r="H807" t="str">
            <v>SP</v>
          </cell>
          <cell r="I807" t="str">
            <v>Asia</v>
          </cell>
          <cell r="J807" t="str">
            <v>Japan</v>
          </cell>
          <cell r="K807">
            <v>34150</v>
          </cell>
        </row>
        <row r="808">
          <cell r="A808" t="str">
            <v>In service</v>
          </cell>
          <cell r="B808" t="str">
            <v>Gulfstream Aerospace Gulfstream IV</v>
          </cell>
          <cell r="C808" t="str">
            <v>SP</v>
          </cell>
          <cell r="D808">
            <v>1994</v>
          </cell>
          <cell r="E808" t="str">
            <v>Unocal</v>
          </cell>
          <cell r="F808">
            <v>10</v>
          </cell>
          <cell r="G808">
            <v>34829</v>
          </cell>
          <cell r="H808" t="str">
            <v>SP</v>
          </cell>
          <cell r="I808" t="str">
            <v>North America</v>
          </cell>
          <cell r="J808" t="str">
            <v>USA</v>
          </cell>
          <cell r="K808">
            <v>34515</v>
          </cell>
        </row>
        <row r="809">
          <cell r="A809" t="str">
            <v>In service</v>
          </cell>
          <cell r="B809" t="str">
            <v>Gulfstream Aerospace Gulfstream IV</v>
          </cell>
          <cell r="C809" t="str">
            <v>SP</v>
          </cell>
          <cell r="D809">
            <v>1994</v>
          </cell>
          <cell r="E809" t="str">
            <v>US Department of Commerce - NOAA</v>
          </cell>
          <cell r="F809">
            <v>10</v>
          </cell>
          <cell r="G809">
            <v>34682</v>
          </cell>
          <cell r="H809" t="str">
            <v>SP</v>
          </cell>
          <cell r="I809" t="str">
            <v>North America</v>
          </cell>
          <cell r="J809" t="str">
            <v>USA</v>
          </cell>
          <cell r="K809">
            <v>33785</v>
          </cell>
        </row>
        <row r="810">
          <cell r="A810" t="str">
            <v>In service</v>
          </cell>
          <cell r="B810" t="str">
            <v>Gulfstream Aerospace Gulfstream IV</v>
          </cell>
          <cell r="C810" t="str">
            <v>SP</v>
          </cell>
          <cell r="D810">
            <v>1994</v>
          </cell>
          <cell r="E810" t="str">
            <v>Petersen Aviation</v>
          </cell>
          <cell r="F810">
            <v>10</v>
          </cell>
          <cell r="G810">
            <v>34871</v>
          </cell>
          <cell r="H810" t="str">
            <v>SP</v>
          </cell>
          <cell r="I810" t="str">
            <v>North America</v>
          </cell>
          <cell r="J810" t="str">
            <v>USA</v>
          </cell>
          <cell r="K810">
            <v>34150</v>
          </cell>
        </row>
        <row r="811">
          <cell r="A811" t="str">
            <v>In service</v>
          </cell>
          <cell r="B811" t="str">
            <v>Gulfstream Aerospace Gulfstream IV</v>
          </cell>
          <cell r="C811" t="str">
            <v>SP</v>
          </cell>
          <cell r="D811">
            <v>1994</v>
          </cell>
          <cell r="E811" t="str">
            <v>Reebok International Ltd</v>
          </cell>
          <cell r="F811">
            <v>10</v>
          </cell>
          <cell r="G811">
            <v>34698</v>
          </cell>
          <cell r="H811" t="str">
            <v>SP</v>
          </cell>
          <cell r="I811" t="str">
            <v>North America</v>
          </cell>
          <cell r="J811" t="str">
            <v>USA</v>
          </cell>
          <cell r="K811">
            <v>33785</v>
          </cell>
        </row>
        <row r="812">
          <cell r="A812" t="str">
            <v>In service</v>
          </cell>
          <cell r="B812" t="str">
            <v>Gulfstream Aerospace Gulfstream IV</v>
          </cell>
          <cell r="C812" t="str">
            <v>SP</v>
          </cell>
          <cell r="D812">
            <v>1994</v>
          </cell>
          <cell r="E812" t="str">
            <v>DS Advisors Inc</v>
          </cell>
          <cell r="F812">
            <v>10</v>
          </cell>
          <cell r="G812">
            <v>34908</v>
          </cell>
          <cell r="H812" t="str">
            <v>SP</v>
          </cell>
          <cell r="I812" t="str">
            <v>North America</v>
          </cell>
          <cell r="J812" t="str">
            <v>USA</v>
          </cell>
          <cell r="K812">
            <v>33785</v>
          </cell>
        </row>
        <row r="813">
          <cell r="A813" t="str">
            <v>In service</v>
          </cell>
          <cell r="B813" t="str">
            <v>Gulfstream Aerospace Gulfstream IV</v>
          </cell>
          <cell r="C813" t="str">
            <v>SP</v>
          </cell>
          <cell r="D813">
            <v>1994</v>
          </cell>
          <cell r="E813" t="str">
            <v>The Laredo National Bank</v>
          </cell>
          <cell r="F813">
            <v>10</v>
          </cell>
          <cell r="G813">
            <v>34963</v>
          </cell>
          <cell r="H813" t="str">
            <v>SP</v>
          </cell>
          <cell r="I813" t="str">
            <v>North America</v>
          </cell>
          <cell r="J813" t="str">
            <v>USA</v>
          </cell>
          <cell r="K813">
            <v>34150</v>
          </cell>
        </row>
        <row r="814">
          <cell r="A814" t="str">
            <v>In service</v>
          </cell>
          <cell r="B814" t="str">
            <v>Gulfstream Aerospace Gulfstream IV</v>
          </cell>
          <cell r="C814" t="str">
            <v>SP</v>
          </cell>
          <cell r="D814">
            <v>1994</v>
          </cell>
          <cell r="E814" t="str">
            <v>Jet Flight Corp</v>
          </cell>
          <cell r="F814">
            <v>10</v>
          </cell>
          <cell r="G814">
            <v>35004</v>
          </cell>
          <cell r="H814" t="str">
            <v>SP</v>
          </cell>
          <cell r="I814" t="str">
            <v>North America</v>
          </cell>
          <cell r="J814" t="str">
            <v>USA</v>
          </cell>
          <cell r="K814">
            <v>34150</v>
          </cell>
        </row>
        <row r="815">
          <cell r="A815" t="str">
            <v>In service</v>
          </cell>
          <cell r="B815" t="str">
            <v>Gulfstream Aerospace Gulfstream IV</v>
          </cell>
          <cell r="C815" t="str">
            <v>SP</v>
          </cell>
          <cell r="D815">
            <v>1994</v>
          </cell>
          <cell r="E815" t="str">
            <v>Triarc Company</v>
          </cell>
          <cell r="F815">
            <v>10</v>
          </cell>
          <cell r="G815">
            <v>34972</v>
          </cell>
          <cell r="H815" t="str">
            <v>SP</v>
          </cell>
          <cell r="I815" t="str">
            <v>North America</v>
          </cell>
          <cell r="J815" t="str">
            <v>USA</v>
          </cell>
          <cell r="K815">
            <v>34150</v>
          </cell>
        </row>
        <row r="816">
          <cell r="A816" t="str">
            <v>In service</v>
          </cell>
          <cell r="B816" t="str">
            <v>Gulfstream Aerospace Gulfstream IV</v>
          </cell>
          <cell r="C816" t="str">
            <v>SP</v>
          </cell>
          <cell r="D816">
            <v>1994</v>
          </cell>
          <cell r="E816" t="str">
            <v>Avion LLC</v>
          </cell>
          <cell r="F816">
            <v>10</v>
          </cell>
          <cell r="G816">
            <v>34901</v>
          </cell>
          <cell r="H816" t="str">
            <v>SP</v>
          </cell>
          <cell r="I816" t="str">
            <v>North America</v>
          </cell>
          <cell r="J816" t="str">
            <v>USA</v>
          </cell>
          <cell r="K816">
            <v>34150</v>
          </cell>
        </row>
        <row r="817">
          <cell r="A817" t="str">
            <v>In service</v>
          </cell>
          <cell r="B817" t="str">
            <v>Gulfstream Aerospace Gulfstream IV</v>
          </cell>
          <cell r="C817" t="str">
            <v>SP</v>
          </cell>
          <cell r="D817">
            <v>1995</v>
          </cell>
          <cell r="E817" t="str">
            <v>Flightworks</v>
          </cell>
          <cell r="F817">
            <v>9</v>
          </cell>
          <cell r="G817">
            <v>34926</v>
          </cell>
          <cell r="H817" t="str">
            <v>SP</v>
          </cell>
          <cell r="I817" t="str">
            <v>North America</v>
          </cell>
          <cell r="J817" t="str">
            <v>USA</v>
          </cell>
          <cell r="K817">
            <v>34150</v>
          </cell>
        </row>
        <row r="818">
          <cell r="A818" t="str">
            <v>In service</v>
          </cell>
          <cell r="B818" t="str">
            <v>Gulfstream Aerospace Gulfstream IV</v>
          </cell>
          <cell r="C818" t="str">
            <v>SP</v>
          </cell>
          <cell r="D818">
            <v>1994</v>
          </cell>
          <cell r="E818" t="str">
            <v>GAMA Aviation</v>
          </cell>
          <cell r="F818">
            <v>10</v>
          </cell>
          <cell r="G818">
            <v>34729</v>
          </cell>
          <cell r="H818" t="str">
            <v>SP</v>
          </cell>
          <cell r="I818" t="str">
            <v>Europe</v>
          </cell>
          <cell r="J818" t="str">
            <v>United Kingdom</v>
          </cell>
          <cell r="K818">
            <v>34150</v>
          </cell>
        </row>
        <row r="819">
          <cell r="A819" t="str">
            <v>In service</v>
          </cell>
          <cell r="B819" t="str">
            <v>Gulfstream Aerospace Gulfstream IV</v>
          </cell>
          <cell r="C819" t="str">
            <v>SP</v>
          </cell>
          <cell r="D819">
            <v>1994</v>
          </cell>
          <cell r="E819" t="str">
            <v>Phelps Dodge Corp</v>
          </cell>
          <cell r="F819">
            <v>10</v>
          </cell>
          <cell r="G819">
            <v>34941</v>
          </cell>
          <cell r="H819" t="str">
            <v>SP</v>
          </cell>
          <cell r="I819" t="str">
            <v>North America</v>
          </cell>
          <cell r="J819" t="str">
            <v>USA</v>
          </cell>
          <cell r="K819">
            <v>34150</v>
          </cell>
        </row>
        <row r="820">
          <cell r="A820" t="str">
            <v>In service</v>
          </cell>
          <cell r="B820" t="str">
            <v>Gulfstream Aerospace Gulfstream IV</v>
          </cell>
          <cell r="C820" t="str">
            <v>SP</v>
          </cell>
          <cell r="D820">
            <v>1995</v>
          </cell>
          <cell r="E820" t="str">
            <v>E I DuPont de Nemours &amp; Co</v>
          </cell>
          <cell r="F820">
            <v>9</v>
          </cell>
          <cell r="G820">
            <v>34950</v>
          </cell>
          <cell r="H820" t="str">
            <v>SP</v>
          </cell>
          <cell r="I820" t="str">
            <v>North America</v>
          </cell>
          <cell r="J820" t="str">
            <v>USA</v>
          </cell>
          <cell r="K820">
            <v>34150</v>
          </cell>
        </row>
        <row r="821">
          <cell r="A821" t="str">
            <v>In service</v>
          </cell>
          <cell r="B821" t="str">
            <v>Gulfstream Aerospace Gulfstream IV</v>
          </cell>
          <cell r="C821" t="str">
            <v>SP</v>
          </cell>
          <cell r="D821">
            <v>1995</v>
          </cell>
          <cell r="E821" t="str">
            <v>The Proctor &amp; Gamble Co</v>
          </cell>
          <cell r="F821">
            <v>9</v>
          </cell>
          <cell r="G821">
            <v>34975</v>
          </cell>
          <cell r="H821" t="str">
            <v>SP</v>
          </cell>
          <cell r="I821" t="str">
            <v>North America</v>
          </cell>
          <cell r="J821" t="str">
            <v>USA</v>
          </cell>
          <cell r="K821">
            <v>34150</v>
          </cell>
        </row>
        <row r="822">
          <cell r="A822" t="str">
            <v>In service</v>
          </cell>
          <cell r="B822" t="str">
            <v>Gulfstream Aerospace Gulfstream IV</v>
          </cell>
          <cell r="C822" t="str">
            <v>SP</v>
          </cell>
          <cell r="D822">
            <v>1995</v>
          </cell>
          <cell r="E822" t="str">
            <v>1260 LLC</v>
          </cell>
          <cell r="F822">
            <v>9</v>
          </cell>
          <cell r="G822">
            <v>34999</v>
          </cell>
          <cell r="H822" t="str">
            <v>SP</v>
          </cell>
          <cell r="I822" t="str">
            <v>North America</v>
          </cell>
          <cell r="J822" t="str">
            <v>USA</v>
          </cell>
          <cell r="K822">
            <v>34150</v>
          </cell>
        </row>
        <row r="823">
          <cell r="A823" t="str">
            <v>In service</v>
          </cell>
          <cell r="B823" t="str">
            <v>Gulfstream Aerospace Gulfstream IV</v>
          </cell>
          <cell r="C823" t="str">
            <v>SP</v>
          </cell>
          <cell r="D823">
            <v>1995</v>
          </cell>
          <cell r="E823" t="str">
            <v>P Dussman Inc</v>
          </cell>
          <cell r="F823">
            <v>9</v>
          </cell>
          <cell r="G823">
            <v>34758</v>
          </cell>
          <cell r="H823" t="str">
            <v>SP</v>
          </cell>
          <cell r="I823" t="str">
            <v>North America</v>
          </cell>
          <cell r="J823" t="str">
            <v>USA</v>
          </cell>
          <cell r="K823">
            <v>34150</v>
          </cell>
        </row>
        <row r="824">
          <cell r="A824" t="str">
            <v>In service</v>
          </cell>
          <cell r="B824" t="str">
            <v>Gulfstream Aerospace Gulfstream IV</v>
          </cell>
          <cell r="C824" t="str">
            <v>SP</v>
          </cell>
          <cell r="D824">
            <v>1995</v>
          </cell>
          <cell r="E824" t="str">
            <v>Netjets International</v>
          </cell>
          <cell r="F824">
            <v>9</v>
          </cell>
          <cell r="G824">
            <v>35039</v>
          </cell>
          <cell r="H824" t="str">
            <v>SP</v>
          </cell>
          <cell r="I824" t="str">
            <v>North America</v>
          </cell>
          <cell r="J824" t="str">
            <v>USA</v>
          </cell>
          <cell r="K824">
            <v>34716</v>
          </cell>
        </row>
        <row r="825">
          <cell r="A825" t="str">
            <v>In service</v>
          </cell>
          <cell r="B825" t="str">
            <v>Gulfstream Aerospace Gulfstream IV</v>
          </cell>
          <cell r="C825" t="str">
            <v>SP</v>
          </cell>
          <cell r="D825">
            <v>1995</v>
          </cell>
          <cell r="E825" t="str">
            <v>DSA Aviation LLC</v>
          </cell>
          <cell r="F825">
            <v>9</v>
          </cell>
          <cell r="G825">
            <v>34927</v>
          </cell>
          <cell r="H825" t="str">
            <v>SP</v>
          </cell>
          <cell r="I825" t="str">
            <v>North America</v>
          </cell>
          <cell r="J825" t="str">
            <v>USA</v>
          </cell>
          <cell r="K825">
            <v>34150</v>
          </cell>
        </row>
        <row r="826">
          <cell r="A826" t="str">
            <v>In service</v>
          </cell>
          <cell r="B826" t="str">
            <v>Gulfstream Aerospace Gulfstream IV</v>
          </cell>
          <cell r="C826" t="str">
            <v>SP</v>
          </cell>
          <cell r="D826">
            <v>1995</v>
          </cell>
          <cell r="E826" t="str">
            <v>Netjets International</v>
          </cell>
          <cell r="F826">
            <v>9</v>
          </cell>
          <cell r="G826">
            <v>35061</v>
          </cell>
          <cell r="H826" t="str">
            <v>SP</v>
          </cell>
          <cell r="I826" t="str">
            <v>North America</v>
          </cell>
          <cell r="J826" t="str">
            <v>USA</v>
          </cell>
          <cell r="K826">
            <v>34716</v>
          </cell>
        </row>
        <row r="827">
          <cell r="A827" t="str">
            <v>In service</v>
          </cell>
          <cell r="B827" t="str">
            <v>Gulfstream Aerospace Gulfstream IV</v>
          </cell>
          <cell r="C827" t="str">
            <v>SP</v>
          </cell>
          <cell r="D827">
            <v>1995</v>
          </cell>
          <cell r="E827" t="str">
            <v>Harpo Inc</v>
          </cell>
          <cell r="F827">
            <v>9</v>
          </cell>
          <cell r="G827">
            <v>35046</v>
          </cell>
          <cell r="H827" t="str">
            <v>SP</v>
          </cell>
          <cell r="I827" t="str">
            <v>North America</v>
          </cell>
          <cell r="J827" t="str">
            <v>USA</v>
          </cell>
          <cell r="K827">
            <v>34150</v>
          </cell>
        </row>
        <row r="828">
          <cell r="A828" t="str">
            <v>In service</v>
          </cell>
          <cell r="B828" t="str">
            <v>Gulfstream Aerospace Gulfstream IV</v>
          </cell>
          <cell r="C828" t="str">
            <v>SP</v>
          </cell>
          <cell r="D828">
            <v>1995</v>
          </cell>
          <cell r="E828" t="str">
            <v>FACE Aviation LLC</v>
          </cell>
          <cell r="F828">
            <v>9</v>
          </cell>
          <cell r="G828">
            <v>35046</v>
          </cell>
          <cell r="H828" t="str">
            <v>SP</v>
          </cell>
          <cell r="I828" t="str">
            <v>North America</v>
          </cell>
          <cell r="J828" t="str">
            <v>USA</v>
          </cell>
          <cell r="K828">
            <v>34895</v>
          </cell>
        </row>
        <row r="829">
          <cell r="A829" t="str">
            <v>In service</v>
          </cell>
          <cell r="B829" t="str">
            <v>Gulfstream Aerospace Gulfstream IV</v>
          </cell>
          <cell r="C829" t="str">
            <v>SP</v>
          </cell>
          <cell r="D829">
            <v>1995</v>
          </cell>
          <cell r="E829" t="str">
            <v>Peregrine Aviation LLC</v>
          </cell>
          <cell r="F829">
            <v>9</v>
          </cell>
          <cell r="G829">
            <v>35053</v>
          </cell>
          <cell r="H829" t="str">
            <v>SP</v>
          </cell>
          <cell r="I829" t="str">
            <v>North America</v>
          </cell>
          <cell r="J829" t="str">
            <v>USA</v>
          </cell>
          <cell r="K829">
            <v>34895</v>
          </cell>
        </row>
        <row r="830">
          <cell r="A830" t="str">
            <v>In service</v>
          </cell>
          <cell r="B830" t="str">
            <v>Gulfstream Aerospace Gulfstream IV</v>
          </cell>
          <cell r="C830" t="str">
            <v>SP</v>
          </cell>
          <cell r="D830">
            <v>1995</v>
          </cell>
          <cell r="E830" t="str">
            <v>Sleep Air LLC</v>
          </cell>
          <cell r="F830">
            <v>9</v>
          </cell>
          <cell r="G830">
            <v>34871</v>
          </cell>
          <cell r="H830" t="str">
            <v>SP</v>
          </cell>
          <cell r="I830" t="str">
            <v>North America</v>
          </cell>
          <cell r="J830" t="str">
            <v>USA</v>
          </cell>
          <cell r="K830">
            <v>34515</v>
          </cell>
        </row>
        <row r="831">
          <cell r="A831" t="str">
            <v>In service</v>
          </cell>
          <cell r="B831" t="str">
            <v>Gulfstream Aerospace Gulfstream IV</v>
          </cell>
          <cell r="C831" t="str">
            <v>SP</v>
          </cell>
          <cell r="D831">
            <v>1995</v>
          </cell>
          <cell r="E831" t="str">
            <v>Executive Fliteways Inc</v>
          </cell>
          <cell r="F831">
            <v>9</v>
          </cell>
          <cell r="G831">
            <v>35053</v>
          </cell>
          <cell r="H831" t="str">
            <v>SP</v>
          </cell>
          <cell r="I831" t="str">
            <v>North America</v>
          </cell>
          <cell r="J831" t="str">
            <v>USA</v>
          </cell>
          <cell r="K831">
            <v>34515</v>
          </cell>
        </row>
        <row r="832">
          <cell r="A832" t="str">
            <v>In service</v>
          </cell>
          <cell r="B832" t="str">
            <v>Gulfstream Aerospace Gulfstream IV</v>
          </cell>
          <cell r="C832" t="str">
            <v>SP</v>
          </cell>
          <cell r="D832">
            <v>1995</v>
          </cell>
          <cell r="E832" t="str">
            <v>Jstar Corp</v>
          </cell>
          <cell r="F832">
            <v>9</v>
          </cell>
          <cell r="G832">
            <v>34942</v>
          </cell>
          <cell r="H832" t="str">
            <v>SP</v>
          </cell>
          <cell r="I832" t="str">
            <v>North America</v>
          </cell>
          <cell r="J832" t="str">
            <v>USA</v>
          </cell>
          <cell r="K832">
            <v>34515</v>
          </cell>
        </row>
        <row r="833">
          <cell r="A833" t="str">
            <v>In service</v>
          </cell>
          <cell r="B833" t="str">
            <v>Gulfstream Aerospace Gulfstream IV</v>
          </cell>
          <cell r="C833" t="str">
            <v>SP</v>
          </cell>
          <cell r="D833">
            <v>1995</v>
          </cell>
          <cell r="E833" t="str">
            <v>Berwind Corp</v>
          </cell>
          <cell r="F833">
            <v>9</v>
          </cell>
          <cell r="G833">
            <v>34935</v>
          </cell>
          <cell r="H833" t="str">
            <v>SP</v>
          </cell>
          <cell r="I833" t="str">
            <v>North America</v>
          </cell>
          <cell r="J833" t="str">
            <v>USA</v>
          </cell>
          <cell r="K833">
            <v>34515</v>
          </cell>
        </row>
        <row r="834">
          <cell r="A834" t="str">
            <v>In service</v>
          </cell>
          <cell r="B834" t="str">
            <v>Gulfstream Aerospace Gulfstream IV</v>
          </cell>
          <cell r="C834" t="str">
            <v>SP</v>
          </cell>
          <cell r="D834">
            <v>1995</v>
          </cell>
          <cell r="E834" t="str">
            <v>Swedish Air Force</v>
          </cell>
          <cell r="F834">
            <v>9</v>
          </cell>
          <cell r="G834">
            <v>35150</v>
          </cell>
          <cell r="H834" t="str">
            <v>TP-102</v>
          </cell>
          <cell r="I834" t="str">
            <v>Europe</v>
          </cell>
          <cell r="J834" t="str">
            <v>Sweden</v>
          </cell>
          <cell r="K834">
            <v>34515</v>
          </cell>
        </row>
        <row r="835">
          <cell r="A835" t="str">
            <v>In service</v>
          </cell>
          <cell r="B835" t="str">
            <v>Gulfstream Aerospace Gulfstream IV</v>
          </cell>
          <cell r="C835" t="str">
            <v>SP</v>
          </cell>
          <cell r="D835">
            <v>1995</v>
          </cell>
          <cell r="E835" t="str">
            <v>Netjets International</v>
          </cell>
          <cell r="F835">
            <v>9</v>
          </cell>
          <cell r="G835">
            <v>35149</v>
          </cell>
          <cell r="H835" t="str">
            <v>SP</v>
          </cell>
          <cell r="I835" t="str">
            <v>North America</v>
          </cell>
          <cell r="J835" t="str">
            <v>USA</v>
          </cell>
          <cell r="K835">
            <v>34716</v>
          </cell>
        </row>
        <row r="836">
          <cell r="A836" t="str">
            <v>In service</v>
          </cell>
          <cell r="B836" t="str">
            <v>Gulfstream Aerospace Gulfstream IV</v>
          </cell>
          <cell r="C836" t="str">
            <v>SP</v>
          </cell>
          <cell r="D836">
            <v>1995</v>
          </cell>
          <cell r="E836" t="str">
            <v>PPCO LLC</v>
          </cell>
          <cell r="F836">
            <v>9</v>
          </cell>
          <cell r="G836">
            <v>35153</v>
          </cell>
          <cell r="H836" t="str">
            <v>SP</v>
          </cell>
          <cell r="I836" t="str">
            <v>North America</v>
          </cell>
          <cell r="J836" t="str">
            <v>USA</v>
          </cell>
          <cell r="K836">
            <v>34515</v>
          </cell>
        </row>
        <row r="837">
          <cell r="A837" t="str">
            <v>In service</v>
          </cell>
          <cell r="B837" t="str">
            <v>Gulfstream Aerospace Gulfstream IV</v>
          </cell>
          <cell r="C837" t="str">
            <v>SP</v>
          </cell>
          <cell r="D837">
            <v>1996</v>
          </cell>
          <cell r="E837" t="str">
            <v>American Home Products Inc</v>
          </cell>
          <cell r="F837">
            <v>8</v>
          </cell>
          <cell r="G837">
            <v>35200</v>
          </cell>
          <cell r="H837" t="str">
            <v>SP</v>
          </cell>
          <cell r="I837" t="str">
            <v>North America</v>
          </cell>
          <cell r="J837" t="str">
            <v>USA</v>
          </cell>
          <cell r="K837">
            <v>34880</v>
          </cell>
        </row>
        <row r="838">
          <cell r="A838" t="str">
            <v>In service</v>
          </cell>
          <cell r="B838" t="str">
            <v>Gulfstream Aerospace Gulfstream IV</v>
          </cell>
          <cell r="C838" t="str">
            <v>SP</v>
          </cell>
          <cell r="D838">
            <v>1996</v>
          </cell>
          <cell r="E838" t="str">
            <v>Lucent Technologies Inc</v>
          </cell>
          <cell r="F838">
            <v>8</v>
          </cell>
          <cell r="G838">
            <v>35200</v>
          </cell>
          <cell r="H838" t="str">
            <v>SP</v>
          </cell>
          <cell r="I838" t="str">
            <v>North America</v>
          </cell>
          <cell r="J838" t="str">
            <v>USA</v>
          </cell>
          <cell r="K838">
            <v>34515</v>
          </cell>
        </row>
        <row r="839">
          <cell r="A839" t="str">
            <v>In service</v>
          </cell>
          <cell r="B839" t="str">
            <v>Gulfstream Aerospace Gulfstream IV</v>
          </cell>
          <cell r="C839" t="str">
            <v>SP</v>
          </cell>
          <cell r="D839">
            <v>1995</v>
          </cell>
          <cell r="E839" t="str">
            <v>J C Penney Company Inc</v>
          </cell>
          <cell r="F839">
            <v>9</v>
          </cell>
          <cell r="G839">
            <v>35240</v>
          </cell>
          <cell r="H839" t="str">
            <v>SP</v>
          </cell>
          <cell r="I839" t="str">
            <v>North America</v>
          </cell>
          <cell r="J839" t="str">
            <v>USA</v>
          </cell>
          <cell r="K839">
            <v>34515</v>
          </cell>
        </row>
        <row r="840">
          <cell r="A840" t="str">
            <v>In service</v>
          </cell>
          <cell r="B840" t="str">
            <v>Gulfstream Aerospace Gulfstream IV</v>
          </cell>
          <cell r="C840" t="str">
            <v>SP</v>
          </cell>
          <cell r="D840">
            <v>1995</v>
          </cell>
          <cell r="E840" t="str">
            <v>Yona Venetian LLC</v>
          </cell>
          <cell r="F840">
            <v>9</v>
          </cell>
          <cell r="G840">
            <v>35051</v>
          </cell>
          <cell r="H840" t="str">
            <v>SP</v>
          </cell>
          <cell r="I840" t="str">
            <v>North America</v>
          </cell>
          <cell r="J840" t="str">
            <v>USA</v>
          </cell>
          <cell r="K840">
            <v>34503</v>
          </cell>
        </row>
        <row r="841">
          <cell r="A841" t="str">
            <v>In service</v>
          </cell>
          <cell r="B841" t="str">
            <v>Gulfstream Aerospace Gulfstream IV</v>
          </cell>
          <cell r="C841" t="str">
            <v>SP</v>
          </cell>
          <cell r="D841">
            <v>1996</v>
          </cell>
          <cell r="E841" t="str">
            <v>Netjets International</v>
          </cell>
          <cell r="F841">
            <v>8</v>
          </cell>
          <cell r="G841">
            <v>35237</v>
          </cell>
          <cell r="H841" t="str">
            <v>SP</v>
          </cell>
          <cell r="I841" t="str">
            <v>North America</v>
          </cell>
          <cell r="J841" t="str">
            <v>USA</v>
          </cell>
          <cell r="K841">
            <v>34716</v>
          </cell>
        </row>
        <row r="842">
          <cell r="A842" t="str">
            <v>In service</v>
          </cell>
          <cell r="B842" t="str">
            <v>Gulfstream Aerospace Gulfstream IV</v>
          </cell>
          <cell r="C842" t="str">
            <v>SP</v>
          </cell>
          <cell r="D842">
            <v>1996</v>
          </cell>
          <cell r="E842" t="str">
            <v>The Air Group Inc</v>
          </cell>
          <cell r="F842">
            <v>8</v>
          </cell>
          <cell r="G842">
            <v>35231</v>
          </cell>
          <cell r="H842" t="str">
            <v>SP</v>
          </cell>
          <cell r="I842" t="str">
            <v>North America</v>
          </cell>
          <cell r="J842" t="str">
            <v>USA</v>
          </cell>
          <cell r="K842">
            <v>34515</v>
          </cell>
        </row>
        <row r="843">
          <cell r="A843" t="str">
            <v>In service</v>
          </cell>
          <cell r="B843" t="str">
            <v>Gulfstream Aerospace Gulfstream IV</v>
          </cell>
          <cell r="C843" t="str">
            <v>SP</v>
          </cell>
          <cell r="D843">
            <v>1996</v>
          </cell>
          <cell r="E843" t="str">
            <v>Colleen Corp</v>
          </cell>
          <cell r="F843">
            <v>8</v>
          </cell>
          <cell r="G843">
            <v>35195</v>
          </cell>
          <cell r="H843" t="str">
            <v>SP</v>
          </cell>
          <cell r="I843" t="str">
            <v>North America</v>
          </cell>
          <cell r="J843" t="str">
            <v>USA</v>
          </cell>
          <cell r="K843">
            <v>34515</v>
          </cell>
        </row>
        <row r="844">
          <cell r="A844" t="str">
            <v>In service</v>
          </cell>
          <cell r="B844" t="str">
            <v>Gulfstream Aerospace Gulfstream IV</v>
          </cell>
          <cell r="C844" t="str">
            <v>SP</v>
          </cell>
          <cell r="D844">
            <v>1996</v>
          </cell>
          <cell r="E844" t="str">
            <v>ChevronTexaco Corp</v>
          </cell>
          <cell r="F844">
            <v>8</v>
          </cell>
          <cell r="G844">
            <v>35123</v>
          </cell>
          <cell r="H844" t="str">
            <v>SP</v>
          </cell>
          <cell r="I844" t="str">
            <v>North America</v>
          </cell>
          <cell r="J844" t="str">
            <v>USA</v>
          </cell>
          <cell r="K844">
            <v>34515</v>
          </cell>
        </row>
        <row r="845">
          <cell r="A845" t="str">
            <v>In service</v>
          </cell>
          <cell r="B845" t="str">
            <v>Gulfstream Aerospace Gulfstream IV</v>
          </cell>
          <cell r="C845" t="str">
            <v>SP</v>
          </cell>
          <cell r="D845">
            <v>1996</v>
          </cell>
          <cell r="E845" t="str">
            <v>Anadarko Petroleum Corp</v>
          </cell>
          <cell r="F845">
            <v>8</v>
          </cell>
          <cell r="G845">
            <v>35129</v>
          </cell>
          <cell r="H845" t="str">
            <v>SP</v>
          </cell>
          <cell r="I845" t="str">
            <v>North America</v>
          </cell>
          <cell r="J845" t="str">
            <v>USA</v>
          </cell>
          <cell r="K845">
            <v>34515</v>
          </cell>
        </row>
        <row r="846">
          <cell r="A846" t="str">
            <v>In service</v>
          </cell>
          <cell r="B846" t="str">
            <v>Gulfstream Aerospace Gulfstream IV</v>
          </cell>
          <cell r="C846" t="str">
            <v>SP</v>
          </cell>
          <cell r="D846">
            <v>1996</v>
          </cell>
          <cell r="E846" t="str">
            <v>General Dynamics Corp</v>
          </cell>
          <cell r="F846">
            <v>8</v>
          </cell>
          <cell r="G846">
            <v>35430</v>
          </cell>
          <cell r="H846" t="str">
            <v>SP</v>
          </cell>
          <cell r="I846" t="str">
            <v>North America</v>
          </cell>
          <cell r="J846" t="str">
            <v>USA</v>
          </cell>
        </row>
        <row r="847">
          <cell r="A847" t="str">
            <v>In service</v>
          </cell>
          <cell r="B847" t="str">
            <v>Gulfstream Aerospace Gulfstream IV</v>
          </cell>
          <cell r="C847" t="str">
            <v>SP</v>
          </cell>
          <cell r="D847">
            <v>1996</v>
          </cell>
          <cell r="E847" t="str">
            <v>Netjets International</v>
          </cell>
          <cell r="F847">
            <v>8</v>
          </cell>
          <cell r="G847">
            <v>35277</v>
          </cell>
          <cell r="H847" t="str">
            <v>SP</v>
          </cell>
          <cell r="I847" t="str">
            <v>North America</v>
          </cell>
          <cell r="J847" t="str">
            <v>USA</v>
          </cell>
          <cell r="K847">
            <v>34716</v>
          </cell>
        </row>
        <row r="848">
          <cell r="A848" t="str">
            <v>In service</v>
          </cell>
          <cell r="B848" t="str">
            <v>Gulfstream Aerospace Gulfstream IV</v>
          </cell>
          <cell r="C848" t="str">
            <v>SP</v>
          </cell>
          <cell r="D848">
            <v>1996</v>
          </cell>
          <cell r="E848" t="str">
            <v>Government of Algeria</v>
          </cell>
          <cell r="F848">
            <v>8</v>
          </cell>
          <cell r="G848">
            <v>35353</v>
          </cell>
          <cell r="H848" t="str">
            <v>SP</v>
          </cell>
          <cell r="I848" t="str">
            <v>Africa</v>
          </cell>
          <cell r="J848" t="str">
            <v>Algeria</v>
          </cell>
          <cell r="K848">
            <v>35246</v>
          </cell>
        </row>
        <row r="849">
          <cell r="A849" t="str">
            <v>In service</v>
          </cell>
          <cell r="B849" t="str">
            <v>Gulfstream Aerospace Gulfstream IV</v>
          </cell>
          <cell r="C849" t="str">
            <v>SP</v>
          </cell>
          <cell r="D849">
            <v>1996</v>
          </cell>
          <cell r="E849" t="str">
            <v>MCI Transcom Corp</v>
          </cell>
          <cell r="F849">
            <v>8</v>
          </cell>
          <cell r="G849">
            <v>35328</v>
          </cell>
          <cell r="H849" t="str">
            <v>SP</v>
          </cell>
          <cell r="I849" t="str">
            <v>North America</v>
          </cell>
          <cell r="J849" t="str">
            <v>USA</v>
          </cell>
          <cell r="K849">
            <v>34515</v>
          </cell>
        </row>
        <row r="850">
          <cell r="A850" t="str">
            <v>In service</v>
          </cell>
          <cell r="B850" t="str">
            <v>Gulfstream Aerospace Gulfstream IV</v>
          </cell>
          <cell r="C850" t="str">
            <v>SP</v>
          </cell>
          <cell r="D850">
            <v>1996</v>
          </cell>
          <cell r="E850" t="str">
            <v>Yona Venetian LLC</v>
          </cell>
          <cell r="F850">
            <v>8</v>
          </cell>
          <cell r="G850">
            <v>35366</v>
          </cell>
          <cell r="H850" t="str">
            <v>SP</v>
          </cell>
          <cell r="I850" t="str">
            <v>North America</v>
          </cell>
          <cell r="J850" t="str">
            <v>USA</v>
          </cell>
          <cell r="K850">
            <v>34515</v>
          </cell>
        </row>
        <row r="851">
          <cell r="A851" t="str">
            <v>In service</v>
          </cell>
          <cell r="B851" t="str">
            <v>Gulfstream Aerospace Gulfstream IV</v>
          </cell>
          <cell r="C851" t="str">
            <v>SP</v>
          </cell>
          <cell r="D851">
            <v>1996</v>
          </cell>
          <cell r="E851" t="str">
            <v>Government of Algeria</v>
          </cell>
          <cell r="F851">
            <v>8</v>
          </cell>
          <cell r="G851">
            <v>35384</v>
          </cell>
          <cell r="H851" t="str">
            <v>SP</v>
          </cell>
          <cell r="I851" t="str">
            <v>Africa</v>
          </cell>
          <cell r="J851" t="str">
            <v>Algeria</v>
          </cell>
          <cell r="K851">
            <v>35246</v>
          </cell>
        </row>
        <row r="852">
          <cell r="A852" t="str">
            <v>In service</v>
          </cell>
          <cell r="B852" t="str">
            <v>Gulfstream Aerospace Gulfstream IV</v>
          </cell>
          <cell r="C852" t="str">
            <v>SP</v>
          </cell>
          <cell r="D852">
            <v>1996</v>
          </cell>
          <cell r="E852" t="str">
            <v>Verizon Corporate Services Group Inc</v>
          </cell>
          <cell r="F852">
            <v>8</v>
          </cell>
          <cell r="G852">
            <v>35381</v>
          </cell>
          <cell r="H852" t="str">
            <v>SP</v>
          </cell>
          <cell r="I852" t="str">
            <v>North America</v>
          </cell>
          <cell r="J852" t="str">
            <v>USA</v>
          </cell>
          <cell r="K852">
            <v>34515</v>
          </cell>
        </row>
        <row r="853">
          <cell r="A853" t="str">
            <v>In service</v>
          </cell>
          <cell r="B853" t="str">
            <v>Gulfstream Aerospace Gulfstream IV</v>
          </cell>
          <cell r="C853" t="str">
            <v>SP</v>
          </cell>
          <cell r="D853">
            <v>1996</v>
          </cell>
          <cell r="E853" t="str">
            <v>Netjets International</v>
          </cell>
          <cell r="F853">
            <v>8</v>
          </cell>
          <cell r="G853">
            <v>35383</v>
          </cell>
          <cell r="H853" t="str">
            <v>SP</v>
          </cell>
          <cell r="I853" t="str">
            <v>North America</v>
          </cell>
          <cell r="J853" t="str">
            <v>USA</v>
          </cell>
          <cell r="K853">
            <v>34716</v>
          </cell>
        </row>
        <row r="854">
          <cell r="A854" t="str">
            <v>In service</v>
          </cell>
          <cell r="B854" t="str">
            <v>Gulfstream Aerospace Gulfstream IV</v>
          </cell>
          <cell r="C854" t="str">
            <v>SP</v>
          </cell>
          <cell r="D854">
            <v>1996</v>
          </cell>
          <cell r="E854" t="str">
            <v>Mawarid Ltd</v>
          </cell>
          <cell r="F854">
            <v>8</v>
          </cell>
          <cell r="G854">
            <v>35384</v>
          </cell>
          <cell r="H854" t="str">
            <v>SP</v>
          </cell>
          <cell r="I854" t="str">
            <v>Middle East</v>
          </cell>
          <cell r="J854" t="str">
            <v>Saudi Arabia</v>
          </cell>
          <cell r="K854">
            <v>34880</v>
          </cell>
        </row>
        <row r="855">
          <cell r="A855" t="str">
            <v>In service</v>
          </cell>
          <cell r="B855" t="str">
            <v>Gulfstream Aerospace Gulfstream IV</v>
          </cell>
          <cell r="C855" t="str">
            <v>SP</v>
          </cell>
          <cell r="D855">
            <v>1997</v>
          </cell>
          <cell r="E855" t="str">
            <v>Netjets International</v>
          </cell>
          <cell r="F855">
            <v>7</v>
          </cell>
          <cell r="G855">
            <v>35446</v>
          </cell>
          <cell r="H855" t="str">
            <v>SP</v>
          </cell>
          <cell r="I855" t="str">
            <v>North America</v>
          </cell>
          <cell r="J855" t="str">
            <v>USA</v>
          </cell>
          <cell r="K855">
            <v>34716</v>
          </cell>
        </row>
        <row r="856">
          <cell r="A856" t="str">
            <v>In service</v>
          </cell>
          <cell r="B856" t="str">
            <v>Gulfstream Aerospace Gulfstream IV</v>
          </cell>
          <cell r="C856" t="str">
            <v>SP</v>
          </cell>
          <cell r="D856">
            <v>1996</v>
          </cell>
          <cell r="E856" t="str">
            <v>Jetstream Ventures LLC</v>
          </cell>
          <cell r="F856">
            <v>8</v>
          </cell>
          <cell r="G856">
            <v>35282</v>
          </cell>
          <cell r="H856" t="str">
            <v>SP</v>
          </cell>
          <cell r="I856" t="str">
            <v>North America</v>
          </cell>
          <cell r="J856" t="str">
            <v>USA</v>
          </cell>
          <cell r="K856">
            <v>34515</v>
          </cell>
        </row>
        <row r="857">
          <cell r="A857" t="str">
            <v>In service</v>
          </cell>
          <cell r="B857" t="str">
            <v>Gulfstream Aerospace Gulfstream IV</v>
          </cell>
          <cell r="C857" t="str">
            <v>SP</v>
          </cell>
          <cell r="D857">
            <v>1996</v>
          </cell>
          <cell r="E857" t="str">
            <v>Aguilla Del Sur SA</v>
          </cell>
          <cell r="F857">
            <v>8</v>
          </cell>
          <cell r="G857">
            <v>35476</v>
          </cell>
          <cell r="H857" t="str">
            <v>SP</v>
          </cell>
          <cell r="I857" t="str">
            <v>Latin America and Caribbean</v>
          </cell>
          <cell r="J857" t="str">
            <v>Argentina</v>
          </cell>
          <cell r="K857">
            <v>35246</v>
          </cell>
        </row>
        <row r="858">
          <cell r="A858" t="str">
            <v>In service</v>
          </cell>
          <cell r="B858" t="str">
            <v>Gulfstream Aerospace Gulfstream IV</v>
          </cell>
          <cell r="C858" t="str">
            <v>SP</v>
          </cell>
          <cell r="D858">
            <v>1996</v>
          </cell>
          <cell r="E858" t="str">
            <v>Swiflite Aircraft Corp</v>
          </cell>
          <cell r="F858">
            <v>8</v>
          </cell>
          <cell r="G858">
            <v>35480</v>
          </cell>
          <cell r="H858" t="str">
            <v>SP</v>
          </cell>
          <cell r="I858" t="str">
            <v>North America</v>
          </cell>
          <cell r="J858" t="str">
            <v>USA</v>
          </cell>
          <cell r="K858">
            <v>35246</v>
          </cell>
        </row>
        <row r="859">
          <cell r="A859" t="str">
            <v>In service</v>
          </cell>
          <cell r="B859" t="str">
            <v>Gulfstream Aerospace Gulfstream IV</v>
          </cell>
          <cell r="C859" t="str">
            <v>SP</v>
          </cell>
          <cell r="D859">
            <v>1997</v>
          </cell>
          <cell r="E859" t="str">
            <v>Netjets International</v>
          </cell>
          <cell r="F859">
            <v>7</v>
          </cell>
          <cell r="G859">
            <v>35515</v>
          </cell>
          <cell r="H859" t="str">
            <v>SP</v>
          </cell>
          <cell r="I859" t="str">
            <v>North America</v>
          </cell>
          <cell r="J859" t="str">
            <v>USA</v>
          </cell>
          <cell r="K859">
            <v>35311</v>
          </cell>
        </row>
        <row r="860">
          <cell r="A860" t="str">
            <v>In service</v>
          </cell>
          <cell r="B860" t="str">
            <v>Gulfstream Aerospace Gulfstream IV</v>
          </cell>
          <cell r="C860" t="str">
            <v>SP</v>
          </cell>
          <cell r="D860">
            <v>1996</v>
          </cell>
          <cell r="E860" t="str">
            <v>MPM Financial LLC</v>
          </cell>
          <cell r="F860">
            <v>8</v>
          </cell>
          <cell r="G860">
            <v>35506</v>
          </cell>
          <cell r="H860" t="str">
            <v>SP</v>
          </cell>
          <cell r="I860" t="str">
            <v>North America</v>
          </cell>
          <cell r="J860" t="str">
            <v>USA</v>
          </cell>
          <cell r="K860">
            <v>35246</v>
          </cell>
        </row>
        <row r="861">
          <cell r="A861" t="str">
            <v>In service</v>
          </cell>
          <cell r="B861" t="str">
            <v>Gulfstream Aerospace Gulfstream IV</v>
          </cell>
          <cell r="C861" t="str">
            <v>SP</v>
          </cell>
          <cell r="D861">
            <v>1997</v>
          </cell>
          <cell r="E861" t="str">
            <v>American Express</v>
          </cell>
          <cell r="F861">
            <v>7</v>
          </cell>
          <cell r="G861">
            <v>35598</v>
          </cell>
          <cell r="H861" t="str">
            <v>SP</v>
          </cell>
          <cell r="I861" t="str">
            <v>North America</v>
          </cell>
          <cell r="J861" t="str">
            <v>USA</v>
          </cell>
          <cell r="K861">
            <v>35414</v>
          </cell>
        </row>
        <row r="862">
          <cell r="A862" t="str">
            <v>In service</v>
          </cell>
          <cell r="B862" t="str">
            <v>Gulfstream Aerospace Gulfstream IV</v>
          </cell>
          <cell r="C862" t="str">
            <v>SP</v>
          </cell>
          <cell r="D862">
            <v>1997</v>
          </cell>
          <cell r="E862" t="str">
            <v>American Express</v>
          </cell>
          <cell r="F862">
            <v>7</v>
          </cell>
          <cell r="G862">
            <v>35611</v>
          </cell>
          <cell r="H862" t="str">
            <v>SP</v>
          </cell>
          <cell r="I862" t="str">
            <v>North America</v>
          </cell>
          <cell r="J862" t="str">
            <v>USA</v>
          </cell>
          <cell r="K862">
            <v>35414</v>
          </cell>
        </row>
        <row r="863">
          <cell r="A863" t="str">
            <v>In service</v>
          </cell>
          <cell r="B863" t="str">
            <v>Gulfstream Aerospace Gulfstream IV</v>
          </cell>
          <cell r="C863" t="str">
            <v>SP</v>
          </cell>
          <cell r="D863">
            <v>1997</v>
          </cell>
          <cell r="E863" t="str">
            <v>Netjets International</v>
          </cell>
          <cell r="F863">
            <v>7</v>
          </cell>
          <cell r="G863">
            <v>35605</v>
          </cell>
          <cell r="H863" t="str">
            <v>SP</v>
          </cell>
          <cell r="I863" t="str">
            <v>North America</v>
          </cell>
          <cell r="J863" t="str">
            <v>USA</v>
          </cell>
          <cell r="K863">
            <v>35311</v>
          </cell>
        </row>
        <row r="864">
          <cell r="A864" t="str">
            <v>In service</v>
          </cell>
          <cell r="B864" t="str">
            <v>Gulfstream Aerospace Gulfstream IV</v>
          </cell>
          <cell r="C864" t="str">
            <v>SP</v>
          </cell>
          <cell r="D864">
            <v>1997</v>
          </cell>
          <cell r="E864" t="str">
            <v>Sprint-United Management Co</v>
          </cell>
          <cell r="F864">
            <v>7</v>
          </cell>
          <cell r="G864">
            <v>35604</v>
          </cell>
          <cell r="H864" t="str">
            <v>SP</v>
          </cell>
          <cell r="I864" t="str">
            <v>North America</v>
          </cell>
          <cell r="J864" t="str">
            <v>USA</v>
          </cell>
          <cell r="K864">
            <v>35414</v>
          </cell>
        </row>
        <row r="865">
          <cell r="A865" t="str">
            <v>In service</v>
          </cell>
          <cell r="B865" t="str">
            <v>Gulfstream Aerospace Gulfstream IV</v>
          </cell>
          <cell r="C865" t="str">
            <v>SP</v>
          </cell>
          <cell r="D865">
            <v>1997</v>
          </cell>
          <cell r="E865" t="str">
            <v>New World Jet Corp</v>
          </cell>
          <cell r="F865">
            <v>7</v>
          </cell>
          <cell r="G865">
            <v>35692</v>
          </cell>
          <cell r="H865" t="str">
            <v>SP</v>
          </cell>
          <cell r="I865" t="str">
            <v>North America</v>
          </cell>
          <cell r="J865" t="str">
            <v>USA</v>
          </cell>
          <cell r="K865">
            <v>34880</v>
          </cell>
        </row>
        <row r="866">
          <cell r="A866" t="str">
            <v>In service</v>
          </cell>
          <cell r="B866" t="str">
            <v>Gulfstream Aerospace Gulfstream IV</v>
          </cell>
          <cell r="C866" t="str">
            <v>SP</v>
          </cell>
          <cell r="D866">
            <v>1997</v>
          </cell>
          <cell r="E866" t="str">
            <v>American Express</v>
          </cell>
          <cell r="F866">
            <v>7</v>
          </cell>
          <cell r="G866">
            <v>35644</v>
          </cell>
          <cell r="H866" t="str">
            <v>SP</v>
          </cell>
          <cell r="I866" t="str">
            <v>North America</v>
          </cell>
          <cell r="J866" t="str">
            <v>USA</v>
          </cell>
          <cell r="K866">
            <v>35414</v>
          </cell>
        </row>
        <row r="867">
          <cell r="A867" t="str">
            <v>In service</v>
          </cell>
          <cell r="B867" t="str">
            <v>Gulfstream Aerospace Gulfstream IV</v>
          </cell>
          <cell r="C867" t="str">
            <v>SP</v>
          </cell>
          <cell r="D867">
            <v>1997</v>
          </cell>
          <cell r="E867" t="str">
            <v>Netjets International</v>
          </cell>
          <cell r="F867">
            <v>7</v>
          </cell>
          <cell r="G867">
            <v>35698</v>
          </cell>
          <cell r="H867" t="str">
            <v>SP</v>
          </cell>
          <cell r="I867" t="str">
            <v>North America</v>
          </cell>
          <cell r="J867" t="str">
            <v>USA</v>
          </cell>
          <cell r="K867">
            <v>35311</v>
          </cell>
        </row>
        <row r="868">
          <cell r="A868" t="str">
            <v>In service</v>
          </cell>
          <cell r="B868" t="str">
            <v>Gulfstream Aerospace Gulfstream IV</v>
          </cell>
          <cell r="C868" t="str">
            <v>SP</v>
          </cell>
          <cell r="D868">
            <v>1997</v>
          </cell>
          <cell r="E868" t="str">
            <v>ConAgra Foods Inc</v>
          </cell>
          <cell r="F868">
            <v>7</v>
          </cell>
          <cell r="G868">
            <v>35650</v>
          </cell>
          <cell r="H868" t="str">
            <v>SP</v>
          </cell>
          <cell r="I868" t="str">
            <v>North America</v>
          </cell>
          <cell r="J868" t="str">
            <v>USA</v>
          </cell>
          <cell r="K868">
            <v>35246</v>
          </cell>
        </row>
        <row r="869">
          <cell r="A869" t="str">
            <v>In service</v>
          </cell>
          <cell r="B869" t="str">
            <v>Gulfstream Aerospace Gulfstream IV</v>
          </cell>
          <cell r="C869" t="str">
            <v>SP</v>
          </cell>
          <cell r="D869">
            <v>1997</v>
          </cell>
          <cell r="E869" t="str">
            <v>Owens-Illinois Inc</v>
          </cell>
          <cell r="F869">
            <v>7</v>
          </cell>
          <cell r="G869">
            <v>35794</v>
          </cell>
          <cell r="H869" t="str">
            <v>SP</v>
          </cell>
          <cell r="I869" t="str">
            <v>North America</v>
          </cell>
          <cell r="J869" t="str">
            <v>USA</v>
          </cell>
          <cell r="K869">
            <v>35246</v>
          </cell>
        </row>
        <row r="870">
          <cell r="A870" t="str">
            <v>In service</v>
          </cell>
          <cell r="B870" t="str">
            <v>Gulfstream Aerospace Gulfstream IV</v>
          </cell>
          <cell r="C870" t="str">
            <v>SP</v>
          </cell>
          <cell r="D870">
            <v>1997</v>
          </cell>
          <cell r="E870" t="str">
            <v>Netjets International</v>
          </cell>
          <cell r="F870">
            <v>7</v>
          </cell>
          <cell r="G870">
            <v>35782</v>
          </cell>
          <cell r="H870" t="str">
            <v>SP</v>
          </cell>
          <cell r="I870" t="str">
            <v>North America</v>
          </cell>
          <cell r="J870" t="str">
            <v>USA</v>
          </cell>
          <cell r="K870">
            <v>35311</v>
          </cell>
        </row>
        <row r="871">
          <cell r="A871" t="str">
            <v>In service</v>
          </cell>
          <cell r="B871" t="str">
            <v>Gulfstream Aerospace Gulfstream IV</v>
          </cell>
          <cell r="C871" t="str">
            <v>SP</v>
          </cell>
          <cell r="D871">
            <v>1997</v>
          </cell>
          <cell r="E871" t="str">
            <v>Jet Club Ltd Bermuda</v>
          </cell>
          <cell r="F871">
            <v>7</v>
          </cell>
          <cell r="G871">
            <v>35832</v>
          </cell>
          <cell r="H871" t="str">
            <v>SP</v>
          </cell>
          <cell r="I871" t="str">
            <v>Latin America and Caribbean</v>
          </cell>
          <cell r="J871" t="str">
            <v>Bermuda</v>
          </cell>
          <cell r="K871">
            <v>35246</v>
          </cell>
        </row>
        <row r="872">
          <cell r="A872" t="str">
            <v>In service</v>
          </cell>
          <cell r="B872" t="str">
            <v>Gulfstream Aerospace Gulfstream IV</v>
          </cell>
          <cell r="C872" t="str">
            <v>SP</v>
          </cell>
          <cell r="D872">
            <v>1997</v>
          </cell>
          <cell r="E872" t="str">
            <v>Lucent Technologies Inc</v>
          </cell>
          <cell r="F872">
            <v>7</v>
          </cell>
          <cell r="G872">
            <v>35807</v>
          </cell>
          <cell r="H872" t="str">
            <v>SP</v>
          </cell>
          <cell r="I872" t="str">
            <v>North America</v>
          </cell>
          <cell r="J872" t="str">
            <v>USA</v>
          </cell>
          <cell r="K872">
            <v>35246</v>
          </cell>
        </row>
        <row r="873">
          <cell r="A873" t="str">
            <v>In service</v>
          </cell>
          <cell r="B873" t="str">
            <v>Gulfstream Aerospace Gulfstream IV</v>
          </cell>
          <cell r="C873" t="str">
            <v>SP</v>
          </cell>
          <cell r="D873">
            <v>1997</v>
          </cell>
          <cell r="E873" t="str">
            <v>United States Automobile Assoc</v>
          </cell>
          <cell r="F873">
            <v>7</v>
          </cell>
          <cell r="G873">
            <v>35793</v>
          </cell>
          <cell r="H873" t="str">
            <v>SP</v>
          </cell>
          <cell r="I873" t="str">
            <v>North America</v>
          </cell>
          <cell r="J873" t="str">
            <v>USA</v>
          </cell>
          <cell r="K873">
            <v>35246</v>
          </cell>
        </row>
        <row r="874">
          <cell r="A874" t="str">
            <v>In service</v>
          </cell>
          <cell r="B874" t="str">
            <v>Gulfstream Aerospace Gulfstream IV</v>
          </cell>
          <cell r="C874" t="str">
            <v>SP</v>
          </cell>
          <cell r="D874">
            <v>1997</v>
          </cell>
          <cell r="E874" t="str">
            <v>Oaktree Capital Management Inc</v>
          </cell>
          <cell r="F874">
            <v>7</v>
          </cell>
          <cell r="G874">
            <v>35783</v>
          </cell>
          <cell r="H874" t="str">
            <v>SP</v>
          </cell>
          <cell r="I874" t="str">
            <v>North America</v>
          </cell>
          <cell r="J874" t="str">
            <v>USA</v>
          </cell>
          <cell r="K874">
            <v>35246</v>
          </cell>
        </row>
        <row r="875">
          <cell r="A875" t="str">
            <v>In service</v>
          </cell>
          <cell r="B875" t="str">
            <v>Gulfstream Aerospace Gulfstream IV</v>
          </cell>
          <cell r="C875" t="str">
            <v>SP</v>
          </cell>
          <cell r="D875">
            <v>1997</v>
          </cell>
          <cell r="E875" t="str">
            <v>Netjets International</v>
          </cell>
          <cell r="F875">
            <v>7</v>
          </cell>
          <cell r="G875">
            <v>35794</v>
          </cell>
          <cell r="H875" t="str">
            <v>SP</v>
          </cell>
          <cell r="I875" t="str">
            <v>North America</v>
          </cell>
          <cell r="J875" t="str">
            <v>USA</v>
          </cell>
          <cell r="K875">
            <v>35311</v>
          </cell>
        </row>
        <row r="876">
          <cell r="A876" t="str">
            <v>In service</v>
          </cell>
          <cell r="B876" t="str">
            <v>Gulfstream Aerospace Gulfstream IV</v>
          </cell>
          <cell r="C876" t="str">
            <v>SP</v>
          </cell>
          <cell r="D876">
            <v>1997</v>
          </cell>
          <cell r="E876" t="str">
            <v>Perry Capital LLC</v>
          </cell>
          <cell r="F876">
            <v>7</v>
          </cell>
          <cell r="G876">
            <v>35821</v>
          </cell>
          <cell r="H876" t="str">
            <v>SP</v>
          </cell>
          <cell r="I876" t="str">
            <v>North America</v>
          </cell>
          <cell r="J876" t="str">
            <v>USA</v>
          </cell>
          <cell r="K876">
            <v>35246</v>
          </cell>
        </row>
        <row r="877">
          <cell r="A877" t="str">
            <v>In service</v>
          </cell>
          <cell r="B877" t="str">
            <v>Gulfstream Aerospace Gulfstream IV</v>
          </cell>
          <cell r="C877" t="str">
            <v>SP</v>
          </cell>
          <cell r="D877">
            <v>1998</v>
          </cell>
          <cell r="E877" t="str">
            <v>Chevron USA Inc</v>
          </cell>
          <cell r="F877">
            <v>6</v>
          </cell>
          <cell r="G877">
            <v>35991</v>
          </cell>
          <cell r="H877" t="str">
            <v>SP</v>
          </cell>
          <cell r="I877" t="str">
            <v>North America</v>
          </cell>
          <cell r="J877" t="str">
            <v>USA</v>
          </cell>
          <cell r="K877">
            <v>35246</v>
          </cell>
        </row>
        <row r="878">
          <cell r="A878" t="str">
            <v>In service</v>
          </cell>
          <cell r="B878" t="str">
            <v>Gulfstream Aerospace Gulfstream IV</v>
          </cell>
          <cell r="C878" t="str">
            <v>SP</v>
          </cell>
          <cell r="D878">
            <v>1998</v>
          </cell>
          <cell r="E878" t="str">
            <v>Symax Air LLC</v>
          </cell>
          <cell r="F878">
            <v>6</v>
          </cell>
          <cell r="G878">
            <v>35885</v>
          </cell>
          <cell r="H878" t="str">
            <v>SP</v>
          </cell>
          <cell r="I878" t="str">
            <v>North America</v>
          </cell>
          <cell r="J878" t="str">
            <v>USA</v>
          </cell>
          <cell r="K878">
            <v>35246</v>
          </cell>
        </row>
        <row r="879">
          <cell r="A879" t="str">
            <v>In service</v>
          </cell>
          <cell r="B879" t="str">
            <v>Gulfstream Aerospace Gulfstream IV</v>
          </cell>
          <cell r="C879" t="str">
            <v>SP</v>
          </cell>
          <cell r="D879">
            <v>1998</v>
          </cell>
          <cell r="E879" t="str">
            <v>New World Jet Corp</v>
          </cell>
          <cell r="F879">
            <v>6</v>
          </cell>
          <cell r="G879">
            <v>35989</v>
          </cell>
          <cell r="H879" t="str">
            <v>SP</v>
          </cell>
          <cell r="I879" t="str">
            <v>North America</v>
          </cell>
          <cell r="J879" t="str">
            <v>USA</v>
          </cell>
          <cell r="K879">
            <v>35246</v>
          </cell>
        </row>
        <row r="880">
          <cell r="A880" t="str">
            <v>In service</v>
          </cell>
          <cell r="B880" t="str">
            <v>Gulfstream Aerospace Gulfstream IV</v>
          </cell>
          <cell r="C880" t="str">
            <v>SP</v>
          </cell>
          <cell r="D880">
            <v>1998</v>
          </cell>
          <cell r="E880" t="str">
            <v>Netjets International</v>
          </cell>
          <cell r="F880">
            <v>6</v>
          </cell>
          <cell r="G880">
            <v>35964</v>
          </cell>
          <cell r="H880" t="str">
            <v>SP</v>
          </cell>
          <cell r="I880" t="str">
            <v>North America</v>
          </cell>
          <cell r="J880" t="str">
            <v>USA</v>
          </cell>
          <cell r="K880">
            <v>35311</v>
          </cell>
        </row>
        <row r="881">
          <cell r="A881" t="str">
            <v>In service</v>
          </cell>
          <cell r="B881" t="str">
            <v>Gulfstream Aerospace Gulfstream IV</v>
          </cell>
          <cell r="C881" t="str">
            <v>SP</v>
          </cell>
          <cell r="D881">
            <v>1998</v>
          </cell>
          <cell r="E881" t="str">
            <v>Xamex Investments Inc</v>
          </cell>
          <cell r="F881">
            <v>6</v>
          </cell>
          <cell r="G881">
            <v>35944</v>
          </cell>
          <cell r="H881" t="str">
            <v>SP</v>
          </cell>
          <cell r="I881" t="str">
            <v>North America</v>
          </cell>
          <cell r="J881" t="str">
            <v>USA</v>
          </cell>
          <cell r="K881">
            <v>35246</v>
          </cell>
        </row>
        <row r="882">
          <cell r="A882" t="str">
            <v>In service</v>
          </cell>
          <cell r="B882" t="str">
            <v>Gulfstream Aerospace Gulfstream IV</v>
          </cell>
          <cell r="C882" t="str">
            <v>SP</v>
          </cell>
          <cell r="D882">
            <v>1998</v>
          </cell>
          <cell r="E882" t="str">
            <v>Netjets International</v>
          </cell>
          <cell r="F882">
            <v>6</v>
          </cell>
          <cell r="G882">
            <v>36013</v>
          </cell>
          <cell r="H882" t="str">
            <v>SP</v>
          </cell>
          <cell r="I882" t="str">
            <v>North America</v>
          </cell>
          <cell r="J882" t="str">
            <v>USA</v>
          </cell>
          <cell r="K882">
            <v>35311</v>
          </cell>
        </row>
        <row r="883">
          <cell r="A883" t="str">
            <v>In service</v>
          </cell>
          <cell r="B883" t="str">
            <v>Gulfstream Aerospace Gulfstream IV</v>
          </cell>
          <cell r="C883" t="str">
            <v>SP</v>
          </cell>
          <cell r="D883">
            <v>1997</v>
          </cell>
          <cell r="E883" t="str">
            <v>Aeropuerto Argentina 200</v>
          </cell>
          <cell r="F883">
            <v>7</v>
          </cell>
          <cell r="G883">
            <v>35794</v>
          </cell>
          <cell r="H883" t="str">
            <v>SP</v>
          </cell>
          <cell r="I883" t="str">
            <v>Latin America and Caribbean</v>
          </cell>
          <cell r="J883" t="str">
            <v>Argentina</v>
          </cell>
          <cell r="K883">
            <v>35611</v>
          </cell>
        </row>
        <row r="884">
          <cell r="A884" t="str">
            <v>In service</v>
          </cell>
          <cell r="B884" t="str">
            <v>Gulfstream Aerospace Gulfstream IV</v>
          </cell>
          <cell r="C884" t="str">
            <v>SP</v>
          </cell>
          <cell r="D884">
            <v>1998</v>
          </cell>
          <cell r="E884" t="str">
            <v>Government of Gabon</v>
          </cell>
          <cell r="F884">
            <v>6</v>
          </cell>
          <cell r="G884">
            <v>36114</v>
          </cell>
          <cell r="H884" t="str">
            <v>SP</v>
          </cell>
          <cell r="I884" t="str">
            <v>Africa</v>
          </cell>
          <cell r="J884" t="str">
            <v>Gabon</v>
          </cell>
          <cell r="K884">
            <v>35976</v>
          </cell>
        </row>
        <row r="885">
          <cell r="A885" t="str">
            <v>In service</v>
          </cell>
          <cell r="B885" t="str">
            <v>Gulfstream Aerospace Gulfstream IV</v>
          </cell>
          <cell r="C885" t="str">
            <v>SP</v>
          </cell>
          <cell r="D885">
            <v>1998</v>
          </cell>
          <cell r="E885" t="str">
            <v>Netjets International</v>
          </cell>
          <cell r="F885">
            <v>6</v>
          </cell>
          <cell r="G885">
            <v>36056</v>
          </cell>
          <cell r="H885" t="str">
            <v>SP</v>
          </cell>
          <cell r="I885" t="str">
            <v>North America</v>
          </cell>
          <cell r="J885" t="str">
            <v>USA</v>
          </cell>
          <cell r="K885">
            <v>35311</v>
          </cell>
        </row>
        <row r="886">
          <cell r="A886" t="str">
            <v>In service</v>
          </cell>
          <cell r="B886" t="str">
            <v>Gulfstream Aerospace Gulfstream IV</v>
          </cell>
          <cell r="C886" t="str">
            <v>SP</v>
          </cell>
          <cell r="D886">
            <v>1998</v>
          </cell>
          <cell r="E886" t="str">
            <v>Government of Egypt</v>
          </cell>
          <cell r="F886">
            <v>6</v>
          </cell>
          <cell r="G886">
            <v>36114</v>
          </cell>
          <cell r="H886" t="str">
            <v>SP</v>
          </cell>
          <cell r="I886" t="str">
            <v>Africa</v>
          </cell>
          <cell r="J886" t="str">
            <v>Egypt</v>
          </cell>
          <cell r="K886">
            <v>35976</v>
          </cell>
        </row>
        <row r="887">
          <cell r="A887" t="str">
            <v>In service</v>
          </cell>
          <cell r="B887" t="str">
            <v>Gulfstream Aerospace Gulfstream IV</v>
          </cell>
          <cell r="C887" t="str">
            <v>SP</v>
          </cell>
          <cell r="D887">
            <v>1998</v>
          </cell>
          <cell r="E887" t="str">
            <v>Johnson &amp; Johnson</v>
          </cell>
          <cell r="F887">
            <v>6</v>
          </cell>
          <cell r="G887">
            <v>36080</v>
          </cell>
          <cell r="H887" t="str">
            <v>SP</v>
          </cell>
          <cell r="I887" t="str">
            <v>North America</v>
          </cell>
          <cell r="J887" t="str">
            <v>USA</v>
          </cell>
          <cell r="K887">
            <v>35611</v>
          </cell>
        </row>
        <row r="888">
          <cell r="A888" t="str">
            <v>In service</v>
          </cell>
          <cell r="B888" t="str">
            <v>Gulfstream Aerospace Gulfstream IV</v>
          </cell>
          <cell r="C888" t="str">
            <v>SP</v>
          </cell>
          <cell r="D888">
            <v>1998</v>
          </cell>
          <cell r="E888" t="str">
            <v>General Dynamics Corp</v>
          </cell>
          <cell r="F888">
            <v>6</v>
          </cell>
          <cell r="G888">
            <v>36133</v>
          </cell>
          <cell r="H888" t="str">
            <v>SP</v>
          </cell>
          <cell r="I888" t="str">
            <v>North America</v>
          </cell>
          <cell r="J888" t="str">
            <v>USA</v>
          </cell>
          <cell r="K888">
            <v>35611</v>
          </cell>
        </row>
        <row r="889">
          <cell r="A889" t="str">
            <v>In service</v>
          </cell>
          <cell r="B889" t="str">
            <v>Gulfstream Aerospace Gulfstream IV</v>
          </cell>
          <cell r="C889" t="str">
            <v>SP</v>
          </cell>
          <cell r="D889">
            <v>1998</v>
          </cell>
          <cell r="E889" t="str">
            <v>Government of Egypt</v>
          </cell>
          <cell r="F889">
            <v>6</v>
          </cell>
          <cell r="G889">
            <v>36144</v>
          </cell>
          <cell r="H889" t="str">
            <v>SP</v>
          </cell>
          <cell r="I889" t="str">
            <v>Africa</v>
          </cell>
          <cell r="J889" t="str">
            <v>Egypt</v>
          </cell>
          <cell r="K889">
            <v>35976</v>
          </cell>
        </row>
        <row r="890">
          <cell r="A890" t="str">
            <v>In service</v>
          </cell>
          <cell r="B890" t="str">
            <v>Gulfstream Aerospace Gulfstream IV</v>
          </cell>
          <cell r="C890" t="str">
            <v>SP</v>
          </cell>
          <cell r="D890">
            <v>1998</v>
          </cell>
          <cell r="E890" t="str">
            <v>Johnson &amp; Johnson</v>
          </cell>
          <cell r="F890">
            <v>6</v>
          </cell>
          <cell r="G890">
            <v>36123</v>
          </cell>
          <cell r="H890" t="str">
            <v>SP</v>
          </cell>
          <cell r="I890" t="str">
            <v>North America</v>
          </cell>
          <cell r="J890" t="str">
            <v>USA</v>
          </cell>
          <cell r="K890">
            <v>35611</v>
          </cell>
        </row>
        <row r="891">
          <cell r="A891" t="str">
            <v>In service</v>
          </cell>
          <cell r="B891" t="str">
            <v>Gulfstream Aerospace Gulfstream IV</v>
          </cell>
          <cell r="C891" t="str">
            <v>SP</v>
          </cell>
          <cell r="D891">
            <v>1998</v>
          </cell>
          <cell r="E891" t="str">
            <v>J W Childs Associates Inc</v>
          </cell>
          <cell r="F891">
            <v>6</v>
          </cell>
          <cell r="G891">
            <v>36123</v>
          </cell>
          <cell r="H891" t="str">
            <v>SP</v>
          </cell>
          <cell r="I891" t="str">
            <v>North America</v>
          </cell>
          <cell r="J891" t="str">
            <v>USA</v>
          </cell>
          <cell r="K891">
            <v>35521</v>
          </cell>
        </row>
        <row r="892">
          <cell r="A892" t="str">
            <v>In service</v>
          </cell>
          <cell r="B892" t="str">
            <v>Gulfstream Aerospace Gulfstream IV</v>
          </cell>
          <cell r="C892" t="str">
            <v>SP</v>
          </cell>
          <cell r="D892">
            <v>1998</v>
          </cell>
          <cell r="E892" t="str">
            <v>Astor Street Asset Management Inc</v>
          </cell>
          <cell r="F892">
            <v>6</v>
          </cell>
          <cell r="G892">
            <v>36151</v>
          </cell>
          <cell r="H892" t="str">
            <v>SP</v>
          </cell>
          <cell r="I892" t="str">
            <v>North America</v>
          </cell>
          <cell r="J892" t="str">
            <v>USA</v>
          </cell>
          <cell r="K892">
            <v>35611</v>
          </cell>
        </row>
        <row r="893">
          <cell r="A893" t="str">
            <v>In service</v>
          </cell>
          <cell r="B893" t="str">
            <v>Gulfstream Aerospace Gulfstream IV</v>
          </cell>
          <cell r="C893" t="str">
            <v>SP</v>
          </cell>
          <cell r="D893">
            <v>1998</v>
          </cell>
          <cell r="E893" t="str">
            <v>The Air Group Inc</v>
          </cell>
          <cell r="F893">
            <v>6</v>
          </cell>
          <cell r="G893">
            <v>36339</v>
          </cell>
          <cell r="H893" t="str">
            <v>SP</v>
          </cell>
          <cell r="I893" t="str">
            <v>North America</v>
          </cell>
          <cell r="J893" t="str">
            <v>USA</v>
          </cell>
          <cell r="K893">
            <v>35976</v>
          </cell>
        </row>
        <row r="894">
          <cell r="A894" t="str">
            <v>In service</v>
          </cell>
          <cell r="B894" t="str">
            <v>Gulfstream Aerospace Gulfstream IV</v>
          </cell>
          <cell r="C894" t="str">
            <v>SP</v>
          </cell>
          <cell r="D894">
            <v>1999</v>
          </cell>
          <cell r="E894" t="str">
            <v>Michael J Kittredge</v>
          </cell>
          <cell r="F894">
            <v>5</v>
          </cell>
          <cell r="G894">
            <v>36215</v>
          </cell>
          <cell r="H894" t="str">
            <v>SP</v>
          </cell>
          <cell r="I894" t="str">
            <v>North America</v>
          </cell>
          <cell r="J894" t="str">
            <v>USA</v>
          </cell>
          <cell r="K894">
            <v>35611</v>
          </cell>
        </row>
        <row r="895">
          <cell r="A895" t="str">
            <v>In service</v>
          </cell>
          <cell r="B895" t="str">
            <v>Gulfstream Aerospace Gulfstream IV</v>
          </cell>
          <cell r="C895" t="str">
            <v>SP</v>
          </cell>
          <cell r="D895">
            <v>1999</v>
          </cell>
          <cell r="E895" t="str">
            <v>LHF Holdings LLC</v>
          </cell>
          <cell r="F895">
            <v>5</v>
          </cell>
          <cell r="G895">
            <v>36210</v>
          </cell>
          <cell r="H895" t="str">
            <v>SP</v>
          </cell>
          <cell r="I895" t="str">
            <v>North America</v>
          </cell>
          <cell r="J895" t="str">
            <v>USA</v>
          </cell>
          <cell r="K895">
            <v>35611</v>
          </cell>
        </row>
        <row r="896">
          <cell r="A896" t="str">
            <v>In service</v>
          </cell>
          <cell r="B896" t="str">
            <v>Gulfstream Aerospace Gulfstream IV</v>
          </cell>
          <cell r="C896" t="str">
            <v>SP</v>
          </cell>
          <cell r="D896">
            <v>1998</v>
          </cell>
          <cell r="E896" t="str">
            <v>TAL Leasing Co LLC</v>
          </cell>
          <cell r="F896">
            <v>6</v>
          </cell>
          <cell r="G896">
            <v>36158</v>
          </cell>
          <cell r="H896" t="str">
            <v>SP</v>
          </cell>
          <cell r="I896" t="str">
            <v>North America</v>
          </cell>
          <cell r="J896" t="str">
            <v>USA</v>
          </cell>
          <cell r="K896">
            <v>35611</v>
          </cell>
        </row>
        <row r="897">
          <cell r="A897" t="str">
            <v>In service</v>
          </cell>
          <cell r="B897" t="str">
            <v>Gulfstream Aerospace Gulfstream IV</v>
          </cell>
          <cell r="C897" t="str">
            <v>SP</v>
          </cell>
          <cell r="D897">
            <v>1999</v>
          </cell>
          <cell r="E897" t="str">
            <v>Abbott Laboratories Inc</v>
          </cell>
          <cell r="F897">
            <v>5</v>
          </cell>
          <cell r="G897">
            <v>36221</v>
          </cell>
          <cell r="H897" t="str">
            <v>SP</v>
          </cell>
          <cell r="I897" t="str">
            <v>North America</v>
          </cell>
          <cell r="J897" t="str">
            <v>USA</v>
          </cell>
          <cell r="K897">
            <v>35611</v>
          </cell>
        </row>
        <row r="898">
          <cell r="A898" t="str">
            <v>In service</v>
          </cell>
          <cell r="B898" t="str">
            <v>Gulfstream Aerospace Gulfstream IV</v>
          </cell>
          <cell r="C898" t="str">
            <v>SP</v>
          </cell>
          <cell r="D898">
            <v>1998</v>
          </cell>
          <cell r="E898" t="str">
            <v>Netjets International</v>
          </cell>
          <cell r="F898">
            <v>6</v>
          </cell>
          <cell r="G898">
            <v>36152</v>
          </cell>
          <cell r="H898" t="str">
            <v>SP</v>
          </cell>
          <cell r="I898" t="str">
            <v>North America</v>
          </cell>
          <cell r="J898" t="str">
            <v>USA</v>
          </cell>
          <cell r="K898">
            <v>35521</v>
          </cell>
        </row>
        <row r="899">
          <cell r="A899" t="str">
            <v>In service</v>
          </cell>
          <cell r="B899" t="str">
            <v>Gulfstream Aerospace Gulfstream IV</v>
          </cell>
          <cell r="C899" t="str">
            <v>SP</v>
          </cell>
          <cell r="D899">
            <v>1998</v>
          </cell>
          <cell r="E899" t="str">
            <v>Avjet Corp</v>
          </cell>
          <cell r="F899">
            <v>6</v>
          </cell>
          <cell r="G899">
            <v>36000</v>
          </cell>
          <cell r="H899" t="str">
            <v>SP</v>
          </cell>
          <cell r="I899" t="str">
            <v>North America</v>
          </cell>
          <cell r="J899" t="str">
            <v>USA</v>
          </cell>
          <cell r="K899">
            <v>35611</v>
          </cell>
        </row>
        <row r="900">
          <cell r="A900" t="str">
            <v>In service</v>
          </cell>
          <cell r="B900" t="str">
            <v>Gulfstream Aerospace Gulfstream IV</v>
          </cell>
          <cell r="C900" t="str">
            <v>SP</v>
          </cell>
          <cell r="D900">
            <v>1999</v>
          </cell>
          <cell r="E900" t="str">
            <v>SS Platinum Limited Liabilty Co</v>
          </cell>
          <cell r="F900">
            <v>5</v>
          </cell>
          <cell r="G900">
            <v>36339</v>
          </cell>
          <cell r="H900" t="str">
            <v>SP</v>
          </cell>
          <cell r="I900" t="str">
            <v>North America</v>
          </cell>
          <cell r="J900" t="str">
            <v>USA</v>
          </cell>
          <cell r="K900">
            <v>35611</v>
          </cell>
        </row>
        <row r="901">
          <cell r="A901" t="str">
            <v>In service</v>
          </cell>
          <cell r="B901" t="str">
            <v>Gulfstream Aerospace Gulfstream IV</v>
          </cell>
          <cell r="C901" t="str">
            <v>SP</v>
          </cell>
          <cell r="D901">
            <v>1999</v>
          </cell>
          <cell r="E901" t="str">
            <v>Eighteen LLC</v>
          </cell>
          <cell r="F901">
            <v>5</v>
          </cell>
          <cell r="G901">
            <v>36390</v>
          </cell>
          <cell r="H901" t="str">
            <v>SP</v>
          </cell>
          <cell r="I901" t="str">
            <v>Latin America and Caribbean</v>
          </cell>
          <cell r="J901" t="str">
            <v>Bermuda</v>
          </cell>
          <cell r="K901">
            <v>35611</v>
          </cell>
        </row>
        <row r="902">
          <cell r="A902" t="str">
            <v>In service</v>
          </cell>
          <cell r="B902" t="str">
            <v>Gulfstream Aerospace Gulfstream IV</v>
          </cell>
          <cell r="C902" t="str">
            <v>SP</v>
          </cell>
          <cell r="D902">
            <v>1999</v>
          </cell>
          <cell r="E902" t="str">
            <v>Seminole Tribe of Florida</v>
          </cell>
          <cell r="F902">
            <v>5</v>
          </cell>
          <cell r="G902">
            <v>36342</v>
          </cell>
          <cell r="H902" t="str">
            <v>SP</v>
          </cell>
          <cell r="I902" t="str">
            <v>North America</v>
          </cell>
          <cell r="J902" t="str">
            <v>USA</v>
          </cell>
          <cell r="K902">
            <v>35976</v>
          </cell>
        </row>
        <row r="903">
          <cell r="A903" t="str">
            <v>In service</v>
          </cell>
          <cell r="B903" t="str">
            <v>Gulfstream Aerospace Gulfstream IV</v>
          </cell>
          <cell r="C903" t="str">
            <v>SP</v>
          </cell>
          <cell r="D903">
            <v>1998</v>
          </cell>
          <cell r="E903" t="str">
            <v>Greenapp Aviation Ltd</v>
          </cell>
          <cell r="F903">
            <v>6</v>
          </cell>
          <cell r="G903">
            <v>36048</v>
          </cell>
          <cell r="H903" t="str">
            <v>SP</v>
          </cell>
          <cell r="I903" t="str">
            <v>Unknown area</v>
          </cell>
          <cell r="J903" t="str">
            <v>Unknown Country</v>
          </cell>
          <cell r="K903">
            <v>35611</v>
          </cell>
        </row>
        <row r="904">
          <cell r="A904" t="str">
            <v>In service</v>
          </cell>
          <cell r="B904" t="str">
            <v>Gulfstream Aerospace Gulfstream IV</v>
          </cell>
          <cell r="C904" t="str">
            <v>SP</v>
          </cell>
          <cell r="D904">
            <v>1998</v>
          </cell>
          <cell r="E904" t="str">
            <v>Coanda Inc</v>
          </cell>
          <cell r="F904">
            <v>6</v>
          </cell>
          <cell r="G904">
            <v>36073</v>
          </cell>
          <cell r="H904" t="str">
            <v>SP</v>
          </cell>
          <cell r="I904" t="str">
            <v>North America</v>
          </cell>
          <cell r="J904" t="str">
            <v>USA</v>
          </cell>
          <cell r="K904">
            <v>35611</v>
          </cell>
        </row>
        <row r="905">
          <cell r="A905" t="str">
            <v>In service</v>
          </cell>
          <cell r="B905" t="str">
            <v>Gulfstream Aerospace Gulfstream IV</v>
          </cell>
          <cell r="C905" t="str">
            <v>SP</v>
          </cell>
          <cell r="D905">
            <v>1999</v>
          </cell>
          <cell r="E905" t="str">
            <v>United States Steel Corp</v>
          </cell>
          <cell r="F905">
            <v>5</v>
          </cell>
          <cell r="G905">
            <v>36495</v>
          </cell>
          <cell r="H905" t="str">
            <v>SP</v>
          </cell>
          <cell r="I905" t="str">
            <v>North America</v>
          </cell>
          <cell r="J905" t="str">
            <v>USA</v>
          </cell>
          <cell r="K905">
            <v>35976</v>
          </cell>
        </row>
        <row r="906">
          <cell r="A906" t="str">
            <v>In service</v>
          </cell>
          <cell r="B906" t="str">
            <v>Gulfstream Aerospace Gulfstream IV</v>
          </cell>
          <cell r="C906" t="str">
            <v>SP</v>
          </cell>
          <cell r="D906">
            <v>1999</v>
          </cell>
          <cell r="E906" t="str">
            <v>OM Group Inc</v>
          </cell>
          <cell r="F906">
            <v>5</v>
          </cell>
          <cell r="G906">
            <v>36461</v>
          </cell>
          <cell r="H906" t="str">
            <v>SP</v>
          </cell>
          <cell r="I906" t="str">
            <v>North America</v>
          </cell>
          <cell r="J906" t="str">
            <v>USA</v>
          </cell>
          <cell r="K906">
            <v>35869</v>
          </cell>
        </row>
        <row r="907">
          <cell r="A907" t="str">
            <v>In service</v>
          </cell>
          <cell r="B907" t="str">
            <v>Gulfstream Aerospace Gulfstream IV</v>
          </cell>
          <cell r="C907" t="str">
            <v>SP</v>
          </cell>
          <cell r="D907">
            <v>1998</v>
          </cell>
          <cell r="E907" t="str">
            <v>Unisys Corp</v>
          </cell>
          <cell r="F907">
            <v>6</v>
          </cell>
          <cell r="G907">
            <v>36144</v>
          </cell>
          <cell r="H907" t="str">
            <v>SP</v>
          </cell>
          <cell r="I907" t="str">
            <v>North America</v>
          </cell>
          <cell r="J907" t="str">
            <v>USA</v>
          </cell>
          <cell r="K907">
            <v>35611</v>
          </cell>
        </row>
        <row r="908">
          <cell r="A908" t="str">
            <v>In service</v>
          </cell>
          <cell r="B908" t="str">
            <v>Gulfstream Aerospace Gulfstream IV</v>
          </cell>
          <cell r="C908" t="str">
            <v>SP</v>
          </cell>
          <cell r="D908">
            <v>1999</v>
          </cell>
          <cell r="E908" t="str">
            <v>Consortium of Executive Operators</v>
          </cell>
          <cell r="F908">
            <v>5</v>
          </cell>
          <cell r="G908">
            <v>36299</v>
          </cell>
          <cell r="H908" t="str">
            <v>SP</v>
          </cell>
          <cell r="I908" t="str">
            <v>North America</v>
          </cell>
          <cell r="J908" t="str">
            <v>USA</v>
          </cell>
          <cell r="K908">
            <v>35521</v>
          </cell>
        </row>
        <row r="909">
          <cell r="A909" t="str">
            <v>In service</v>
          </cell>
          <cell r="B909" t="str">
            <v>Gulfstream Aerospace Gulfstream IV</v>
          </cell>
          <cell r="C909" t="str">
            <v>SP</v>
          </cell>
          <cell r="D909">
            <v>1999</v>
          </cell>
          <cell r="E909" t="str">
            <v>Netjets International</v>
          </cell>
          <cell r="F909">
            <v>5</v>
          </cell>
          <cell r="G909">
            <v>36249</v>
          </cell>
          <cell r="H909" t="str">
            <v>SP</v>
          </cell>
          <cell r="I909" t="str">
            <v>North America</v>
          </cell>
          <cell r="J909" t="str">
            <v>USA</v>
          </cell>
          <cell r="K909">
            <v>35521</v>
          </cell>
        </row>
        <row r="910">
          <cell r="A910" t="str">
            <v>In service</v>
          </cell>
          <cell r="B910" t="str">
            <v>Gulfstream Aerospace Gulfstream IV</v>
          </cell>
          <cell r="C910" t="str">
            <v>SP</v>
          </cell>
          <cell r="D910">
            <v>1999</v>
          </cell>
          <cell r="E910" t="str">
            <v>Government of Bahrain</v>
          </cell>
          <cell r="F910">
            <v>5</v>
          </cell>
          <cell r="G910">
            <v>36364</v>
          </cell>
          <cell r="H910" t="str">
            <v>SP</v>
          </cell>
          <cell r="I910" t="str">
            <v>Middle East</v>
          </cell>
          <cell r="J910" t="str">
            <v>Bahrain</v>
          </cell>
          <cell r="K910">
            <v>35976</v>
          </cell>
        </row>
        <row r="911">
          <cell r="A911" t="str">
            <v>In service</v>
          </cell>
          <cell r="B911" t="str">
            <v>Gulfstream Aerospace Gulfstream IV</v>
          </cell>
          <cell r="C911" t="str">
            <v>SP</v>
          </cell>
          <cell r="D911">
            <v>1998</v>
          </cell>
          <cell r="E911" t="str">
            <v>Recovery Services International Inc</v>
          </cell>
          <cell r="F911">
            <v>6</v>
          </cell>
          <cell r="G911">
            <v>36139</v>
          </cell>
          <cell r="H911" t="str">
            <v>SP</v>
          </cell>
          <cell r="I911" t="str">
            <v>North America</v>
          </cell>
          <cell r="J911" t="str">
            <v>USA</v>
          </cell>
          <cell r="K911">
            <v>35611</v>
          </cell>
        </row>
        <row r="912">
          <cell r="A912" t="str">
            <v>In service</v>
          </cell>
          <cell r="B912" t="str">
            <v>Gulfstream Aerospace Gulfstream IV</v>
          </cell>
          <cell r="C912" t="str">
            <v>SP</v>
          </cell>
          <cell r="D912">
            <v>1998</v>
          </cell>
          <cell r="E912" t="str">
            <v>Duchossois Industries Inc</v>
          </cell>
          <cell r="F912">
            <v>6</v>
          </cell>
          <cell r="G912">
            <v>36192</v>
          </cell>
          <cell r="H912" t="str">
            <v>SP</v>
          </cell>
          <cell r="I912" t="str">
            <v>North America</v>
          </cell>
          <cell r="J912" t="str">
            <v>USA</v>
          </cell>
          <cell r="K912">
            <v>35976</v>
          </cell>
        </row>
        <row r="913">
          <cell r="A913" t="str">
            <v>In service</v>
          </cell>
          <cell r="B913" t="str">
            <v>Gulfstream Aerospace Gulfstream IV</v>
          </cell>
          <cell r="C913" t="str">
            <v>SP</v>
          </cell>
          <cell r="D913">
            <v>1999</v>
          </cell>
          <cell r="E913" t="str">
            <v>Dominion Resources Inc</v>
          </cell>
          <cell r="F913">
            <v>5</v>
          </cell>
          <cell r="G913">
            <v>36388</v>
          </cell>
          <cell r="H913" t="str">
            <v>SP</v>
          </cell>
          <cell r="I913" t="str">
            <v>North America</v>
          </cell>
          <cell r="J913" t="str">
            <v>USA</v>
          </cell>
          <cell r="K913">
            <v>35976</v>
          </cell>
        </row>
        <row r="914">
          <cell r="A914" t="str">
            <v>In service</v>
          </cell>
          <cell r="B914" t="str">
            <v>Gulfstream Aerospace Gulfstream IV</v>
          </cell>
          <cell r="C914" t="str">
            <v>SP</v>
          </cell>
          <cell r="D914">
            <v>1999</v>
          </cell>
          <cell r="E914" t="str">
            <v>K Services Inc</v>
          </cell>
          <cell r="F914">
            <v>5</v>
          </cell>
          <cell r="G914">
            <v>36524</v>
          </cell>
          <cell r="H914" t="str">
            <v>SP</v>
          </cell>
          <cell r="I914" t="str">
            <v>North America</v>
          </cell>
          <cell r="J914" t="str">
            <v>USA</v>
          </cell>
          <cell r="K914">
            <v>35976</v>
          </cell>
        </row>
        <row r="915">
          <cell r="A915" t="str">
            <v>In service</v>
          </cell>
          <cell r="B915" t="str">
            <v>Gulfstream Aerospace Gulfstream IV</v>
          </cell>
          <cell r="C915" t="str">
            <v>SP</v>
          </cell>
          <cell r="D915">
            <v>1999</v>
          </cell>
          <cell r="E915" t="str">
            <v>Chevron USA Inc</v>
          </cell>
          <cell r="F915">
            <v>5</v>
          </cell>
          <cell r="G915">
            <v>36516</v>
          </cell>
          <cell r="H915" t="str">
            <v>SP</v>
          </cell>
          <cell r="I915" t="str">
            <v>North America</v>
          </cell>
          <cell r="J915" t="str">
            <v>USA</v>
          </cell>
          <cell r="K915">
            <v>35246</v>
          </cell>
        </row>
        <row r="916">
          <cell r="A916" t="str">
            <v>In service</v>
          </cell>
          <cell r="B916" t="str">
            <v>Gulfstream Aerospace Gulfstream IV</v>
          </cell>
          <cell r="C916" t="str">
            <v>SP</v>
          </cell>
          <cell r="D916">
            <v>1999</v>
          </cell>
          <cell r="E916" t="str">
            <v>Netjets International</v>
          </cell>
          <cell r="F916">
            <v>5</v>
          </cell>
          <cell r="G916">
            <v>36333</v>
          </cell>
          <cell r="H916" t="str">
            <v>SP</v>
          </cell>
          <cell r="I916" t="str">
            <v>North America</v>
          </cell>
          <cell r="J916" t="str">
            <v>USA</v>
          </cell>
          <cell r="K916">
            <v>35521</v>
          </cell>
        </row>
        <row r="917">
          <cell r="A917" t="str">
            <v>In service</v>
          </cell>
          <cell r="B917" t="str">
            <v>Gulfstream Aerospace Gulfstream IV</v>
          </cell>
          <cell r="C917" t="str">
            <v>SP</v>
          </cell>
          <cell r="D917">
            <v>1999</v>
          </cell>
          <cell r="E917" t="str">
            <v>Campbell Sales Co</v>
          </cell>
          <cell r="F917">
            <v>5</v>
          </cell>
          <cell r="G917">
            <v>36364</v>
          </cell>
          <cell r="H917" t="str">
            <v>SP</v>
          </cell>
          <cell r="I917" t="str">
            <v>North America</v>
          </cell>
          <cell r="J917" t="str">
            <v>USA</v>
          </cell>
          <cell r="K917">
            <v>35976</v>
          </cell>
        </row>
        <row r="918">
          <cell r="A918" t="str">
            <v>In service</v>
          </cell>
          <cell r="B918" t="str">
            <v>Gulfstream Aerospace Gulfstream IV</v>
          </cell>
          <cell r="C918" t="str">
            <v>SP</v>
          </cell>
          <cell r="D918">
            <v>2000</v>
          </cell>
          <cell r="E918" t="str">
            <v>Air National Corporate</v>
          </cell>
          <cell r="F918">
            <v>4</v>
          </cell>
          <cell r="G918">
            <v>36643</v>
          </cell>
          <cell r="H918" t="str">
            <v>SP</v>
          </cell>
          <cell r="I918" t="str">
            <v>Australasia</v>
          </cell>
          <cell r="J918" t="str">
            <v>New Zealand</v>
          </cell>
          <cell r="K918">
            <v>35976</v>
          </cell>
        </row>
        <row r="919">
          <cell r="A919" t="str">
            <v>In service</v>
          </cell>
          <cell r="B919" t="str">
            <v>Gulfstream Aerospace Gulfstream IV</v>
          </cell>
          <cell r="C919" t="str">
            <v>SP</v>
          </cell>
          <cell r="D919">
            <v>1999</v>
          </cell>
          <cell r="E919" t="str">
            <v>Centex Service Co</v>
          </cell>
          <cell r="F919">
            <v>5</v>
          </cell>
          <cell r="G919">
            <v>36370</v>
          </cell>
          <cell r="H919" t="str">
            <v>SP</v>
          </cell>
          <cell r="I919" t="str">
            <v>North America</v>
          </cell>
          <cell r="J919" t="str">
            <v>USA</v>
          </cell>
          <cell r="K919">
            <v>35521</v>
          </cell>
        </row>
        <row r="920">
          <cell r="A920" t="str">
            <v>In service</v>
          </cell>
          <cell r="B920" t="str">
            <v>Gulfstream Aerospace Gulfstream IV</v>
          </cell>
          <cell r="C920" t="str">
            <v>SP</v>
          </cell>
          <cell r="D920">
            <v>2000</v>
          </cell>
          <cell r="E920" t="str">
            <v>Spectacor Inc &amp; Kalco Corp</v>
          </cell>
          <cell r="F920">
            <v>4</v>
          </cell>
          <cell r="G920">
            <v>36615</v>
          </cell>
          <cell r="H920" t="str">
            <v>SP</v>
          </cell>
          <cell r="I920" t="str">
            <v>North America</v>
          </cell>
          <cell r="J920" t="str">
            <v>USA</v>
          </cell>
          <cell r="K920">
            <v>36053</v>
          </cell>
        </row>
        <row r="921">
          <cell r="A921" t="str">
            <v>In service</v>
          </cell>
          <cell r="B921" t="str">
            <v>Gulfstream Aerospace Gulfstream IV</v>
          </cell>
          <cell r="C921" t="str">
            <v>SP</v>
          </cell>
          <cell r="D921">
            <v>2000</v>
          </cell>
          <cell r="E921" t="str">
            <v>Saudi Aeromedical Evacuation</v>
          </cell>
          <cell r="F921">
            <v>4</v>
          </cell>
          <cell r="G921">
            <v>36666</v>
          </cell>
          <cell r="H921" t="str">
            <v>SP</v>
          </cell>
          <cell r="I921" t="str">
            <v>Middle East</v>
          </cell>
          <cell r="J921" t="str">
            <v>Saudi Arabia</v>
          </cell>
          <cell r="K921">
            <v>36341</v>
          </cell>
        </row>
        <row r="922">
          <cell r="A922" t="str">
            <v>In service</v>
          </cell>
          <cell r="B922" t="str">
            <v>Gulfstream Aerospace Gulfstream IV</v>
          </cell>
          <cell r="C922" t="str">
            <v>SP</v>
          </cell>
          <cell r="D922">
            <v>1999</v>
          </cell>
          <cell r="E922" t="str">
            <v>XTO Energy Inc</v>
          </cell>
          <cell r="F922">
            <v>5</v>
          </cell>
          <cell r="G922">
            <v>36455</v>
          </cell>
          <cell r="H922" t="str">
            <v>SP</v>
          </cell>
          <cell r="I922" t="str">
            <v>North America</v>
          </cell>
          <cell r="J922" t="str">
            <v>USA</v>
          </cell>
          <cell r="K922">
            <v>35976</v>
          </cell>
        </row>
        <row r="923">
          <cell r="A923" t="str">
            <v>In service</v>
          </cell>
          <cell r="B923" t="str">
            <v>Gulfstream Aerospace Gulfstream IV</v>
          </cell>
          <cell r="C923" t="str">
            <v>SP</v>
          </cell>
          <cell r="D923">
            <v>1999</v>
          </cell>
          <cell r="E923" t="str">
            <v>Premiere Radio Networks</v>
          </cell>
          <cell r="F923">
            <v>5</v>
          </cell>
          <cell r="G923">
            <v>36523</v>
          </cell>
          <cell r="H923" t="str">
            <v>SP</v>
          </cell>
          <cell r="I923" t="str">
            <v>North America</v>
          </cell>
          <cell r="J923" t="str">
            <v>USA</v>
          </cell>
          <cell r="K923">
            <v>35869</v>
          </cell>
        </row>
        <row r="924">
          <cell r="A924" t="str">
            <v>In service</v>
          </cell>
          <cell r="B924" t="str">
            <v>Gulfstream Aerospace Gulfstream IV</v>
          </cell>
          <cell r="C924" t="str">
            <v>SP</v>
          </cell>
          <cell r="D924">
            <v>2000</v>
          </cell>
          <cell r="E924" t="str">
            <v>May Department Stores Co</v>
          </cell>
          <cell r="F924">
            <v>4</v>
          </cell>
          <cell r="G924">
            <v>36685</v>
          </cell>
          <cell r="H924" t="str">
            <v>SP</v>
          </cell>
          <cell r="I924" t="str">
            <v>North America</v>
          </cell>
          <cell r="J924" t="str">
            <v>USA</v>
          </cell>
          <cell r="K924">
            <v>35611</v>
          </cell>
        </row>
        <row r="925">
          <cell r="A925" t="str">
            <v>In service</v>
          </cell>
          <cell r="B925" t="str">
            <v>Gulfstream Aerospace Gulfstream IV</v>
          </cell>
          <cell r="C925" t="str">
            <v>SP</v>
          </cell>
          <cell r="D925">
            <v>1999</v>
          </cell>
          <cell r="E925" t="str">
            <v>Tisma Holdings Inc</v>
          </cell>
          <cell r="F925">
            <v>5</v>
          </cell>
          <cell r="G925">
            <v>36416</v>
          </cell>
          <cell r="H925" t="str">
            <v>SP</v>
          </cell>
          <cell r="I925" t="str">
            <v>North America</v>
          </cell>
          <cell r="J925" t="str">
            <v>USA</v>
          </cell>
          <cell r="K925">
            <v>35521</v>
          </cell>
        </row>
        <row r="926">
          <cell r="A926" t="str">
            <v>In service</v>
          </cell>
          <cell r="B926" t="str">
            <v>Gulfstream Aerospace Gulfstream IV</v>
          </cell>
          <cell r="C926" t="str">
            <v>SP</v>
          </cell>
          <cell r="D926">
            <v>1999</v>
          </cell>
          <cell r="E926" t="str">
            <v>Skyaire Inc</v>
          </cell>
          <cell r="F926">
            <v>5</v>
          </cell>
          <cell r="G926">
            <v>36279</v>
          </cell>
          <cell r="H926" t="str">
            <v>SP</v>
          </cell>
          <cell r="I926" t="str">
            <v>North America</v>
          </cell>
          <cell r="J926" t="str">
            <v>USA</v>
          </cell>
          <cell r="K926">
            <v>35976</v>
          </cell>
        </row>
        <row r="927">
          <cell r="A927" t="str">
            <v>In service</v>
          </cell>
          <cell r="B927" t="str">
            <v>Gulfstream Aerospace Gulfstream IV</v>
          </cell>
          <cell r="C927" t="str">
            <v>SP</v>
          </cell>
          <cell r="D927">
            <v>1999</v>
          </cell>
          <cell r="E927" t="str">
            <v>TAG Aviation USA</v>
          </cell>
          <cell r="F927">
            <v>5</v>
          </cell>
          <cell r="G927">
            <v>36631</v>
          </cell>
          <cell r="H927" t="str">
            <v>SP</v>
          </cell>
          <cell r="I927" t="str">
            <v>North America</v>
          </cell>
          <cell r="J927" t="str">
            <v>USA</v>
          </cell>
          <cell r="K927">
            <v>35976</v>
          </cell>
        </row>
        <row r="928">
          <cell r="A928" t="str">
            <v>In service</v>
          </cell>
          <cell r="B928" t="str">
            <v>Gulfstream Aerospace Gulfstream IV</v>
          </cell>
          <cell r="C928" t="str">
            <v>SP</v>
          </cell>
          <cell r="D928">
            <v>1999</v>
          </cell>
          <cell r="E928" t="str">
            <v>Netjets International</v>
          </cell>
          <cell r="F928">
            <v>5</v>
          </cell>
          <cell r="G928">
            <v>36452</v>
          </cell>
          <cell r="H928" t="str">
            <v>SP</v>
          </cell>
          <cell r="I928" t="str">
            <v>North America</v>
          </cell>
          <cell r="J928" t="str">
            <v>USA</v>
          </cell>
          <cell r="K928">
            <v>35521</v>
          </cell>
        </row>
        <row r="929">
          <cell r="A929" t="str">
            <v>In service</v>
          </cell>
          <cell r="B929" t="str">
            <v>Gulfstream Aerospace Gulfstream IV</v>
          </cell>
          <cell r="C929" t="str">
            <v>SP</v>
          </cell>
          <cell r="D929">
            <v>1999</v>
          </cell>
          <cell r="E929" t="str">
            <v>Platinum Equity LLC</v>
          </cell>
          <cell r="F929">
            <v>5</v>
          </cell>
          <cell r="G929">
            <v>36314</v>
          </cell>
          <cell r="H929" t="str">
            <v>SP</v>
          </cell>
          <cell r="I929" t="str">
            <v>North America</v>
          </cell>
          <cell r="J929" t="str">
            <v>USA</v>
          </cell>
          <cell r="K929">
            <v>35611</v>
          </cell>
        </row>
        <row r="930">
          <cell r="A930" t="str">
            <v>In service</v>
          </cell>
          <cell r="B930" t="str">
            <v>Gulfstream Aerospace Gulfstream IV</v>
          </cell>
          <cell r="C930" t="str">
            <v>SP</v>
          </cell>
          <cell r="D930">
            <v>2000</v>
          </cell>
          <cell r="E930" t="str">
            <v>The Proctor &amp; Gamble Co</v>
          </cell>
          <cell r="F930">
            <v>4</v>
          </cell>
          <cell r="G930">
            <v>36648</v>
          </cell>
          <cell r="H930" t="str">
            <v>SP</v>
          </cell>
          <cell r="I930" t="str">
            <v>North America</v>
          </cell>
          <cell r="J930" t="str">
            <v>USA</v>
          </cell>
          <cell r="K930">
            <v>36341</v>
          </cell>
        </row>
        <row r="931">
          <cell r="A931" t="str">
            <v>In service</v>
          </cell>
          <cell r="B931" t="str">
            <v>Gulfstream Aerospace Gulfstream IV</v>
          </cell>
          <cell r="C931" t="str">
            <v>SP</v>
          </cell>
          <cell r="D931">
            <v>1999</v>
          </cell>
          <cell r="E931" t="str">
            <v>KB Home</v>
          </cell>
          <cell r="F931">
            <v>5</v>
          </cell>
          <cell r="G931">
            <v>36524</v>
          </cell>
          <cell r="H931" t="str">
            <v>SP</v>
          </cell>
          <cell r="I931" t="str">
            <v>North America</v>
          </cell>
          <cell r="J931" t="str">
            <v>USA</v>
          </cell>
          <cell r="K931">
            <v>36045</v>
          </cell>
        </row>
        <row r="932">
          <cell r="A932" t="str">
            <v>In service</v>
          </cell>
          <cell r="B932" t="str">
            <v>Gulfstream Aerospace Gulfstream IV</v>
          </cell>
          <cell r="C932" t="str">
            <v>SP</v>
          </cell>
          <cell r="D932">
            <v>1999</v>
          </cell>
          <cell r="E932" t="str">
            <v>New World Jet Corp</v>
          </cell>
          <cell r="F932">
            <v>5</v>
          </cell>
          <cell r="G932">
            <v>36572</v>
          </cell>
          <cell r="H932" t="str">
            <v>SP</v>
          </cell>
          <cell r="I932" t="str">
            <v>North America</v>
          </cell>
          <cell r="J932" t="str">
            <v>USA</v>
          </cell>
          <cell r="K932">
            <v>35976</v>
          </cell>
        </row>
        <row r="933">
          <cell r="A933" t="str">
            <v>In service</v>
          </cell>
          <cell r="B933" t="str">
            <v>Gulfstream Aerospace Gulfstream IV</v>
          </cell>
          <cell r="C933" t="str">
            <v>SP</v>
          </cell>
          <cell r="D933">
            <v>1999</v>
          </cell>
          <cell r="E933" t="str">
            <v>Netjets International</v>
          </cell>
          <cell r="F933">
            <v>5</v>
          </cell>
          <cell r="G933">
            <v>36486</v>
          </cell>
          <cell r="H933" t="str">
            <v>SP</v>
          </cell>
          <cell r="I933" t="str">
            <v>North America</v>
          </cell>
          <cell r="J933" t="str">
            <v>USA</v>
          </cell>
          <cell r="K933">
            <v>35521</v>
          </cell>
        </row>
        <row r="934">
          <cell r="A934" t="str">
            <v>In service</v>
          </cell>
          <cell r="B934" t="str">
            <v>Gulfstream Aerospace Gulfstream IV</v>
          </cell>
          <cell r="C934" t="str">
            <v>SP</v>
          </cell>
          <cell r="D934">
            <v>2000</v>
          </cell>
          <cell r="E934" t="str">
            <v>The Proctor &amp; Gamble Co</v>
          </cell>
          <cell r="F934">
            <v>4</v>
          </cell>
          <cell r="G934">
            <v>36668</v>
          </cell>
          <cell r="H934" t="str">
            <v>SP</v>
          </cell>
          <cell r="I934" t="str">
            <v>North America</v>
          </cell>
          <cell r="J934" t="str">
            <v>USA</v>
          </cell>
          <cell r="K934">
            <v>36341</v>
          </cell>
        </row>
        <row r="935">
          <cell r="A935" t="str">
            <v>In service</v>
          </cell>
          <cell r="B935" t="str">
            <v>Gulfstream Aerospace Gulfstream IV</v>
          </cell>
          <cell r="C935" t="str">
            <v>SP</v>
          </cell>
          <cell r="D935">
            <v>1999</v>
          </cell>
          <cell r="E935" t="str">
            <v>Penske Jet Inc</v>
          </cell>
          <cell r="F935">
            <v>5</v>
          </cell>
          <cell r="G935">
            <v>36430</v>
          </cell>
          <cell r="H935" t="str">
            <v>SP</v>
          </cell>
          <cell r="I935" t="str">
            <v>North America</v>
          </cell>
          <cell r="J935" t="str">
            <v>USA</v>
          </cell>
          <cell r="K935">
            <v>35976</v>
          </cell>
        </row>
        <row r="936">
          <cell r="A936" t="str">
            <v>In service</v>
          </cell>
          <cell r="B936" t="str">
            <v>Gulfstream Aerospace Gulfstream IV</v>
          </cell>
          <cell r="C936" t="str">
            <v>SP</v>
          </cell>
          <cell r="D936">
            <v>1999</v>
          </cell>
          <cell r="E936" t="str">
            <v>Netjets International</v>
          </cell>
          <cell r="F936">
            <v>5</v>
          </cell>
          <cell r="G936">
            <v>36516</v>
          </cell>
          <cell r="H936" t="str">
            <v>SP</v>
          </cell>
          <cell r="I936" t="str">
            <v>North America</v>
          </cell>
          <cell r="J936" t="str">
            <v>USA</v>
          </cell>
          <cell r="K936">
            <v>35521</v>
          </cell>
        </row>
        <row r="937">
          <cell r="A937" t="str">
            <v>In service</v>
          </cell>
          <cell r="B937" t="str">
            <v>Gulfstream Aerospace Gulfstream IV</v>
          </cell>
          <cell r="C937" t="str">
            <v>SP</v>
          </cell>
          <cell r="D937">
            <v>2000</v>
          </cell>
          <cell r="E937" t="str">
            <v>Rashid Engineering</v>
          </cell>
          <cell r="F937">
            <v>4</v>
          </cell>
          <cell r="G937">
            <v>36790</v>
          </cell>
          <cell r="H937" t="str">
            <v>SP</v>
          </cell>
          <cell r="I937" t="str">
            <v>Middle East</v>
          </cell>
          <cell r="J937" t="str">
            <v>Saudi Arabia</v>
          </cell>
          <cell r="K937">
            <v>35976</v>
          </cell>
        </row>
        <row r="938">
          <cell r="A938" t="str">
            <v>In service</v>
          </cell>
          <cell r="B938" t="str">
            <v>Gulfstream Aerospace Gulfstream IV</v>
          </cell>
          <cell r="C938" t="str">
            <v>SP</v>
          </cell>
          <cell r="D938">
            <v>2000</v>
          </cell>
          <cell r="E938" t="str">
            <v>Swiflite Aircraft Corp</v>
          </cell>
          <cell r="F938">
            <v>4</v>
          </cell>
          <cell r="G938">
            <v>36630</v>
          </cell>
          <cell r="H938" t="str">
            <v>SP</v>
          </cell>
          <cell r="I938" t="str">
            <v>North America</v>
          </cell>
          <cell r="J938" t="str">
            <v>USA</v>
          </cell>
          <cell r="K938">
            <v>35611</v>
          </cell>
        </row>
        <row r="939">
          <cell r="A939" t="str">
            <v>In service</v>
          </cell>
          <cell r="B939" t="str">
            <v>Gulfstream Aerospace Gulfstream IV</v>
          </cell>
          <cell r="C939" t="str">
            <v>SP</v>
          </cell>
          <cell r="D939">
            <v>2000</v>
          </cell>
          <cell r="E939" t="str">
            <v>Honeywell Inc</v>
          </cell>
          <cell r="F939">
            <v>4</v>
          </cell>
          <cell r="G939">
            <v>36594</v>
          </cell>
          <cell r="H939" t="str">
            <v>SP</v>
          </cell>
          <cell r="I939" t="str">
            <v>North America</v>
          </cell>
          <cell r="J939" t="str">
            <v>USA</v>
          </cell>
          <cell r="K939">
            <v>35976</v>
          </cell>
        </row>
        <row r="940">
          <cell r="A940" t="str">
            <v>In service</v>
          </cell>
          <cell r="B940" t="str">
            <v>Gulfstream Aerospace Gulfstream IV</v>
          </cell>
          <cell r="C940" t="str">
            <v>SP</v>
          </cell>
          <cell r="D940">
            <v>2000</v>
          </cell>
          <cell r="E940" t="str">
            <v>Apache Aviation Inc</v>
          </cell>
          <cell r="F940">
            <v>4</v>
          </cell>
          <cell r="G940">
            <v>36707</v>
          </cell>
          <cell r="H940" t="str">
            <v>SP</v>
          </cell>
          <cell r="I940" t="str">
            <v>North America</v>
          </cell>
          <cell r="J940" t="str">
            <v>USA</v>
          </cell>
          <cell r="K940">
            <v>36341</v>
          </cell>
        </row>
        <row r="941">
          <cell r="A941" t="str">
            <v>In service</v>
          </cell>
          <cell r="B941" t="str">
            <v>Gulfstream Aerospace Gulfstream IV</v>
          </cell>
          <cell r="C941" t="str">
            <v>SP</v>
          </cell>
          <cell r="D941">
            <v>1999</v>
          </cell>
          <cell r="E941" t="str">
            <v>AB Initio Software Corp</v>
          </cell>
          <cell r="F941">
            <v>5</v>
          </cell>
          <cell r="G941">
            <v>36433</v>
          </cell>
          <cell r="H941" t="str">
            <v>SP</v>
          </cell>
          <cell r="I941" t="str">
            <v>North America</v>
          </cell>
          <cell r="J941" t="str">
            <v>USA</v>
          </cell>
          <cell r="K941">
            <v>35976</v>
          </cell>
        </row>
        <row r="942">
          <cell r="A942" t="str">
            <v>In service</v>
          </cell>
          <cell r="B942" t="str">
            <v>Gulfstream Aerospace Gulfstream IV</v>
          </cell>
          <cell r="C942" t="str">
            <v>SP</v>
          </cell>
          <cell r="D942">
            <v>2000</v>
          </cell>
          <cell r="E942" t="str">
            <v>Netjets International</v>
          </cell>
          <cell r="F942">
            <v>4</v>
          </cell>
          <cell r="G942">
            <v>36580</v>
          </cell>
          <cell r="H942" t="str">
            <v>SP</v>
          </cell>
          <cell r="I942" t="str">
            <v>North America</v>
          </cell>
          <cell r="J942" t="str">
            <v>USA</v>
          </cell>
          <cell r="K942">
            <v>35521</v>
          </cell>
        </row>
        <row r="943">
          <cell r="A943" t="str">
            <v>In service</v>
          </cell>
          <cell r="B943" t="str">
            <v>Gulfstream Aerospace Gulfstream IV</v>
          </cell>
          <cell r="C943" t="str">
            <v>SP</v>
          </cell>
          <cell r="D943">
            <v>2000</v>
          </cell>
          <cell r="E943" t="str">
            <v>John M Moores</v>
          </cell>
          <cell r="F943">
            <v>4</v>
          </cell>
          <cell r="G943">
            <v>36649</v>
          </cell>
          <cell r="H943" t="str">
            <v>SP</v>
          </cell>
          <cell r="I943" t="str">
            <v>North America</v>
          </cell>
          <cell r="J943" t="str">
            <v>USA</v>
          </cell>
          <cell r="K943">
            <v>35976</v>
          </cell>
        </row>
        <row r="944">
          <cell r="A944" t="str">
            <v>In service</v>
          </cell>
          <cell r="B944" t="str">
            <v>Gulfstream Aerospace Gulfstream IV</v>
          </cell>
          <cell r="C944" t="str">
            <v>SP</v>
          </cell>
          <cell r="D944">
            <v>1999</v>
          </cell>
          <cell r="E944" t="str">
            <v>Ronso SA de CV</v>
          </cell>
          <cell r="F944">
            <v>5</v>
          </cell>
          <cell r="G944">
            <v>36705</v>
          </cell>
          <cell r="H944" t="str">
            <v>SP</v>
          </cell>
          <cell r="I944" t="str">
            <v>Latin America and Caribbean</v>
          </cell>
          <cell r="J944" t="str">
            <v>Mexico</v>
          </cell>
          <cell r="K944">
            <v>35976</v>
          </cell>
        </row>
        <row r="945">
          <cell r="A945" t="str">
            <v>In service</v>
          </cell>
          <cell r="B945" t="str">
            <v>Gulfstream Aerospace Gulfstream IV</v>
          </cell>
          <cell r="C945" t="str">
            <v>SP</v>
          </cell>
          <cell r="D945">
            <v>2000</v>
          </cell>
          <cell r="E945" t="str">
            <v>Netjets International</v>
          </cell>
          <cell r="F945">
            <v>4</v>
          </cell>
          <cell r="G945">
            <v>36613</v>
          </cell>
          <cell r="H945" t="str">
            <v>SP</v>
          </cell>
          <cell r="I945" t="str">
            <v>North America</v>
          </cell>
          <cell r="J945" t="str">
            <v>USA</v>
          </cell>
          <cell r="K945">
            <v>36045</v>
          </cell>
        </row>
        <row r="946">
          <cell r="A946" t="str">
            <v>In service</v>
          </cell>
          <cell r="B946" t="str">
            <v>Gulfstream Aerospace Gulfstream IV</v>
          </cell>
          <cell r="C946" t="str">
            <v>SP</v>
          </cell>
          <cell r="D946">
            <v>2000</v>
          </cell>
          <cell r="E946" t="str">
            <v>MSF Aviation Ltd</v>
          </cell>
          <cell r="F946">
            <v>4</v>
          </cell>
          <cell r="G946">
            <v>36706</v>
          </cell>
          <cell r="H946" t="str">
            <v>SP</v>
          </cell>
          <cell r="I946" t="str">
            <v>Latin America and Caribbean</v>
          </cell>
          <cell r="J946" t="str">
            <v>Cayman Islands</v>
          </cell>
          <cell r="K946">
            <v>36341</v>
          </cell>
        </row>
        <row r="947">
          <cell r="A947" t="str">
            <v>In service</v>
          </cell>
          <cell r="B947" t="str">
            <v>Gulfstream Aerospace Gulfstream IV</v>
          </cell>
          <cell r="C947" t="str">
            <v>SP</v>
          </cell>
          <cell r="D947">
            <v>2000</v>
          </cell>
          <cell r="E947" t="str">
            <v>PPG Industries Inc</v>
          </cell>
          <cell r="F947">
            <v>4</v>
          </cell>
          <cell r="G947">
            <v>36706</v>
          </cell>
          <cell r="H947" t="str">
            <v>SP</v>
          </cell>
          <cell r="I947" t="str">
            <v>North America</v>
          </cell>
          <cell r="J947" t="str">
            <v>USA</v>
          </cell>
          <cell r="K947">
            <v>36341</v>
          </cell>
        </row>
        <row r="948">
          <cell r="A948" t="str">
            <v>In service</v>
          </cell>
          <cell r="B948" t="str">
            <v>Gulfstream Aerospace Gulfstream IV</v>
          </cell>
          <cell r="C948" t="str">
            <v>SP</v>
          </cell>
          <cell r="D948">
            <v>2000</v>
          </cell>
          <cell r="E948" t="str">
            <v>Netjets International</v>
          </cell>
          <cell r="F948">
            <v>4</v>
          </cell>
          <cell r="G948">
            <v>36644</v>
          </cell>
          <cell r="H948" t="str">
            <v>SP</v>
          </cell>
          <cell r="I948" t="str">
            <v>North America</v>
          </cell>
          <cell r="J948" t="str">
            <v>USA</v>
          </cell>
          <cell r="K948">
            <v>36045</v>
          </cell>
        </row>
        <row r="949">
          <cell r="A949" t="str">
            <v>In service</v>
          </cell>
          <cell r="B949" t="str">
            <v>Gulfstream Aerospace Gulfstream IV</v>
          </cell>
          <cell r="C949" t="str">
            <v>SP</v>
          </cell>
          <cell r="D949">
            <v>1999</v>
          </cell>
          <cell r="E949" t="str">
            <v>Frontliner Inc</v>
          </cell>
          <cell r="F949">
            <v>5</v>
          </cell>
          <cell r="G949">
            <v>36497</v>
          </cell>
          <cell r="H949" t="str">
            <v>SP</v>
          </cell>
          <cell r="I949" t="str">
            <v>North America</v>
          </cell>
          <cell r="J949" t="str">
            <v>USA</v>
          </cell>
          <cell r="K949">
            <v>35976</v>
          </cell>
        </row>
        <row r="950">
          <cell r="A950" t="str">
            <v>In service</v>
          </cell>
          <cell r="B950" t="str">
            <v>Gulfstream Aerospace Gulfstream IV</v>
          </cell>
          <cell r="C950" t="str">
            <v>SP</v>
          </cell>
          <cell r="D950">
            <v>2000</v>
          </cell>
          <cell r="E950" t="str">
            <v>High Tech Aircraft Corp</v>
          </cell>
          <cell r="F950">
            <v>4</v>
          </cell>
          <cell r="G950">
            <v>36825</v>
          </cell>
          <cell r="H950" t="str">
            <v>SP</v>
          </cell>
          <cell r="I950" t="str">
            <v>North America</v>
          </cell>
          <cell r="J950" t="str">
            <v>USA</v>
          </cell>
          <cell r="K950">
            <v>36341</v>
          </cell>
        </row>
        <row r="951">
          <cell r="A951" t="str">
            <v>In service</v>
          </cell>
          <cell r="B951" t="str">
            <v>Gulfstream Aerospace Gulfstream IV</v>
          </cell>
          <cell r="C951" t="str">
            <v>SP</v>
          </cell>
          <cell r="D951">
            <v>2000</v>
          </cell>
          <cell r="E951" t="str">
            <v>Harmony Management Inc</v>
          </cell>
          <cell r="F951">
            <v>4</v>
          </cell>
          <cell r="G951">
            <v>36768</v>
          </cell>
          <cell r="H951" t="str">
            <v>SP</v>
          </cell>
          <cell r="I951" t="str">
            <v>North America</v>
          </cell>
          <cell r="J951" t="str">
            <v>USA</v>
          </cell>
          <cell r="K951">
            <v>36341</v>
          </cell>
        </row>
        <row r="952">
          <cell r="A952" t="str">
            <v>In service</v>
          </cell>
          <cell r="B952" t="str">
            <v>Gulfstream Aerospace Gulfstream IV</v>
          </cell>
          <cell r="C952" t="str">
            <v>SP</v>
          </cell>
          <cell r="D952">
            <v>2000</v>
          </cell>
          <cell r="E952" t="str">
            <v>Alcoa Aircraft Operations</v>
          </cell>
          <cell r="F952">
            <v>4</v>
          </cell>
          <cell r="G952">
            <v>36769</v>
          </cell>
          <cell r="H952" t="str">
            <v>SP</v>
          </cell>
          <cell r="I952" t="str">
            <v>North America</v>
          </cell>
          <cell r="J952" t="str">
            <v>USA</v>
          </cell>
          <cell r="K952">
            <v>36341</v>
          </cell>
        </row>
        <row r="953">
          <cell r="A953" t="str">
            <v>In service</v>
          </cell>
          <cell r="B953" t="str">
            <v>Gulfstream Aerospace Gulfstream IV</v>
          </cell>
          <cell r="C953" t="str">
            <v>SP</v>
          </cell>
          <cell r="D953">
            <v>2000</v>
          </cell>
          <cell r="E953" t="str">
            <v>S &amp; H Automotive Products Inc</v>
          </cell>
          <cell r="F953">
            <v>4</v>
          </cell>
          <cell r="G953">
            <v>36725</v>
          </cell>
          <cell r="H953" t="str">
            <v>SP</v>
          </cell>
          <cell r="I953" t="str">
            <v>North America</v>
          </cell>
          <cell r="J953" t="str">
            <v>USA</v>
          </cell>
          <cell r="K953">
            <v>36341</v>
          </cell>
        </row>
        <row r="954">
          <cell r="A954" t="str">
            <v>In service</v>
          </cell>
          <cell r="B954" t="str">
            <v>Gulfstream Aerospace Gulfstream IV</v>
          </cell>
          <cell r="C954" t="str">
            <v>SP</v>
          </cell>
          <cell r="D954">
            <v>2000</v>
          </cell>
          <cell r="E954" t="str">
            <v>Netjets International</v>
          </cell>
          <cell r="F954">
            <v>4</v>
          </cell>
          <cell r="G954">
            <v>36699</v>
          </cell>
          <cell r="H954" t="str">
            <v>SP</v>
          </cell>
          <cell r="I954" t="str">
            <v>North America</v>
          </cell>
          <cell r="J954" t="str">
            <v>USA</v>
          </cell>
          <cell r="K954">
            <v>36045</v>
          </cell>
        </row>
        <row r="955">
          <cell r="A955" t="str">
            <v>In service</v>
          </cell>
          <cell r="B955" t="str">
            <v>Gulfstream Aerospace Gulfstream IV</v>
          </cell>
          <cell r="C955" t="str">
            <v>SP</v>
          </cell>
          <cell r="D955">
            <v>2000</v>
          </cell>
          <cell r="E955" t="str">
            <v>Rim Air LLC</v>
          </cell>
          <cell r="F955">
            <v>4</v>
          </cell>
          <cell r="G955">
            <v>36843</v>
          </cell>
          <cell r="H955" t="str">
            <v>SP</v>
          </cell>
          <cell r="I955" t="str">
            <v>North America</v>
          </cell>
          <cell r="J955" t="str">
            <v>USA</v>
          </cell>
          <cell r="K955">
            <v>36045</v>
          </cell>
        </row>
        <row r="956">
          <cell r="A956" t="str">
            <v>In service</v>
          </cell>
          <cell r="B956" t="str">
            <v>Gulfstream Aerospace Gulfstream IV</v>
          </cell>
          <cell r="C956" t="str">
            <v>SP</v>
          </cell>
          <cell r="D956">
            <v>2000</v>
          </cell>
          <cell r="E956" t="str">
            <v>Agro-Industrial Management Inc</v>
          </cell>
          <cell r="F956">
            <v>4</v>
          </cell>
          <cell r="G956">
            <v>36797</v>
          </cell>
          <cell r="H956" t="str">
            <v>SP</v>
          </cell>
          <cell r="I956" t="str">
            <v>North America</v>
          </cell>
          <cell r="J956" t="str">
            <v>USA</v>
          </cell>
          <cell r="K956">
            <v>36045</v>
          </cell>
        </row>
        <row r="957">
          <cell r="A957" t="str">
            <v>In service</v>
          </cell>
          <cell r="B957" t="str">
            <v>Gulfstream Aerospace Gulfstream IV</v>
          </cell>
          <cell r="C957" t="str">
            <v>SP</v>
          </cell>
          <cell r="D957">
            <v>2000</v>
          </cell>
          <cell r="E957" t="str">
            <v>Limited Service Corp</v>
          </cell>
          <cell r="F957">
            <v>4</v>
          </cell>
          <cell r="G957">
            <v>36889</v>
          </cell>
          <cell r="H957" t="str">
            <v>SP</v>
          </cell>
          <cell r="I957" t="str">
            <v>North America</v>
          </cell>
          <cell r="J957" t="str">
            <v>USA</v>
          </cell>
          <cell r="K957">
            <v>36341</v>
          </cell>
        </row>
        <row r="958">
          <cell r="A958" t="str">
            <v>In service</v>
          </cell>
          <cell r="B958" t="str">
            <v>Gulfstream Aerospace Gulfstream IV</v>
          </cell>
          <cell r="C958" t="str">
            <v>SP</v>
          </cell>
          <cell r="D958">
            <v>2000</v>
          </cell>
          <cell r="E958" t="str">
            <v>Altria Corporate Services Inc</v>
          </cell>
          <cell r="F958">
            <v>4</v>
          </cell>
          <cell r="G958">
            <v>36790</v>
          </cell>
          <cell r="H958" t="str">
            <v>SP</v>
          </cell>
          <cell r="I958" t="str">
            <v>North America</v>
          </cell>
          <cell r="J958" t="str">
            <v>USA</v>
          </cell>
          <cell r="K958">
            <v>36045</v>
          </cell>
        </row>
        <row r="959">
          <cell r="A959" t="str">
            <v>In service</v>
          </cell>
          <cell r="B959" t="str">
            <v>Gulfstream Aerospace Gulfstream IV</v>
          </cell>
          <cell r="C959" t="str">
            <v>SP</v>
          </cell>
          <cell r="D959">
            <v>2000</v>
          </cell>
          <cell r="E959" t="str">
            <v>Netjets International</v>
          </cell>
          <cell r="F959">
            <v>4</v>
          </cell>
          <cell r="G959">
            <v>36733</v>
          </cell>
          <cell r="H959" t="str">
            <v>SP</v>
          </cell>
          <cell r="I959" t="str">
            <v>North America</v>
          </cell>
          <cell r="J959" t="str">
            <v>USA</v>
          </cell>
          <cell r="K959">
            <v>36087</v>
          </cell>
        </row>
        <row r="960">
          <cell r="A960" t="str">
            <v>In service</v>
          </cell>
          <cell r="B960" t="str">
            <v>Gulfstream Aerospace Gulfstream IV</v>
          </cell>
          <cell r="C960" t="str">
            <v>SP</v>
          </cell>
          <cell r="D960">
            <v>2000</v>
          </cell>
          <cell r="E960" t="str">
            <v>H&amp;S Air I LLC</v>
          </cell>
          <cell r="F960">
            <v>4</v>
          </cell>
          <cell r="G960">
            <v>36880</v>
          </cell>
          <cell r="H960" t="str">
            <v>SP</v>
          </cell>
          <cell r="I960" t="str">
            <v>North America</v>
          </cell>
          <cell r="J960" t="str">
            <v>USA</v>
          </cell>
          <cell r="K960">
            <v>35976</v>
          </cell>
        </row>
        <row r="961">
          <cell r="A961" t="str">
            <v>In service</v>
          </cell>
          <cell r="B961" t="str">
            <v>Gulfstream Aerospace Gulfstream IV</v>
          </cell>
          <cell r="C961" t="str">
            <v>SP</v>
          </cell>
          <cell r="D961">
            <v>2000</v>
          </cell>
          <cell r="E961" t="str">
            <v>Bright Flight Inc</v>
          </cell>
          <cell r="F961">
            <v>4</v>
          </cell>
          <cell r="G961">
            <v>36829</v>
          </cell>
          <cell r="H961" t="str">
            <v>SP</v>
          </cell>
          <cell r="I961" t="str">
            <v>North America</v>
          </cell>
          <cell r="J961" t="str">
            <v>USA</v>
          </cell>
          <cell r="K961">
            <v>35976</v>
          </cell>
        </row>
        <row r="962">
          <cell r="A962" t="str">
            <v>In service</v>
          </cell>
          <cell r="B962" t="str">
            <v>Gulfstream Aerospace Gulfstream IV</v>
          </cell>
          <cell r="C962" t="str">
            <v>SP</v>
          </cell>
          <cell r="D962">
            <v>2000</v>
          </cell>
          <cell r="E962" t="str">
            <v>New World Jet Corp</v>
          </cell>
          <cell r="F962">
            <v>4</v>
          </cell>
          <cell r="G962">
            <v>36840</v>
          </cell>
          <cell r="H962" t="str">
            <v>SP</v>
          </cell>
          <cell r="I962" t="str">
            <v>North America</v>
          </cell>
          <cell r="J962" t="str">
            <v>USA</v>
          </cell>
          <cell r="K962">
            <v>35976</v>
          </cell>
        </row>
        <row r="963">
          <cell r="A963" t="str">
            <v>In service</v>
          </cell>
          <cell r="B963" t="str">
            <v>Gulfstream Aerospace Gulfstream IV</v>
          </cell>
          <cell r="C963" t="str">
            <v>SP</v>
          </cell>
          <cell r="D963">
            <v>2000</v>
          </cell>
          <cell r="E963" t="str">
            <v>Zeus LLC</v>
          </cell>
          <cell r="F963">
            <v>4</v>
          </cell>
          <cell r="G963">
            <v>36839</v>
          </cell>
          <cell r="H963" t="str">
            <v>SP</v>
          </cell>
          <cell r="I963" t="str">
            <v>North America</v>
          </cell>
          <cell r="J963" t="str">
            <v>USA</v>
          </cell>
          <cell r="K963">
            <v>36087</v>
          </cell>
        </row>
        <row r="964">
          <cell r="A964" t="str">
            <v>In service</v>
          </cell>
          <cell r="B964" t="str">
            <v>Gulfstream Aerospace Gulfstream IV</v>
          </cell>
          <cell r="C964" t="str">
            <v>SP</v>
          </cell>
          <cell r="D964">
            <v>2000</v>
          </cell>
          <cell r="E964" t="str">
            <v>Netjets International</v>
          </cell>
          <cell r="F964">
            <v>4</v>
          </cell>
          <cell r="G964">
            <v>36780</v>
          </cell>
          <cell r="H964" t="str">
            <v>SP</v>
          </cell>
          <cell r="I964" t="str">
            <v>North America</v>
          </cell>
          <cell r="J964" t="str">
            <v>USA</v>
          </cell>
          <cell r="K964">
            <v>36087</v>
          </cell>
        </row>
        <row r="965">
          <cell r="A965" t="str">
            <v>In service</v>
          </cell>
          <cell r="B965" t="str">
            <v>Gulfstream Aerospace Gulfstream IV</v>
          </cell>
          <cell r="C965" t="str">
            <v>SP</v>
          </cell>
          <cell r="D965">
            <v>2000</v>
          </cell>
          <cell r="E965" t="str">
            <v>EMC Corp</v>
          </cell>
          <cell r="F965">
            <v>4</v>
          </cell>
          <cell r="G965">
            <v>36838</v>
          </cell>
          <cell r="H965" t="str">
            <v>SP</v>
          </cell>
          <cell r="I965" t="str">
            <v>North America</v>
          </cell>
          <cell r="J965" t="str">
            <v>USA</v>
          </cell>
          <cell r="K965">
            <v>36341</v>
          </cell>
        </row>
        <row r="966">
          <cell r="A966" t="str">
            <v>In service</v>
          </cell>
          <cell r="B966" t="str">
            <v>Gulfstream Aerospace Gulfstream IV</v>
          </cell>
          <cell r="C966" t="str">
            <v>SP</v>
          </cell>
          <cell r="D966">
            <v>2000</v>
          </cell>
          <cell r="E966" t="str">
            <v>Taubman Enterprises Inc</v>
          </cell>
          <cell r="F966">
            <v>4</v>
          </cell>
          <cell r="G966">
            <v>36864</v>
          </cell>
          <cell r="H966" t="str">
            <v>SP</v>
          </cell>
          <cell r="I966" t="str">
            <v>North America</v>
          </cell>
          <cell r="J966" t="str">
            <v>USA</v>
          </cell>
          <cell r="K966">
            <v>35976</v>
          </cell>
        </row>
        <row r="967">
          <cell r="A967" t="str">
            <v>In service</v>
          </cell>
          <cell r="B967" t="str">
            <v>Gulfstream Aerospace Gulfstream IV</v>
          </cell>
          <cell r="C967" t="str">
            <v>SP</v>
          </cell>
          <cell r="D967">
            <v>2000</v>
          </cell>
          <cell r="E967" t="str">
            <v>Snowbird Aviation LLC</v>
          </cell>
          <cell r="F967">
            <v>4</v>
          </cell>
          <cell r="G967">
            <v>36669</v>
          </cell>
          <cell r="H967" t="str">
            <v>SP</v>
          </cell>
          <cell r="I967" t="str">
            <v>North America</v>
          </cell>
          <cell r="J967" t="str">
            <v>USA</v>
          </cell>
          <cell r="K967">
            <v>36341</v>
          </cell>
        </row>
        <row r="968">
          <cell r="A968" t="str">
            <v>In service</v>
          </cell>
          <cell r="B968" t="str">
            <v>Gulfstream Aerospace Gulfstream IV</v>
          </cell>
          <cell r="C968" t="str">
            <v>SP</v>
          </cell>
          <cell r="D968">
            <v>2000</v>
          </cell>
          <cell r="E968" t="str">
            <v>Limited Service Corp</v>
          </cell>
          <cell r="F968">
            <v>4</v>
          </cell>
          <cell r="G968">
            <v>36914</v>
          </cell>
          <cell r="H968" t="str">
            <v>SP</v>
          </cell>
          <cell r="I968" t="str">
            <v>North America</v>
          </cell>
          <cell r="J968" t="str">
            <v>USA</v>
          </cell>
          <cell r="K968">
            <v>36341</v>
          </cell>
        </row>
        <row r="969">
          <cell r="A969" t="str">
            <v>In service</v>
          </cell>
          <cell r="B969" t="str">
            <v>Gulfstream Aerospace Gulfstream IV</v>
          </cell>
          <cell r="C969" t="str">
            <v>SP</v>
          </cell>
          <cell r="D969">
            <v>2000</v>
          </cell>
          <cell r="E969" t="str">
            <v>Government of Uganda</v>
          </cell>
          <cell r="F969">
            <v>4</v>
          </cell>
          <cell r="G969">
            <v>36878</v>
          </cell>
          <cell r="H969" t="str">
            <v>SP</v>
          </cell>
          <cell r="I969" t="str">
            <v>Africa</v>
          </cell>
          <cell r="J969" t="str">
            <v>Uganda</v>
          </cell>
          <cell r="K969">
            <v>36707</v>
          </cell>
        </row>
        <row r="970">
          <cell r="A970" t="str">
            <v>In service</v>
          </cell>
          <cell r="B970" t="str">
            <v>Gulfstream Aerospace Gulfstream IV</v>
          </cell>
          <cell r="C970" t="str">
            <v>SP</v>
          </cell>
          <cell r="D970">
            <v>2000</v>
          </cell>
          <cell r="E970" t="str">
            <v>N811BP Inc</v>
          </cell>
          <cell r="F970">
            <v>4</v>
          </cell>
          <cell r="G970">
            <v>36962</v>
          </cell>
          <cell r="H970" t="str">
            <v>SP</v>
          </cell>
          <cell r="I970" t="str">
            <v>North America</v>
          </cell>
          <cell r="J970" t="str">
            <v>USA</v>
          </cell>
          <cell r="K970">
            <v>36341</v>
          </cell>
        </row>
        <row r="971">
          <cell r="A971" t="str">
            <v>In service</v>
          </cell>
          <cell r="B971" t="str">
            <v>Gulfstream Aerospace Gulfstream IV</v>
          </cell>
          <cell r="C971" t="str">
            <v>SP</v>
          </cell>
          <cell r="D971">
            <v>2000</v>
          </cell>
          <cell r="E971" t="str">
            <v>General Electric Credit Corp of Tennessee</v>
          </cell>
          <cell r="F971">
            <v>4</v>
          </cell>
          <cell r="G971">
            <v>36881</v>
          </cell>
          <cell r="H971" t="str">
            <v>SP</v>
          </cell>
          <cell r="I971" t="str">
            <v>North America</v>
          </cell>
          <cell r="J971" t="str">
            <v>USA</v>
          </cell>
          <cell r="K971">
            <v>36341</v>
          </cell>
        </row>
        <row r="972">
          <cell r="A972" t="str">
            <v>In service</v>
          </cell>
          <cell r="B972" t="str">
            <v>Gulfstream Aerospace Gulfstream IV</v>
          </cell>
          <cell r="C972" t="str">
            <v>SP</v>
          </cell>
          <cell r="D972">
            <v>2000</v>
          </cell>
          <cell r="E972" t="str">
            <v>W A Reaud</v>
          </cell>
          <cell r="F972">
            <v>4</v>
          </cell>
          <cell r="G972">
            <v>36922</v>
          </cell>
          <cell r="H972" t="str">
            <v>SP</v>
          </cell>
          <cell r="I972" t="str">
            <v>North America</v>
          </cell>
          <cell r="J972" t="str">
            <v>USA</v>
          </cell>
          <cell r="K972">
            <v>36707</v>
          </cell>
        </row>
        <row r="973">
          <cell r="A973" t="str">
            <v>In service</v>
          </cell>
          <cell r="B973" t="str">
            <v>Gulfstream Aerospace Gulfstream IV</v>
          </cell>
          <cell r="C973" t="str">
            <v>SP</v>
          </cell>
          <cell r="D973">
            <v>2000</v>
          </cell>
          <cell r="E973" t="str">
            <v>Chiricahua Properties LLC</v>
          </cell>
          <cell r="F973">
            <v>4</v>
          </cell>
          <cell r="G973">
            <v>36732</v>
          </cell>
          <cell r="H973" t="str">
            <v>SP</v>
          </cell>
          <cell r="I973" t="str">
            <v>North America</v>
          </cell>
          <cell r="J973" t="str">
            <v>USA</v>
          </cell>
          <cell r="K973">
            <v>36045</v>
          </cell>
        </row>
        <row r="974">
          <cell r="A974" t="str">
            <v>In service</v>
          </cell>
          <cell r="B974" t="str">
            <v>Gulfstream Aerospace Gulfstream IV</v>
          </cell>
          <cell r="C974" t="str">
            <v>SP</v>
          </cell>
          <cell r="D974">
            <v>2001</v>
          </cell>
          <cell r="E974" t="str">
            <v>Government of Algeria</v>
          </cell>
          <cell r="F974">
            <v>3</v>
          </cell>
          <cell r="G974">
            <v>37001</v>
          </cell>
          <cell r="H974" t="str">
            <v>SP</v>
          </cell>
          <cell r="I974" t="str">
            <v>Africa</v>
          </cell>
          <cell r="J974" t="str">
            <v>Algeria</v>
          </cell>
          <cell r="K974">
            <v>36341</v>
          </cell>
        </row>
        <row r="975">
          <cell r="A975" t="str">
            <v>In service</v>
          </cell>
          <cell r="B975" t="str">
            <v>Gulfstream Aerospace Gulfstream IV</v>
          </cell>
          <cell r="C975" t="str">
            <v>SP</v>
          </cell>
          <cell r="D975">
            <v>2001</v>
          </cell>
          <cell r="E975" t="str">
            <v>Jetclub AG</v>
          </cell>
          <cell r="F975">
            <v>3</v>
          </cell>
          <cell r="G975">
            <v>36987</v>
          </cell>
          <cell r="H975" t="str">
            <v>SP</v>
          </cell>
          <cell r="I975" t="str">
            <v>Europe</v>
          </cell>
          <cell r="J975" t="str">
            <v>Switzerland</v>
          </cell>
          <cell r="K975">
            <v>36707</v>
          </cell>
        </row>
        <row r="976">
          <cell r="A976" t="str">
            <v>In service</v>
          </cell>
          <cell r="B976" t="str">
            <v>Gulfstream Aerospace Gulfstream IV</v>
          </cell>
          <cell r="C976" t="str">
            <v>SP</v>
          </cell>
          <cell r="D976">
            <v>2000</v>
          </cell>
          <cell r="E976" t="str">
            <v>JJSA Aviation LLC</v>
          </cell>
          <cell r="F976">
            <v>4</v>
          </cell>
          <cell r="G976">
            <v>36763</v>
          </cell>
          <cell r="H976" t="str">
            <v>SP</v>
          </cell>
          <cell r="I976" t="str">
            <v>North America</v>
          </cell>
          <cell r="J976" t="str">
            <v>USA</v>
          </cell>
          <cell r="K976">
            <v>35976</v>
          </cell>
        </row>
        <row r="977">
          <cell r="A977" t="str">
            <v>In service</v>
          </cell>
          <cell r="B977" t="str">
            <v>Gulfstream Aerospace Gulfstream IV</v>
          </cell>
          <cell r="C977" t="str">
            <v>SP</v>
          </cell>
          <cell r="D977">
            <v>2001</v>
          </cell>
          <cell r="E977" t="str">
            <v>Government of Algeria</v>
          </cell>
          <cell r="F977">
            <v>3</v>
          </cell>
          <cell r="G977">
            <v>37132</v>
          </cell>
          <cell r="H977" t="str">
            <v>SP</v>
          </cell>
          <cell r="I977" t="str">
            <v>Africa</v>
          </cell>
          <cell r="J977" t="str">
            <v>Algeria</v>
          </cell>
          <cell r="K977">
            <v>36341</v>
          </cell>
        </row>
        <row r="978">
          <cell r="A978" t="str">
            <v>In service</v>
          </cell>
          <cell r="B978" t="str">
            <v>Gulfstream Aerospace Gulfstream IV</v>
          </cell>
          <cell r="C978" t="str">
            <v>SP</v>
          </cell>
          <cell r="D978">
            <v>2000</v>
          </cell>
          <cell r="E978" t="str">
            <v>GEP I LLC</v>
          </cell>
          <cell r="F978">
            <v>4</v>
          </cell>
          <cell r="G978">
            <v>37021</v>
          </cell>
          <cell r="H978" t="str">
            <v>SP</v>
          </cell>
          <cell r="I978" t="str">
            <v>North America</v>
          </cell>
          <cell r="J978" t="str">
            <v>USA</v>
          </cell>
          <cell r="K978">
            <v>36341</v>
          </cell>
        </row>
        <row r="979">
          <cell r="A979" t="str">
            <v>In service</v>
          </cell>
          <cell r="B979" t="str">
            <v>Gulfstream Aerospace Gulfstream IV</v>
          </cell>
          <cell r="C979" t="str">
            <v>SP</v>
          </cell>
          <cell r="D979">
            <v>2000</v>
          </cell>
          <cell r="E979" t="str">
            <v>Airstar Corp</v>
          </cell>
          <cell r="F979">
            <v>4</v>
          </cell>
          <cell r="G979">
            <v>36798</v>
          </cell>
          <cell r="H979" t="str">
            <v>SP</v>
          </cell>
          <cell r="I979" t="str">
            <v>North America</v>
          </cell>
          <cell r="J979" t="str">
            <v>USA</v>
          </cell>
          <cell r="K979">
            <v>36341</v>
          </cell>
        </row>
        <row r="980">
          <cell r="A980" t="str">
            <v>In service</v>
          </cell>
          <cell r="B980" t="str">
            <v>Gulfstream Aerospace Gulfstream IV</v>
          </cell>
          <cell r="C980" t="str">
            <v>SP</v>
          </cell>
          <cell r="D980">
            <v>2000</v>
          </cell>
          <cell r="E980" t="str">
            <v>Government of Egypt</v>
          </cell>
          <cell r="F980">
            <v>4</v>
          </cell>
          <cell r="G980">
            <v>37081</v>
          </cell>
          <cell r="H980" t="str">
            <v>SP</v>
          </cell>
          <cell r="I980" t="str">
            <v>Africa</v>
          </cell>
          <cell r="J980" t="str">
            <v>Egypt</v>
          </cell>
          <cell r="K980">
            <v>36564</v>
          </cell>
        </row>
        <row r="981">
          <cell r="A981" t="str">
            <v>In service</v>
          </cell>
          <cell r="B981" t="str">
            <v>Gulfstream Aerospace Gulfstream IV</v>
          </cell>
          <cell r="C981" t="str">
            <v>SP</v>
          </cell>
          <cell r="D981">
            <v>2001</v>
          </cell>
          <cell r="E981" t="str">
            <v>Euro-Asia Air</v>
          </cell>
          <cell r="F981">
            <v>3</v>
          </cell>
          <cell r="G981">
            <v>37061</v>
          </cell>
          <cell r="H981" t="str">
            <v>SP</v>
          </cell>
          <cell r="I981" t="str">
            <v>Asia</v>
          </cell>
          <cell r="J981" t="str">
            <v>Kazakhstan</v>
          </cell>
          <cell r="K981">
            <v>36341</v>
          </cell>
        </row>
        <row r="982">
          <cell r="A982" t="str">
            <v>In service</v>
          </cell>
          <cell r="B982" t="str">
            <v>Gulfstream Aerospace Gulfstream IV</v>
          </cell>
          <cell r="C982" t="str">
            <v>SP</v>
          </cell>
          <cell r="D982">
            <v>2000</v>
          </cell>
          <cell r="E982" t="str">
            <v>Netjets International</v>
          </cell>
          <cell r="F982">
            <v>4</v>
          </cell>
          <cell r="G982">
            <v>36980</v>
          </cell>
          <cell r="H982" t="str">
            <v>SP</v>
          </cell>
          <cell r="I982" t="str">
            <v>North America</v>
          </cell>
          <cell r="J982" t="str">
            <v>USA</v>
          </cell>
          <cell r="K982">
            <v>36087</v>
          </cell>
        </row>
        <row r="983">
          <cell r="A983" t="str">
            <v>In service</v>
          </cell>
          <cell r="B983" t="str">
            <v>Gulfstream Aerospace Gulfstream IV</v>
          </cell>
          <cell r="C983" t="str">
            <v>SP</v>
          </cell>
          <cell r="D983">
            <v>2001</v>
          </cell>
          <cell r="E983" t="str">
            <v>Government of Egypt</v>
          </cell>
          <cell r="F983">
            <v>3</v>
          </cell>
          <cell r="G983">
            <v>37198</v>
          </cell>
          <cell r="H983" t="str">
            <v>SP</v>
          </cell>
          <cell r="I983" t="str">
            <v>Africa</v>
          </cell>
          <cell r="J983" t="str">
            <v>Egypt</v>
          </cell>
          <cell r="K983">
            <v>36564</v>
          </cell>
        </row>
        <row r="984">
          <cell r="A984" t="str">
            <v>In service</v>
          </cell>
          <cell r="B984" t="str">
            <v>Gulfstream Aerospace Gulfstream IV</v>
          </cell>
          <cell r="C984" t="str">
            <v>SP</v>
          </cell>
          <cell r="D984">
            <v>2000</v>
          </cell>
          <cell r="E984" t="str">
            <v>New Cingular Wireless Flight Operations LLC</v>
          </cell>
          <cell r="F984">
            <v>4</v>
          </cell>
          <cell r="G984">
            <v>36860</v>
          </cell>
          <cell r="H984" t="str">
            <v>SP</v>
          </cell>
          <cell r="I984" t="str">
            <v>North America</v>
          </cell>
          <cell r="J984" t="str">
            <v>USA</v>
          </cell>
          <cell r="K984">
            <v>36341</v>
          </cell>
        </row>
        <row r="985">
          <cell r="A985" t="str">
            <v>In service</v>
          </cell>
          <cell r="B985" t="str">
            <v>Gulfstream Aerospace Gulfstream IV</v>
          </cell>
          <cell r="C985" t="str">
            <v>SP</v>
          </cell>
          <cell r="D985">
            <v>2001</v>
          </cell>
          <cell r="E985" t="str">
            <v>Kohler &amp; Co</v>
          </cell>
          <cell r="F985">
            <v>3</v>
          </cell>
          <cell r="G985">
            <v>37067</v>
          </cell>
          <cell r="H985" t="str">
            <v>SP</v>
          </cell>
          <cell r="I985" t="str">
            <v>North America</v>
          </cell>
          <cell r="J985" t="str">
            <v>USA</v>
          </cell>
          <cell r="K985">
            <v>36341</v>
          </cell>
        </row>
        <row r="986">
          <cell r="A986" t="str">
            <v>In service</v>
          </cell>
          <cell r="B986" t="str">
            <v>Gulfstream Aerospace Gulfstream IV</v>
          </cell>
          <cell r="C986" t="str">
            <v>SP</v>
          </cell>
          <cell r="D986">
            <v>2001</v>
          </cell>
          <cell r="E986" t="str">
            <v>Bandwidth LLC</v>
          </cell>
          <cell r="F986">
            <v>3</v>
          </cell>
          <cell r="G986">
            <v>37071</v>
          </cell>
          <cell r="H986" t="str">
            <v>SP</v>
          </cell>
          <cell r="I986" t="str">
            <v>North America</v>
          </cell>
          <cell r="J986" t="str">
            <v>USA</v>
          </cell>
          <cell r="K986">
            <v>36341</v>
          </cell>
        </row>
        <row r="987">
          <cell r="A987" t="str">
            <v>In service</v>
          </cell>
          <cell r="B987" t="str">
            <v>Gulfstream Aerospace Gulfstream IV</v>
          </cell>
          <cell r="C987" t="str">
            <v>SP</v>
          </cell>
          <cell r="D987">
            <v>2000</v>
          </cell>
          <cell r="E987" t="str">
            <v>Cape Clear LLC</v>
          </cell>
          <cell r="F987">
            <v>4</v>
          </cell>
          <cell r="G987">
            <v>36867</v>
          </cell>
          <cell r="H987" t="str">
            <v>SP</v>
          </cell>
          <cell r="I987" t="str">
            <v>North America</v>
          </cell>
          <cell r="J987" t="str">
            <v>USA</v>
          </cell>
          <cell r="K987">
            <v>36341</v>
          </cell>
        </row>
        <row r="988">
          <cell r="A988" t="str">
            <v>In service</v>
          </cell>
          <cell r="B988" t="str">
            <v>Gulfstream Aerospace Gulfstream IV</v>
          </cell>
          <cell r="C988" t="str">
            <v>SP</v>
          </cell>
          <cell r="D988">
            <v>2001</v>
          </cell>
          <cell r="E988" t="str">
            <v>Hagadone Aviation LLC</v>
          </cell>
          <cell r="F988">
            <v>3</v>
          </cell>
          <cell r="G988">
            <v>37098</v>
          </cell>
          <cell r="H988" t="str">
            <v>SP</v>
          </cell>
          <cell r="I988" t="str">
            <v>North America</v>
          </cell>
          <cell r="J988" t="str">
            <v>USA</v>
          </cell>
          <cell r="K988">
            <v>36341</v>
          </cell>
        </row>
        <row r="989">
          <cell r="A989" t="str">
            <v>In service</v>
          </cell>
          <cell r="B989" t="str">
            <v>Gulfstream Aerospace Gulfstream IV</v>
          </cell>
          <cell r="C989" t="str">
            <v>SP</v>
          </cell>
          <cell r="D989">
            <v>2001</v>
          </cell>
          <cell r="E989" t="str">
            <v>Flightworks</v>
          </cell>
          <cell r="F989">
            <v>3</v>
          </cell>
          <cell r="G989">
            <v>37168</v>
          </cell>
          <cell r="H989" t="str">
            <v>SP</v>
          </cell>
          <cell r="I989" t="str">
            <v>North America</v>
          </cell>
          <cell r="J989" t="str">
            <v>USA</v>
          </cell>
          <cell r="K989">
            <v>36341</v>
          </cell>
        </row>
        <row r="990">
          <cell r="A990" t="str">
            <v>In service</v>
          </cell>
          <cell r="B990" t="str">
            <v>Gulfstream Aerospace Gulfstream IV</v>
          </cell>
          <cell r="C990" t="str">
            <v>SP</v>
          </cell>
          <cell r="D990">
            <v>2000</v>
          </cell>
          <cell r="E990" t="str">
            <v>ConocoPhillips Co</v>
          </cell>
          <cell r="F990">
            <v>4</v>
          </cell>
          <cell r="G990">
            <v>36887</v>
          </cell>
          <cell r="H990" t="str">
            <v>SP</v>
          </cell>
          <cell r="I990" t="str">
            <v>North America</v>
          </cell>
          <cell r="J990" t="str">
            <v>USA</v>
          </cell>
          <cell r="K990">
            <v>36341</v>
          </cell>
        </row>
        <row r="991">
          <cell r="A991" t="str">
            <v>In service</v>
          </cell>
          <cell r="B991" t="str">
            <v>Gulfstream Aerospace Gulfstream IV</v>
          </cell>
          <cell r="C991" t="str">
            <v>SP</v>
          </cell>
          <cell r="D991">
            <v>2001</v>
          </cell>
          <cell r="E991" t="str">
            <v>Guidant Corp</v>
          </cell>
          <cell r="F991">
            <v>3</v>
          </cell>
          <cell r="G991">
            <v>37203</v>
          </cell>
          <cell r="H991" t="str">
            <v>SP</v>
          </cell>
          <cell r="I991" t="str">
            <v>North America</v>
          </cell>
          <cell r="J991" t="str">
            <v>USA</v>
          </cell>
          <cell r="K991">
            <v>36809</v>
          </cell>
        </row>
        <row r="992">
          <cell r="A992" t="str">
            <v>In service</v>
          </cell>
          <cell r="B992" t="str">
            <v>Gulfstream Aerospace Gulfstream IV</v>
          </cell>
          <cell r="C992" t="str">
            <v>SP</v>
          </cell>
          <cell r="D992">
            <v>2001</v>
          </cell>
          <cell r="E992" t="str">
            <v>Netjets International</v>
          </cell>
          <cell r="F992">
            <v>3</v>
          </cell>
          <cell r="G992">
            <v>37069</v>
          </cell>
          <cell r="H992" t="str">
            <v>SP</v>
          </cell>
          <cell r="I992" t="str">
            <v>North America</v>
          </cell>
          <cell r="J992" t="str">
            <v>USA</v>
          </cell>
          <cell r="K992">
            <v>36087</v>
          </cell>
        </row>
        <row r="993">
          <cell r="A993" t="str">
            <v>In service</v>
          </cell>
          <cell r="B993" t="str">
            <v>Gulfstream Aerospace Gulfstream IV</v>
          </cell>
          <cell r="C993" t="str">
            <v>SP</v>
          </cell>
          <cell r="D993">
            <v>2001</v>
          </cell>
          <cell r="E993" t="str">
            <v>Netjets Middle East</v>
          </cell>
          <cell r="F993">
            <v>3</v>
          </cell>
          <cell r="G993">
            <v>37246</v>
          </cell>
          <cell r="H993" t="str">
            <v>SP</v>
          </cell>
          <cell r="I993" t="str">
            <v>Middle East</v>
          </cell>
          <cell r="J993" t="str">
            <v>Saudi Arabia</v>
          </cell>
          <cell r="K993">
            <v>36341</v>
          </cell>
        </row>
        <row r="994">
          <cell r="A994" t="str">
            <v>In service</v>
          </cell>
          <cell r="B994" t="str">
            <v>Gulfstream Aerospace Gulfstream IV</v>
          </cell>
          <cell r="C994" t="str">
            <v>SP</v>
          </cell>
          <cell r="D994">
            <v>2001</v>
          </cell>
          <cell r="E994" t="str">
            <v>Cape Clear LLC</v>
          </cell>
          <cell r="F994">
            <v>3</v>
          </cell>
          <cell r="G994">
            <v>36931</v>
          </cell>
          <cell r="H994" t="str">
            <v>SP</v>
          </cell>
          <cell r="I994" t="str">
            <v>North America</v>
          </cell>
          <cell r="J994" t="str">
            <v>USA</v>
          </cell>
          <cell r="K994">
            <v>36707</v>
          </cell>
        </row>
        <row r="995">
          <cell r="A995" t="str">
            <v>In service</v>
          </cell>
          <cell r="B995" t="str">
            <v>Gulfstream Aerospace Gulfstream IV</v>
          </cell>
          <cell r="C995" t="str">
            <v>SP</v>
          </cell>
          <cell r="D995">
            <v>2001</v>
          </cell>
          <cell r="E995" t="str">
            <v>E I DuPont de Nemours &amp; Co</v>
          </cell>
          <cell r="F995">
            <v>3</v>
          </cell>
          <cell r="G995">
            <v>37204</v>
          </cell>
          <cell r="H995" t="str">
            <v>SP</v>
          </cell>
          <cell r="I995" t="str">
            <v>North America</v>
          </cell>
          <cell r="J995" t="str">
            <v>USA</v>
          </cell>
          <cell r="K995">
            <v>36341</v>
          </cell>
        </row>
        <row r="996">
          <cell r="A996" t="str">
            <v>In service</v>
          </cell>
          <cell r="B996" t="str">
            <v>Gulfstream Aerospace Gulfstream IV</v>
          </cell>
          <cell r="C996" t="str">
            <v>SP</v>
          </cell>
          <cell r="D996">
            <v>2001</v>
          </cell>
          <cell r="E996" t="str">
            <v>Consortium of AOL Time Warner Companies</v>
          </cell>
          <cell r="F996">
            <v>3</v>
          </cell>
          <cell r="G996">
            <v>37162</v>
          </cell>
          <cell r="H996" t="str">
            <v>SP</v>
          </cell>
          <cell r="I996" t="str">
            <v>North America</v>
          </cell>
          <cell r="J996" t="str">
            <v>USA</v>
          </cell>
          <cell r="K996">
            <v>36341</v>
          </cell>
        </row>
        <row r="997">
          <cell r="A997" t="str">
            <v>In service</v>
          </cell>
          <cell r="B997" t="str">
            <v>Gulfstream Aerospace Gulfstream IV</v>
          </cell>
          <cell r="C997" t="str">
            <v>SP</v>
          </cell>
          <cell r="D997">
            <v>2001</v>
          </cell>
          <cell r="E997" t="str">
            <v>L&amp;L II Leasing LLC</v>
          </cell>
          <cell r="F997">
            <v>3</v>
          </cell>
          <cell r="G997">
            <v>37183</v>
          </cell>
          <cell r="H997" t="str">
            <v>SP</v>
          </cell>
          <cell r="I997" t="str">
            <v>North America</v>
          </cell>
          <cell r="J997" t="str">
            <v>USA</v>
          </cell>
          <cell r="K997">
            <v>36341</v>
          </cell>
        </row>
        <row r="998">
          <cell r="A998" t="str">
            <v>In service</v>
          </cell>
          <cell r="B998" t="str">
            <v>Gulfstream Aerospace Gulfstream IV</v>
          </cell>
          <cell r="C998" t="str">
            <v>SP</v>
          </cell>
          <cell r="D998">
            <v>2001</v>
          </cell>
          <cell r="E998" t="str">
            <v>L&amp;L Leasing III LLC</v>
          </cell>
          <cell r="F998">
            <v>3</v>
          </cell>
          <cell r="G998">
            <v>37246</v>
          </cell>
          <cell r="H998" t="str">
            <v>SP</v>
          </cell>
          <cell r="I998" t="str">
            <v>North America</v>
          </cell>
          <cell r="J998" t="str">
            <v>USA</v>
          </cell>
          <cell r="K998">
            <v>36341</v>
          </cell>
        </row>
        <row r="999">
          <cell r="A999" t="str">
            <v>In service</v>
          </cell>
          <cell r="B999" t="str">
            <v>Gulfstream Aerospace Gulfstream IV</v>
          </cell>
          <cell r="C999" t="str">
            <v>SP</v>
          </cell>
          <cell r="D999">
            <v>2001</v>
          </cell>
          <cell r="E999" t="str">
            <v>HGA LLC</v>
          </cell>
          <cell r="F999">
            <v>3</v>
          </cell>
          <cell r="G999">
            <v>37183</v>
          </cell>
          <cell r="H999" t="str">
            <v>SP</v>
          </cell>
          <cell r="I999" t="str">
            <v>North America</v>
          </cell>
          <cell r="J999" t="str">
            <v>USA</v>
          </cell>
          <cell r="K999">
            <v>36341</v>
          </cell>
        </row>
        <row r="1000">
          <cell r="A1000" t="str">
            <v>In service</v>
          </cell>
          <cell r="B1000" t="str">
            <v>Gulfstream Aerospace Gulfstream IV</v>
          </cell>
          <cell r="C1000" t="str">
            <v>SP</v>
          </cell>
          <cell r="D1000">
            <v>2001</v>
          </cell>
          <cell r="E1000" t="str">
            <v>Relinquished Aviation III LLC</v>
          </cell>
          <cell r="F1000">
            <v>3</v>
          </cell>
          <cell r="G1000">
            <v>37224</v>
          </cell>
          <cell r="H1000" t="str">
            <v>SP</v>
          </cell>
          <cell r="I1000" t="str">
            <v>North America</v>
          </cell>
          <cell r="J1000" t="str">
            <v>USA</v>
          </cell>
          <cell r="K1000">
            <v>36341</v>
          </cell>
        </row>
        <row r="1001">
          <cell r="A1001" t="str">
            <v>In service</v>
          </cell>
          <cell r="B1001" t="str">
            <v>Gulfstream Aerospace Gulfstream IV</v>
          </cell>
          <cell r="C1001" t="str">
            <v>SP</v>
          </cell>
          <cell r="D1001">
            <v>2001</v>
          </cell>
          <cell r="E1001" t="str">
            <v>Millard S Drexler Inc</v>
          </cell>
          <cell r="F1001">
            <v>3</v>
          </cell>
          <cell r="G1001">
            <v>37162</v>
          </cell>
          <cell r="H1001" t="str">
            <v>SP</v>
          </cell>
          <cell r="I1001" t="str">
            <v>North America</v>
          </cell>
          <cell r="J1001" t="str">
            <v>USA</v>
          </cell>
          <cell r="K1001">
            <v>36087</v>
          </cell>
        </row>
        <row r="1002">
          <cell r="A1002" t="str">
            <v>In service</v>
          </cell>
          <cell r="B1002" t="str">
            <v>Gulfstream Aerospace Gulfstream IV</v>
          </cell>
          <cell r="C1002" t="str">
            <v>SP</v>
          </cell>
          <cell r="D1002">
            <v>2001</v>
          </cell>
          <cell r="E1002" t="str">
            <v>Corporate Aviation LLC</v>
          </cell>
          <cell r="F1002">
            <v>3</v>
          </cell>
          <cell r="G1002">
            <v>37245</v>
          </cell>
          <cell r="H1002" t="str">
            <v>SP</v>
          </cell>
          <cell r="I1002" t="str">
            <v>North America</v>
          </cell>
          <cell r="J1002" t="str">
            <v>USA</v>
          </cell>
          <cell r="K1002">
            <v>36341</v>
          </cell>
        </row>
        <row r="1003">
          <cell r="A1003" t="str">
            <v>In service</v>
          </cell>
          <cell r="B1003" t="str">
            <v>Gulfstream Aerospace Gulfstream IV</v>
          </cell>
          <cell r="C1003" t="str">
            <v>SP</v>
          </cell>
          <cell r="D1003">
            <v>2001</v>
          </cell>
          <cell r="E1003" t="str">
            <v>ConocoPhillips Co</v>
          </cell>
          <cell r="F1003">
            <v>3</v>
          </cell>
          <cell r="G1003">
            <v>37022</v>
          </cell>
          <cell r="H1003" t="str">
            <v>SP</v>
          </cell>
          <cell r="I1003" t="str">
            <v>North America</v>
          </cell>
          <cell r="J1003" t="str">
            <v>USA</v>
          </cell>
          <cell r="K1003">
            <v>36341</v>
          </cell>
        </row>
        <row r="1004">
          <cell r="A1004" t="str">
            <v>In service</v>
          </cell>
          <cell r="B1004" t="str">
            <v>Gulfstream Aerospace Gulfstream IV</v>
          </cell>
          <cell r="C1004" t="str">
            <v>SP</v>
          </cell>
          <cell r="D1004">
            <v>2001</v>
          </cell>
          <cell r="E1004" t="str">
            <v>Executive Fliteways Inc</v>
          </cell>
          <cell r="F1004">
            <v>3</v>
          </cell>
          <cell r="G1004">
            <v>37253</v>
          </cell>
          <cell r="H1004" t="str">
            <v>SP</v>
          </cell>
          <cell r="I1004" t="str">
            <v>North America</v>
          </cell>
          <cell r="J1004" t="str">
            <v>USA</v>
          </cell>
          <cell r="K1004">
            <v>36341</v>
          </cell>
        </row>
        <row r="1005">
          <cell r="A1005" t="str">
            <v>In service</v>
          </cell>
          <cell r="B1005" t="str">
            <v>Gulfstream Aerospace Gulfstream IV</v>
          </cell>
          <cell r="C1005" t="str">
            <v>SP</v>
          </cell>
          <cell r="D1005">
            <v>2001</v>
          </cell>
          <cell r="E1005" t="str">
            <v>Limited Service Corp</v>
          </cell>
          <cell r="F1005">
            <v>3</v>
          </cell>
          <cell r="G1005">
            <v>37315</v>
          </cell>
          <cell r="H1005" t="str">
            <v>SP</v>
          </cell>
          <cell r="I1005" t="str">
            <v>North America</v>
          </cell>
          <cell r="J1005" t="str">
            <v>USA</v>
          </cell>
          <cell r="K1005">
            <v>36341</v>
          </cell>
        </row>
        <row r="1006">
          <cell r="A1006" t="str">
            <v>In service</v>
          </cell>
          <cell r="B1006" t="str">
            <v>Gulfstream Aerospace Gulfstream IV</v>
          </cell>
          <cell r="C1006" t="str">
            <v>SP</v>
          </cell>
          <cell r="D1006">
            <v>2001</v>
          </cell>
          <cell r="E1006" t="str">
            <v>ConocoPhillips Co</v>
          </cell>
          <cell r="F1006">
            <v>3</v>
          </cell>
          <cell r="G1006">
            <v>37046</v>
          </cell>
          <cell r="H1006" t="str">
            <v>SP</v>
          </cell>
          <cell r="I1006" t="str">
            <v>North America</v>
          </cell>
          <cell r="J1006" t="str">
            <v>USA</v>
          </cell>
          <cell r="K1006">
            <v>36707</v>
          </cell>
        </row>
        <row r="1007">
          <cell r="A1007" t="str">
            <v>In service</v>
          </cell>
          <cell r="B1007" t="str">
            <v>Gulfstream Aerospace Gulfstream IV</v>
          </cell>
          <cell r="C1007" t="str">
            <v>SP</v>
          </cell>
          <cell r="D1007">
            <v>2001</v>
          </cell>
          <cell r="E1007" t="str">
            <v>Cordelia Scaife May</v>
          </cell>
          <cell r="F1007">
            <v>3</v>
          </cell>
          <cell r="G1007">
            <v>37253</v>
          </cell>
          <cell r="H1007" t="str">
            <v>SP</v>
          </cell>
          <cell r="I1007" t="str">
            <v>North America</v>
          </cell>
          <cell r="J1007" t="str">
            <v>USA</v>
          </cell>
          <cell r="K1007">
            <v>36341</v>
          </cell>
        </row>
        <row r="1008">
          <cell r="A1008" t="str">
            <v>In service</v>
          </cell>
          <cell r="B1008" t="str">
            <v>Gulfstream Aerospace Gulfstream IV</v>
          </cell>
          <cell r="C1008" t="str">
            <v>SP</v>
          </cell>
          <cell r="D1008">
            <v>2001</v>
          </cell>
          <cell r="E1008" t="str">
            <v>Kraft Foods Aviation LLC</v>
          </cell>
          <cell r="F1008">
            <v>3</v>
          </cell>
          <cell r="G1008">
            <v>37287</v>
          </cell>
          <cell r="H1008" t="str">
            <v>SP</v>
          </cell>
          <cell r="I1008" t="str">
            <v>North America</v>
          </cell>
          <cell r="J1008" t="str">
            <v>USA</v>
          </cell>
          <cell r="K1008">
            <v>36341</v>
          </cell>
        </row>
        <row r="1009">
          <cell r="A1009" t="str">
            <v>In service</v>
          </cell>
          <cell r="B1009" t="str">
            <v>Gulfstream Aerospace Gulfstream IV</v>
          </cell>
          <cell r="C1009" t="str">
            <v>SP</v>
          </cell>
          <cell r="D1009">
            <v>2001</v>
          </cell>
          <cell r="E1009" t="str">
            <v>Quad/Air Inc</v>
          </cell>
          <cell r="F1009">
            <v>3</v>
          </cell>
          <cell r="G1009">
            <v>37246</v>
          </cell>
          <cell r="H1009" t="str">
            <v>SP</v>
          </cell>
          <cell r="I1009" t="str">
            <v>North America</v>
          </cell>
          <cell r="J1009" t="str">
            <v>USA</v>
          </cell>
          <cell r="K1009">
            <v>36341</v>
          </cell>
        </row>
        <row r="1010">
          <cell r="A1010" t="str">
            <v>In service</v>
          </cell>
          <cell r="B1010" t="str">
            <v>Gulfstream Aerospace Gulfstream IV</v>
          </cell>
          <cell r="C1010" t="str">
            <v>SP</v>
          </cell>
          <cell r="D1010">
            <v>2001</v>
          </cell>
          <cell r="E1010" t="str">
            <v>Netjets International</v>
          </cell>
          <cell r="F1010">
            <v>3</v>
          </cell>
          <cell r="G1010">
            <v>37271</v>
          </cell>
          <cell r="H1010" t="str">
            <v>SP</v>
          </cell>
          <cell r="I1010" t="str">
            <v>North America</v>
          </cell>
          <cell r="J1010" t="str">
            <v>USA</v>
          </cell>
          <cell r="K1010">
            <v>36087</v>
          </cell>
        </row>
        <row r="1011">
          <cell r="A1011" t="str">
            <v>In service</v>
          </cell>
          <cell r="B1011" t="str">
            <v>Gulfstream Aerospace Gulfstream IV</v>
          </cell>
          <cell r="C1011" t="str">
            <v>SP</v>
          </cell>
          <cell r="D1011">
            <v>2001</v>
          </cell>
          <cell r="E1011" t="str">
            <v>AMFM Air Services Inc</v>
          </cell>
          <cell r="F1011">
            <v>3</v>
          </cell>
          <cell r="G1011">
            <v>37258</v>
          </cell>
          <cell r="H1011" t="str">
            <v>SP</v>
          </cell>
          <cell r="I1011" t="str">
            <v>North America</v>
          </cell>
          <cell r="J1011" t="str">
            <v>USA</v>
          </cell>
          <cell r="K1011">
            <v>36341</v>
          </cell>
        </row>
        <row r="1012">
          <cell r="A1012" t="str">
            <v>In service</v>
          </cell>
          <cell r="B1012" t="str">
            <v>Gulfstream Aerospace Gulfstream IV</v>
          </cell>
          <cell r="C1012" t="str">
            <v>SP</v>
          </cell>
          <cell r="D1012">
            <v>2001</v>
          </cell>
          <cell r="E1012" t="str">
            <v>AMB Group LLC</v>
          </cell>
          <cell r="F1012">
            <v>3</v>
          </cell>
          <cell r="G1012">
            <v>37253</v>
          </cell>
          <cell r="H1012" t="str">
            <v>SP</v>
          </cell>
          <cell r="I1012" t="str">
            <v>North America</v>
          </cell>
          <cell r="J1012" t="str">
            <v>USA</v>
          </cell>
          <cell r="K1012">
            <v>36341</v>
          </cell>
        </row>
        <row r="1013">
          <cell r="A1013" t="str">
            <v>In service</v>
          </cell>
          <cell r="B1013" t="str">
            <v>Gulfstream Aerospace Gulfstream IV</v>
          </cell>
          <cell r="C1013" t="str">
            <v>SP</v>
          </cell>
          <cell r="D1013">
            <v>2001</v>
          </cell>
          <cell r="E1013" t="str">
            <v>Skybird Aviation</v>
          </cell>
          <cell r="F1013">
            <v>3</v>
          </cell>
          <cell r="G1013">
            <v>37344</v>
          </cell>
          <cell r="H1013" t="str">
            <v>SP</v>
          </cell>
          <cell r="I1013" t="str">
            <v>North America</v>
          </cell>
          <cell r="J1013" t="str">
            <v>USA</v>
          </cell>
          <cell r="K1013">
            <v>36341</v>
          </cell>
        </row>
        <row r="1014">
          <cell r="A1014" t="str">
            <v>In service</v>
          </cell>
          <cell r="B1014" t="str">
            <v>Gulfstream Aerospace Gulfstream IV</v>
          </cell>
          <cell r="C1014" t="str">
            <v>SP</v>
          </cell>
          <cell r="D1014">
            <v>2002</v>
          </cell>
          <cell r="E1014" t="str">
            <v>The Kirchman Corp</v>
          </cell>
          <cell r="F1014">
            <v>2</v>
          </cell>
          <cell r="G1014">
            <v>37314</v>
          </cell>
          <cell r="H1014" t="str">
            <v>SP</v>
          </cell>
          <cell r="I1014" t="str">
            <v>North America</v>
          </cell>
          <cell r="J1014" t="str">
            <v>USA</v>
          </cell>
          <cell r="K1014">
            <v>36341</v>
          </cell>
        </row>
        <row r="1015">
          <cell r="A1015" t="str">
            <v>In service</v>
          </cell>
          <cell r="B1015" t="str">
            <v>Gulfstream Aerospace Gulfstream IV</v>
          </cell>
          <cell r="C1015" t="str">
            <v>SP</v>
          </cell>
          <cell r="D1015">
            <v>2002</v>
          </cell>
          <cell r="E1015" t="str">
            <v>Windrose Air Jetcharter</v>
          </cell>
          <cell r="F1015">
            <v>2</v>
          </cell>
          <cell r="G1015">
            <v>37407</v>
          </cell>
          <cell r="H1015" t="str">
            <v>SP</v>
          </cell>
          <cell r="I1015" t="str">
            <v>Europe</v>
          </cell>
          <cell r="J1015" t="str">
            <v>Germany</v>
          </cell>
          <cell r="K1015">
            <v>36341</v>
          </cell>
        </row>
        <row r="1016">
          <cell r="A1016" t="str">
            <v>In service</v>
          </cell>
          <cell r="B1016" t="str">
            <v>Gulfstream Aerospace Gulfstream IV</v>
          </cell>
          <cell r="C1016" t="str">
            <v>SP</v>
          </cell>
          <cell r="D1016">
            <v>2001</v>
          </cell>
          <cell r="E1016" t="str">
            <v>New World Jet Corp</v>
          </cell>
          <cell r="F1016">
            <v>3</v>
          </cell>
          <cell r="G1016">
            <v>37345</v>
          </cell>
          <cell r="H1016" t="str">
            <v>SP</v>
          </cell>
          <cell r="I1016" t="str">
            <v>North America</v>
          </cell>
          <cell r="J1016" t="str">
            <v>USA</v>
          </cell>
          <cell r="K1016">
            <v>36341</v>
          </cell>
        </row>
        <row r="1017">
          <cell r="A1017" t="str">
            <v>In service</v>
          </cell>
          <cell r="B1017" t="str">
            <v>Gulfstream Aerospace Gulfstream IV</v>
          </cell>
          <cell r="C1017" t="str">
            <v>SP</v>
          </cell>
          <cell r="D1017">
            <v>2001</v>
          </cell>
          <cell r="E1017" t="str">
            <v>Anadarko Petroleum Corp</v>
          </cell>
          <cell r="F1017">
            <v>3</v>
          </cell>
          <cell r="G1017">
            <v>37253</v>
          </cell>
          <cell r="H1017" t="str">
            <v>SP</v>
          </cell>
          <cell r="I1017" t="str">
            <v>North America</v>
          </cell>
          <cell r="J1017" t="str">
            <v>USA</v>
          </cell>
          <cell r="K1017">
            <v>36341</v>
          </cell>
        </row>
        <row r="1018">
          <cell r="A1018" t="str">
            <v>In service</v>
          </cell>
          <cell r="B1018" t="str">
            <v>Gulfstream Aerospace Gulfstream IV</v>
          </cell>
          <cell r="C1018" t="str">
            <v>SP</v>
          </cell>
          <cell r="D1018">
            <v>2002</v>
          </cell>
          <cell r="E1018" t="str">
            <v>Madison Leasing Corp</v>
          </cell>
          <cell r="F1018">
            <v>2</v>
          </cell>
          <cell r="G1018">
            <v>37335</v>
          </cell>
          <cell r="H1018" t="str">
            <v>SP</v>
          </cell>
          <cell r="I1018" t="str">
            <v>North America</v>
          </cell>
          <cell r="J1018" t="str">
            <v>USA</v>
          </cell>
          <cell r="K1018">
            <v>36341</v>
          </cell>
        </row>
        <row r="1019">
          <cell r="A1019" t="str">
            <v>In service</v>
          </cell>
          <cell r="B1019" t="str">
            <v>Gulfstream Aerospace Gulfstream IV</v>
          </cell>
          <cell r="C1019" t="str">
            <v>SP</v>
          </cell>
          <cell r="D1019">
            <v>2002</v>
          </cell>
          <cell r="E1019" t="str">
            <v>Netjets International</v>
          </cell>
          <cell r="F1019">
            <v>2</v>
          </cell>
          <cell r="G1019">
            <v>37434</v>
          </cell>
          <cell r="H1019" t="str">
            <v>SP</v>
          </cell>
          <cell r="I1019" t="str">
            <v>North America</v>
          </cell>
          <cell r="J1019" t="str">
            <v>USA</v>
          </cell>
          <cell r="K1019">
            <v>36087</v>
          </cell>
        </row>
        <row r="1020">
          <cell r="A1020" t="str">
            <v>In service</v>
          </cell>
          <cell r="B1020" t="str">
            <v>Gulfstream Aerospace Gulfstream IV</v>
          </cell>
          <cell r="C1020" t="str">
            <v>SP</v>
          </cell>
          <cell r="D1020">
            <v>2002</v>
          </cell>
          <cell r="E1020" t="str">
            <v>The First Marblehead Corp</v>
          </cell>
          <cell r="F1020">
            <v>2</v>
          </cell>
          <cell r="G1020">
            <v>37376</v>
          </cell>
          <cell r="H1020" t="str">
            <v>SP</v>
          </cell>
          <cell r="I1020" t="str">
            <v>North America</v>
          </cell>
          <cell r="J1020" t="str">
            <v>USA</v>
          </cell>
          <cell r="K1020">
            <v>36707</v>
          </cell>
        </row>
        <row r="1021">
          <cell r="A1021" t="str">
            <v>In service</v>
          </cell>
          <cell r="B1021" t="str">
            <v>Gulfstream Aerospace Gulfstream IV</v>
          </cell>
          <cell r="C1021" t="str">
            <v>SP</v>
          </cell>
          <cell r="D1021">
            <v>2001</v>
          </cell>
          <cell r="E1021" t="str">
            <v>Surgutneftegas</v>
          </cell>
          <cell r="F1021">
            <v>3</v>
          </cell>
          <cell r="G1021">
            <v>37514</v>
          </cell>
          <cell r="H1021" t="str">
            <v>SP</v>
          </cell>
          <cell r="I1021" t="str">
            <v>Europe</v>
          </cell>
          <cell r="J1021" t="str">
            <v>Russia</v>
          </cell>
        </row>
        <row r="1022">
          <cell r="A1022" t="str">
            <v>In service</v>
          </cell>
          <cell r="B1022" t="str">
            <v>Gulfstream Aerospace Gulfstream IV</v>
          </cell>
          <cell r="C1022" t="str">
            <v>SP</v>
          </cell>
          <cell r="D1022">
            <v>2002</v>
          </cell>
          <cell r="E1022" t="str">
            <v>Shell Aircraft Ltd</v>
          </cell>
          <cell r="F1022">
            <v>2</v>
          </cell>
          <cell r="G1022">
            <v>37461</v>
          </cell>
          <cell r="H1022" t="str">
            <v>SP</v>
          </cell>
          <cell r="I1022" t="str">
            <v>Europe</v>
          </cell>
          <cell r="J1022" t="str">
            <v>United Kingdom</v>
          </cell>
          <cell r="K1022">
            <v>37072</v>
          </cell>
        </row>
        <row r="1023">
          <cell r="A1023" t="str">
            <v>In service</v>
          </cell>
          <cell r="B1023" t="str">
            <v>Gulfstream Aerospace Gulfstream IV</v>
          </cell>
          <cell r="C1023" t="str">
            <v>SP</v>
          </cell>
          <cell r="D1023">
            <v>2001</v>
          </cell>
          <cell r="E1023" t="str">
            <v>CXAir Holdings Inc</v>
          </cell>
          <cell r="F1023">
            <v>3</v>
          </cell>
          <cell r="G1023">
            <v>37211</v>
          </cell>
          <cell r="H1023" t="str">
            <v>SP</v>
          </cell>
          <cell r="I1023" t="str">
            <v>North America</v>
          </cell>
          <cell r="J1023" t="str">
            <v>USA</v>
          </cell>
          <cell r="K1023">
            <v>36341</v>
          </cell>
        </row>
        <row r="1024">
          <cell r="A1024" t="str">
            <v>In service</v>
          </cell>
          <cell r="B1024" t="str">
            <v>Gulfstream Aerospace Gulfstream IV</v>
          </cell>
          <cell r="C1024" t="str">
            <v>SP</v>
          </cell>
          <cell r="D1024">
            <v>2002</v>
          </cell>
          <cell r="E1024" t="str">
            <v>DLJ Partners/KTR Leasing/et al</v>
          </cell>
          <cell r="F1024">
            <v>2</v>
          </cell>
          <cell r="G1024">
            <v>37421</v>
          </cell>
          <cell r="H1024" t="str">
            <v>SP</v>
          </cell>
          <cell r="I1024" t="str">
            <v>North America</v>
          </cell>
          <cell r="J1024" t="str">
            <v>USA</v>
          </cell>
          <cell r="K1024">
            <v>36707</v>
          </cell>
        </row>
        <row r="1025">
          <cell r="A1025" t="str">
            <v>In service</v>
          </cell>
          <cell r="B1025" t="str">
            <v>Gulfstream Aerospace Gulfstream IV</v>
          </cell>
          <cell r="C1025" t="str">
            <v>SP</v>
          </cell>
          <cell r="D1025">
            <v>2001</v>
          </cell>
          <cell r="E1025" t="str">
            <v>The Air Group Inc</v>
          </cell>
          <cell r="F1025">
            <v>3</v>
          </cell>
          <cell r="G1025">
            <v>37253</v>
          </cell>
          <cell r="H1025" t="str">
            <v>SP</v>
          </cell>
          <cell r="I1025" t="str">
            <v>North America</v>
          </cell>
          <cell r="J1025" t="str">
            <v>USA</v>
          </cell>
          <cell r="K1025">
            <v>36341</v>
          </cell>
        </row>
        <row r="1026">
          <cell r="A1026" t="str">
            <v>In service</v>
          </cell>
          <cell r="B1026" t="str">
            <v>Gulfstream Aerospace Gulfstream IV</v>
          </cell>
          <cell r="C1026" t="str">
            <v>SP</v>
          </cell>
          <cell r="D1026">
            <v>2001</v>
          </cell>
          <cell r="E1026" t="str">
            <v>G4SP Holdings LLC</v>
          </cell>
          <cell r="F1026">
            <v>3</v>
          </cell>
          <cell r="G1026">
            <v>37239</v>
          </cell>
          <cell r="H1026" t="str">
            <v>SP</v>
          </cell>
          <cell r="I1026" t="str">
            <v>North America</v>
          </cell>
          <cell r="J1026" t="str">
            <v>USA</v>
          </cell>
          <cell r="K1026">
            <v>36707</v>
          </cell>
        </row>
        <row r="1027">
          <cell r="A1027" t="str">
            <v>In service</v>
          </cell>
          <cell r="B1027" t="str">
            <v>Gulfstream Aerospace Gulfstream IV</v>
          </cell>
          <cell r="C1027" t="str">
            <v>SP</v>
          </cell>
          <cell r="D1027">
            <v>2002</v>
          </cell>
          <cell r="E1027" t="str">
            <v>Educap Inc</v>
          </cell>
          <cell r="F1027">
            <v>2</v>
          </cell>
          <cell r="G1027">
            <v>37468</v>
          </cell>
          <cell r="H1027" t="str">
            <v>SP</v>
          </cell>
          <cell r="I1027" t="str">
            <v>North America</v>
          </cell>
          <cell r="J1027" t="str">
            <v>USA</v>
          </cell>
          <cell r="K1027">
            <v>36707</v>
          </cell>
        </row>
        <row r="1028">
          <cell r="A1028" t="str">
            <v>In service</v>
          </cell>
          <cell r="B1028" t="str">
            <v>Gulfstream Aerospace Gulfstream IV</v>
          </cell>
          <cell r="C1028" t="str">
            <v>SP</v>
          </cell>
          <cell r="D1028">
            <v>2002</v>
          </cell>
          <cell r="E1028" t="str">
            <v>Starflite International Corp</v>
          </cell>
          <cell r="F1028">
            <v>2</v>
          </cell>
          <cell r="G1028">
            <v>37434</v>
          </cell>
          <cell r="H1028" t="str">
            <v>SP</v>
          </cell>
          <cell r="I1028" t="str">
            <v>North America</v>
          </cell>
          <cell r="J1028" t="str">
            <v>USA</v>
          </cell>
          <cell r="K1028">
            <v>36707</v>
          </cell>
        </row>
        <row r="1029">
          <cell r="A1029" t="str">
            <v>In service</v>
          </cell>
          <cell r="B1029" t="str">
            <v>Gulfstream Aerospace Gulfstream IV</v>
          </cell>
          <cell r="C1029" t="str">
            <v>SP</v>
          </cell>
          <cell r="D1029">
            <v>2002</v>
          </cell>
          <cell r="E1029" t="str">
            <v>Tadic Inc</v>
          </cell>
          <cell r="F1029">
            <v>2</v>
          </cell>
          <cell r="G1029">
            <v>37550</v>
          </cell>
          <cell r="H1029" t="str">
            <v>SP</v>
          </cell>
          <cell r="I1029" t="str">
            <v>North America</v>
          </cell>
          <cell r="J1029" t="str">
            <v>USA</v>
          </cell>
          <cell r="K1029">
            <v>37072</v>
          </cell>
        </row>
        <row r="1030">
          <cell r="A1030" t="str">
            <v>In service</v>
          </cell>
          <cell r="B1030" t="str">
            <v>Gulfstream Aerospace Gulfstream IV</v>
          </cell>
          <cell r="C1030" t="str">
            <v>SP</v>
          </cell>
          <cell r="D1030">
            <v>2002</v>
          </cell>
          <cell r="E1030" t="str">
            <v>Prime Jet LLC</v>
          </cell>
          <cell r="F1030">
            <v>2</v>
          </cell>
          <cell r="G1030">
            <v>37463</v>
          </cell>
          <cell r="H1030" t="str">
            <v>SP</v>
          </cell>
          <cell r="I1030" t="str">
            <v>North America</v>
          </cell>
          <cell r="J1030" t="str">
            <v>USA</v>
          </cell>
          <cell r="K1030">
            <v>36707</v>
          </cell>
        </row>
        <row r="1031">
          <cell r="A1031" t="str">
            <v>In service</v>
          </cell>
          <cell r="B1031" t="str">
            <v>Gulfstream Aerospace Gulfstream IV</v>
          </cell>
          <cell r="C1031" t="str">
            <v>SP</v>
          </cell>
          <cell r="D1031">
            <v>2002</v>
          </cell>
          <cell r="E1031" t="str">
            <v>Chelsea Holdings LLC</v>
          </cell>
          <cell r="F1031">
            <v>2</v>
          </cell>
          <cell r="G1031">
            <v>37526</v>
          </cell>
          <cell r="H1031" t="str">
            <v>SP</v>
          </cell>
          <cell r="I1031" t="str">
            <v>North America</v>
          </cell>
          <cell r="J1031" t="str">
            <v>USA</v>
          </cell>
          <cell r="K1031">
            <v>36707</v>
          </cell>
        </row>
        <row r="1032">
          <cell r="A1032" t="str">
            <v>In service</v>
          </cell>
          <cell r="B1032" t="str">
            <v>Gulfstream Aerospace Gulfstream IV</v>
          </cell>
          <cell r="C1032" t="str">
            <v>SP</v>
          </cell>
          <cell r="D1032">
            <v>2002</v>
          </cell>
          <cell r="E1032" t="str">
            <v>Computer Sciences Corp</v>
          </cell>
          <cell r="F1032">
            <v>2</v>
          </cell>
          <cell r="G1032">
            <v>37471</v>
          </cell>
          <cell r="H1032" t="str">
            <v>SP</v>
          </cell>
          <cell r="I1032" t="str">
            <v>North America</v>
          </cell>
          <cell r="J1032" t="str">
            <v>USA</v>
          </cell>
          <cell r="K1032">
            <v>36707</v>
          </cell>
        </row>
        <row r="1033">
          <cell r="A1033" t="str">
            <v>In service</v>
          </cell>
          <cell r="B1033" t="str">
            <v>Gulfstream Aerospace Gulfstream IV</v>
          </cell>
          <cell r="C1033" t="str">
            <v>SP</v>
          </cell>
          <cell r="D1033">
            <v>2002</v>
          </cell>
          <cell r="E1033" t="str">
            <v>DS Aviation Inc</v>
          </cell>
          <cell r="F1033">
            <v>2</v>
          </cell>
          <cell r="G1033">
            <v>37498</v>
          </cell>
          <cell r="H1033" t="str">
            <v>SP</v>
          </cell>
          <cell r="I1033" t="str">
            <v>North America</v>
          </cell>
          <cell r="J1033" t="str">
            <v>USA</v>
          </cell>
          <cell r="K1033">
            <v>36707</v>
          </cell>
        </row>
        <row r="1034">
          <cell r="A1034" t="str">
            <v>In service</v>
          </cell>
          <cell r="B1034" t="str">
            <v>Gulfstream Aerospace Gulfstream IV</v>
          </cell>
          <cell r="C1034" t="str">
            <v>SP</v>
          </cell>
          <cell r="D1034">
            <v>2002</v>
          </cell>
          <cell r="E1034" t="str">
            <v>Braxton Management Services LLC</v>
          </cell>
          <cell r="F1034">
            <v>2</v>
          </cell>
          <cell r="G1034">
            <v>37519</v>
          </cell>
          <cell r="H1034" t="str">
            <v>SP</v>
          </cell>
          <cell r="I1034" t="str">
            <v>North America</v>
          </cell>
          <cell r="J1034" t="str">
            <v>USA</v>
          </cell>
          <cell r="K1034">
            <v>36707</v>
          </cell>
        </row>
        <row r="1035">
          <cell r="A1035" t="str">
            <v>In service</v>
          </cell>
          <cell r="B1035" t="str">
            <v>Gulfstream Aerospace Gulfstream IV</v>
          </cell>
          <cell r="C1035" t="str">
            <v>SP</v>
          </cell>
          <cell r="D1035">
            <v>2002</v>
          </cell>
          <cell r="E1035" t="str">
            <v>The Air Group Inc</v>
          </cell>
          <cell r="F1035">
            <v>2</v>
          </cell>
          <cell r="G1035">
            <v>37523</v>
          </cell>
          <cell r="H1035" t="str">
            <v>SP</v>
          </cell>
          <cell r="I1035" t="str">
            <v>North America</v>
          </cell>
          <cell r="J1035" t="str">
            <v>USA</v>
          </cell>
          <cell r="K1035">
            <v>37072</v>
          </cell>
        </row>
        <row r="1036">
          <cell r="A1036" t="str">
            <v>In service</v>
          </cell>
          <cell r="B1036" t="str">
            <v>Gulfstream Aerospace Gulfstream IV</v>
          </cell>
          <cell r="C1036" t="str">
            <v>SP</v>
          </cell>
          <cell r="D1036">
            <v>2002</v>
          </cell>
          <cell r="E1036" t="str">
            <v>NetJets Europe</v>
          </cell>
          <cell r="F1036">
            <v>2</v>
          </cell>
          <cell r="G1036">
            <v>37541</v>
          </cell>
          <cell r="H1036" t="str">
            <v>SP</v>
          </cell>
          <cell r="I1036" t="str">
            <v>Europe</v>
          </cell>
          <cell r="J1036" t="str">
            <v>Portugal</v>
          </cell>
          <cell r="K1036">
            <v>36087</v>
          </cell>
        </row>
        <row r="1037">
          <cell r="A1037" t="str">
            <v>In service</v>
          </cell>
          <cell r="B1037" t="str">
            <v>Gulfstream Aerospace Gulfstream IV</v>
          </cell>
          <cell r="C1037" t="str">
            <v>SP</v>
          </cell>
          <cell r="D1037">
            <v>2002</v>
          </cell>
          <cell r="E1037" t="str">
            <v>SCS Services LLC</v>
          </cell>
          <cell r="F1037">
            <v>2</v>
          </cell>
          <cell r="G1037">
            <v>37607</v>
          </cell>
          <cell r="H1037" t="str">
            <v>SP</v>
          </cell>
          <cell r="I1037" t="str">
            <v>North America</v>
          </cell>
          <cell r="J1037" t="str">
            <v>USA</v>
          </cell>
          <cell r="K1037">
            <v>37072</v>
          </cell>
        </row>
        <row r="1038">
          <cell r="A1038" t="str">
            <v>In service</v>
          </cell>
          <cell r="B1038" t="str">
            <v>Gulfstream Aerospace Gulfstream IV</v>
          </cell>
          <cell r="C1038" t="str">
            <v>SP</v>
          </cell>
          <cell r="D1038">
            <v>2002</v>
          </cell>
          <cell r="E1038" t="str">
            <v>Kaisen LLC</v>
          </cell>
          <cell r="F1038">
            <v>2</v>
          </cell>
          <cell r="G1038">
            <v>37502</v>
          </cell>
          <cell r="H1038" t="str">
            <v>SP</v>
          </cell>
          <cell r="I1038" t="str">
            <v>North America</v>
          </cell>
          <cell r="J1038" t="str">
            <v>USA</v>
          </cell>
          <cell r="K1038">
            <v>37072</v>
          </cell>
        </row>
        <row r="1039">
          <cell r="A1039" t="str">
            <v>In service</v>
          </cell>
          <cell r="B1039" t="str">
            <v>Gulfstream Aerospace Gulfstream IV</v>
          </cell>
          <cell r="C1039" t="str">
            <v>SP</v>
          </cell>
          <cell r="D1039">
            <v>2002</v>
          </cell>
          <cell r="E1039" t="str">
            <v>AirFlite</v>
          </cell>
          <cell r="F1039">
            <v>2</v>
          </cell>
          <cell r="G1039">
            <v>37561</v>
          </cell>
          <cell r="H1039" t="str">
            <v>SP</v>
          </cell>
          <cell r="I1039" t="str">
            <v>North America</v>
          </cell>
          <cell r="J1039" t="str">
            <v>USA</v>
          </cell>
          <cell r="K1039">
            <v>37072</v>
          </cell>
        </row>
        <row r="1040">
          <cell r="A1040" t="str">
            <v>In service</v>
          </cell>
          <cell r="B1040" t="str">
            <v>Gulfstream Aerospace Gulfstream IV</v>
          </cell>
          <cell r="C1040" t="str">
            <v>SP</v>
          </cell>
          <cell r="D1040">
            <v>2002</v>
          </cell>
          <cell r="E1040" t="str">
            <v>Fertitta Enterprises</v>
          </cell>
          <cell r="F1040">
            <v>2</v>
          </cell>
          <cell r="G1040">
            <v>37613</v>
          </cell>
          <cell r="H1040" t="str">
            <v>SP</v>
          </cell>
          <cell r="I1040" t="str">
            <v>North America</v>
          </cell>
          <cell r="J1040" t="str">
            <v>USA</v>
          </cell>
          <cell r="K1040">
            <v>37072</v>
          </cell>
        </row>
        <row r="1041">
          <cell r="A1041" t="str">
            <v>In service</v>
          </cell>
          <cell r="B1041" t="str">
            <v>Gulfstream Aerospace Gulfstream IV</v>
          </cell>
          <cell r="C1041" t="str">
            <v>SP</v>
          </cell>
          <cell r="D1041">
            <v>2002</v>
          </cell>
          <cell r="E1041" t="str">
            <v>Northrop Grumman Systems Corp</v>
          </cell>
          <cell r="F1041">
            <v>2</v>
          </cell>
          <cell r="G1041">
            <v>37770</v>
          </cell>
          <cell r="H1041" t="str">
            <v>SP</v>
          </cell>
          <cell r="I1041" t="str">
            <v>North America</v>
          </cell>
          <cell r="J1041" t="str">
            <v>USA</v>
          </cell>
          <cell r="K1041">
            <v>37072</v>
          </cell>
        </row>
        <row r="1042">
          <cell r="A1042" t="str">
            <v>In service</v>
          </cell>
          <cell r="B1042" t="str">
            <v>Gulfstream Aerospace Gulfstream IV</v>
          </cell>
          <cell r="C1042" t="str">
            <v>SP</v>
          </cell>
          <cell r="D1042">
            <v>2002</v>
          </cell>
          <cell r="E1042" t="str">
            <v>Altria Corporate Services Inc</v>
          </cell>
          <cell r="F1042">
            <v>2</v>
          </cell>
          <cell r="G1042">
            <v>37609</v>
          </cell>
          <cell r="H1042" t="str">
            <v>SP</v>
          </cell>
          <cell r="I1042" t="str">
            <v>North America</v>
          </cell>
          <cell r="J1042" t="str">
            <v>USA</v>
          </cell>
          <cell r="K1042">
            <v>37072</v>
          </cell>
        </row>
        <row r="1043">
          <cell r="A1043" t="str">
            <v>In service</v>
          </cell>
          <cell r="B1043" t="str">
            <v>Gulfstream Aerospace Gulfstream IV</v>
          </cell>
          <cell r="C1043" t="str">
            <v>SP</v>
          </cell>
          <cell r="D1043">
            <v>2002</v>
          </cell>
          <cell r="E1043" t="str">
            <v>Sandler Management Group LLC</v>
          </cell>
          <cell r="F1043">
            <v>2</v>
          </cell>
          <cell r="G1043">
            <v>37435</v>
          </cell>
          <cell r="H1043" t="str">
            <v>SP</v>
          </cell>
          <cell r="I1043" t="str">
            <v>North America</v>
          </cell>
          <cell r="J1043" t="str">
            <v>USA</v>
          </cell>
          <cell r="K1043">
            <v>36707</v>
          </cell>
        </row>
        <row r="1044">
          <cell r="A1044" t="str">
            <v>In service</v>
          </cell>
          <cell r="B1044" t="str">
            <v>Gulfstream Aerospace Gulfstream IV</v>
          </cell>
          <cell r="C1044" t="str">
            <v>SP</v>
          </cell>
          <cell r="D1044">
            <v>2002</v>
          </cell>
          <cell r="E1044" t="str">
            <v>Netjets International</v>
          </cell>
          <cell r="F1044">
            <v>2</v>
          </cell>
          <cell r="G1044">
            <v>37707</v>
          </cell>
          <cell r="H1044" t="str">
            <v>SP</v>
          </cell>
          <cell r="I1044" t="str">
            <v>North America</v>
          </cell>
          <cell r="J1044" t="str">
            <v>USA</v>
          </cell>
          <cell r="K1044">
            <v>36087</v>
          </cell>
        </row>
        <row r="1045">
          <cell r="A1045" t="str">
            <v>In service</v>
          </cell>
          <cell r="B1045" t="str">
            <v>Gulfstream Aerospace Gulfstream IV</v>
          </cell>
          <cell r="C1045" t="str">
            <v>SP</v>
          </cell>
          <cell r="D1045">
            <v>2002</v>
          </cell>
          <cell r="E1045" t="str">
            <v>Delta Jet Ltd</v>
          </cell>
          <cell r="F1045">
            <v>2</v>
          </cell>
          <cell r="G1045">
            <v>37651</v>
          </cell>
          <cell r="H1045" t="str">
            <v>SP</v>
          </cell>
          <cell r="I1045" t="str">
            <v>North America</v>
          </cell>
          <cell r="J1045" t="str">
            <v>USA</v>
          </cell>
          <cell r="K1045">
            <v>37072</v>
          </cell>
        </row>
        <row r="1046">
          <cell r="A1046" t="str">
            <v>In service</v>
          </cell>
          <cell r="B1046" t="str">
            <v>Gulfstream Aerospace Gulfstream IV</v>
          </cell>
          <cell r="C1046" t="str">
            <v>SP</v>
          </cell>
          <cell r="D1046">
            <v>2002</v>
          </cell>
          <cell r="E1046" t="str">
            <v>Marsico Aviation LLC</v>
          </cell>
          <cell r="F1046">
            <v>2</v>
          </cell>
          <cell r="G1046">
            <v>37708</v>
          </cell>
          <cell r="H1046" t="str">
            <v>SP</v>
          </cell>
          <cell r="I1046" t="str">
            <v>North America</v>
          </cell>
          <cell r="J1046" t="str">
            <v>USA</v>
          </cell>
          <cell r="K1046">
            <v>37072</v>
          </cell>
        </row>
        <row r="1047">
          <cell r="A1047" t="str">
            <v>In service</v>
          </cell>
          <cell r="B1047" t="str">
            <v>Gulfstream Aerospace Gulfstream IV</v>
          </cell>
          <cell r="C1047" t="str">
            <v>SP</v>
          </cell>
          <cell r="D1047">
            <v>2002</v>
          </cell>
          <cell r="E1047" t="str">
            <v>Eastman Chemical Co</v>
          </cell>
          <cell r="F1047">
            <v>2</v>
          </cell>
          <cell r="G1047">
            <v>37666</v>
          </cell>
          <cell r="H1047" t="str">
            <v>SP</v>
          </cell>
          <cell r="I1047" t="str">
            <v>North America</v>
          </cell>
          <cell r="J1047" t="str">
            <v>USA</v>
          </cell>
          <cell r="K1047">
            <v>37072</v>
          </cell>
        </row>
        <row r="1048">
          <cell r="A1048" t="str">
            <v>In service</v>
          </cell>
          <cell r="B1048" t="str">
            <v>Gulfstream Aerospace Gulfstream IV</v>
          </cell>
          <cell r="C1048" t="str">
            <v>SP</v>
          </cell>
          <cell r="D1048">
            <v>2002</v>
          </cell>
          <cell r="E1048" t="str">
            <v>Mandalay Resort Group</v>
          </cell>
          <cell r="F1048">
            <v>2</v>
          </cell>
          <cell r="G1048">
            <v>37697</v>
          </cell>
          <cell r="H1048" t="str">
            <v>SP</v>
          </cell>
          <cell r="I1048" t="str">
            <v>North America</v>
          </cell>
          <cell r="J1048" t="str">
            <v>USA</v>
          </cell>
          <cell r="K1048">
            <v>37072</v>
          </cell>
        </row>
        <row r="1049">
          <cell r="A1049" t="str">
            <v>In service</v>
          </cell>
          <cell r="B1049" t="str">
            <v>Gulfstream Aerospace Gulfstream IV</v>
          </cell>
          <cell r="C1049" t="str">
            <v>SP</v>
          </cell>
          <cell r="D1049">
            <v>2002</v>
          </cell>
          <cell r="E1049" t="str">
            <v>Dick's Sporting Goods Inc</v>
          </cell>
          <cell r="F1049">
            <v>2</v>
          </cell>
          <cell r="G1049">
            <v>37621</v>
          </cell>
          <cell r="H1049" t="str">
            <v>SP</v>
          </cell>
          <cell r="I1049" t="str">
            <v>North America</v>
          </cell>
          <cell r="J1049" t="str">
            <v>USA</v>
          </cell>
          <cell r="K1049">
            <v>37072</v>
          </cell>
        </row>
        <row r="1050">
          <cell r="A1050" t="str">
            <v>In service</v>
          </cell>
          <cell r="B1050" t="str">
            <v>Gulfstream Aerospace Gulfstream IV</v>
          </cell>
          <cell r="C1050" t="str">
            <v>SP</v>
          </cell>
          <cell r="D1050">
            <v>2002</v>
          </cell>
          <cell r="E1050" t="str">
            <v>Fletcher Jones Management Group Inc</v>
          </cell>
          <cell r="F1050">
            <v>2</v>
          </cell>
          <cell r="G1050">
            <v>37694</v>
          </cell>
          <cell r="H1050" t="str">
            <v>SP</v>
          </cell>
          <cell r="I1050" t="str">
            <v>North America</v>
          </cell>
          <cell r="J1050" t="str">
            <v>USA</v>
          </cell>
          <cell r="K1050">
            <v>37072</v>
          </cell>
        </row>
        <row r="1051">
          <cell r="A1051" t="str">
            <v>In service</v>
          </cell>
          <cell r="B1051" t="str">
            <v>Gulfstream Aerospace Gulfstream IV</v>
          </cell>
          <cell r="C1051" t="str">
            <v>SP</v>
          </cell>
          <cell r="D1051">
            <v>2002</v>
          </cell>
          <cell r="E1051" t="str">
            <v>Dacion Corp</v>
          </cell>
          <cell r="F1051">
            <v>2</v>
          </cell>
          <cell r="G1051">
            <v>37771</v>
          </cell>
          <cell r="H1051" t="str">
            <v>SP</v>
          </cell>
          <cell r="I1051" t="str">
            <v>North America</v>
          </cell>
          <cell r="J1051" t="str">
            <v>USA</v>
          </cell>
          <cell r="K1051">
            <v>37072</v>
          </cell>
        </row>
        <row r="1052">
          <cell r="A1052" t="str">
            <v>In service</v>
          </cell>
          <cell r="B1052" t="str">
            <v>Gulfstream Aerospace Gulfstream IV</v>
          </cell>
          <cell r="C1052" t="str">
            <v>SP</v>
          </cell>
          <cell r="D1052">
            <v>2002</v>
          </cell>
          <cell r="E1052" t="str">
            <v>Prime Jet LLC</v>
          </cell>
          <cell r="F1052">
            <v>2</v>
          </cell>
          <cell r="G1052">
            <v>37708</v>
          </cell>
          <cell r="H1052" t="str">
            <v>SP</v>
          </cell>
          <cell r="I1052" t="str">
            <v>North America</v>
          </cell>
          <cell r="J1052" t="str">
            <v>USA</v>
          </cell>
          <cell r="K1052">
            <v>37072</v>
          </cell>
        </row>
        <row r="1053">
          <cell r="A1053" t="str">
            <v>In service</v>
          </cell>
          <cell r="B1053" t="str">
            <v>Gulfstream Aerospace Gulfstream IV</v>
          </cell>
          <cell r="C1053" t="str">
            <v>SP</v>
          </cell>
          <cell r="D1053">
            <v>2002</v>
          </cell>
          <cell r="E1053" t="str">
            <v>GEH Air Transportation LLC</v>
          </cell>
          <cell r="F1053">
            <v>2</v>
          </cell>
          <cell r="G1053">
            <v>37797</v>
          </cell>
          <cell r="H1053" t="str">
            <v>SP</v>
          </cell>
          <cell r="I1053" t="str">
            <v>North America</v>
          </cell>
          <cell r="J1053" t="str">
            <v>USA</v>
          </cell>
          <cell r="K1053">
            <v>37072</v>
          </cell>
        </row>
        <row r="1054">
          <cell r="A1054" t="str">
            <v>In service</v>
          </cell>
          <cell r="B1054" t="str">
            <v>Gulfstream Aerospace Gulfstream IV</v>
          </cell>
          <cell r="C1054" t="str">
            <v>SP</v>
          </cell>
          <cell r="D1054">
            <v>2002</v>
          </cell>
          <cell r="E1054" t="str">
            <v>Huffco Group LLC</v>
          </cell>
          <cell r="F1054">
            <v>2</v>
          </cell>
          <cell r="G1054">
            <v>37734</v>
          </cell>
          <cell r="H1054" t="str">
            <v>SP</v>
          </cell>
          <cell r="I1054" t="str">
            <v>North America</v>
          </cell>
          <cell r="J1054" t="str">
            <v>USA</v>
          </cell>
          <cell r="K1054">
            <v>37072</v>
          </cell>
        </row>
        <row r="1055">
          <cell r="A1055" t="str">
            <v>In service</v>
          </cell>
          <cell r="B1055" t="str">
            <v>Gulfstream Aerospace Gulfstream IV</v>
          </cell>
          <cell r="C1055" t="str">
            <v>SP</v>
          </cell>
          <cell r="D1055">
            <v>2002</v>
          </cell>
          <cell r="E1055" t="str">
            <v>HG Wells Aviation II LLC</v>
          </cell>
          <cell r="F1055">
            <v>2</v>
          </cell>
          <cell r="G1055">
            <v>37601</v>
          </cell>
          <cell r="H1055" t="str">
            <v>SP</v>
          </cell>
          <cell r="I1055" t="str">
            <v>North America</v>
          </cell>
          <cell r="J1055" t="str">
            <v>USA</v>
          </cell>
          <cell r="K1055">
            <v>37072</v>
          </cell>
        </row>
        <row r="1056">
          <cell r="A1056" t="str">
            <v>In service</v>
          </cell>
          <cell r="B1056" t="str">
            <v>Gulfstream Aerospace Gulfstream IV</v>
          </cell>
          <cell r="C1056" t="str">
            <v>U-4</v>
          </cell>
          <cell r="D1056">
            <v>1995</v>
          </cell>
          <cell r="E1056" t="str">
            <v>Japanese Air Self Defence Force</v>
          </cell>
          <cell r="F1056">
            <v>9</v>
          </cell>
          <cell r="G1056">
            <v>35384</v>
          </cell>
          <cell r="H1056" t="str">
            <v>U-4</v>
          </cell>
          <cell r="I1056" t="str">
            <v>Asia</v>
          </cell>
          <cell r="J1056" t="str">
            <v>Japan</v>
          </cell>
          <cell r="K1056">
            <v>34880</v>
          </cell>
        </row>
        <row r="1057">
          <cell r="A1057" t="str">
            <v>In service</v>
          </cell>
          <cell r="B1057" t="str">
            <v>Gulfstream Aerospace Gulfstream IV</v>
          </cell>
          <cell r="C1057" t="str">
            <v>U-4</v>
          </cell>
          <cell r="D1057">
            <v>1995</v>
          </cell>
          <cell r="E1057" t="str">
            <v>Japanese Air Self Defence Force</v>
          </cell>
          <cell r="F1057">
            <v>9</v>
          </cell>
          <cell r="G1057">
            <v>35504</v>
          </cell>
          <cell r="H1057" t="str">
            <v>U-4</v>
          </cell>
          <cell r="I1057" t="str">
            <v>Asia</v>
          </cell>
          <cell r="J1057" t="str">
            <v>Japan</v>
          </cell>
          <cell r="K1057">
            <v>34880</v>
          </cell>
        </row>
        <row r="1058">
          <cell r="A1058" t="str">
            <v>In service</v>
          </cell>
          <cell r="B1058" t="str">
            <v>Gulfstream Aerospace Gulfstream IV</v>
          </cell>
          <cell r="C1058" t="str">
            <v>U-4</v>
          </cell>
          <cell r="D1058">
            <v>1997</v>
          </cell>
          <cell r="E1058" t="str">
            <v>Japanese Air Self Defence Force</v>
          </cell>
          <cell r="F1058">
            <v>7</v>
          </cell>
          <cell r="G1058">
            <v>35688</v>
          </cell>
          <cell r="H1058" t="str">
            <v>U-4</v>
          </cell>
          <cell r="I1058" t="str">
            <v>Asia</v>
          </cell>
          <cell r="J1058" t="str">
            <v>Japan</v>
          </cell>
          <cell r="K1058">
            <v>35246</v>
          </cell>
        </row>
        <row r="1059">
          <cell r="A1059" t="str">
            <v>In service</v>
          </cell>
          <cell r="B1059" t="str">
            <v>Gulfstream Aerospace Gulfstream IV</v>
          </cell>
          <cell r="C1059" t="str">
            <v>U-4</v>
          </cell>
          <cell r="D1059">
            <v>1999</v>
          </cell>
          <cell r="E1059" t="str">
            <v>Japanese Air Self Defence Force</v>
          </cell>
          <cell r="F1059">
            <v>5</v>
          </cell>
          <cell r="G1059">
            <v>36234</v>
          </cell>
          <cell r="H1059" t="str">
            <v>U-4</v>
          </cell>
          <cell r="I1059" t="str">
            <v>Asia</v>
          </cell>
          <cell r="J1059" t="str">
            <v>Japan</v>
          </cell>
          <cell r="K1059">
            <v>35611</v>
          </cell>
        </row>
        <row r="1060">
          <cell r="A1060" t="str">
            <v>In service</v>
          </cell>
          <cell r="B1060" t="str">
            <v>Gulfstream Aerospace Gulfstream IV</v>
          </cell>
          <cell r="C1060" t="str">
            <v>U-4</v>
          </cell>
          <cell r="D1060">
            <v>1999</v>
          </cell>
          <cell r="E1060" t="str">
            <v>Japanese Air Self Defence Force</v>
          </cell>
          <cell r="F1060">
            <v>5</v>
          </cell>
          <cell r="G1060">
            <v>36586</v>
          </cell>
          <cell r="H1060" t="str">
            <v>U-4</v>
          </cell>
          <cell r="I1060" t="str">
            <v>Asia</v>
          </cell>
          <cell r="J1060" t="str">
            <v>Japan</v>
          </cell>
          <cell r="K1060">
            <v>35976</v>
          </cell>
        </row>
        <row r="1061">
          <cell r="A1061" t="str">
            <v>In service</v>
          </cell>
          <cell r="B1061" t="str">
            <v>Gulfstream Aerospace Gulfstream V</v>
          </cell>
          <cell r="C1061" t="str">
            <v xml:space="preserve"> </v>
          </cell>
          <cell r="D1061">
            <v>1995</v>
          </cell>
          <cell r="E1061" t="str">
            <v>Gulfstream Aerospace Corp</v>
          </cell>
          <cell r="F1061">
            <v>9</v>
          </cell>
          <cell r="G1061">
            <v>35864</v>
          </cell>
          <cell r="I1061" t="str">
            <v>North America</v>
          </cell>
          <cell r="J1061" t="str">
            <v>USA</v>
          </cell>
        </row>
        <row r="1062">
          <cell r="A1062" t="str">
            <v>In service</v>
          </cell>
          <cell r="B1062" t="str">
            <v>Gulfstream Aerospace Gulfstream V</v>
          </cell>
          <cell r="C1062" t="str">
            <v xml:space="preserve"> </v>
          </cell>
          <cell r="D1062">
            <v>1996</v>
          </cell>
          <cell r="E1062" t="str">
            <v>Skyflight Leasing Ltd</v>
          </cell>
          <cell r="F1062">
            <v>8</v>
          </cell>
          <cell r="G1062">
            <v>36405</v>
          </cell>
          <cell r="I1062" t="str">
            <v>North America</v>
          </cell>
          <cell r="J1062" t="str">
            <v>USA</v>
          </cell>
        </row>
        <row r="1063">
          <cell r="A1063" t="str">
            <v>In service</v>
          </cell>
          <cell r="B1063" t="str">
            <v>Gulfstream Aerospace Gulfstream V</v>
          </cell>
          <cell r="C1063" t="str">
            <v xml:space="preserve"> </v>
          </cell>
          <cell r="D1063">
            <v>1996</v>
          </cell>
          <cell r="E1063" t="str">
            <v>FL Aviation Group Inc</v>
          </cell>
          <cell r="F1063">
            <v>8</v>
          </cell>
          <cell r="G1063">
            <v>35976</v>
          </cell>
          <cell r="I1063" t="str">
            <v>North America</v>
          </cell>
          <cell r="J1063" t="str">
            <v>USA</v>
          </cell>
        </row>
        <row r="1064">
          <cell r="A1064" t="str">
            <v>In service</v>
          </cell>
          <cell r="B1064" t="str">
            <v>Gulfstream Aerospace Gulfstream V</v>
          </cell>
          <cell r="C1064" t="str">
            <v xml:space="preserve"> </v>
          </cell>
          <cell r="D1064">
            <v>1996</v>
          </cell>
          <cell r="E1064" t="str">
            <v>Renco Group Inc</v>
          </cell>
          <cell r="F1064">
            <v>8</v>
          </cell>
          <cell r="G1064">
            <v>35685</v>
          </cell>
          <cell r="I1064" t="str">
            <v>North America</v>
          </cell>
          <cell r="J1064" t="str">
            <v>USA</v>
          </cell>
        </row>
        <row r="1065">
          <cell r="A1065" t="str">
            <v>In service</v>
          </cell>
          <cell r="B1065" t="str">
            <v>Gulfstream Aerospace Gulfstream V</v>
          </cell>
          <cell r="C1065" t="str">
            <v xml:space="preserve"> </v>
          </cell>
          <cell r="D1065">
            <v>1996</v>
          </cell>
          <cell r="E1065" t="str">
            <v>Westair Aviation</v>
          </cell>
          <cell r="F1065">
            <v>8</v>
          </cell>
          <cell r="G1065">
            <v>35756</v>
          </cell>
          <cell r="I1065" t="str">
            <v>Europe</v>
          </cell>
          <cell r="J1065" t="str">
            <v>Ireland</v>
          </cell>
        </row>
        <row r="1066">
          <cell r="A1066" t="str">
            <v>In service</v>
          </cell>
          <cell r="B1066" t="str">
            <v>Gulfstream Aerospace Gulfstream V</v>
          </cell>
          <cell r="C1066" t="str">
            <v xml:space="preserve"> </v>
          </cell>
          <cell r="D1066">
            <v>1997</v>
          </cell>
          <cell r="E1066" t="str">
            <v>Datel Holdings Ltd</v>
          </cell>
          <cell r="F1066">
            <v>7</v>
          </cell>
          <cell r="G1066">
            <v>35648</v>
          </cell>
          <cell r="I1066" t="str">
            <v>Europe</v>
          </cell>
          <cell r="J1066" t="str">
            <v>United Kingdom</v>
          </cell>
          <cell r="K1066">
            <v>35246</v>
          </cell>
        </row>
        <row r="1067">
          <cell r="A1067" t="str">
            <v>In service</v>
          </cell>
          <cell r="B1067" t="str">
            <v>Gulfstream Aerospace Gulfstream V</v>
          </cell>
          <cell r="C1067" t="str">
            <v xml:space="preserve"> </v>
          </cell>
          <cell r="D1067">
            <v>1997</v>
          </cell>
          <cell r="E1067" t="str">
            <v>Leonore Annenberg</v>
          </cell>
          <cell r="F1067">
            <v>7</v>
          </cell>
          <cell r="G1067">
            <v>35612</v>
          </cell>
          <cell r="I1067" t="str">
            <v>North America</v>
          </cell>
          <cell r="J1067" t="str">
            <v>USA</v>
          </cell>
          <cell r="K1067">
            <v>34880</v>
          </cell>
        </row>
        <row r="1068">
          <cell r="A1068" t="str">
            <v>In service</v>
          </cell>
          <cell r="B1068" t="str">
            <v>Gulfstream Aerospace Gulfstream V</v>
          </cell>
          <cell r="C1068" t="str">
            <v xml:space="preserve"> </v>
          </cell>
          <cell r="D1068">
            <v>1997</v>
          </cell>
          <cell r="E1068" t="str">
            <v>Emax LLC</v>
          </cell>
          <cell r="F1068">
            <v>7</v>
          </cell>
          <cell r="G1068">
            <v>35476</v>
          </cell>
          <cell r="I1068" t="str">
            <v>North America</v>
          </cell>
          <cell r="J1068" t="str">
            <v>USA</v>
          </cell>
          <cell r="K1068">
            <v>35246</v>
          </cell>
        </row>
        <row r="1069">
          <cell r="A1069" t="str">
            <v>In service</v>
          </cell>
          <cell r="B1069" t="str">
            <v>Gulfstream Aerospace Gulfstream V</v>
          </cell>
          <cell r="C1069" t="str">
            <v xml:space="preserve"> </v>
          </cell>
          <cell r="D1069">
            <v>1997</v>
          </cell>
          <cell r="E1069" t="str">
            <v>BMW Flugdienst</v>
          </cell>
          <cell r="F1069">
            <v>7</v>
          </cell>
          <cell r="G1069">
            <v>35802</v>
          </cell>
          <cell r="I1069" t="str">
            <v>Europe</v>
          </cell>
          <cell r="J1069" t="str">
            <v>Germany</v>
          </cell>
          <cell r="K1069">
            <v>35246</v>
          </cell>
        </row>
        <row r="1070">
          <cell r="A1070" t="str">
            <v>In service</v>
          </cell>
          <cell r="B1070" t="str">
            <v>Gulfstream Aerospace Gulfstream V</v>
          </cell>
          <cell r="C1070" t="str">
            <v xml:space="preserve"> </v>
          </cell>
          <cell r="D1070">
            <v>1997</v>
          </cell>
          <cell r="E1070" t="str">
            <v>Rolls-Royce</v>
          </cell>
          <cell r="F1070">
            <v>7</v>
          </cell>
          <cell r="G1070">
            <v>35749</v>
          </cell>
          <cell r="I1070" t="str">
            <v>Europe</v>
          </cell>
          <cell r="J1070" t="str">
            <v>United Kingdom</v>
          </cell>
          <cell r="K1070">
            <v>34880</v>
          </cell>
        </row>
        <row r="1071">
          <cell r="A1071" t="str">
            <v>In service</v>
          </cell>
          <cell r="B1071" t="str">
            <v>Gulfstream Aerospace Gulfstream V</v>
          </cell>
          <cell r="C1071" t="str">
            <v xml:space="preserve"> </v>
          </cell>
          <cell r="D1071">
            <v>1997</v>
          </cell>
          <cell r="E1071" t="str">
            <v>Ropa Two Corp</v>
          </cell>
          <cell r="F1071">
            <v>7</v>
          </cell>
          <cell r="G1071">
            <v>35515</v>
          </cell>
          <cell r="I1071" t="str">
            <v>North America</v>
          </cell>
          <cell r="J1071" t="str">
            <v>USA</v>
          </cell>
          <cell r="K1071">
            <v>34880</v>
          </cell>
        </row>
        <row r="1072">
          <cell r="A1072" t="str">
            <v>In service</v>
          </cell>
          <cell r="B1072" t="str">
            <v>Gulfstream Aerospace Gulfstream V</v>
          </cell>
          <cell r="C1072" t="str">
            <v xml:space="preserve"> </v>
          </cell>
          <cell r="D1072">
            <v>1997</v>
          </cell>
          <cell r="E1072" t="str">
            <v>Jet Aviation Business Jets</v>
          </cell>
          <cell r="F1072">
            <v>7</v>
          </cell>
          <cell r="G1072">
            <v>35587</v>
          </cell>
          <cell r="I1072" t="str">
            <v>Europe</v>
          </cell>
          <cell r="J1072" t="str">
            <v>Switzerland</v>
          </cell>
          <cell r="K1072">
            <v>35246</v>
          </cell>
        </row>
        <row r="1073">
          <cell r="A1073" t="str">
            <v>In service</v>
          </cell>
          <cell r="B1073" t="str">
            <v>Gulfstream Aerospace Gulfstream V</v>
          </cell>
          <cell r="C1073" t="str">
            <v xml:space="preserve"> </v>
          </cell>
          <cell r="D1073">
            <v>1997</v>
          </cell>
          <cell r="E1073" t="str">
            <v>Garthorpe Inc</v>
          </cell>
          <cell r="F1073">
            <v>7</v>
          </cell>
          <cell r="G1073">
            <v>35565</v>
          </cell>
          <cell r="I1073" t="str">
            <v>North America</v>
          </cell>
          <cell r="J1073" t="str">
            <v>USA</v>
          </cell>
          <cell r="K1073">
            <v>35246</v>
          </cell>
        </row>
        <row r="1074">
          <cell r="A1074" t="str">
            <v>In service</v>
          </cell>
          <cell r="B1074" t="str">
            <v>Gulfstream Aerospace Gulfstream V</v>
          </cell>
          <cell r="C1074" t="str">
            <v xml:space="preserve"> </v>
          </cell>
          <cell r="D1074">
            <v>1997</v>
          </cell>
          <cell r="E1074" t="str">
            <v>Starjet Ltd</v>
          </cell>
          <cell r="F1074">
            <v>7</v>
          </cell>
          <cell r="G1074">
            <v>35688</v>
          </cell>
          <cell r="I1074" t="str">
            <v>Unknown area</v>
          </cell>
          <cell r="J1074" t="str">
            <v>Unknown Country</v>
          </cell>
          <cell r="K1074">
            <v>35246</v>
          </cell>
        </row>
        <row r="1075">
          <cell r="A1075" t="str">
            <v>In service</v>
          </cell>
          <cell r="B1075" t="str">
            <v>Gulfstream Aerospace Gulfstream V</v>
          </cell>
          <cell r="C1075" t="str">
            <v xml:space="preserve"> </v>
          </cell>
          <cell r="D1075">
            <v>1997</v>
          </cell>
          <cell r="E1075" t="str">
            <v>Bank of America Special Assets Corp</v>
          </cell>
          <cell r="F1075">
            <v>7</v>
          </cell>
          <cell r="G1075">
            <v>35611</v>
          </cell>
          <cell r="I1075" t="str">
            <v>North America</v>
          </cell>
          <cell r="J1075" t="str">
            <v>USA</v>
          </cell>
          <cell r="K1075">
            <v>34880</v>
          </cell>
        </row>
        <row r="1076">
          <cell r="A1076" t="str">
            <v>In service</v>
          </cell>
          <cell r="B1076" t="str">
            <v>Gulfstream Aerospace Gulfstream V</v>
          </cell>
          <cell r="C1076" t="str">
            <v xml:space="preserve"> </v>
          </cell>
          <cell r="D1076">
            <v>1997</v>
          </cell>
          <cell r="E1076" t="str">
            <v>G5 Executive</v>
          </cell>
          <cell r="F1076">
            <v>7</v>
          </cell>
          <cell r="G1076">
            <v>35657</v>
          </cell>
          <cell r="I1076" t="str">
            <v>Europe</v>
          </cell>
          <cell r="J1076" t="str">
            <v>Switzerland</v>
          </cell>
          <cell r="K1076">
            <v>34880</v>
          </cell>
        </row>
        <row r="1077">
          <cell r="A1077" t="str">
            <v>In service</v>
          </cell>
          <cell r="B1077" t="str">
            <v>Gulfstream Aerospace Gulfstream V</v>
          </cell>
          <cell r="C1077" t="str">
            <v xml:space="preserve"> </v>
          </cell>
          <cell r="D1077">
            <v>1997</v>
          </cell>
          <cell r="E1077" t="str">
            <v>General Dynamics Corp</v>
          </cell>
          <cell r="F1077">
            <v>7</v>
          </cell>
          <cell r="G1077">
            <v>35991</v>
          </cell>
          <cell r="I1077" t="str">
            <v>North America</v>
          </cell>
          <cell r="J1077" t="str">
            <v>USA</v>
          </cell>
          <cell r="K1077">
            <v>35246</v>
          </cell>
        </row>
        <row r="1078">
          <cell r="A1078" t="str">
            <v>In service</v>
          </cell>
          <cell r="B1078" t="str">
            <v>Gulfstream Aerospace Gulfstream V</v>
          </cell>
          <cell r="C1078" t="str">
            <v xml:space="preserve"> </v>
          </cell>
          <cell r="D1078">
            <v>1997</v>
          </cell>
          <cell r="E1078" t="str">
            <v>Trans World Oil</v>
          </cell>
          <cell r="F1078">
            <v>7</v>
          </cell>
          <cell r="G1078">
            <v>35836</v>
          </cell>
          <cell r="I1078" t="str">
            <v>Latin America and Caribbean</v>
          </cell>
          <cell r="J1078" t="str">
            <v>Cayman Islands</v>
          </cell>
          <cell r="K1078">
            <v>35246</v>
          </cell>
        </row>
        <row r="1079">
          <cell r="A1079" t="str">
            <v>In service</v>
          </cell>
          <cell r="B1079" t="str">
            <v>Gulfstream Aerospace Gulfstream V</v>
          </cell>
          <cell r="C1079" t="str">
            <v xml:space="preserve"> </v>
          </cell>
          <cell r="D1079">
            <v>1998</v>
          </cell>
          <cell r="E1079" t="str">
            <v>Aspen I LLC</v>
          </cell>
          <cell r="F1079">
            <v>6</v>
          </cell>
          <cell r="G1079">
            <v>35872</v>
          </cell>
          <cell r="I1079" t="str">
            <v>North America</v>
          </cell>
          <cell r="J1079" t="str">
            <v>USA</v>
          </cell>
          <cell r="K1079">
            <v>35246</v>
          </cell>
        </row>
        <row r="1080">
          <cell r="A1080" t="str">
            <v>In service</v>
          </cell>
          <cell r="B1080" t="str">
            <v>Gulfstream Aerospace Gulfstream V</v>
          </cell>
          <cell r="C1080" t="str">
            <v xml:space="preserve"> </v>
          </cell>
          <cell r="D1080">
            <v>1998</v>
          </cell>
          <cell r="E1080" t="str">
            <v>US Air Force</v>
          </cell>
          <cell r="F1080">
            <v>6</v>
          </cell>
          <cell r="G1080">
            <v>36082</v>
          </cell>
          <cell r="H1080" t="str">
            <v>C-37A</v>
          </cell>
          <cell r="I1080" t="str">
            <v>North America</v>
          </cell>
          <cell r="J1080" t="str">
            <v>USA</v>
          </cell>
          <cell r="K1080">
            <v>35559</v>
          </cell>
        </row>
        <row r="1081">
          <cell r="A1081" t="str">
            <v>In service</v>
          </cell>
          <cell r="B1081" t="str">
            <v>Gulfstream Aerospace Gulfstream V</v>
          </cell>
          <cell r="C1081" t="str">
            <v xml:space="preserve"> </v>
          </cell>
          <cell r="D1081">
            <v>1998</v>
          </cell>
          <cell r="E1081" t="str">
            <v>Chargers Football Co LLC</v>
          </cell>
          <cell r="F1081">
            <v>6</v>
          </cell>
          <cell r="G1081">
            <v>35905</v>
          </cell>
          <cell r="I1081" t="str">
            <v>North America</v>
          </cell>
          <cell r="J1081" t="str">
            <v>USA</v>
          </cell>
          <cell r="K1081">
            <v>34880</v>
          </cell>
        </row>
        <row r="1082">
          <cell r="A1082" t="str">
            <v>In service</v>
          </cell>
          <cell r="B1082" t="str">
            <v>Gulfstream Aerospace Gulfstream V</v>
          </cell>
          <cell r="C1082" t="str">
            <v xml:space="preserve"> </v>
          </cell>
          <cell r="D1082">
            <v>1997</v>
          </cell>
          <cell r="E1082" t="str">
            <v>Rochester Aviation Inc</v>
          </cell>
          <cell r="F1082">
            <v>7</v>
          </cell>
          <cell r="G1082">
            <v>36342</v>
          </cell>
          <cell r="I1082" t="str">
            <v>North America</v>
          </cell>
          <cell r="J1082" t="str">
            <v>USA</v>
          </cell>
          <cell r="K1082">
            <v>35246</v>
          </cell>
        </row>
        <row r="1083">
          <cell r="A1083" t="str">
            <v>In service</v>
          </cell>
          <cell r="B1083" t="str">
            <v>Gulfstream Aerospace Gulfstream V</v>
          </cell>
          <cell r="C1083" t="str">
            <v xml:space="preserve"> </v>
          </cell>
          <cell r="D1083">
            <v>1997</v>
          </cell>
          <cell r="E1083" t="str">
            <v>The Coca-Cola Co</v>
          </cell>
          <cell r="F1083">
            <v>7</v>
          </cell>
          <cell r="G1083">
            <v>35668</v>
          </cell>
          <cell r="I1083" t="str">
            <v>North America</v>
          </cell>
          <cell r="J1083" t="str">
            <v>USA</v>
          </cell>
          <cell r="K1083">
            <v>35246</v>
          </cell>
        </row>
        <row r="1084">
          <cell r="A1084" t="str">
            <v>In service</v>
          </cell>
          <cell r="B1084" t="str">
            <v>Gulfstream Aerospace Gulfstream V</v>
          </cell>
          <cell r="C1084" t="str">
            <v xml:space="preserve"> </v>
          </cell>
          <cell r="D1084">
            <v>1997</v>
          </cell>
          <cell r="E1084" t="str">
            <v>Essar Shipping Ltd</v>
          </cell>
          <cell r="F1084">
            <v>7</v>
          </cell>
          <cell r="G1084">
            <v>35697</v>
          </cell>
          <cell r="I1084" t="str">
            <v>Asia</v>
          </cell>
          <cell r="J1084" t="str">
            <v>India</v>
          </cell>
          <cell r="K1084">
            <v>35246</v>
          </cell>
        </row>
        <row r="1085">
          <cell r="A1085" t="str">
            <v>In service</v>
          </cell>
          <cell r="B1085" t="str">
            <v>Gulfstream Aerospace Gulfstream V</v>
          </cell>
          <cell r="C1085" t="str">
            <v xml:space="preserve"> </v>
          </cell>
          <cell r="D1085">
            <v>1998</v>
          </cell>
          <cell r="E1085" t="str">
            <v>The Coca-Cola Co</v>
          </cell>
          <cell r="F1085">
            <v>6</v>
          </cell>
          <cell r="G1085">
            <v>36031</v>
          </cell>
          <cell r="I1085" t="str">
            <v>North America</v>
          </cell>
          <cell r="J1085" t="str">
            <v>USA</v>
          </cell>
          <cell r="K1085">
            <v>35246</v>
          </cell>
        </row>
        <row r="1086">
          <cell r="A1086" t="str">
            <v>In service</v>
          </cell>
          <cell r="B1086" t="str">
            <v>Gulfstream Aerospace Gulfstream V</v>
          </cell>
          <cell r="C1086" t="str">
            <v xml:space="preserve"> </v>
          </cell>
          <cell r="D1086">
            <v>1998</v>
          </cell>
          <cell r="E1086" t="str">
            <v>Wekel SA</v>
          </cell>
          <cell r="F1086">
            <v>6</v>
          </cell>
          <cell r="G1086">
            <v>36068</v>
          </cell>
          <cell r="I1086" t="str">
            <v>Latin America and Caribbean</v>
          </cell>
          <cell r="J1086" t="str">
            <v>Colombia</v>
          </cell>
          <cell r="K1086">
            <v>35246</v>
          </cell>
        </row>
        <row r="1087">
          <cell r="A1087" t="str">
            <v>In service</v>
          </cell>
          <cell r="B1087" t="str">
            <v>Gulfstream Aerospace Gulfstream V</v>
          </cell>
          <cell r="C1087" t="str">
            <v xml:space="preserve"> </v>
          </cell>
          <cell r="D1087">
            <v>1997</v>
          </cell>
          <cell r="E1087" t="str">
            <v>Consortium of AOL Time Warner Companies</v>
          </cell>
          <cell r="F1087">
            <v>7</v>
          </cell>
          <cell r="G1087">
            <v>35969</v>
          </cell>
          <cell r="I1087" t="str">
            <v>North America</v>
          </cell>
          <cell r="J1087" t="str">
            <v>USA</v>
          </cell>
          <cell r="K1087">
            <v>35246</v>
          </cell>
        </row>
        <row r="1088">
          <cell r="A1088" t="str">
            <v>In service</v>
          </cell>
          <cell r="B1088" t="str">
            <v>Gulfstream Aerospace Gulfstream V</v>
          </cell>
          <cell r="C1088" t="str">
            <v xml:space="preserve"> </v>
          </cell>
          <cell r="D1088">
            <v>1997</v>
          </cell>
          <cell r="E1088" t="str">
            <v>Consortium of AOL Time Warner Companies</v>
          </cell>
          <cell r="F1088">
            <v>7</v>
          </cell>
          <cell r="G1088">
            <v>35969</v>
          </cell>
          <cell r="I1088" t="str">
            <v>North America</v>
          </cell>
          <cell r="J1088" t="str">
            <v>USA</v>
          </cell>
          <cell r="K1088">
            <v>35246</v>
          </cell>
        </row>
        <row r="1089">
          <cell r="A1089" t="str">
            <v>In service</v>
          </cell>
          <cell r="B1089" t="str">
            <v>Gulfstream Aerospace Gulfstream V</v>
          </cell>
          <cell r="C1089" t="str">
            <v xml:space="preserve"> </v>
          </cell>
          <cell r="D1089">
            <v>1998</v>
          </cell>
          <cell r="E1089" t="str">
            <v>IBM Corp</v>
          </cell>
          <cell r="F1089">
            <v>6</v>
          </cell>
          <cell r="G1089">
            <v>36062</v>
          </cell>
          <cell r="I1089" t="str">
            <v>North America</v>
          </cell>
          <cell r="J1089" t="str">
            <v>USA</v>
          </cell>
          <cell r="K1089">
            <v>35246</v>
          </cell>
        </row>
        <row r="1090">
          <cell r="A1090" t="str">
            <v>In service</v>
          </cell>
          <cell r="B1090" t="str">
            <v>Gulfstream Aerospace Gulfstream V</v>
          </cell>
          <cell r="C1090" t="str">
            <v xml:space="preserve"> </v>
          </cell>
          <cell r="D1090">
            <v>1997</v>
          </cell>
          <cell r="E1090" t="str">
            <v>The Air Group Inc</v>
          </cell>
          <cell r="F1090">
            <v>7</v>
          </cell>
          <cell r="G1090">
            <v>35741</v>
          </cell>
          <cell r="I1090" t="str">
            <v>North America</v>
          </cell>
          <cell r="J1090" t="str">
            <v>USA</v>
          </cell>
          <cell r="K1090">
            <v>35246</v>
          </cell>
        </row>
        <row r="1091">
          <cell r="A1091" t="str">
            <v>In service</v>
          </cell>
          <cell r="B1091" t="str">
            <v>Gulfstream Aerospace Gulfstream V</v>
          </cell>
          <cell r="C1091" t="str">
            <v xml:space="preserve"> </v>
          </cell>
          <cell r="D1091">
            <v>1997</v>
          </cell>
          <cell r="E1091" t="str">
            <v>Shorenstein Company LP</v>
          </cell>
          <cell r="F1091">
            <v>7</v>
          </cell>
          <cell r="G1091">
            <v>35759</v>
          </cell>
          <cell r="I1091" t="str">
            <v>North America</v>
          </cell>
          <cell r="J1091" t="str">
            <v>USA</v>
          </cell>
          <cell r="K1091">
            <v>35246</v>
          </cell>
        </row>
        <row r="1092">
          <cell r="A1092" t="str">
            <v>In service</v>
          </cell>
          <cell r="B1092" t="str">
            <v>Gulfstream Aerospace Gulfstream V</v>
          </cell>
          <cell r="C1092" t="str">
            <v xml:space="preserve"> </v>
          </cell>
          <cell r="D1092">
            <v>1997</v>
          </cell>
          <cell r="E1092" t="str">
            <v>Commander Mexicana SA de CV</v>
          </cell>
          <cell r="F1092">
            <v>7</v>
          </cell>
          <cell r="G1092">
            <v>35807</v>
          </cell>
          <cell r="I1092" t="str">
            <v>Latin America and Caribbean</v>
          </cell>
          <cell r="J1092" t="str">
            <v>Mexico</v>
          </cell>
          <cell r="K1092">
            <v>35246</v>
          </cell>
        </row>
        <row r="1093">
          <cell r="A1093" t="str">
            <v>In service</v>
          </cell>
          <cell r="B1093" t="str">
            <v>Gulfstream Aerospace Gulfstream V</v>
          </cell>
          <cell r="C1093" t="str">
            <v xml:space="preserve"> </v>
          </cell>
          <cell r="D1093">
            <v>1998</v>
          </cell>
          <cell r="E1093" t="str">
            <v>Automotive Air Charter</v>
          </cell>
          <cell r="F1093">
            <v>6</v>
          </cell>
          <cell r="G1093">
            <v>36076</v>
          </cell>
          <cell r="I1093" t="str">
            <v>North America</v>
          </cell>
          <cell r="J1093" t="str">
            <v>USA</v>
          </cell>
          <cell r="K1093">
            <v>35611</v>
          </cell>
        </row>
        <row r="1094">
          <cell r="A1094" t="str">
            <v>In service</v>
          </cell>
          <cell r="B1094" t="str">
            <v>Gulfstream Aerospace Gulfstream V</v>
          </cell>
          <cell r="C1094" t="str">
            <v xml:space="preserve"> </v>
          </cell>
          <cell r="D1094">
            <v>1997</v>
          </cell>
          <cell r="E1094" t="str">
            <v>GVX Inc</v>
          </cell>
          <cell r="F1094">
            <v>7</v>
          </cell>
          <cell r="G1094">
            <v>35804</v>
          </cell>
          <cell r="I1094" t="str">
            <v>North America</v>
          </cell>
          <cell r="J1094" t="str">
            <v>USA</v>
          </cell>
          <cell r="K1094">
            <v>35246</v>
          </cell>
        </row>
        <row r="1095">
          <cell r="A1095" t="str">
            <v>In service</v>
          </cell>
          <cell r="B1095" t="str">
            <v>Gulfstream Aerospace Gulfstream V</v>
          </cell>
          <cell r="C1095" t="str">
            <v xml:space="preserve"> </v>
          </cell>
          <cell r="D1095">
            <v>1998</v>
          </cell>
          <cell r="E1095" t="str">
            <v>United Healthcare Services Inc</v>
          </cell>
          <cell r="F1095">
            <v>6</v>
          </cell>
          <cell r="G1095">
            <v>35830</v>
          </cell>
          <cell r="I1095" t="str">
            <v>North America</v>
          </cell>
          <cell r="J1095" t="str">
            <v>USA</v>
          </cell>
          <cell r="K1095">
            <v>35246</v>
          </cell>
        </row>
        <row r="1096">
          <cell r="A1096" t="str">
            <v>In service</v>
          </cell>
          <cell r="B1096" t="str">
            <v>Gulfstream Aerospace Gulfstream V</v>
          </cell>
          <cell r="C1096" t="str">
            <v xml:space="preserve"> </v>
          </cell>
          <cell r="D1096">
            <v>1999</v>
          </cell>
          <cell r="E1096" t="str">
            <v>Helicol</v>
          </cell>
          <cell r="F1096">
            <v>5</v>
          </cell>
          <cell r="G1096">
            <v>36234</v>
          </cell>
          <cell r="I1096" t="str">
            <v>Latin America and Caribbean</v>
          </cell>
          <cell r="J1096" t="str">
            <v>Colombia</v>
          </cell>
          <cell r="K1096">
            <v>35611</v>
          </cell>
        </row>
        <row r="1097">
          <cell r="A1097" t="str">
            <v>In service</v>
          </cell>
          <cell r="B1097" t="str">
            <v>Gulfstream Aerospace Gulfstream V</v>
          </cell>
          <cell r="C1097" t="str">
            <v xml:space="preserve"> </v>
          </cell>
          <cell r="D1097">
            <v>1998</v>
          </cell>
          <cell r="E1097" t="str">
            <v>Open Road Airways Inc</v>
          </cell>
          <cell r="F1097">
            <v>6</v>
          </cell>
          <cell r="G1097">
            <v>35845</v>
          </cell>
          <cell r="I1097" t="str">
            <v>North America</v>
          </cell>
          <cell r="J1097" t="str">
            <v>USA</v>
          </cell>
          <cell r="K1097">
            <v>35611</v>
          </cell>
        </row>
        <row r="1098">
          <cell r="A1098" t="str">
            <v>In service</v>
          </cell>
          <cell r="B1098" t="str">
            <v>Gulfstream Aerospace Gulfstream V</v>
          </cell>
          <cell r="C1098" t="str">
            <v xml:space="preserve"> </v>
          </cell>
          <cell r="D1098">
            <v>1998</v>
          </cell>
          <cell r="E1098" t="str">
            <v>Flight Management LLC</v>
          </cell>
          <cell r="F1098">
            <v>6</v>
          </cell>
          <cell r="G1098">
            <v>36307</v>
          </cell>
          <cell r="I1098" t="str">
            <v>North America</v>
          </cell>
          <cell r="J1098" t="str">
            <v>USA</v>
          </cell>
          <cell r="K1098">
            <v>35611</v>
          </cell>
        </row>
        <row r="1099">
          <cell r="A1099" t="str">
            <v>In service</v>
          </cell>
          <cell r="B1099" t="str">
            <v>Gulfstream Aerospace Gulfstream V</v>
          </cell>
          <cell r="C1099" t="str">
            <v xml:space="preserve"> </v>
          </cell>
          <cell r="D1099">
            <v>1998</v>
          </cell>
          <cell r="E1099" t="str">
            <v>Organizacion Editorial Mexicana SA de CV</v>
          </cell>
          <cell r="F1099">
            <v>6</v>
          </cell>
          <cell r="G1099">
            <v>36265</v>
          </cell>
          <cell r="I1099" t="str">
            <v>Latin America and Caribbean</v>
          </cell>
          <cell r="J1099" t="str">
            <v>Mexico</v>
          </cell>
          <cell r="K1099">
            <v>35246</v>
          </cell>
        </row>
        <row r="1100">
          <cell r="A1100" t="str">
            <v>In service</v>
          </cell>
          <cell r="B1100" t="str">
            <v>Gulfstream Aerospace Gulfstream V</v>
          </cell>
          <cell r="C1100" t="str">
            <v xml:space="preserve"> </v>
          </cell>
          <cell r="D1100">
            <v>1999</v>
          </cell>
          <cell r="E1100" t="str">
            <v>Lockheed Martin Corp</v>
          </cell>
          <cell r="F1100">
            <v>5</v>
          </cell>
          <cell r="G1100">
            <v>36266</v>
          </cell>
          <cell r="I1100" t="str">
            <v>North America</v>
          </cell>
          <cell r="J1100" t="str">
            <v>USA</v>
          </cell>
          <cell r="K1100">
            <v>35611</v>
          </cell>
        </row>
        <row r="1101">
          <cell r="A1101" t="str">
            <v>In service</v>
          </cell>
          <cell r="B1101" t="str">
            <v>Gulfstream Aerospace Gulfstream V</v>
          </cell>
          <cell r="C1101" t="str">
            <v xml:space="preserve"> </v>
          </cell>
          <cell r="D1101">
            <v>1998</v>
          </cell>
          <cell r="E1101" t="str">
            <v>US Air Force</v>
          </cell>
          <cell r="F1101">
            <v>6</v>
          </cell>
          <cell r="G1101">
            <v>36175</v>
          </cell>
          <cell r="H1101" t="str">
            <v>C-37A</v>
          </cell>
          <cell r="I1101" t="str">
            <v>North America</v>
          </cell>
          <cell r="J1101" t="str">
            <v>USA</v>
          </cell>
          <cell r="K1101">
            <v>35559</v>
          </cell>
        </row>
        <row r="1102">
          <cell r="A1102" t="str">
            <v>In service</v>
          </cell>
          <cell r="B1102" t="str">
            <v>Gulfstream Aerospace Gulfstream V</v>
          </cell>
          <cell r="C1102" t="str">
            <v xml:space="preserve"> </v>
          </cell>
          <cell r="D1102">
            <v>1998</v>
          </cell>
          <cell r="E1102" t="str">
            <v>Foreign Manufacturers Finance Corp</v>
          </cell>
          <cell r="F1102">
            <v>6</v>
          </cell>
          <cell r="G1102">
            <v>35928</v>
          </cell>
          <cell r="I1102" t="str">
            <v>North America</v>
          </cell>
          <cell r="J1102" t="str">
            <v>USA</v>
          </cell>
          <cell r="K1102">
            <v>35611</v>
          </cell>
        </row>
        <row r="1103">
          <cell r="A1103" t="str">
            <v>In service</v>
          </cell>
          <cell r="B1103" t="str">
            <v>Gulfstream Aerospace Gulfstream V</v>
          </cell>
          <cell r="C1103" t="str">
            <v xml:space="preserve"> </v>
          </cell>
          <cell r="D1103">
            <v>1998</v>
          </cell>
          <cell r="E1103" t="str">
            <v>Automotive Air Charter</v>
          </cell>
          <cell r="F1103">
            <v>6</v>
          </cell>
          <cell r="G1103">
            <v>35921</v>
          </cell>
          <cell r="I1103" t="str">
            <v>North America</v>
          </cell>
          <cell r="J1103" t="str">
            <v>USA</v>
          </cell>
          <cell r="K1103">
            <v>35246</v>
          </cell>
        </row>
        <row r="1104">
          <cell r="A1104" t="str">
            <v>In service</v>
          </cell>
          <cell r="B1104" t="str">
            <v>Gulfstream Aerospace Gulfstream V</v>
          </cell>
          <cell r="C1104" t="str">
            <v xml:space="preserve"> </v>
          </cell>
          <cell r="D1104">
            <v>1998</v>
          </cell>
          <cell r="E1104" t="str">
            <v>Countrywide Home Loans Inc</v>
          </cell>
          <cell r="F1104">
            <v>6</v>
          </cell>
          <cell r="G1104">
            <v>35933</v>
          </cell>
          <cell r="I1104" t="str">
            <v>North America</v>
          </cell>
          <cell r="J1104" t="str">
            <v>USA</v>
          </cell>
          <cell r="K1104">
            <v>35611</v>
          </cell>
        </row>
        <row r="1105">
          <cell r="A1105" t="str">
            <v>In service</v>
          </cell>
          <cell r="B1105" t="str">
            <v>Gulfstream Aerospace Gulfstream V</v>
          </cell>
          <cell r="C1105" t="str">
            <v xml:space="preserve"> </v>
          </cell>
          <cell r="D1105">
            <v>1999</v>
          </cell>
          <cell r="E1105" t="str">
            <v>Aerovics SA</v>
          </cell>
          <cell r="F1105">
            <v>5</v>
          </cell>
          <cell r="G1105">
            <v>36353</v>
          </cell>
          <cell r="I1105" t="str">
            <v>Latin America and Caribbean</v>
          </cell>
          <cell r="J1105" t="str">
            <v>Mexico</v>
          </cell>
          <cell r="K1105">
            <v>35611</v>
          </cell>
        </row>
        <row r="1106">
          <cell r="A1106" t="str">
            <v>In service</v>
          </cell>
          <cell r="B1106" t="str">
            <v>Gulfstream Aerospace Gulfstream V</v>
          </cell>
          <cell r="C1106" t="str">
            <v xml:space="preserve"> </v>
          </cell>
          <cell r="D1106">
            <v>1999</v>
          </cell>
          <cell r="E1106" t="str">
            <v>3M Co</v>
          </cell>
          <cell r="F1106">
            <v>5</v>
          </cell>
          <cell r="G1106">
            <v>36286</v>
          </cell>
          <cell r="I1106" t="str">
            <v>North America</v>
          </cell>
          <cell r="J1106" t="str">
            <v>USA</v>
          </cell>
          <cell r="K1106">
            <v>35976</v>
          </cell>
        </row>
        <row r="1107">
          <cell r="A1107" t="str">
            <v>In service</v>
          </cell>
          <cell r="B1107" t="str">
            <v>Gulfstream Aerospace Gulfstream V</v>
          </cell>
          <cell r="C1107" t="str">
            <v xml:space="preserve"> </v>
          </cell>
          <cell r="D1107">
            <v>1999</v>
          </cell>
          <cell r="E1107" t="str">
            <v>Black &amp; Decker US Inc</v>
          </cell>
          <cell r="F1107">
            <v>5</v>
          </cell>
          <cell r="G1107">
            <v>36293</v>
          </cell>
          <cell r="I1107" t="str">
            <v>North America</v>
          </cell>
          <cell r="J1107" t="str">
            <v>USA</v>
          </cell>
          <cell r="K1107">
            <v>35611</v>
          </cell>
        </row>
        <row r="1108">
          <cell r="A1108" t="str">
            <v>In service</v>
          </cell>
          <cell r="B1108" t="str">
            <v>Gulfstream Aerospace Gulfstream V</v>
          </cell>
          <cell r="C1108" t="str">
            <v xml:space="preserve"> </v>
          </cell>
          <cell r="D1108">
            <v>1998</v>
          </cell>
          <cell r="E1108" t="str">
            <v>Radical Ventures LLC</v>
          </cell>
          <cell r="F1108">
            <v>6</v>
          </cell>
          <cell r="G1108">
            <v>36101</v>
          </cell>
          <cell r="I1108" t="str">
            <v>North America</v>
          </cell>
          <cell r="J1108" t="str">
            <v>USA</v>
          </cell>
          <cell r="K1108">
            <v>35611</v>
          </cell>
        </row>
        <row r="1109">
          <cell r="A1109" t="str">
            <v>In service</v>
          </cell>
          <cell r="B1109" t="str">
            <v>Gulfstream Aerospace Gulfstream V</v>
          </cell>
          <cell r="C1109" t="str">
            <v xml:space="preserve"> </v>
          </cell>
          <cell r="D1109">
            <v>1999</v>
          </cell>
          <cell r="E1109" t="str">
            <v>Automotive Air Charter</v>
          </cell>
          <cell r="F1109">
            <v>5</v>
          </cell>
          <cell r="G1109">
            <v>36297</v>
          </cell>
          <cell r="I1109" t="str">
            <v>North America</v>
          </cell>
          <cell r="J1109" t="str">
            <v>USA</v>
          </cell>
          <cell r="K1109">
            <v>35611</v>
          </cell>
        </row>
        <row r="1110">
          <cell r="A1110" t="str">
            <v>In service</v>
          </cell>
          <cell r="B1110" t="str">
            <v>Gulfstream Aerospace Gulfstream V</v>
          </cell>
          <cell r="C1110" t="str">
            <v xml:space="preserve"> </v>
          </cell>
          <cell r="D1110">
            <v>1999</v>
          </cell>
          <cell r="E1110" t="str">
            <v>Automotive Air Charter</v>
          </cell>
          <cell r="F1110">
            <v>5</v>
          </cell>
          <cell r="G1110">
            <v>36333</v>
          </cell>
          <cell r="I1110" t="str">
            <v>North America</v>
          </cell>
          <cell r="J1110" t="str">
            <v>USA</v>
          </cell>
          <cell r="K1110">
            <v>35611</v>
          </cell>
        </row>
        <row r="1111">
          <cell r="A1111" t="str">
            <v>In service</v>
          </cell>
          <cell r="B1111" t="str">
            <v>Gulfstream Aerospace Gulfstream V</v>
          </cell>
          <cell r="C1111" t="str">
            <v xml:space="preserve"> </v>
          </cell>
          <cell r="D1111">
            <v>1999</v>
          </cell>
          <cell r="E1111" t="str">
            <v>SCI Texas Funeral Services Inc</v>
          </cell>
          <cell r="F1111">
            <v>5</v>
          </cell>
          <cell r="G1111">
            <v>36403</v>
          </cell>
          <cell r="I1111" t="str">
            <v>North America</v>
          </cell>
          <cell r="J1111" t="str">
            <v>USA</v>
          </cell>
          <cell r="K1111">
            <v>35611</v>
          </cell>
        </row>
        <row r="1112">
          <cell r="A1112" t="str">
            <v>In service</v>
          </cell>
          <cell r="B1112" t="str">
            <v>Gulfstream Aerospace Gulfstream V</v>
          </cell>
          <cell r="C1112" t="str">
            <v xml:space="preserve"> </v>
          </cell>
          <cell r="D1112">
            <v>1999</v>
          </cell>
          <cell r="E1112" t="str">
            <v>MDL Consulting Associates LLC</v>
          </cell>
          <cell r="F1112">
            <v>5</v>
          </cell>
          <cell r="G1112">
            <v>36405</v>
          </cell>
          <cell r="I1112" t="str">
            <v>North America</v>
          </cell>
          <cell r="J1112" t="str">
            <v>USA</v>
          </cell>
          <cell r="K1112">
            <v>35611</v>
          </cell>
        </row>
        <row r="1113">
          <cell r="A1113" t="str">
            <v>In service</v>
          </cell>
          <cell r="B1113" t="str">
            <v>Gulfstream Aerospace Gulfstream V</v>
          </cell>
          <cell r="C1113" t="str">
            <v xml:space="preserve"> </v>
          </cell>
          <cell r="D1113">
            <v>1999</v>
          </cell>
          <cell r="E1113" t="str">
            <v>Cirrus GAS 5 LLC</v>
          </cell>
          <cell r="F1113">
            <v>5</v>
          </cell>
          <cell r="G1113">
            <v>36472</v>
          </cell>
          <cell r="I1113" t="str">
            <v>North America</v>
          </cell>
          <cell r="J1113" t="str">
            <v>USA</v>
          </cell>
          <cell r="K1113">
            <v>35611</v>
          </cell>
        </row>
        <row r="1114">
          <cell r="A1114" t="str">
            <v>In service</v>
          </cell>
          <cell r="B1114" t="str">
            <v>Gulfstream Aerospace Gulfstream V</v>
          </cell>
          <cell r="C1114" t="str">
            <v xml:space="preserve"> </v>
          </cell>
          <cell r="D1114">
            <v>1998</v>
          </cell>
          <cell r="E1114" t="str">
            <v>Rashid Engineering</v>
          </cell>
          <cell r="F1114">
            <v>6</v>
          </cell>
          <cell r="G1114">
            <v>36144</v>
          </cell>
          <cell r="I1114" t="str">
            <v>Middle East</v>
          </cell>
          <cell r="J1114" t="str">
            <v>Saudi Arabia</v>
          </cell>
          <cell r="K1114">
            <v>35611</v>
          </cell>
        </row>
        <row r="1115">
          <cell r="A1115" t="str">
            <v>In service</v>
          </cell>
          <cell r="B1115" t="str">
            <v>Gulfstream Aerospace Gulfstream V</v>
          </cell>
          <cell r="C1115" t="str">
            <v xml:space="preserve"> </v>
          </cell>
          <cell r="D1115">
            <v>1999</v>
          </cell>
          <cell r="E1115" t="str">
            <v>MWM AG</v>
          </cell>
          <cell r="F1115">
            <v>5</v>
          </cell>
          <cell r="G1115">
            <v>36432</v>
          </cell>
          <cell r="I1115" t="str">
            <v>Europe</v>
          </cell>
          <cell r="J1115" t="str">
            <v>Switzerland</v>
          </cell>
          <cell r="K1115">
            <v>35976</v>
          </cell>
        </row>
        <row r="1116">
          <cell r="A1116" t="str">
            <v>In service</v>
          </cell>
          <cell r="B1116" t="str">
            <v>Gulfstream Aerospace Gulfstream V</v>
          </cell>
          <cell r="C1116" t="str">
            <v xml:space="preserve"> </v>
          </cell>
          <cell r="D1116">
            <v>1999</v>
          </cell>
          <cell r="E1116" t="str">
            <v>3M Co</v>
          </cell>
          <cell r="F1116">
            <v>5</v>
          </cell>
          <cell r="G1116">
            <v>36341</v>
          </cell>
          <cell r="I1116" t="str">
            <v>North America</v>
          </cell>
          <cell r="J1116" t="str">
            <v>USA</v>
          </cell>
          <cell r="K1116">
            <v>35976</v>
          </cell>
        </row>
        <row r="1117">
          <cell r="A1117" t="str">
            <v>In service</v>
          </cell>
          <cell r="B1117" t="str">
            <v>Gulfstream Aerospace Gulfstream V</v>
          </cell>
          <cell r="C1117" t="str">
            <v xml:space="preserve"> </v>
          </cell>
          <cell r="D1117">
            <v>1999</v>
          </cell>
          <cell r="E1117" t="str">
            <v>BancAmerica Special Assets Corp</v>
          </cell>
          <cell r="F1117">
            <v>5</v>
          </cell>
          <cell r="G1117">
            <v>36385</v>
          </cell>
          <cell r="I1117" t="str">
            <v>North America</v>
          </cell>
          <cell r="J1117" t="str">
            <v>USA</v>
          </cell>
          <cell r="K1117">
            <v>35976</v>
          </cell>
        </row>
        <row r="1118">
          <cell r="A1118" t="str">
            <v>In service</v>
          </cell>
          <cell r="B1118" t="str">
            <v>Gulfstream Aerospace Gulfstream V</v>
          </cell>
          <cell r="C1118" t="str">
            <v xml:space="preserve"> </v>
          </cell>
          <cell r="D1118">
            <v>1999</v>
          </cell>
          <cell r="E1118" t="str">
            <v>Gulfstream International Corp</v>
          </cell>
          <cell r="F1118">
            <v>5</v>
          </cell>
          <cell r="G1118">
            <v>36377</v>
          </cell>
          <cell r="I1118" t="str">
            <v>North America</v>
          </cell>
          <cell r="J1118" t="str">
            <v>USA</v>
          </cell>
          <cell r="K1118">
            <v>35976</v>
          </cell>
        </row>
        <row r="1119">
          <cell r="A1119" t="str">
            <v>In service</v>
          </cell>
          <cell r="B1119" t="str">
            <v>Gulfstream Aerospace Gulfstream V</v>
          </cell>
          <cell r="C1119" t="str">
            <v xml:space="preserve"> </v>
          </cell>
          <cell r="D1119">
            <v>1999</v>
          </cell>
          <cell r="E1119" t="str">
            <v>Government of Kuwait</v>
          </cell>
          <cell r="F1119">
            <v>5</v>
          </cell>
          <cell r="G1119">
            <v>36448</v>
          </cell>
          <cell r="I1119" t="str">
            <v>Middle East</v>
          </cell>
          <cell r="J1119" t="str">
            <v>Kuwait</v>
          </cell>
          <cell r="K1119">
            <v>35864</v>
          </cell>
        </row>
        <row r="1120">
          <cell r="A1120" t="str">
            <v>In service</v>
          </cell>
          <cell r="B1120" t="str">
            <v>Gulfstream Aerospace Gulfstream V</v>
          </cell>
          <cell r="C1120" t="str">
            <v xml:space="preserve"> </v>
          </cell>
          <cell r="D1120">
            <v>1999</v>
          </cell>
          <cell r="E1120" t="str">
            <v>Automotive Air Charter</v>
          </cell>
          <cell r="F1120">
            <v>5</v>
          </cell>
          <cell r="G1120">
            <v>36516</v>
          </cell>
          <cell r="I1120" t="str">
            <v>North America</v>
          </cell>
          <cell r="J1120" t="str">
            <v>USA</v>
          </cell>
          <cell r="K1120">
            <v>36206</v>
          </cell>
        </row>
        <row r="1121">
          <cell r="A1121" t="str">
            <v>In service</v>
          </cell>
          <cell r="B1121" t="str">
            <v>Gulfstream Aerospace Gulfstream V</v>
          </cell>
          <cell r="C1121" t="str">
            <v xml:space="preserve"> </v>
          </cell>
          <cell r="D1121">
            <v>2000</v>
          </cell>
          <cell r="E1121" t="str">
            <v>American Express</v>
          </cell>
          <cell r="F1121">
            <v>4</v>
          </cell>
          <cell r="G1121">
            <v>36649</v>
          </cell>
          <cell r="I1121" t="str">
            <v>North America</v>
          </cell>
          <cell r="J1121" t="str">
            <v>USA</v>
          </cell>
          <cell r="K1121">
            <v>35976</v>
          </cell>
        </row>
        <row r="1122">
          <cell r="A1122" t="str">
            <v>In service</v>
          </cell>
          <cell r="B1122" t="str">
            <v>Gulfstream Aerospace Gulfstream V</v>
          </cell>
          <cell r="C1122" t="str">
            <v xml:space="preserve"> </v>
          </cell>
          <cell r="D1122">
            <v>1999</v>
          </cell>
          <cell r="E1122" t="str">
            <v>Computer Associates International Inc</v>
          </cell>
          <cell r="F1122">
            <v>5</v>
          </cell>
          <cell r="G1122">
            <v>36518</v>
          </cell>
          <cell r="I1122" t="str">
            <v>North America</v>
          </cell>
          <cell r="J1122" t="str">
            <v>USA</v>
          </cell>
          <cell r="K1122">
            <v>35976</v>
          </cell>
        </row>
        <row r="1123">
          <cell r="A1123" t="str">
            <v>In service</v>
          </cell>
          <cell r="B1123" t="str">
            <v>Gulfstream Aerospace Gulfstream V</v>
          </cell>
          <cell r="C1123" t="str">
            <v xml:space="preserve"> </v>
          </cell>
          <cell r="D1123">
            <v>1999</v>
          </cell>
          <cell r="E1123" t="str">
            <v>Prime Resources LLC</v>
          </cell>
          <cell r="F1123">
            <v>5</v>
          </cell>
          <cell r="I1123" t="str">
            <v>North America</v>
          </cell>
          <cell r="J1123" t="str">
            <v>USA</v>
          </cell>
        </row>
        <row r="1124">
          <cell r="A1124" t="str">
            <v>In service</v>
          </cell>
          <cell r="B1124" t="str">
            <v>Gulfstream Aerospace Gulfstream V</v>
          </cell>
          <cell r="C1124" t="str">
            <v xml:space="preserve"> </v>
          </cell>
          <cell r="D1124">
            <v>1999</v>
          </cell>
          <cell r="E1124" t="str">
            <v>Pfizer Inc</v>
          </cell>
          <cell r="F1124">
            <v>5</v>
          </cell>
          <cell r="G1124">
            <v>36426</v>
          </cell>
          <cell r="I1124" t="str">
            <v>North America</v>
          </cell>
          <cell r="J1124" t="str">
            <v>USA</v>
          </cell>
          <cell r="K1124">
            <v>35976</v>
          </cell>
        </row>
        <row r="1125">
          <cell r="A1125" t="str">
            <v>In service</v>
          </cell>
          <cell r="B1125" t="str">
            <v>Gulfstream Aerospace Gulfstream V</v>
          </cell>
          <cell r="C1125" t="str">
            <v xml:space="preserve"> </v>
          </cell>
          <cell r="D1125">
            <v>1999</v>
          </cell>
          <cell r="E1125" t="str">
            <v>US Army</v>
          </cell>
          <cell r="F1125">
            <v>5</v>
          </cell>
          <cell r="G1125">
            <v>36448</v>
          </cell>
          <cell r="H1125" t="str">
            <v>C-37A</v>
          </cell>
          <cell r="I1125" t="str">
            <v>North America</v>
          </cell>
          <cell r="J1125" t="str">
            <v>USA</v>
          </cell>
          <cell r="K1125">
            <v>35880</v>
          </cell>
        </row>
        <row r="1126">
          <cell r="A1126" t="str">
            <v>In service</v>
          </cell>
          <cell r="B1126" t="str">
            <v>Gulfstream Aerospace Gulfstream V</v>
          </cell>
          <cell r="C1126" t="str">
            <v xml:space="preserve"> </v>
          </cell>
          <cell r="D1126">
            <v>1999</v>
          </cell>
          <cell r="E1126" t="str">
            <v>3M Co</v>
          </cell>
          <cell r="F1126">
            <v>5</v>
          </cell>
          <cell r="G1126">
            <v>36426</v>
          </cell>
          <cell r="I1126" t="str">
            <v>North America</v>
          </cell>
          <cell r="J1126" t="str">
            <v>USA</v>
          </cell>
          <cell r="K1126">
            <v>35976</v>
          </cell>
        </row>
        <row r="1127">
          <cell r="A1127" t="str">
            <v>In service</v>
          </cell>
          <cell r="B1127" t="str">
            <v>Gulfstream Aerospace Gulfstream V</v>
          </cell>
          <cell r="C1127" t="str">
            <v xml:space="preserve"> </v>
          </cell>
          <cell r="D1127">
            <v>1999</v>
          </cell>
          <cell r="E1127" t="str">
            <v>Proctor &amp; Gamble Leasing LLC</v>
          </cell>
          <cell r="F1127">
            <v>5</v>
          </cell>
          <cell r="G1127">
            <v>36462</v>
          </cell>
          <cell r="I1127" t="str">
            <v>North America</v>
          </cell>
          <cell r="J1127" t="str">
            <v>USA</v>
          </cell>
          <cell r="K1127">
            <v>35611</v>
          </cell>
        </row>
        <row r="1128">
          <cell r="A1128" t="str">
            <v>In service</v>
          </cell>
          <cell r="B1128" t="str">
            <v>Gulfstream Aerospace Gulfstream V</v>
          </cell>
          <cell r="C1128" t="str">
            <v xml:space="preserve"> </v>
          </cell>
          <cell r="D1128">
            <v>1999</v>
          </cell>
          <cell r="E1128" t="str">
            <v>Government of Kuwait</v>
          </cell>
          <cell r="F1128">
            <v>5</v>
          </cell>
          <cell r="G1128">
            <v>36514</v>
          </cell>
          <cell r="I1128" t="str">
            <v>Middle East</v>
          </cell>
          <cell r="J1128" t="str">
            <v>Kuwait</v>
          </cell>
          <cell r="K1128">
            <v>35841</v>
          </cell>
        </row>
        <row r="1129">
          <cell r="A1129" t="str">
            <v>In service</v>
          </cell>
          <cell r="B1129" t="str">
            <v>Gulfstream Aerospace Gulfstream V</v>
          </cell>
          <cell r="C1129" t="str">
            <v xml:space="preserve"> </v>
          </cell>
          <cell r="D1129">
            <v>1999</v>
          </cell>
          <cell r="E1129" t="str">
            <v>Avjet Corp</v>
          </cell>
          <cell r="F1129">
            <v>5</v>
          </cell>
          <cell r="G1129">
            <v>36523</v>
          </cell>
          <cell r="I1129" t="str">
            <v>North America</v>
          </cell>
          <cell r="J1129" t="str">
            <v>USA</v>
          </cell>
          <cell r="K1129">
            <v>35611</v>
          </cell>
        </row>
        <row r="1130">
          <cell r="A1130" t="str">
            <v>In service</v>
          </cell>
          <cell r="B1130" t="str">
            <v>Gulfstream Aerospace Gulfstream V</v>
          </cell>
          <cell r="C1130" t="str">
            <v xml:space="preserve"> </v>
          </cell>
          <cell r="D1130">
            <v>1999</v>
          </cell>
          <cell r="E1130" t="str">
            <v>US Air Force</v>
          </cell>
          <cell r="F1130">
            <v>5</v>
          </cell>
          <cell r="G1130">
            <v>36579</v>
          </cell>
          <cell r="H1130" t="str">
            <v>C-37A</v>
          </cell>
          <cell r="I1130" t="str">
            <v>North America</v>
          </cell>
          <cell r="J1130" t="str">
            <v>USA</v>
          </cell>
          <cell r="K1130">
            <v>36222</v>
          </cell>
        </row>
        <row r="1131">
          <cell r="A1131" t="str">
            <v>In service</v>
          </cell>
          <cell r="B1131" t="str">
            <v>Gulfstream Aerospace Gulfstream V</v>
          </cell>
          <cell r="C1131" t="str">
            <v xml:space="preserve"> </v>
          </cell>
          <cell r="D1131">
            <v>1999</v>
          </cell>
          <cell r="E1131" t="str">
            <v>Jetclub AG</v>
          </cell>
          <cell r="F1131">
            <v>5</v>
          </cell>
          <cell r="G1131">
            <v>36573</v>
          </cell>
          <cell r="I1131" t="str">
            <v>Europe</v>
          </cell>
          <cell r="J1131" t="str">
            <v>Switzerland</v>
          </cell>
          <cell r="K1131">
            <v>36206</v>
          </cell>
        </row>
        <row r="1132">
          <cell r="A1132" t="str">
            <v>In service</v>
          </cell>
          <cell r="B1132" t="str">
            <v>Gulfstream Aerospace Gulfstream V</v>
          </cell>
          <cell r="C1132" t="str">
            <v xml:space="preserve"> </v>
          </cell>
          <cell r="D1132">
            <v>1999</v>
          </cell>
          <cell r="E1132" t="str">
            <v>Government of Kuwait</v>
          </cell>
          <cell r="F1132">
            <v>5</v>
          </cell>
          <cell r="G1132">
            <v>36567</v>
          </cell>
          <cell r="I1132" t="str">
            <v>Middle East</v>
          </cell>
          <cell r="J1132" t="str">
            <v>Kuwait</v>
          </cell>
          <cell r="K1132">
            <v>35864</v>
          </cell>
        </row>
        <row r="1133">
          <cell r="A1133" t="str">
            <v>In service</v>
          </cell>
          <cell r="B1133" t="str">
            <v>Gulfstream Aerospace Gulfstream V</v>
          </cell>
          <cell r="C1133" t="str">
            <v xml:space="preserve"> </v>
          </cell>
          <cell r="D1133">
            <v>1999</v>
          </cell>
          <cell r="E1133" t="str">
            <v>NIKE Inc</v>
          </cell>
          <cell r="F1133">
            <v>5</v>
          </cell>
          <cell r="G1133">
            <v>36560</v>
          </cell>
          <cell r="I1133" t="str">
            <v>North America</v>
          </cell>
          <cell r="J1133" t="str">
            <v>USA</v>
          </cell>
          <cell r="K1133">
            <v>35611</v>
          </cell>
        </row>
        <row r="1134">
          <cell r="A1134" t="str">
            <v>In service</v>
          </cell>
          <cell r="B1134" t="str">
            <v>Gulfstream Aerospace Gulfstream V</v>
          </cell>
          <cell r="C1134" t="str">
            <v xml:space="preserve"> </v>
          </cell>
          <cell r="D1134">
            <v>1999</v>
          </cell>
          <cell r="E1134" t="str">
            <v>Bristol-Myers Squibb Company</v>
          </cell>
          <cell r="F1134">
            <v>5</v>
          </cell>
          <cell r="G1134">
            <v>36530</v>
          </cell>
          <cell r="I1134" t="str">
            <v>North America</v>
          </cell>
          <cell r="J1134" t="str">
            <v>USA</v>
          </cell>
          <cell r="K1134">
            <v>35611</v>
          </cell>
        </row>
        <row r="1135">
          <cell r="A1135" t="str">
            <v>In service</v>
          </cell>
          <cell r="B1135" t="str">
            <v>Gulfstream Aerospace Gulfstream V</v>
          </cell>
          <cell r="C1135" t="str">
            <v xml:space="preserve"> </v>
          </cell>
          <cell r="D1135">
            <v>1999</v>
          </cell>
          <cell r="E1135" t="str">
            <v>The Air Group Inc</v>
          </cell>
          <cell r="F1135">
            <v>5</v>
          </cell>
          <cell r="G1135">
            <v>36517</v>
          </cell>
          <cell r="I1135" t="str">
            <v>North America</v>
          </cell>
          <cell r="J1135" t="str">
            <v>USA</v>
          </cell>
          <cell r="K1135">
            <v>36341</v>
          </cell>
        </row>
        <row r="1136">
          <cell r="A1136" t="str">
            <v>In service</v>
          </cell>
          <cell r="B1136" t="str">
            <v>Gulfstream Aerospace Gulfstream V</v>
          </cell>
          <cell r="C1136" t="str">
            <v xml:space="preserve"> </v>
          </cell>
          <cell r="D1136">
            <v>2000</v>
          </cell>
          <cell r="E1136" t="str">
            <v>Neet Air AG</v>
          </cell>
          <cell r="F1136">
            <v>4</v>
          </cell>
          <cell r="G1136">
            <v>36574</v>
          </cell>
          <cell r="I1136" t="str">
            <v>Europe</v>
          </cell>
          <cell r="J1136" t="str">
            <v>Switzerland</v>
          </cell>
          <cell r="K1136">
            <v>35611</v>
          </cell>
        </row>
        <row r="1137">
          <cell r="A1137" t="str">
            <v>In service</v>
          </cell>
          <cell r="B1137" t="str">
            <v>Gulfstream Aerospace Gulfstream V</v>
          </cell>
          <cell r="C1137" t="str">
            <v xml:space="preserve"> </v>
          </cell>
          <cell r="D1137">
            <v>1999</v>
          </cell>
          <cell r="E1137" t="str">
            <v>Lockheed Martin Corp</v>
          </cell>
          <cell r="F1137">
            <v>5</v>
          </cell>
          <cell r="G1137">
            <v>36529</v>
          </cell>
          <cell r="I1137" t="str">
            <v>North America</v>
          </cell>
          <cell r="J1137" t="str">
            <v>USA</v>
          </cell>
          <cell r="K1137">
            <v>35976</v>
          </cell>
        </row>
        <row r="1138">
          <cell r="A1138" t="str">
            <v>In service</v>
          </cell>
          <cell r="B1138" t="str">
            <v>Gulfstream Aerospace Gulfstream V</v>
          </cell>
          <cell r="C1138" t="str">
            <v xml:space="preserve"> </v>
          </cell>
          <cell r="D1138">
            <v>1999</v>
          </cell>
          <cell r="E1138" t="str">
            <v>3M Co</v>
          </cell>
          <cell r="F1138">
            <v>5</v>
          </cell>
          <cell r="G1138">
            <v>36516</v>
          </cell>
          <cell r="I1138" t="str">
            <v>North America</v>
          </cell>
          <cell r="J1138" t="str">
            <v>USA</v>
          </cell>
          <cell r="K1138">
            <v>35611</v>
          </cell>
        </row>
        <row r="1139">
          <cell r="A1139" t="str">
            <v>In service</v>
          </cell>
          <cell r="B1139" t="str">
            <v>Gulfstream Aerospace Gulfstream V</v>
          </cell>
          <cell r="C1139" t="str">
            <v xml:space="preserve"> </v>
          </cell>
          <cell r="D1139">
            <v>1999</v>
          </cell>
          <cell r="E1139" t="str">
            <v>Cox Aviation Inc</v>
          </cell>
          <cell r="F1139">
            <v>5</v>
          </cell>
          <cell r="G1139">
            <v>36602</v>
          </cell>
          <cell r="I1139" t="str">
            <v>North America</v>
          </cell>
          <cell r="J1139" t="str">
            <v>USA</v>
          </cell>
          <cell r="K1139">
            <v>35976</v>
          </cell>
        </row>
        <row r="1140">
          <cell r="A1140" t="str">
            <v>In service</v>
          </cell>
          <cell r="B1140" t="str">
            <v>Gulfstream Aerospace Gulfstream V</v>
          </cell>
          <cell r="C1140" t="str">
            <v xml:space="preserve"> </v>
          </cell>
          <cell r="D1140">
            <v>1999</v>
          </cell>
          <cell r="E1140" t="str">
            <v>Bayard Foreign Marketing LLC</v>
          </cell>
          <cell r="F1140">
            <v>5</v>
          </cell>
          <cell r="G1140">
            <v>36482</v>
          </cell>
          <cell r="I1140" t="str">
            <v>North America</v>
          </cell>
          <cell r="J1140" t="str">
            <v>USA</v>
          </cell>
          <cell r="K1140">
            <v>35976</v>
          </cell>
        </row>
        <row r="1141">
          <cell r="A1141" t="str">
            <v>In service</v>
          </cell>
          <cell r="B1141" t="str">
            <v>Gulfstream Aerospace Gulfstream V</v>
          </cell>
          <cell r="C1141" t="str">
            <v xml:space="preserve"> </v>
          </cell>
          <cell r="D1141">
            <v>2000</v>
          </cell>
          <cell r="E1141" t="str">
            <v>Telefonica Internacional SA</v>
          </cell>
          <cell r="F1141">
            <v>4</v>
          </cell>
          <cell r="G1141">
            <v>36703</v>
          </cell>
          <cell r="I1141" t="str">
            <v>Europe</v>
          </cell>
          <cell r="J1141" t="str">
            <v>Spain</v>
          </cell>
          <cell r="K1141">
            <v>35976</v>
          </cell>
        </row>
        <row r="1142">
          <cell r="A1142" t="str">
            <v>In service</v>
          </cell>
          <cell r="B1142" t="str">
            <v>Gulfstream Aerospace Gulfstream V</v>
          </cell>
          <cell r="C1142" t="str">
            <v xml:space="preserve"> </v>
          </cell>
          <cell r="D1142">
            <v>2000</v>
          </cell>
          <cell r="E1142" t="str">
            <v>Saudi Aeromedical Evacuation</v>
          </cell>
          <cell r="F1142">
            <v>4</v>
          </cell>
          <cell r="G1142">
            <v>36762</v>
          </cell>
          <cell r="I1142" t="str">
            <v>Middle East</v>
          </cell>
          <cell r="J1142" t="str">
            <v>Saudi Arabia</v>
          </cell>
          <cell r="K1142">
            <v>36707</v>
          </cell>
        </row>
        <row r="1143">
          <cell r="A1143" t="str">
            <v>In service</v>
          </cell>
          <cell r="B1143" t="str">
            <v>Gulfstream Aerospace Gulfstream V</v>
          </cell>
          <cell r="C1143" t="str">
            <v xml:space="preserve"> </v>
          </cell>
          <cell r="D1143">
            <v>2000</v>
          </cell>
          <cell r="E1143" t="str">
            <v>Electronic Data Systems Corp</v>
          </cell>
          <cell r="F1143">
            <v>4</v>
          </cell>
          <cell r="G1143">
            <v>36644</v>
          </cell>
          <cell r="I1143" t="str">
            <v>North America</v>
          </cell>
          <cell r="J1143" t="str">
            <v>USA</v>
          </cell>
          <cell r="K1143">
            <v>35976</v>
          </cell>
        </row>
        <row r="1144">
          <cell r="A1144" t="str">
            <v>In service</v>
          </cell>
          <cell r="B1144" t="str">
            <v>Gulfstream Aerospace Gulfstream V</v>
          </cell>
          <cell r="C1144" t="str">
            <v xml:space="preserve"> </v>
          </cell>
          <cell r="D1144">
            <v>1999</v>
          </cell>
          <cell r="E1144" t="str">
            <v>Business Aircraft Corp</v>
          </cell>
          <cell r="F1144">
            <v>5</v>
          </cell>
          <cell r="G1144">
            <v>36446</v>
          </cell>
          <cell r="I1144" t="str">
            <v>North America</v>
          </cell>
          <cell r="J1144" t="str">
            <v>USA</v>
          </cell>
          <cell r="K1144">
            <v>35976</v>
          </cell>
        </row>
        <row r="1145">
          <cell r="A1145" t="str">
            <v>In service</v>
          </cell>
          <cell r="B1145" t="str">
            <v>Gulfstream Aerospace Gulfstream V</v>
          </cell>
          <cell r="C1145" t="str">
            <v xml:space="preserve"> </v>
          </cell>
          <cell r="D1145">
            <v>2001</v>
          </cell>
          <cell r="E1145" t="str">
            <v>Steven Jobs</v>
          </cell>
          <cell r="F1145">
            <v>3</v>
          </cell>
          <cell r="G1145">
            <v>37036</v>
          </cell>
          <cell r="I1145" t="str">
            <v>North America</v>
          </cell>
          <cell r="J1145" t="str">
            <v>USA</v>
          </cell>
          <cell r="K1145">
            <v>35976</v>
          </cell>
        </row>
        <row r="1146">
          <cell r="A1146" t="str">
            <v>In service</v>
          </cell>
          <cell r="B1146" t="str">
            <v>Gulfstream Aerospace Gulfstream V</v>
          </cell>
          <cell r="C1146" t="str">
            <v xml:space="preserve"> </v>
          </cell>
          <cell r="D1146">
            <v>2000</v>
          </cell>
          <cell r="E1146" t="str">
            <v>Ford Motor Co</v>
          </cell>
          <cell r="F1146">
            <v>4</v>
          </cell>
          <cell r="G1146">
            <v>36696</v>
          </cell>
          <cell r="I1146" t="str">
            <v>North America</v>
          </cell>
          <cell r="J1146" t="str">
            <v>USA</v>
          </cell>
          <cell r="K1146">
            <v>36341</v>
          </cell>
        </row>
        <row r="1147">
          <cell r="A1147" t="str">
            <v>In service</v>
          </cell>
          <cell r="B1147" t="str">
            <v>Gulfstream Aerospace Gulfstream V</v>
          </cell>
          <cell r="C1147" t="str">
            <v xml:space="preserve"> </v>
          </cell>
          <cell r="D1147">
            <v>2000</v>
          </cell>
          <cell r="E1147" t="str">
            <v>Fairmonth Aviation Co Ltd</v>
          </cell>
          <cell r="F1147">
            <v>4</v>
          </cell>
          <cell r="G1147">
            <v>36699</v>
          </cell>
          <cell r="I1147" t="str">
            <v>Latin America and Caribbean</v>
          </cell>
          <cell r="J1147" t="str">
            <v>Bermuda</v>
          </cell>
          <cell r="K1147">
            <v>36045</v>
          </cell>
        </row>
        <row r="1148">
          <cell r="A1148" t="str">
            <v>In service</v>
          </cell>
          <cell r="B1148" t="str">
            <v>Gulfstream Aerospace Gulfstream V</v>
          </cell>
          <cell r="C1148" t="str">
            <v xml:space="preserve"> </v>
          </cell>
          <cell r="D1148">
            <v>2000</v>
          </cell>
          <cell r="E1148" t="str">
            <v>United Coal Co</v>
          </cell>
          <cell r="F1148">
            <v>4</v>
          </cell>
          <cell r="G1148">
            <v>36707</v>
          </cell>
          <cell r="I1148" t="str">
            <v>North America</v>
          </cell>
          <cell r="J1148" t="str">
            <v>USA</v>
          </cell>
          <cell r="K1148">
            <v>35976</v>
          </cell>
        </row>
        <row r="1149">
          <cell r="A1149" t="str">
            <v>In service</v>
          </cell>
          <cell r="B1149" t="str">
            <v>Gulfstream Aerospace Gulfstream V</v>
          </cell>
          <cell r="C1149" t="str">
            <v xml:space="preserve"> </v>
          </cell>
          <cell r="D1149">
            <v>2000</v>
          </cell>
          <cell r="E1149" t="str">
            <v>US Air Force</v>
          </cell>
          <cell r="F1149">
            <v>4</v>
          </cell>
          <cell r="G1149">
            <v>36862</v>
          </cell>
          <cell r="H1149" t="str">
            <v>C-37A</v>
          </cell>
          <cell r="I1149" t="str">
            <v>North America</v>
          </cell>
          <cell r="J1149" t="str">
            <v>USA</v>
          </cell>
          <cell r="K1149">
            <v>36256</v>
          </cell>
        </row>
        <row r="1150">
          <cell r="A1150" t="str">
            <v>In service</v>
          </cell>
          <cell r="B1150" t="str">
            <v>Gulfstream Aerospace Gulfstream V</v>
          </cell>
          <cell r="C1150" t="str">
            <v xml:space="preserve"> </v>
          </cell>
          <cell r="D1150">
            <v>2000</v>
          </cell>
          <cell r="E1150" t="str">
            <v>Ford Motor Co</v>
          </cell>
          <cell r="F1150">
            <v>4</v>
          </cell>
          <cell r="G1150">
            <v>36739</v>
          </cell>
          <cell r="I1150" t="str">
            <v>North America</v>
          </cell>
          <cell r="J1150" t="str">
            <v>USA</v>
          </cell>
          <cell r="K1150">
            <v>36341</v>
          </cell>
        </row>
        <row r="1151">
          <cell r="A1151" t="str">
            <v>In service</v>
          </cell>
          <cell r="B1151" t="str">
            <v>Gulfstream Aerospace Gulfstream V</v>
          </cell>
          <cell r="C1151" t="str">
            <v xml:space="preserve"> </v>
          </cell>
          <cell r="D1151">
            <v>2000</v>
          </cell>
          <cell r="E1151" t="str">
            <v>Time Works leasing LLC</v>
          </cell>
          <cell r="F1151">
            <v>4</v>
          </cell>
          <cell r="G1151">
            <v>36760</v>
          </cell>
          <cell r="I1151" t="str">
            <v>North America</v>
          </cell>
          <cell r="J1151" t="str">
            <v>USA</v>
          </cell>
          <cell r="K1151">
            <v>35976</v>
          </cell>
        </row>
        <row r="1152">
          <cell r="A1152" t="str">
            <v>In service</v>
          </cell>
          <cell r="B1152" t="str">
            <v>Gulfstream Aerospace Gulfstream V</v>
          </cell>
          <cell r="C1152" t="str">
            <v xml:space="preserve"> </v>
          </cell>
          <cell r="D1152">
            <v>1999</v>
          </cell>
          <cell r="E1152" t="str">
            <v>ALBA Servici Aerotrasporti SpA</v>
          </cell>
          <cell r="F1152">
            <v>5</v>
          </cell>
          <cell r="G1152">
            <v>36517</v>
          </cell>
          <cell r="I1152" t="str">
            <v>Europe</v>
          </cell>
          <cell r="J1152" t="str">
            <v>Italy</v>
          </cell>
          <cell r="K1152">
            <v>35976</v>
          </cell>
        </row>
        <row r="1153">
          <cell r="A1153" t="str">
            <v>In service</v>
          </cell>
          <cell r="B1153" t="str">
            <v>Gulfstream Aerospace Gulfstream V</v>
          </cell>
          <cell r="C1153" t="str">
            <v xml:space="preserve"> </v>
          </cell>
          <cell r="D1153">
            <v>2000</v>
          </cell>
          <cell r="E1153" t="str">
            <v>3M Co</v>
          </cell>
          <cell r="F1153">
            <v>4</v>
          </cell>
          <cell r="G1153">
            <v>36797</v>
          </cell>
          <cell r="I1153" t="str">
            <v>North America</v>
          </cell>
          <cell r="J1153" t="str">
            <v>USA</v>
          </cell>
          <cell r="K1153">
            <v>35611</v>
          </cell>
        </row>
        <row r="1154">
          <cell r="A1154" t="str">
            <v>In service</v>
          </cell>
          <cell r="B1154" t="str">
            <v>Gulfstream Aerospace Gulfstream V</v>
          </cell>
          <cell r="C1154" t="str">
            <v xml:space="preserve"> </v>
          </cell>
          <cell r="D1154">
            <v>2000</v>
          </cell>
          <cell r="E1154" t="str">
            <v>GVX Inc</v>
          </cell>
          <cell r="F1154">
            <v>4</v>
          </cell>
          <cell r="G1154">
            <v>36777</v>
          </cell>
          <cell r="I1154" t="str">
            <v>North America</v>
          </cell>
          <cell r="J1154" t="str">
            <v>USA</v>
          </cell>
          <cell r="K1154">
            <v>35611</v>
          </cell>
        </row>
        <row r="1155">
          <cell r="A1155" t="str">
            <v>In service</v>
          </cell>
          <cell r="B1155" t="str">
            <v>Gulfstream Aerospace Gulfstream V</v>
          </cell>
          <cell r="C1155" t="str">
            <v xml:space="preserve"> </v>
          </cell>
          <cell r="D1155">
            <v>2001</v>
          </cell>
          <cell r="E1155" t="str">
            <v>US Department of Justice - US Marshals Service</v>
          </cell>
          <cell r="F1155">
            <v>3</v>
          </cell>
          <cell r="G1155">
            <v>37146</v>
          </cell>
          <cell r="H1155" t="str">
            <v>C-37A</v>
          </cell>
          <cell r="I1155" t="str">
            <v>North America</v>
          </cell>
          <cell r="J1155" t="str">
            <v>USA</v>
          </cell>
          <cell r="K1155">
            <v>36256</v>
          </cell>
        </row>
        <row r="1156">
          <cell r="A1156" t="str">
            <v>In service</v>
          </cell>
          <cell r="B1156" t="str">
            <v>Gulfstream Aerospace Gulfstream V</v>
          </cell>
          <cell r="C1156" t="str">
            <v xml:space="preserve"> </v>
          </cell>
          <cell r="D1156">
            <v>2000</v>
          </cell>
          <cell r="E1156" t="str">
            <v>Marathon Oil Co</v>
          </cell>
          <cell r="F1156">
            <v>4</v>
          </cell>
          <cell r="G1156">
            <v>36798</v>
          </cell>
          <cell r="I1156" t="str">
            <v>North America</v>
          </cell>
          <cell r="J1156" t="str">
            <v>USA</v>
          </cell>
          <cell r="K1156">
            <v>36341</v>
          </cell>
        </row>
        <row r="1157">
          <cell r="A1157" t="str">
            <v>In service</v>
          </cell>
          <cell r="B1157" t="str">
            <v>Gulfstream Aerospace Gulfstream V</v>
          </cell>
          <cell r="C1157" t="str">
            <v xml:space="preserve"> </v>
          </cell>
          <cell r="D1157">
            <v>2000</v>
          </cell>
          <cell r="E1157" t="str">
            <v>Friedkin Aviation/Gulf States Toyota/Friedkin Co</v>
          </cell>
          <cell r="F1157">
            <v>4</v>
          </cell>
          <cell r="G1157">
            <v>36601</v>
          </cell>
          <cell r="I1157" t="str">
            <v>North America</v>
          </cell>
          <cell r="J1157" t="str">
            <v>USA</v>
          </cell>
          <cell r="K1157">
            <v>35976</v>
          </cell>
        </row>
        <row r="1158">
          <cell r="A1158" t="str">
            <v>In service</v>
          </cell>
          <cell r="B1158" t="str">
            <v>Gulfstream Aerospace Gulfstream V</v>
          </cell>
          <cell r="C1158" t="str">
            <v xml:space="preserve"> </v>
          </cell>
          <cell r="D1158">
            <v>2000</v>
          </cell>
          <cell r="E1158" t="str">
            <v>Avalon Capital Group Inc</v>
          </cell>
          <cell r="F1158">
            <v>4</v>
          </cell>
          <cell r="G1158">
            <v>36920</v>
          </cell>
          <cell r="I1158" t="str">
            <v>North America</v>
          </cell>
          <cell r="J1158" t="str">
            <v>USA</v>
          </cell>
          <cell r="K1158">
            <v>36341</v>
          </cell>
        </row>
        <row r="1159">
          <cell r="A1159" t="str">
            <v>In service</v>
          </cell>
          <cell r="B1159" t="str">
            <v>Gulfstream Aerospace Gulfstream V</v>
          </cell>
          <cell r="C1159" t="str">
            <v xml:space="preserve"> </v>
          </cell>
          <cell r="D1159">
            <v>2000</v>
          </cell>
          <cell r="E1159" t="str">
            <v>New World Jet Corp</v>
          </cell>
          <cell r="F1159">
            <v>4</v>
          </cell>
          <cell r="G1159">
            <v>36850</v>
          </cell>
          <cell r="I1159" t="str">
            <v>North America</v>
          </cell>
          <cell r="J1159" t="str">
            <v>USA</v>
          </cell>
          <cell r="K1159">
            <v>35976</v>
          </cell>
        </row>
        <row r="1160">
          <cell r="A1160" t="str">
            <v>In service</v>
          </cell>
          <cell r="B1160" t="str">
            <v>Gulfstream Aerospace Gulfstream V</v>
          </cell>
          <cell r="C1160" t="str">
            <v xml:space="preserve"> </v>
          </cell>
          <cell r="D1160">
            <v>2000</v>
          </cell>
          <cell r="E1160" t="str">
            <v>Netjets International</v>
          </cell>
          <cell r="F1160">
            <v>4</v>
          </cell>
          <cell r="G1160">
            <v>36882</v>
          </cell>
          <cell r="I1160" t="str">
            <v>North America</v>
          </cell>
          <cell r="J1160" t="str">
            <v>USA</v>
          </cell>
          <cell r="K1160">
            <v>35311</v>
          </cell>
        </row>
        <row r="1161">
          <cell r="A1161" t="str">
            <v>In service</v>
          </cell>
          <cell r="B1161" t="str">
            <v>Gulfstream Aerospace Gulfstream V</v>
          </cell>
          <cell r="C1161" t="str">
            <v xml:space="preserve"> </v>
          </cell>
          <cell r="D1161">
            <v>2000</v>
          </cell>
          <cell r="E1161" t="str">
            <v>Dennis Vanguard (Switchgear) Ltd</v>
          </cell>
          <cell r="F1161">
            <v>4</v>
          </cell>
          <cell r="G1161">
            <v>36860</v>
          </cell>
          <cell r="I1161" t="str">
            <v>Europe</v>
          </cell>
          <cell r="J1161" t="str">
            <v>United Kingdom</v>
          </cell>
          <cell r="K1161">
            <v>36045</v>
          </cell>
        </row>
        <row r="1162">
          <cell r="A1162" t="str">
            <v>In service</v>
          </cell>
          <cell r="B1162" t="str">
            <v>Gulfstream Aerospace Gulfstream V</v>
          </cell>
          <cell r="C1162" t="str">
            <v xml:space="preserve"> </v>
          </cell>
          <cell r="D1162">
            <v>2000</v>
          </cell>
          <cell r="E1162" t="str">
            <v>Schering Plough Corp</v>
          </cell>
          <cell r="F1162">
            <v>4</v>
          </cell>
          <cell r="G1162">
            <v>36889</v>
          </cell>
          <cell r="I1162" t="str">
            <v>North America</v>
          </cell>
          <cell r="J1162" t="str">
            <v>USA</v>
          </cell>
          <cell r="K1162">
            <v>35976</v>
          </cell>
        </row>
        <row r="1163">
          <cell r="A1163" t="str">
            <v>In service</v>
          </cell>
          <cell r="B1163" t="str">
            <v>Gulfstream Aerospace Gulfstream V</v>
          </cell>
          <cell r="C1163" t="str">
            <v xml:space="preserve"> </v>
          </cell>
          <cell r="D1163">
            <v>2000</v>
          </cell>
          <cell r="E1163" t="str">
            <v>Dessarrollo Milaz SA de CV</v>
          </cell>
          <cell r="F1163">
            <v>4</v>
          </cell>
          <cell r="G1163">
            <v>36880</v>
          </cell>
          <cell r="I1163" t="str">
            <v>Latin America and Caribbean</v>
          </cell>
          <cell r="J1163" t="str">
            <v>Mexico</v>
          </cell>
          <cell r="K1163">
            <v>35976</v>
          </cell>
        </row>
        <row r="1164">
          <cell r="A1164" t="str">
            <v>In service</v>
          </cell>
          <cell r="B1164" t="str">
            <v>Gulfstream Aerospace Gulfstream V</v>
          </cell>
          <cell r="C1164" t="str">
            <v xml:space="preserve"> </v>
          </cell>
          <cell r="D1164">
            <v>2000</v>
          </cell>
          <cell r="E1164" t="str">
            <v>Gulfstream Aerospace Corp</v>
          </cell>
          <cell r="F1164">
            <v>4</v>
          </cell>
          <cell r="G1164">
            <v>36682</v>
          </cell>
          <cell r="I1164" t="str">
            <v>North America</v>
          </cell>
          <cell r="J1164" t="str">
            <v>USA</v>
          </cell>
          <cell r="K1164">
            <v>36509</v>
          </cell>
        </row>
        <row r="1165">
          <cell r="A1165" t="str">
            <v>In service</v>
          </cell>
          <cell r="B1165" t="str">
            <v>Gulfstream Aerospace Gulfstream V</v>
          </cell>
          <cell r="C1165" t="str">
            <v xml:space="preserve"> </v>
          </cell>
          <cell r="D1165">
            <v>2000</v>
          </cell>
          <cell r="E1165" t="str">
            <v>Amgen Inc</v>
          </cell>
          <cell r="F1165">
            <v>4</v>
          </cell>
          <cell r="G1165">
            <v>36693</v>
          </cell>
          <cell r="I1165" t="str">
            <v>North America</v>
          </cell>
          <cell r="J1165" t="str">
            <v>USA</v>
          </cell>
          <cell r="K1165">
            <v>36509</v>
          </cell>
        </row>
        <row r="1166">
          <cell r="A1166" t="str">
            <v>In service</v>
          </cell>
          <cell r="B1166" t="str">
            <v>Gulfstream Aerospace Gulfstream V</v>
          </cell>
          <cell r="C1166" t="str">
            <v xml:space="preserve"> </v>
          </cell>
          <cell r="D1166">
            <v>2000</v>
          </cell>
          <cell r="E1166" t="str">
            <v>GAMA Aviation</v>
          </cell>
          <cell r="F1166">
            <v>4</v>
          </cell>
          <cell r="G1166">
            <v>36846</v>
          </cell>
          <cell r="I1166" t="str">
            <v>Europe</v>
          </cell>
          <cell r="J1166" t="str">
            <v>United Kingdom</v>
          </cell>
          <cell r="K1166">
            <v>36341</v>
          </cell>
        </row>
        <row r="1167">
          <cell r="A1167" t="str">
            <v>In service</v>
          </cell>
          <cell r="B1167" t="str">
            <v>Gulfstream Aerospace Gulfstream V</v>
          </cell>
          <cell r="C1167" t="str">
            <v xml:space="preserve"> </v>
          </cell>
          <cell r="D1167">
            <v>2000</v>
          </cell>
          <cell r="E1167" t="str">
            <v>Lexair II Ltd</v>
          </cell>
          <cell r="F1167">
            <v>4</v>
          </cell>
          <cell r="G1167">
            <v>36889</v>
          </cell>
          <cell r="I1167" t="str">
            <v>North America</v>
          </cell>
          <cell r="J1167" t="str">
            <v>USA</v>
          </cell>
          <cell r="K1167">
            <v>35976</v>
          </cell>
        </row>
        <row r="1168">
          <cell r="A1168" t="str">
            <v>In service</v>
          </cell>
          <cell r="B1168" t="str">
            <v>Gulfstream Aerospace Gulfstream V</v>
          </cell>
          <cell r="C1168" t="str">
            <v xml:space="preserve"> </v>
          </cell>
          <cell r="D1168">
            <v>2001</v>
          </cell>
          <cell r="E1168" t="str">
            <v>Standard &amp; Poor's Securities Evaluations Inc</v>
          </cell>
          <cell r="F1168">
            <v>3</v>
          </cell>
          <cell r="G1168">
            <v>36977</v>
          </cell>
          <cell r="I1168" t="str">
            <v>North America</v>
          </cell>
          <cell r="J1168" t="str">
            <v>USA</v>
          </cell>
          <cell r="K1168">
            <v>35976</v>
          </cell>
        </row>
        <row r="1169">
          <cell r="A1169" t="str">
            <v>In service</v>
          </cell>
          <cell r="B1169" t="str">
            <v>Gulfstream Aerospace Gulfstream V</v>
          </cell>
          <cell r="C1169" t="str">
            <v xml:space="preserve"> </v>
          </cell>
          <cell r="D1169">
            <v>2001</v>
          </cell>
          <cell r="E1169" t="str">
            <v>Cargill Inc</v>
          </cell>
          <cell r="F1169">
            <v>3</v>
          </cell>
          <cell r="G1169">
            <v>37046</v>
          </cell>
          <cell r="I1169" t="str">
            <v>North America</v>
          </cell>
          <cell r="J1169" t="str">
            <v>USA</v>
          </cell>
          <cell r="K1169">
            <v>36341</v>
          </cell>
        </row>
        <row r="1170">
          <cell r="A1170" t="str">
            <v>In service</v>
          </cell>
          <cell r="B1170" t="str">
            <v>Gulfstream Aerospace Gulfstream V</v>
          </cell>
          <cell r="C1170" t="str">
            <v xml:space="preserve"> </v>
          </cell>
          <cell r="D1170">
            <v>2001</v>
          </cell>
          <cell r="E1170" t="str">
            <v>Teratorn LLC</v>
          </cell>
          <cell r="F1170">
            <v>3</v>
          </cell>
          <cell r="G1170">
            <v>37204</v>
          </cell>
          <cell r="I1170" t="str">
            <v>North America</v>
          </cell>
          <cell r="J1170" t="str">
            <v>USA</v>
          </cell>
          <cell r="K1170">
            <v>36341</v>
          </cell>
        </row>
        <row r="1171">
          <cell r="A1171" t="str">
            <v>In service</v>
          </cell>
          <cell r="B1171" t="str">
            <v>Gulfstream Aerospace Gulfstream V</v>
          </cell>
          <cell r="C1171" t="str">
            <v xml:space="preserve"> </v>
          </cell>
          <cell r="D1171">
            <v>2001</v>
          </cell>
          <cell r="E1171" t="str">
            <v>The Air Group Inc</v>
          </cell>
          <cell r="F1171">
            <v>3</v>
          </cell>
          <cell r="G1171">
            <v>36962</v>
          </cell>
          <cell r="I1171" t="str">
            <v>North America</v>
          </cell>
          <cell r="J1171" t="str">
            <v>USA</v>
          </cell>
          <cell r="K1171">
            <v>36341</v>
          </cell>
        </row>
        <row r="1172">
          <cell r="A1172" t="str">
            <v>In service</v>
          </cell>
          <cell r="B1172" t="str">
            <v>Gulfstream Aerospace Gulfstream V</v>
          </cell>
          <cell r="C1172" t="str">
            <v xml:space="preserve"> </v>
          </cell>
          <cell r="D1172">
            <v>2000</v>
          </cell>
          <cell r="E1172" t="str">
            <v>Anchor Marketing Inc</v>
          </cell>
          <cell r="F1172">
            <v>4</v>
          </cell>
          <cell r="G1172">
            <v>36973</v>
          </cell>
          <cell r="I1172" t="str">
            <v>North America</v>
          </cell>
          <cell r="J1172" t="str">
            <v>USA</v>
          </cell>
          <cell r="K1172">
            <v>35311</v>
          </cell>
        </row>
        <row r="1173">
          <cell r="A1173" t="str">
            <v>In service</v>
          </cell>
          <cell r="B1173" t="str">
            <v>Gulfstream Aerospace Gulfstream V</v>
          </cell>
          <cell r="C1173" t="str">
            <v xml:space="preserve"> </v>
          </cell>
          <cell r="D1173">
            <v>2001</v>
          </cell>
          <cell r="E1173" t="str">
            <v>CYMI Investments Sub Inc</v>
          </cell>
          <cell r="F1173">
            <v>3</v>
          </cell>
          <cell r="G1173">
            <v>37063</v>
          </cell>
          <cell r="I1173" t="str">
            <v>North America</v>
          </cell>
          <cell r="J1173" t="str">
            <v>USA</v>
          </cell>
          <cell r="K1173">
            <v>36341</v>
          </cell>
        </row>
        <row r="1174">
          <cell r="A1174" t="str">
            <v>In service</v>
          </cell>
          <cell r="B1174" t="str">
            <v>Gulfstream Aerospace Gulfstream V</v>
          </cell>
          <cell r="C1174" t="str">
            <v xml:space="preserve"> </v>
          </cell>
          <cell r="D1174">
            <v>2001</v>
          </cell>
          <cell r="E1174" t="str">
            <v>Metromedia Aircraft Co</v>
          </cell>
          <cell r="F1174">
            <v>3</v>
          </cell>
          <cell r="G1174">
            <v>37070</v>
          </cell>
          <cell r="I1174" t="str">
            <v>North America</v>
          </cell>
          <cell r="J1174" t="str">
            <v>USA</v>
          </cell>
          <cell r="K1174">
            <v>36341</v>
          </cell>
        </row>
        <row r="1175">
          <cell r="A1175" t="str">
            <v>In service</v>
          </cell>
          <cell r="B1175" t="str">
            <v>Gulfstream Aerospace Gulfstream V</v>
          </cell>
          <cell r="C1175" t="str">
            <v xml:space="preserve"> </v>
          </cell>
          <cell r="D1175">
            <v>2001</v>
          </cell>
          <cell r="E1175" t="str">
            <v>Haliburton Energy Services Inc</v>
          </cell>
          <cell r="F1175">
            <v>3</v>
          </cell>
          <cell r="G1175">
            <v>37071</v>
          </cell>
          <cell r="I1175" t="str">
            <v>North America</v>
          </cell>
          <cell r="J1175" t="str">
            <v>USA</v>
          </cell>
          <cell r="K1175">
            <v>35976</v>
          </cell>
        </row>
        <row r="1176">
          <cell r="A1176" t="str">
            <v>In service</v>
          </cell>
          <cell r="B1176" t="str">
            <v>Gulfstream Aerospace Gulfstream V</v>
          </cell>
          <cell r="C1176" t="str">
            <v xml:space="preserve"> </v>
          </cell>
          <cell r="D1176">
            <v>2001</v>
          </cell>
          <cell r="E1176" t="str">
            <v>Government of Algeria</v>
          </cell>
          <cell r="F1176">
            <v>3</v>
          </cell>
          <cell r="G1176">
            <v>37071</v>
          </cell>
          <cell r="I1176" t="str">
            <v>Africa</v>
          </cell>
          <cell r="J1176" t="str">
            <v>Algeria</v>
          </cell>
          <cell r="K1176">
            <v>36341</v>
          </cell>
        </row>
        <row r="1177">
          <cell r="A1177" t="str">
            <v>In service</v>
          </cell>
          <cell r="B1177" t="str">
            <v>Gulfstream Aerospace Gulfstream V</v>
          </cell>
          <cell r="C1177" t="str">
            <v xml:space="preserve"> </v>
          </cell>
          <cell r="D1177">
            <v>2000</v>
          </cell>
          <cell r="E1177" t="str">
            <v>Johnson Controls Inc</v>
          </cell>
          <cell r="F1177">
            <v>4</v>
          </cell>
          <cell r="G1177">
            <v>36859</v>
          </cell>
          <cell r="I1177" t="str">
            <v>North America</v>
          </cell>
          <cell r="J1177" t="str">
            <v>USA</v>
          </cell>
          <cell r="K1177">
            <v>36341</v>
          </cell>
        </row>
        <row r="1178">
          <cell r="A1178" t="str">
            <v>In service</v>
          </cell>
          <cell r="B1178" t="str">
            <v>Gulfstream Aerospace Gulfstream V</v>
          </cell>
          <cell r="C1178" t="str">
            <v xml:space="preserve"> </v>
          </cell>
          <cell r="D1178">
            <v>2001</v>
          </cell>
          <cell r="E1178" t="str">
            <v>Amerada Hess Corp</v>
          </cell>
          <cell r="F1178">
            <v>3</v>
          </cell>
          <cell r="G1178">
            <v>37169</v>
          </cell>
          <cell r="I1178" t="str">
            <v>North America</v>
          </cell>
          <cell r="J1178" t="str">
            <v>USA</v>
          </cell>
          <cell r="K1178">
            <v>35976</v>
          </cell>
        </row>
        <row r="1179">
          <cell r="A1179" t="str">
            <v>In service</v>
          </cell>
          <cell r="B1179" t="str">
            <v>Gulfstream Aerospace Gulfstream V</v>
          </cell>
          <cell r="C1179" t="str">
            <v xml:space="preserve"> </v>
          </cell>
          <cell r="D1179">
            <v>2001</v>
          </cell>
          <cell r="E1179" t="str">
            <v>US Air Force</v>
          </cell>
          <cell r="F1179">
            <v>3</v>
          </cell>
          <cell r="G1179">
            <v>37097</v>
          </cell>
          <cell r="H1179" t="str">
            <v>C-37A</v>
          </cell>
          <cell r="I1179" t="str">
            <v>North America</v>
          </cell>
          <cell r="J1179" t="str">
            <v>USA</v>
          </cell>
          <cell r="K1179">
            <v>36826</v>
          </cell>
        </row>
        <row r="1180">
          <cell r="A1180" t="str">
            <v>In service</v>
          </cell>
          <cell r="B1180" t="str">
            <v>Gulfstream Aerospace Gulfstream V</v>
          </cell>
          <cell r="C1180" t="str">
            <v xml:space="preserve"> </v>
          </cell>
          <cell r="D1180">
            <v>2001</v>
          </cell>
          <cell r="E1180" t="str">
            <v>New World Jet Corp</v>
          </cell>
          <cell r="F1180">
            <v>3</v>
          </cell>
          <cell r="G1180">
            <v>37104</v>
          </cell>
          <cell r="I1180" t="str">
            <v>North America</v>
          </cell>
          <cell r="J1180" t="str">
            <v>USA</v>
          </cell>
          <cell r="K1180">
            <v>36341</v>
          </cell>
        </row>
        <row r="1181">
          <cell r="A1181" t="str">
            <v>In service</v>
          </cell>
          <cell r="B1181" t="str">
            <v>Gulfstream Aerospace Gulfstream V</v>
          </cell>
          <cell r="C1181" t="str">
            <v xml:space="preserve"> </v>
          </cell>
          <cell r="D1181">
            <v>2001</v>
          </cell>
          <cell r="E1181" t="str">
            <v>Casden Aircraft LLC</v>
          </cell>
          <cell r="F1181">
            <v>3</v>
          </cell>
          <cell r="G1181">
            <v>37091</v>
          </cell>
          <cell r="I1181" t="str">
            <v>North America</v>
          </cell>
          <cell r="J1181" t="str">
            <v>USA</v>
          </cell>
          <cell r="K1181">
            <v>36341</v>
          </cell>
        </row>
        <row r="1182">
          <cell r="A1182" t="str">
            <v>In service</v>
          </cell>
          <cell r="B1182" t="str">
            <v>Gulfstream Aerospace Gulfstream V</v>
          </cell>
          <cell r="C1182" t="str">
            <v xml:space="preserve"> </v>
          </cell>
          <cell r="D1182">
            <v>2001</v>
          </cell>
          <cell r="E1182" t="str">
            <v>Netjets International</v>
          </cell>
          <cell r="F1182">
            <v>3</v>
          </cell>
          <cell r="G1182">
            <v>37042</v>
          </cell>
          <cell r="I1182" t="str">
            <v>North America</v>
          </cell>
          <cell r="J1182" t="str">
            <v>USA</v>
          </cell>
          <cell r="K1182">
            <v>36087</v>
          </cell>
        </row>
        <row r="1183">
          <cell r="A1183" t="str">
            <v>In service</v>
          </cell>
          <cell r="B1183" t="str">
            <v>Gulfstream Aerospace Gulfstream V</v>
          </cell>
          <cell r="C1183" t="str">
            <v xml:space="preserve"> </v>
          </cell>
          <cell r="D1183">
            <v>2001</v>
          </cell>
          <cell r="E1183" t="str">
            <v>US Air Force</v>
          </cell>
          <cell r="F1183">
            <v>3</v>
          </cell>
          <cell r="G1183">
            <v>37179</v>
          </cell>
          <cell r="H1183" t="str">
            <v>C-37A</v>
          </cell>
          <cell r="I1183" t="str">
            <v>North America</v>
          </cell>
          <cell r="J1183" t="str">
            <v>USA</v>
          </cell>
          <cell r="K1183">
            <v>36826</v>
          </cell>
        </row>
        <row r="1184">
          <cell r="A1184" t="str">
            <v>In service</v>
          </cell>
          <cell r="B1184" t="str">
            <v>Gulfstream Aerospace Gulfstream V</v>
          </cell>
          <cell r="C1184" t="str">
            <v xml:space="preserve"> </v>
          </cell>
          <cell r="D1184">
            <v>2001</v>
          </cell>
          <cell r="E1184" t="str">
            <v>Netjets International</v>
          </cell>
          <cell r="F1184">
            <v>3</v>
          </cell>
          <cell r="G1184">
            <v>37069</v>
          </cell>
          <cell r="I1184" t="str">
            <v>North America</v>
          </cell>
          <cell r="J1184" t="str">
            <v>USA</v>
          </cell>
          <cell r="K1184">
            <v>36087</v>
          </cell>
        </row>
        <row r="1185">
          <cell r="A1185" t="str">
            <v>In service</v>
          </cell>
          <cell r="B1185" t="str">
            <v>Gulfstream Aerospace Gulfstream V</v>
          </cell>
          <cell r="C1185" t="str">
            <v xml:space="preserve"> </v>
          </cell>
          <cell r="D1185">
            <v>2000</v>
          </cell>
          <cell r="E1185" t="str">
            <v>Fightertown Inc</v>
          </cell>
          <cell r="F1185">
            <v>4</v>
          </cell>
          <cell r="G1185">
            <v>36878</v>
          </cell>
          <cell r="I1185" t="str">
            <v>North America</v>
          </cell>
          <cell r="J1185" t="str">
            <v>USA</v>
          </cell>
          <cell r="K1185">
            <v>36341</v>
          </cell>
        </row>
        <row r="1186">
          <cell r="A1186" t="str">
            <v>In service</v>
          </cell>
          <cell r="B1186" t="str">
            <v>Gulfstream Aerospace Gulfstream V</v>
          </cell>
          <cell r="C1186" t="str">
            <v xml:space="preserve"> </v>
          </cell>
          <cell r="D1186">
            <v>2001</v>
          </cell>
          <cell r="E1186" t="str">
            <v>Miranda International Aviation Inc</v>
          </cell>
          <cell r="F1186">
            <v>3</v>
          </cell>
          <cell r="G1186">
            <v>37246</v>
          </cell>
          <cell r="I1186" t="str">
            <v>North America</v>
          </cell>
          <cell r="J1186" t="str">
            <v>USA</v>
          </cell>
          <cell r="K1186">
            <v>36341</v>
          </cell>
        </row>
        <row r="1187">
          <cell r="A1187" t="str">
            <v>In service</v>
          </cell>
          <cell r="B1187" t="str">
            <v>Gulfstream Aerospace Gulfstream V</v>
          </cell>
          <cell r="C1187" t="str">
            <v xml:space="preserve"> </v>
          </cell>
          <cell r="D1187">
            <v>2000</v>
          </cell>
          <cell r="E1187" t="str">
            <v>Ivanhoe Capital Aviation LLC</v>
          </cell>
          <cell r="F1187">
            <v>4</v>
          </cell>
          <cell r="G1187">
            <v>36907</v>
          </cell>
          <cell r="I1187" t="str">
            <v>North America</v>
          </cell>
          <cell r="J1187" t="str">
            <v>USA</v>
          </cell>
          <cell r="K1187">
            <v>36707</v>
          </cell>
        </row>
        <row r="1188">
          <cell r="A1188" t="str">
            <v>In service</v>
          </cell>
          <cell r="B1188" t="str">
            <v>Gulfstream Aerospace Gulfstream V</v>
          </cell>
          <cell r="C1188" t="str">
            <v xml:space="preserve"> </v>
          </cell>
          <cell r="D1188">
            <v>2001</v>
          </cell>
          <cell r="E1188" t="str">
            <v>The Air Group Inc</v>
          </cell>
          <cell r="F1188">
            <v>3</v>
          </cell>
          <cell r="G1188">
            <v>37236</v>
          </cell>
          <cell r="I1188" t="str">
            <v>North America</v>
          </cell>
          <cell r="J1188" t="str">
            <v>USA</v>
          </cell>
          <cell r="K1188">
            <v>36707</v>
          </cell>
        </row>
        <row r="1189">
          <cell r="A1189" t="str">
            <v>In service</v>
          </cell>
          <cell r="B1189" t="str">
            <v>Gulfstream Aerospace Gulfstream V</v>
          </cell>
          <cell r="C1189" t="str">
            <v xml:space="preserve"> </v>
          </cell>
          <cell r="D1189">
            <v>2001</v>
          </cell>
          <cell r="E1189" t="str">
            <v>EDS Information Services LLC</v>
          </cell>
          <cell r="F1189">
            <v>3</v>
          </cell>
          <cell r="G1189">
            <v>37161</v>
          </cell>
          <cell r="I1189" t="str">
            <v>North America</v>
          </cell>
          <cell r="J1189" t="str">
            <v>USA</v>
          </cell>
          <cell r="K1189">
            <v>36341</v>
          </cell>
        </row>
        <row r="1190">
          <cell r="A1190" t="str">
            <v>In service</v>
          </cell>
          <cell r="B1190" t="str">
            <v>Gulfstream Aerospace Gulfstream V</v>
          </cell>
          <cell r="C1190" t="str">
            <v xml:space="preserve"> </v>
          </cell>
          <cell r="D1190">
            <v>2001</v>
          </cell>
          <cell r="E1190" t="str">
            <v>Netjets International</v>
          </cell>
          <cell r="F1190">
            <v>3</v>
          </cell>
          <cell r="G1190">
            <v>37162</v>
          </cell>
          <cell r="I1190" t="str">
            <v>North America</v>
          </cell>
          <cell r="J1190" t="str">
            <v>USA</v>
          </cell>
          <cell r="K1190">
            <v>36087</v>
          </cell>
        </row>
        <row r="1191">
          <cell r="A1191" t="str">
            <v>In service</v>
          </cell>
          <cell r="B1191" t="str">
            <v>Gulfstream Aerospace Gulfstream V</v>
          </cell>
          <cell r="C1191" t="str">
            <v xml:space="preserve"> </v>
          </cell>
          <cell r="D1191">
            <v>2001</v>
          </cell>
          <cell r="E1191" t="str">
            <v>Gulfstream Aerospace Corp</v>
          </cell>
          <cell r="F1191">
            <v>3</v>
          </cell>
          <cell r="I1191" t="str">
            <v>North America</v>
          </cell>
          <cell r="J1191" t="str">
            <v>USA</v>
          </cell>
        </row>
        <row r="1192">
          <cell r="A1192" t="str">
            <v>In service</v>
          </cell>
          <cell r="B1192" t="str">
            <v>Gulfstream Aerospace Gulfstream V</v>
          </cell>
          <cell r="C1192" t="str">
            <v xml:space="preserve"> </v>
          </cell>
          <cell r="D1192">
            <v>2001</v>
          </cell>
          <cell r="E1192" t="str">
            <v>Lexair III Limited</v>
          </cell>
          <cell r="F1192">
            <v>3</v>
          </cell>
          <cell r="G1192">
            <v>36987</v>
          </cell>
          <cell r="I1192" t="str">
            <v>North America</v>
          </cell>
          <cell r="J1192" t="str">
            <v>USA</v>
          </cell>
          <cell r="K1192">
            <v>36707</v>
          </cell>
        </row>
        <row r="1193">
          <cell r="A1193" t="str">
            <v>In service</v>
          </cell>
          <cell r="B1193" t="str">
            <v>Gulfstream Aerospace Gulfstream V</v>
          </cell>
          <cell r="C1193" t="str">
            <v xml:space="preserve"> </v>
          </cell>
          <cell r="D1193">
            <v>2001</v>
          </cell>
          <cell r="E1193" t="str">
            <v>Anglo American Corp of South Africa</v>
          </cell>
          <cell r="F1193">
            <v>3</v>
          </cell>
          <cell r="G1193">
            <v>37247</v>
          </cell>
          <cell r="I1193" t="str">
            <v>Africa</v>
          </cell>
          <cell r="J1193" t="str">
            <v>South Africa</v>
          </cell>
          <cell r="K1193">
            <v>35611</v>
          </cell>
        </row>
        <row r="1194">
          <cell r="A1194" t="str">
            <v>In service</v>
          </cell>
          <cell r="B1194" t="str">
            <v>Gulfstream Aerospace Gulfstream V</v>
          </cell>
          <cell r="C1194" t="str">
            <v xml:space="preserve"> </v>
          </cell>
          <cell r="D1194">
            <v>2001</v>
          </cell>
          <cell r="E1194" t="str">
            <v>Pfizer Inc</v>
          </cell>
          <cell r="F1194">
            <v>3</v>
          </cell>
          <cell r="G1194">
            <v>37256</v>
          </cell>
          <cell r="I1194" t="str">
            <v>North America</v>
          </cell>
          <cell r="J1194" t="str">
            <v>USA</v>
          </cell>
          <cell r="K1194">
            <v>36341</v>
          </cell>
        </row>
        <row r="1195">
          <cell r="A1195" t="str">
            <v>In service</v>
          </cell>
          <cell r="B1195" t="str">
            <v>Gulfstream Aerospace Gulfstream V</v>
          </cell>
          <cell r="C1195" t="str">
            <v xml:space="preserve"> </v>
          </cell>
          <cell r="D1195">
            <v>2001</v>
          </cell>
          <cell r="E1195" t="str">
            <v>BP Amoco Corp</v>
          </cell>
          <cell r="F1195">
            <v>3</v>
          </cell>
          <cell r="G1195">
            <v>37253</v>
          </cell>
          <cell r="I1195" t="str">
            <v>North America</v>
          </cell>
          <cell r="J1195" t="str">
            <v>USA</v>
          </cell>
          <cell r="K1195">
            <v>36045</v>
          </cell>
        </row>
        <row r="1196">
          <cell r="A1196" t="str">
            <v>In service</v>
          </cell>
          <cell r="B1196" t="str">
            <v>Gulfstream Aerospace Gulfstream V</v>
          </cell>
          <cell r="C1196" t="str">
            <v xml:space="preserve"> </v>
          </cell>
          <cell r="D1196">
            <v>2001</v>
          </cell>
          <cell r="E1196" t="str">
            <v>Netjets International</v>
          </cell>
          <cell r="F1196">
            <v>3</v>
          </cell>
          <cell r="G1196">
            <v>37196</v>
          </cell>
          <cell r="I1196" t="str">
            <v>North America</v>
          </cell>
          <cell r="J1196" t="str">
            <v>USA</v>
          </cell>
          <cell r="K1196">
            <v>36087</v>
          </cell>
        </row>
        <row r="1197">
          <cell r="A1197" t="str">
            <v>In service</v>
          </cell>
          <cell r="B1197" t="str">
            <v>Gulfstream Aerospace Gulfstream V</v>
          </cell>
          <cell r="C1197" t="str">
            <v xml:space="preserve"> </v>
          </cell>
          <cell r="D1197">
            <v>2001</v>
          </cell>
          <cell r="E1197" t="str">
            <v>Jet Aviation Business Jets</v>
          </cell>
          <cell r="F1197">
            <v>3</v>
          </cell>
          <cell r="G1197">
            <v>37298</v>
          </cell>
          <cell r="I1197" t="str">
            <v>Europe</v>
          </cell>
          <cell r="J1197" t="str">
            <v>Switzerland</v>
          </cell>
          <cell r="K1197">
            <v>37072</v>
          </cell>
        </row>
        <row r="1198">
          <cell r="A1198" t="str">
            <v>In service</v>
          </cell>
          <cell r="B1198" t="str">
            <v>Gulfstream Aerospace Gulfstream V</v>
          </cell>
          <cell r="C1198" t="str">
            <v xml:space="preserve"> </v>
          </cell>
          <cell r="D1198">
            <v>2001</v>
          </cell>
          <cell r="E1198" t="str">
            <v>CSC Transport IV Inc</v>
          </cell>
          <cell r="F1198">
            <v>3</v>
          </cell>
          <cell r="G1198">
            <v>37197</v>
          </cell>
          <cell r="I1198" t="str">
            <v>North America</v>
          </cell>
          <cell r="J1198" t="str">
            <v>USA</v>
          </cell>
          <cell r="K1198">
            <v>36707</v>
          </cell>
        </row>
        <row r="1199">
          <cell r="A1199" t="str">
            <v>In service</v>
          </cell>
          <cell r="B1199" t="str">
            <v>Gulfstream Aerospace Gulfstream V</v>
          </cell>
          <cell r="C1199" t="str">
            <v xml:space="preserve"> </v>
          </cell>
          <cell r="D1199">
            <v>2002</v>
          </cell>
          <cell r="E1199" t="str">
            <v>Bank of America NA</v>
          </cell>
          <cell r="F1199">
            <v>2</v>
          </cell>
          <cell r="G1199">
            <v>37348</v>
          </cell>
          <cell r="I1199" t="str">
            <v>North America</v>
          </cell>
          <cell r="J1199" t="str">
            <v>USA</v>
          </cell>
          <cell r="K1199">
            <v>36707</v>
          </cell>
        </row>
        <row r="1200">
          <cell r="A1200" t="str">
            <v>In service</v>
          </cell>
          <cell r="B1200" t="str">
            <v>Gulfstream Aerospace Gulfstream V</v>
          </cell>
          <cell r="C1200" t="str">
            <v xml:space="preserve"> </v>
          </cell>
          <cell r="D1200">
            <v>2001</v>
          </cell>
          <cell r="E1200" t="str">
            <v>International Jet Management GbmH</v>
          </cell>
          <cell r="F1200">
            <v>3</v>
          </cell>
          <cell r="G1200">
            <v>37393</v>
          </cell>
          <cell r="I1200" t="str">
            <v>Europe</v>
          </cell>
          <cell r="J1200" t="str">
            <v>Austria</v>
          </cell>
          <cell r="K1200">
            <v>36707</v>
          </cell>
        </row>
        <row r="1201">
          <cell r="A1201" t="str">
            <v>In service</v>
          </cell>
          <cell r="B1201" t="str">
            <v>Gulfstream Aerospace Gulfstream V</v>
          </cell>
          <cell r="C1201" t="str">
            <v xml:space="preserve"> </v>
          </cell>
          <cell r="D1201">
            <v>2001</v>
          </cell>
          <cell r="E1201" t="str">
            <v>NetJets Europe</v>
          </cell>
          <cell r="F1201">
            <v>3</v>
          </cell>
          <cell r="G1201">
            <v>37237</v>
          </cell>
          <cell r="I1201" t="str">
            <v>Europe</v>
          </cell>
          <cell r="J1201" t="str">
            <v>Portugal</v>
          </cell>
          <cell r="K1201">
            <v>36087</v>
          </cell>
        </row>
        <row r="1202">
          <cell r="A1202" t="str">
            <v>In service</v>
          </cell>
          <cell r="B1202" t="str">
            <v>Gulfstream Aerospace Gulfstream V</v>
          </cell>
          <cell r="C1202" t="str">
            <v xml:space="preserve"> </v>
          </cell>
          <cell r="D1202">
            <v>2001</v>
          </cell>
          <cell r="E1202" t="str">
            <v>Federal Government of Nigeria</v>
          </cell>
          <cell r="F1202">
            <v>3</v>
          </cell>
          <cell r="G1202">
            <v>37266</v>
          </cell>
          <cell r="I1202" t="str">
            <v>Africa</v>
          </cell>
          <cell r="J1202" t="str">
            <v>Nigeria</v>
          </cell>
          <cell r="K1202">
            <v>36707</v>
          </cell>
        </row>
        <row r="1203">
          <cell r="A1203" t="str">
            <v>In service</v>
          </cell>
          <cell r="B1203" t="str">
            <v>Gulfstream Aerospace Gulfstream V</v>
          </cell>
          <cell r="C1203" t="str">
            <v xml:space="preserve"> </v>
          </cell>
          <cell r="D1203">
            <v>2002</v>
          </cell>
          <cell r="E1203" t="str">
            <v>Saudi Aeromedical Evacuation</v>
          </cell>
          <cell r="F1203">
            <v>2</v>
          </cell>
          <cell r="G1203">
            <v>37442</v>
          </cell>
          <cell r="I1203" t="str">
            <v>Middle East</v>
          </cell>
          <cell r="J1203" t="str">
            <v>Saudi Arabia</v>
          </cell>
          <cell r="K1203">
            <v>37072</v>
          </cell>
        </row>
        <row r="1204">
          <cell r="A1204" t="str">
            <v>In service</v>
          </cell>
          <cell r="B1204" t="str">
            <v>Gulfstream Aerospace Gulfstream V</v>
          </cell>
          <cell r="C1204" t="str">
            <v xml:space="preserve"> </v>
          </cell>
          <cell r="D1204">
            <v>2001</v>
          </cell>
          <cell r="E1204" t="str">
            <v>US Air Force</v>
          </cell>
          <cell r="F1204">
            <v>3</v>
          </cell>
          <cell r="G1204">
            <v>37286</v>
          </cell>
          <cell r="H1204" t="str">
            <v>C-37A</v>
          </cell>
          <cell r="I1204" t="str">
            <v>North America</v>
          </cell>
          <cell r="J1204" t="str">
            <v>USA</v>
          </cell>
          <cell r="K1204">
            <v>36826</v>
          </cell>
        </row>
        <row r="1205">
          <cell r="A1205" t="str">
            <v>In service</v>
          </cell>
          <cell r="B1205" t="str">
            <v>Gulfstream Aerospace Gulfstream V</v>
          </cell>
          <cell r="C1205" t="str">
            <v xml:space="preserve"> </v>
          </cell>
          <cell r="D1205">
            <v>2001</v>
          </cell>
          <cell r="E1205" t="str">
            <v>Star Aircraft Leasing SA</v>
          </cell>
          <cell r="F1205">
            <v>3</v>
          </cell>
          <cell r="G1205">
            <v>37245</v>
          </cell>
          <cell r="I1205" t="str">
            <v>Europe</v>
          </cell>
          <cell r="J1205" t="str">
            <v>Luxembourg</v>
          </cell>
          <cell r="K1205">
            <v>36707</v>
          </cell>
        </row>
        <row r="1206">
          <cell r="A1206" t="str">
            <v>In service</v>
          </cell>
          <cell r="B1206" t="str">
            <v>Gulfstream Aerospace Gulfstream V</v>
          </cell>
          <cell r="C1206" t="str">
            <v xml:space="preserve"> </v>
          </cell>
          <cell r="D1206">
            <v>2002</v>
          </cell>
          <cell r="E1206" t="str">
            <v>Netjets International</v>
          </cell>
          <cell r="F1206">
            <v>2</v>
          </cell>
          <cell r="G1206">
            <v>37302</v>
          </cell>
          <cell r="I1206" t="str">
            <v>North America</v>
          </cell>
          <cell r="J1206" t="str">
            <v>USA</v>
          </cell>
          <cell r="K1206">
            <v>36087</v>
          </cell>
        </row>
        <row r="1207">
          <cell r="A1207" t="str">
            <v>In service</v>
          </cell>
          <cell r="B1207" t="str">
            <v>Gulfstream Aerospace Gulfstream V</v>
          </cell>
          <cell r="C1207" t="str">
            <v xml:space="preserve"> </v>
          </cell>
          <cell r="D1207">
            <v>2002</v>
          </cell>
          <cell r="E1207" t="str">
            <v>Corporate Aviation LLC</v>
          </cell>
          <cell r="F1207">
            <v>2</v>
          </cell>
          <cell r="G1207">
            <v>37436</v>
          </cell>
          <cell r="I1207" t="str">
            <v>North America</v>
          </cell>
          <cell r="J1207" t="str">
            <v>USA</v>
          </cell>
          <cell r="K1207">
            <v>37072</v>
          </cell>
        </row>
        <row r="1208">
          <cell r="A1208" t="str">
            <v>In service</v>
          </cell>
          <cell r="B1208" t="str">
            <v>Gulfstream Aerospace Gulfstream V</v>
          </cell>
          <cell r="C1208" t="str">
            <v xml:space="preserve"> </v>
          </cell>
          <cell r="D1208">
            <v>2001</v>
          </cell>
          <cell r="E1208" t="str">
            <v>Costco Warehouses Inc</v>
          </cell>
          <cell r="F1208">
            <v>3</v>
          </cell>
          <cell r="G1208">
            <v>37344</v>
          </cell>
          <cell r="I1208" t="str">
            <v>North America</v>
          </cell>
          <cell r="J1208" t="str">
            <v>USA</v>
          </cell>
          <cell r="K1208">
            <v>36045</v>
          </cell>
        </row>
        <row r="1209">
          <cell r="A1209" t="str">
            <v>In service</v>
          </cell>
          <cell r="B1209" t="str">
            <v>Gulfstream Aerospace Gulfstream V</v>
          </cell>
          <cell r="C1209" t="str">
            <v xml:space="preserve"> </v>
          </cell>
          <cell r="D1209">
            <v>2002</v>
          </cell>
          <cell r="E1209" t="str">
            <v>Cox Communications Inc</v>
          </cell>
          <cell r="F1209">
            <v>2</v>
          </cell>
          <cell r="G1209">
            <v>37432</v>
          </cell>
          <cell r="I1209" t="str">
            <v>North America</v>
          </cell>
          <cell r="J1209" t="str">
            <v>USA</v>
          </cell>
          <cell r="K1209">
            <v>36707</v>
          </cell>
        </row>
        <row r="1210">
          <cell r="A1210" t="str">
            <v>In service</v>
          </cell>
          <cell r="B1210" t="str">
            <v>Gulfstream Aerospace Gulfstream V</v>
          </cell>
          <cell r="C1210" t="str">
            <v xml:space="preserve"> </v>
          </cell>
          <cell r="D1210">
            <v>2002</v>
          </cell>
          <cell r="E1210" t="str">
            <v>Ark-Air Flight Inc</v>
          </cell>
          <cell r="F1210">
            <v>2</v>
          </cell>
          <cell r="G1210">
            <v>37435</v>
          </cell>
          <cell r="I1210" t="str">
            <v>North America</v>
          </cell>
          <cell r="J1210" t="str">
            <v>USA</v>
          </cell>
          <cell r="K1210">
            <v>36045</v>
          </cell>
        </row>
        <row r="1211">
          <cell r="A1211" t="str">
            <v>In service</v>
          </cell>
          <cell r="B1211" t="str">
            <v>Gulfstream Aerospace Gulfstream V</v>
          </cell>
          <cell r="C1211" t="str">
            <v xml:space="preserve"> </v>
          </cell>
          <cell r="D1211">
            <v>2002</v>
          </cell>
          <cell r="E1211" t="str">
            <v>US Air Force</v>
          </cell>
          <cell r="F1211">
            <v>2</v>
          </cell>
          <cell r="G1211">
            <v>37391</v>
          </cell>
          <cell r="H1211" t="str">
            <v>C-37A</v>
          </cell>
          <cell r="I1211" t="str">
            <v>North America</v>
          </cell>
          <cell r="J1211" t="str">
            <v>USA</v>
          </cell>
          <cell r="K1211">
            <v>36826</v>
          </cell>
        </row>
        <row r="1212">
          <cell r="A1212" t="str">
            <v>In service</v>
          </cell>
          <cell r="B1212" t="str">
            <v>Gulfstream Aerospace Gulfstream V</v>
          </cell>
          <cell r="C1212" t="str">
            <v xml:space="preserve"> </v>
          </cell>
          <cell r="D1212">
            <v>2002</v>
          </cell>
          <cell r="E1212" t="str">
            <v>US Coast Guard</v>
          </cell>
          <cell r="F1212">
            <v>2</v>
          </cell>
          <cell r="G1212">
            <v>37422</v>
          </cell>
          <cell r="H1212" t="str">
            <v>C-37A</v>
          </cell>
          <cell r="I1212" t="str">
            <v>North America</v>
          </cell>
          <cell r="J1212" t="str">
            <v>USA</v>
          </cell>
          <cell r="K1212">
            <v>36875</v>
          </cell>
        </row>
        <row r="1213">
          <cell r="A1213" t="str">
            <v>In service</v>
          </cell>
          <cell r="B1213" t="str">
            <v>Gulfstream Aerospace Gulfstream V</v>
          </cell>
          <cell r="C1213" t="str">
            <v xml:space="preserve"> </v>
          </cell>
          <cell r="D1213">
            <v>2002</v>
          </cell>
          <cell r="E1213" t="str">
            <v>Bristol-Myers Squibb Company</v>
          </cell>
          <cell r="F1213">
            <v>2</v>
          </cell>
          <cell r="G1213">
            <v>37452</v>
          </cell>
          <cell r="I1213" t="str">
            <v>North America</v>
          </cell>
          <cell r="J1213" t="str">
            <v>USA</v>
          </cell>
          <cell r="K1213">
            <v>36707</v>
          </cell>
        </row>
        <row r="1214">
          <cell r="A1214" t="str">
            <v>In service</v>
          </cell>
          <cell r="B1214" t="str">
            <v>Gulfstream Aerospace Gulfstream V</v>
          </cell>
          <cell r="C1214" t="str">
            <v xml:space="preserve"> </v>
          </cell>
          <cell r="D1214">
            <v>2002</v>
          </cell>
          <cell r="E1214" t="str">
            <v>Penobscot Properties LLC</v>
          </cell>
          <cell r="F1214">
            <v>2</v>
          </cell>
          <cell r="G1214">
            <v>37397</v>
          </cell>
          <cell r="I1214" t="str">
            <v>North America</v>
          </cell>
          <cell r="J1214" t="str">
            <v>USA</v>
          </cell>
          <cell r="K1214">
            <v>36707</v>
          </cell>
        </row>
        <row r="1215">
          <cell r="A1215" t="str">
            <v>In service</v>
          </cell>
          <cell r="B1215" t="str">
            <v>Gulfstream Aerospace Gulfstream V</v>
          </cell>
          <cell r="C1215" t="str">
            <v xml:space="preserve"> </v>
          </cell>
          <cell r="D1215">
            <v>2001</v>
          </cell>
          <cell r="E1215" t="str">
            <v>The Air Group Inc</v>
          </cell>
          <cell r="F1215">
            <v>3</v>
          </cell>
          <cell r="G1215">
            <v>37258</v>
          </cell>
          <cell r="I1215" t="str">
            <v>North America</v>
          </cell>
          <cell r="J1215" t="str">
            <v>USA</v>
          </cell>
          <cell r="K1215">
            <v>36707</v>
          </cell>
        </row>
        <row r="1216">
          <cell r="A1216" t="str">
            <v>In service</v>
          </cell>
          <cell r="B1216" t="str">
            <v>Gulfstream Aerospace Gulfstream V</v>
          </cell>
          <cell r="C1216" t="str">
            <v xml:space="preserve"> </v>
          </cell>
          <cell r="D1216">
            <v>2002</v>
          </cell>
          <cell r="E1216" t="str">
            <v>US Navy</v>
          </cell>
          <cell r="F1216">
            <v>2</v>
          </cell>
          <cell r="G1216">
            <v>37422</v>
          </cell>
          <cell r="H1216" t="str">
            <v>C-37A</v>
          </cell>
          <cell r="I1216" t="str">
            <v>North America</v>
          </cell>
          <cell r="J1216" t="str">
            <v>USA</v>
          </cell>
          <cell r="K1216">
            <v>37361</v>
          </cell>
        </row>
        <row r="1217">
          <cell r="A1217" t="str">
            <v>In service</v>
          </cell>
          <cell r="B1217" t="str">
            <v>Gulfstream Aerospace Gulfstream V</v>
          </cell>
          <cell r="C1217" t="str">
            <v xml:space="preserve"> </v>
          </cell>
          <cell r="D1217">
            <v>2002</v>
          </cell>
          <cell r="E1217" t="str">
            <v>Netjets International</v>
          </cell>
          <cell r="F1217">
            <v>2</v>
          </cell>
          <cell r="G1217">
            <v>37433</v>
          </cell>
          <cell r="I1217" t="str">
            <v>North America</v>
          </cell>
          <cell r="J1217" t="str">
            <v>USA</v>
          </cell>
          <cell r="K1217">
            <v>36087</v>
          </cell>
        </row>
        <row r="1218">
          <cell r="A1218" t="str">
            <v>In service</v>
          </cell>
          <cell r="B1218" t="str">
            <v>Gulfstream Aerospace Gulfstream V</v>
          </cell>
          <cell r="C1218" t="str">
            <v xml:space="preserve"> </v>
          </cell>
          <cell r="D1218">
            <v>2002</v>
          </cell>
          <cell r="E1218" t="str">
            <v>Air Tiger I LLC</v>
          </cell>
          <cell r="F1218">
            <v>2</v>
          </cell>
          <cell r="G1218">
            <v>37428</v>
          </cell>
          <cell r="I1218" t="str">
            <v>North America</v>
          </cell>
          <cell r="J1218" t="str">
            <v>USA</v>
          </cell>
          <cell r="K1218">
            <v>36707</v>
          </cell>
        </row>
        <row r="1219">
          <cell r="A1219" t="str">
            <v>In service</v>
          </cell>
          <cell r="B1219" t="str">
            <v>Gulfstream Aerospace Gulfstream V</v>
          </cell>
          <cell r="C1219" t="str">
            <v xml:space="preserve"> </v>
          </cell>
          <cell r="D1219">
            <v>2002</v>
          </cell>
          <cell r="E1219" t="str">
            <v>Toyota Motor Sales USA Inc</v>
          </cell>
          <cell r="F1219">
            <v>2</v>
          </cell>
          <cell r="G1219">
            <v>37435</v>
          </cell>
          <cell r="I1219" t="str">
            <v>North America</v>
          </cell>
          <cell r="J1219" t="str">
            <v>USA</v>
          </cell>
          <cell r="K1219">
            <v>36707</v>
          </cell>
        </row>
        <row r="1220">
          <cell r="A1220" t="str">
            <v>In service</v>
          </cell>
          <cell r="B1220" t="str">
            <v>Gulfstream Aerospace Gulfstream V</v>
          </cell>
          <cell r="C1220" t="str">
            <v xml:space="preserve"> </v>
          </cell>
          <cell r="D1220">
            <v>2002</v>
          </cell>
          <cell r="E1220" t="str">
            <v>Kimberly-Clark Global Sales Inc</v>
          </cell>
          <cell r="F1220">
            <v>2</v>
          </cell>
          <cell r="G1220">
            <v>37433</v>
          </cell>
          <cell r="I1220" t="str">
            <v>North America</v>
          </cell>
          <cell r="J1220" t="str">
            <v>USA</v>
          </cell>
          <cell r="K1220">
            <v>36707</v>
          </cell>
        </row>
        <row r="1221">
          <cell r="A1221" t="str">
            <v>In service</v>
          </cell>
          <cell r="B1221" t="str">
            <v>Gulfstream Aerospace Gulfstream V</v>
          </cell>
          <cell r="C1221" t="str">
            <v xml:space="preserve"> </v>
          </cell>
          <cell r="D1221">
            <v>2002</v>
          </cell>
          <cell r="E1221" t="str">
            <v>Alcoa Aircraft Operations</v>
          </cell>
          <cell r="F1221">
            <v>2</v>
          </cell>
          <cell r="G1221">
            <v>37526</v>
          </cell>
          <cell r="I1221" t="str">
            <v>North America</v>
          </cell>
          <cell r="J1221" t="str">
            <v>USA</v>
          </cell>
          <cell r="K1221">
            <v>36707</v>
          </cell>
        </row>
        <row r="1222">
          <cell r="A1222" t="str">
            <v>In service</v>
          </cell>
          <cell r="B1222" t="str">
            <v>Gulfstream Aerospace Gulfstream V</v>
          </cell>
          <cell r="C1222" t="str">
            <v xml:space="preserve"> </v>
          </cell>
          <cell r="D1222">
            <v>2002</v>
          </cell>
          <cell r="E1222" t="str">
            <v>US Air Force</v>
          </cell>
          <cell r="F1222">
            <v>2</v>
          </cell>
          <cell r="G1222">
            <v>37361</v>
          </cell>
          <cell r="H1222" t="str">
            <v>C-37A</v>
          </cell>
          <cell r="I1222" t="str">
            <v>North America</v>
          </cell>
          <cell r="J1222" t="str">
            <v>USA</v>
          </cell>
          <cell r="K1222">
            <v>36826</v>
          </cell>
        </row>
        <row r="1223">
          <cell r="A1223" t="str">
            <v>In service</v>
          </cell>
          <cell r="B1223" t="str">
            <v>Gulfstream Aerospace Gulfstream V</v>
          </cell>
          <cell r="C1223" t="str">
            <v xml:space="preserve"> </v>
          </cell>
          <cell r="D1223">
            <v>2002</v>
          </cell>
          <cell r="E1223" t="str">
            <v>Servicios Aeronauticos Z SA de CV</v>
          </cell>
          <cell r="F1223">
            <v>2</v>
          </cell>
          <cell r="G1223">
            <v>37488</v>
          </cell>
          <cell r="I1223" t="str">
            <v>Latin America and Caribbean</v>
          </cell>
          <cell r="J1223" t="str">
            <v>Mexico</v>
          </cell>
          <cell r="K1223">
            <v>36707</v>
          </cell>
        </row>
        <row r="1224">
          <cell r="A1224" t="str">
            <v>In service</v>
          </cell>
          <cell r="B1224" t="str">
            <v>Gulfstream Aerospace Gulfstream V</v>
          </cell>
          <cell r="C1224" t="str">
            <v xml:space="preserve"> </v>
          </cell>
          <cell r="D1224">
            <v>2002</v>
          </cell>
          <cell r="E1224" t="str">
            <v>Open Road Airways Inc</v>
          </cell>
          <cell r="F1224">
            <v>2</v>
          </cell>
          <cell r="G1224">
            <v>37526</v>
          </cell>
          <cell r="I1224" t="str">
            <v>North America</v>
          </cell>
          <cell r="J1224" t="str">
            <v>USA</v>
          </cell>
          <cell r="K1224">
            <v>36707</v>
          </cell>
        </row>
        <row r="1225">
          <cell r="A1225" t="str">
            <v>In service</v>
          </cell>
          <cell r="B1225" t="str">
            <v>Gulfstream Aerospace Gulfstream V</v>
          </cell>
          <cell r="C1225" t="str">
            <v xml:space="preserve"> </v>
          </cell>
          <cell r="D1225">
            <v>2002</v>
          </cell>
          <cell r="E1225" t="str">
            <v>Open Road Airways Inc</v>
          </cell>
          <cell r="F1225">
            <v>2</v>
          </cell>
          <cell r="G1225">
            <v>37554</v>
          </cell>
          <cell r="I1225" t="str">
            <v>North America</v>
          </cell>
          <cell r="J1225" t="str">
            <v>USA</v>
          </cell>
          <cell r="K1225">
            <v>36707</v>
          </cell>
        </row>
        <row r="1226">
          <cell r="A1226" t="str">
            <v>In service</v>
          </cell>
          <cell r="B1226" t="str">
            <v>Gulfstream Aerospace Gulfstream V</v>
          </cell>
          <cell r="C1226" t="str">
            <v xml:space="preserve"> </v>
          </cell>
          <cell r="D1226">
            <v>2002</v>
          </cell>
          <cell r="E1226" t="str">
            <v>Starbucks Capital Asset Leasing Co LLC</v>
          </cell>
          <cell r="F1226">
            <v>2</v>
          </cell>
          <cell r="G1226">
            <v>37557</v>
          </cell>
          <cell r="I1226" t="str">
            <v>North America</v>
          </cell>
          <cell r="J1226" t="str">
            <v>USA</v>
          </cell>
          <cell r="K1226">
            <v>36707</v>
          </cell>
        </row>
        <row r="1227">
          <cell r="A1227" t="str">
            <v>In service</v>
          </cell>
          <cell r="B1227" t="str">
            <v>Gulfstream Aerospace Gulfstream V</v>
          </cell>
          <cell r="C1227" t="str">
            <v xml:space="preserve"> </v>
          </cell>
          <cell r="D1227">
            <v>2002</v>
          </cell>
          <cell r="E1227" t="str">
            <v>Executive Jet Charter</v>
          </cell>
          <cell r="F1227">
            <v>2</v>
          </cell>
          <cell r="G1227">
            <v>37519</v>
          </cell>
          <cell r="I1227" t="str">
            <v>North America</v>
          </cell>
          <cell r="J1227" t="str">
            <v>USA</v>
          </cell>
          <cell r="K1227">
            <v>36707</v>
          </cell>
        </row>
        <row r="1228">
          <cell r="A1228" t="str">
            <v>In service</v>
          </cell>
          <cell r="B1228" t="str">
            <v>Gulfstream Aerospace Gulfstream V</v>
          </cell>
          <cell r="C1228" t="str">
            <v xml:space="preserve"> </v>
          </cell>
          <cell r="D1228">
            <v>2002</v>
          </cell>
          <cell r="E1228" t="str">
            <v>US Air Force</v>
          </cell>
          <cell r="F1228">
            <v>2</v>
          </cell>
          <cell r="G1228">
            <v>37636</v>
          </cell>
          <cell r="H1228" t="str">
            <v>C-37A</v>
          </cell>
          <cell r="I1228" t="str">
            <v>North America</v>
          </cell>
          <cell r="J1228" t="str">
            <v>USA</v>
          </cell>
          <cell r="K1228">
            <v>37328</v>
          </cell>
        </row>
        <row r="1229">
          <cell r="A1229" t="str">
            <v>In service</v>
          </cell>
          <cell r="B1229" t="str">
            <v>Gulfstream Aerospace Gulfstream V</v>
          </cell>
          <cell r="C1229" t="str">
            <v xml:space="preserve"> </v>
          </cell>
          <cell r="D1229">
            <v>2002</v>
          </cell>
          <cell r="E1229" t="str">
            <v>BG Aviation LLC</v>
          </cell>
          <cell r="F1229">
            <v>2</v>
          </cell>
          <cell r="G1229">
            <v>37524</v>
          </cell>
          <cell r="I1229" t="str">
            <v>North America</v>
          </cell>
          <cell r="J1229" t="str">
            <v>USA</v>
          </cell>
          <cell r="K1229">
            <v>36707</v>
          </cell>
        </row>
        <row r="1230">
          <cell r="A1230" t="str">
            <v>In service</v>
          </cell>
          <cell r="B1230" t="str">
            <v>Gulfstream Aerospace Gulfstream V</v>
          </cell>
          <cell r="C1230" t="str">
            <v xml:space="preserve"> </v>
          </cell>
          <cell r="D1230">
            <v>2002</v>
          </cell>
          <cell r="E1230" t="str">
            <v>Transworld Oil America</v>
          </cell>
          <cell r="F1230">
            <v>2</v>
          </cell>
          <cell r="G1230">
            <v>37516</v>
          </cell>
          <cell r="I1230" t="str">
            <v>North America</v>
          </cell>
          <cell r="J1230" t="str">
            <v>USA</v>
          </cell>
          <cell r="K1230">
            <v>36707</v>
          </cell>
        </row>
        <row r="1231">
          <cell r="A1231" t="str">
            <v>In service</v>
          </cell>
          <cell r="B1231" t="str">
            <v>Gulfstream Aerospace Gulfstream V</v>
          </cell>
          <cell r="C1231" t="str">
            <v xml:space="preserve"> </v>
          </cell>
          <cell r="D1231">
            <v>2002</v>
          </cell>
          <cell r="E1231" t="str">
            <v>North Carolina Air &amp; Travel LLC</v>
          </cell>
          <cell r="F1231">
            <v>2</v>
          </cell>
          <cell r="G1231">
            <v>37585</v>
          </cell>
          <cell r="I1231" t="str">
            <v>North America</v>
          </cell>
          <cell r="J1231" t="str">
            <v>USA</v>
          </cell>
          <cell r="K1231">
            <v>36707</v>
          </cell>
        </row>
        <row r="1232">
          <cell r="A1232" t="str">
            <v>In service</v>
          </cell>
          <cell r="B1232" t="str">
            <v>Gulfstream Aerospace Gulfstream V</v>
          </cell>
          <cell r="C1232" t="str">
            <v xml:space="preserve"> </v>
          </cell>
          <cell r="D1232">
            <v>2002</v>
          </cell>
          <cell r="E1232" t="str">
            <v>East Coast Brokerage Services LLC</v>
          </cell>
          <cell r="F1232">
            <v>2</v>
          </cell>
          <cell r="G1232">
            <v>37575</v>
          </cell>
          <cell r="I1232" t="str">
            <v>North America</v>
          </cell>
          <cell r="J1232" t="str">
            <v>USA</v>
          </cell>
          <cell r="K1232">
            <v>36707</v>
          </cell>
        </row>
        <row r="1233">
          <cell r="A1233" t="str">
            <v>In service</v>
          </cell>
          <cell r="B1233" t="str">
            <v>Gulfstream Aerospace Gulfstream V</v>
          </cell>
          <cell r="C1233" t="str">
            <v xml:space="preserve"> </v>
          </cell>
          <cell r="D1233">
            <v>2002</v>
          </cell>
          <cell r="E1233" t="str">
            <v>Aventis Pharmaceuticals Inc</v>
          </cell>
          <cell r="F1233">
            <v>2</v>
          </cell>
          <cell r="G1233">
            <v>37671</v>
          </cell>
          <cell r="I1233" t="str">
            <v>North America</v>
          </cell>
          <cell r="J1233" t="str">
            <v>USA</v>
          </cell>
          <cell r="K1233">
            <v>36707</v>
          </cell>
        </row>
        <row r="1234">
          <cell r="A1234" t="str">
            <v>In service</v>
          </cell>
          <cell r="B1234" t="str">
            <v>Gulfstream Aerospace Gulfstream V</v>
          </cell>
          <cell r="C1234" t="str">
            <v xml:space="preserve"> </v>
          </cell>
          <cell r="D1234">
            <v>2002</v>
          </cell>
          <cell r="E1234" t="str">
            <v>Greek Air Force</v>
          </cell>
          <cell r="F1234">
            <v>2</v>
          </cell>
          <cell r="G1234">
            <v>37680</v>
          </cell>
          <cell r="I1234" t="str">
            <v>Europe</v>
          </cell>
          <cell r="J1234" t="str">
            <v>Greece</v>
          </cell>
          <cell r="K1234">
            <v>37330</v>
          </cell>
        </row>
        <row r="1235">
          <cell r="A1235" t="str">
            <v>In service</v>
          </cell>
          <cell r="B1235" t="str">
            <v>Gulfstream Aerospace Gulfstream V</v>
          </cell>
          <cell r="C1235" t="str">
            <v xml:space="preserve"> </v>
          </cell>
          <cell r="D1235">
            <v>2002</v>
          </cell>
          <cell r="E1235" t="str">
            <v>BMA Charter</v>
          </cell>
          <cell r="F1235">
            <v>2</v>
          </cell>
          <cell r="G1235">
            <v>37610</v>
          </cell>
          <cell r="I1235" t="str">
            <v>Europe</v>
          </cell>
          <cell r="J1235" t="str">
            <v>Czech Republic</v>
          </cell>
          <cell r="K1235">
            <v>36707</v>
          </cell>
        </row>
        <row r="1236">
          <cell r="A1236" t="str">
            <v>In service</v>
          </cell>
          <cell r="B1236" t="str">
            <v>Gulfstream Aerospace Gulfstream V</v>
          </cell>
          <cell r="C1236" t="str">
            <v xml:space="preserve"> </v>
          </cell>
          <cell r="D1236">
            <v>2002</v>
          </cell>
          <cell r="E1236" t="str">
            <v>ITT Industries Inc</v>
          </cell>
          <cell r="F1236">
            <v>2</v>
          </cell>
          <cell r="G1236">
            <v>37706</v>
          </cell>
          <cell r="I1236" t="str">
            <v>North America</v>
          </cell>
          <cell r="J1236" t="str">
            <v>USA</v>
          </cell>
          <cell r="K1236">
            <v>36707</v>
          </cell>
        </row>
        <row r="1237">
          <cell r="A1237" t="str">
            <v>In service</v>
          </cell>
          <cell r="B1237" t="str">
            <v>Gulfstream Aerospace Gulfstream V</v>
          </cell>
          <cell r="C1237" t="str">
            <v xml:space="preserve"> </v>
          </cell>
          <cell r="D1237">
            <v>2002</v>
          </cell>
          <cell r="E1237" t="str">
            <v>JCB Aviation Department</v>
          </cell>
          <cell r="F1237">
            <v>2</v>
          </cell>
          <cell r="G1237">
            <v>37818</v>
          </cell>
          <cell r="I1237" t="str">
            <v>Europe</v>
          </cell>
          <cell r="J1237" t="str">
            <v>United Kingdom</v>
          </cell>
          <cell r="K1237">
            <v>36707</v>
          </cell>
        </row>
        <row r="1238">
          <cell r="A1238" t="str">
            <v>In service</v>
          </cell>
          <cell r="B1238" t="str">
            <v>Gulfstream Aerospace Gulfstream V</v>
          </cell>
          <cell r="C1238" t="str">
            <v xml:space="preserve"> </v>
          </cell>
          <cell r="D1238">
            <v>2002</v>
          </cell>
          <cell r="E1238" t="str">
            <v>New World Jet Corp</v>
          </cell>
          <cell r="F1238">
            <v>2</v>
          </cell>
          <cell r="G1238">
            <v>37705</v>
          </cell>
          <cell r="I1238" t="str">
            <v>North America</v>
          </cell>
          <cell r="J1238" t="str">
            <v>USA</v>
          </cell>
          <cell r="K1238">
            <v>36707</v>
          </cell>
        </row>
        <row r="1239">
          <cell r="A1239" t="str">
            <v>In service</v>
          </cell>
          <cell r="B1239" t="str">
            <v>Gulfstream Aerospace Gulfstream V</v>
          </cell>
          <cell r="C1239" t="str">
            <v xml:space="preserve"> </v>
          </cell>
          <cell r="D1239">
            <v>2002</v>
          </cell>
          <cell r="E1239" t="str">
            <v>Enterprise Aviation LLC</v>
          </cell>
          <cell r="F1239">
            <v>2</v>
          </cell>
          <cell r="G1239">
            <v>37686</v>
          </cell>
          <cell r="I1239" t="str">
            <v>North America</v>
          </cell>
          <cell r="J1239" t="str">
            <v>USA</v>
          </cell>
          <cell r="K1239">
            <v>37072</v>
          </cell>
        </row>
        <row r="1240">
          <cell r="A1240" t="str">
            <v>In service</v>
          </cell>
          <cell r="B1240" t="str">
            <v>Gulfstream Aerospace Gulfstream V</v>
          </cell>
          <cell r="C1240" t="str">
            <v xml:space="preserve"> </v>
          </cell>
          <cell r="D1240">
            <v>2003</v>
          </cell>
          <cell r="E1240" t="str">
            <v>Jetalliance Flugbetriebs</v>
          </cell>
          <cell r="F1240">
            <v>1</v>
          </cell>
          <cell r="G1240">
            <v>37887</v>
          </cell>
          <cell r="I1240" t="str">
            <v>Europe</v>
          </cell>
          <cell r="J1240" t="str">
            <v>Austria</v>
          </cell>
          <cell r="K1240">
            <v>37437</v>
          </cell>
        </row>
        <row r="1241">
          <cell r="A1241" t="str">
            <v>In service</v>
          </cell>
          <cell r="B1241" t="str">
            <v>Gulfstream Aerospace Gulfstream V</v>
          </cell>
          <cell r="C1241" t="str">
            <v xml:space="preserve"> </v>
          </cell>
          <cell r="D1241">
            <v>2002</v>
          </cell>
          <cell r="E1241" t="str">
            <v>Hewlett-Packard Co</v>
          </cell>
          <cell r="F1241">
            <v>2</v>
          </cell>
          <cell r="G1241">
            <v>37799</v>
          </cell>
          <cell r="I1241" t="str">
            <v>North America</v>
          </cell>
          <cell r="J1241" t="str">
            <v>USA</v>
          </cell>
          <cell r="K1241">
            <v>37605</v>
          </cell>
        </row>
        <row r="1242">
          <cell r="A1242" t="str">
            <v>In service</v>
          </cell>
          <cell r="B1242" t="str">
            <v>Gulfstream Aerospace Gulfstream V</v>
          </cell>
          <cell r="C1242" t="str">
            <v xml:space="preserve"> </v>
          </cell>
          <cell r="D1242">
            <v>2002</v>
          </cell>
          <cell r="E1242" t="str">
            <v>J B Ivley &amp; Co</v>
          </cell>
          <cell r="F1242">
            <v>2</v>
          </cell>
          <cell r="G1242">
            <v>37770</v>
          </cell>
          <cell r="I1242" t="str">
            <v>North America</v>
          </cell>
          <cell r="J1242" t="str">
            <v>USA</v>
          </cell>
          <cell r="K1242">
            <v>36707</v>
          </cell>
        </row>
        <row r="1243">
          <cell r="A1243" t="str">
            <v>In service</v>
          </cell>
          <cell r="B1243" t="str">
            <v>Gulfstream Aerospace Gulfstream V</v>
          </cell>
          <cell r="C1243" t="str">
            <v xml:space="preserve"> </v>
          </cell>
          <cell r="D1243">
            <v>2002</v>
          </cell>
          <cell r="E1243" t="str">
            <v>RDV Properties Inc</v>
          </cell>
          <cell r="F1243">
            <v>2</v>
          </cell>
          <cell r="G1243">
            <v>37763</v>
          </cell>
          <cell r="I1243" t="str">
            <v>North America</v>
          </cell>
          <cell r="J1243" t="str">
            <v>USA</v>
          </cell>
          <cell r="K1243">
            <v>36707</v>
          </cell>
        </row>
        <row r="1244">
          <cell r="A1244" t="str">
            <v>In service</v>
          </cell>
          <cell r="B1244" t="str">
            <v>Gulfstream Aerospace Gulfstream V</v>
          </cell>
          <cell r="C1244" t="str">
            <v xml:space="preserve"> </v>
          </cell>
          <cell r="D1244">
            <v>2002</v>
          </cell>
          <cell r="E1244" t="str">
            <v>AirFlite</v>
          </cell>
          <cell r="F1244">
            <v>2</v>
          </cell>
          <cell r="G1244">
            <v>37624</v>
          </cell>
          <cell r="I1244" t="str">
            <v>North America</v>
          </cell>
          <cell r="J1244" t="str">
            <v>USA</v>
          </cell>
          <cell r="K1244">
            <v>36707</v>
          </cell>
        </row>
        <row r="1245">
          <cell r="A1245" t="str">
            <v>In service</v>
          </cell>
          <cell r="B1245" t="str">
            <v>Gulfstream Aerospace Gulfstream V</v>
          </cell>
          <cell r="C1245" t="str">
            <v xml:space="preserve"> </v>
          </cell>
          <cell r="D1245">
            <v>2002</v>
          </cell>
          <cell r="E1245" t="str">
            <v>Hewlett-Packard Co</v>
          </cell>
          <cell r="F1245">
            <v>2</v>
          </cell>
          <cell r="G1245">
            <v>37792</v>
          </cell>
          <cell r="I1245" t="str">
            <v>North America</v>
          </cell>
          <cell r="J1245" t="str">
            <v>USA</v>
          </cell>
          <cell r="K1245">
            <v>37605</v>
          </cell>
        </row>
        <row r="1246">
          <cell r="A1246" t="str">
            <v>In service</v>
          </cell>
          <cell r="B1246" t="str">
            <v>Gulfstream Aerospace Gulfstream V</v>
          </cell>
          <cell r="C1246" t="str">
            <v xml:space="preserve"> </v>
          </cell>
          <cell r="D1246">
            <v>2002</v>
          </cell>
          <cell r="E1246" t="str">
            <v>Trout LLC</v>
          </cell>
          <cell r="F1246">
            <v>2</v>
          </cell>
          <cell r="G1246">
            <v>37566</v>
          </cell>
          <cell r="I1246" t="str">
            <v>North America</v>
          </cell>
          <cell r="J1246" t="str">
            <v>USA</v>
          </cell>
          <cell r="K1246">
            <v>36707</v>
          </cell>
        </row>
        <row r="1248">
          <cell r="A1248">
            <v>2002</v>
          </cell>
        </row>
        <row r="1249">
          <cell r="A1249" t="str">
            <v>Status</v>
          </cell>
          <cell r="B1249" t="str">
            <v>Mfr &amp; Type</v>
          </cell>
          <cell r="C1249" t="str">
            <v>Variant</v>
          </cell>
          <cell r="D1249" t="str">
            <v>BuildYear</v>
          </cell>
          <cell r="E1249" t="str">
            <v>Operator</v>
          </cell>
          <cell r="F1249" t="str">
            <v>Age</v>
          </cell>
          <cell r="G1249" t="str">
            <v>Delivered</v>
          </cell>
          <cell r="H1249" t="str">
            <v>MinorVariant</v>
          </cell>
          <cell r="I1249" t="str">
            <v>OperatorArea</v>
          </cell>
          <cell r="J1249" t="str">
            <v>OperatorCountry</v>
          </cell>
          <cell r="K1249" t="str">
            <v>Ordered</v>
          </cell>
        </row>
        <row r="1250">
          <cell r="A1250" t="str">
            <v>In service</v>
          </cell>
          <cell r="B1250" t="str">
            <v>Gulfstream Aerospace Gulfstream G550</v>
          </cell>
          <cell r="D1250">
            <v>2002</v>
          </cell>
          <cell r="E1250" t="str">
            <v>Gulfstream Aerospace Corp</v>
          </cell>
          <cell r="F1250">
            <v>0</v>
          </cell>
          <cell r="I1250" t="str">
            <v>North America</v>
          </cell>
          <cell r="J1250" t="str">
            <v>USA</v>
          </cell>
        </row>
        <row r="1251">
          <cell r="A1251" t="str">
            <v>In service</v>
          </cell>
          <cell r="B1251" t="str">
            <v>Gulfstream Aerospace Gulfstream I</v>
          </cell>
          <cell r="C1251" t="str">
            <v xml:space="preserve"> </v>
          </cell>
          <cell r="D1251">
            <v>1963</v>
          </cell>
          <cell r="E1251" t="str">
            <v>Sky Bus Inc &amp; Plane I Leasing Co Inc</v>
          </cell>
          <cell r="F1251">
            <v>39</v>
          </cell>
          <cell r="G1251">
            <v>23074</v>
          </cell>
          <cell r="I1251" t="str">
            <v>North America</v>
          </cell>
          <cell r="J1251" t="str">
            <v>USA</v>
          </cell>
          <cell r="K1251">
            <v>23026</v>
          </cell>
        </row>
        <row r="1252">
          <cell r="A1252" t="str">
            <v>In service</v>
          </cell>
          <cell r="B1252" t="str">
            <v>Gulfstream Aerospace Gulfstream I</v>
          </cell>
          <cell r="C1252" t="str">
            <v xml:space="preserve"> </v>
          </cell>
          <cell r="D1252">
            <v>1963</v>
          </cell>
          <cell r="E1252" t="str">
            <v>Procuraduria General de la Republica Nacional</v>
          </cell>
          <cell r="F1252">
            <v>39</v>
          </cell>
          <cell r="G1252">
            <v>23092</v>
          </cell>
          <cell r="I1252" t="str">
            <v>Latin America and Caribbean</v>
          </cell>
          <cell r="J1252" t="str">
            <v>Mexico</v>
          </cell>
          <cell r="K1252">
            <v>23026</v>
          </cell>
        </row>
        <row r="1253">
          <cell r="A1253" t="str">
            <v>In service</v>
          </cell>
          <cell r="B1253" t="str">
            <v>Gulfstream Aerospace Gulfstream I</v>
          </cell>
          <cell r="C1253" t="str">
            <v xml:space="preserve"> </v>
          </cell>
          <cell r="D1253">
            <v>1963</v>
          </cell>
          <cell r="E1253" t="str">
            <v>Petro-Canada Explorations</v>
          </cell>
          <cell r="F1253">
            <v>39</v>
          </cell>
          <cell r="G1253">
            <v>23109</v>
          </cell>
          <cell r="I1253" t="str">
            <v>North America</v>
          </cell>
          <cell r="J1253" t="str">
            <v>Canada</v>
          </cell>
          <cell r="K1253">
            <v>23026</v>
          </cell>
        </row>
        <row r="1254">
          <cell r="A1254" t="str">
            <v>In service</v>
          </cell>
          <cell r="B1254" t="str">
            <v>Gulfstream Aerospace Gulfstream I</v>
          </cell>
          <cell r="C1254" t="str">
            <v xml:space="preserve"> </v>
          </cell>
          <cell r="D1254">
            <v>1959</v>
          </cell>
          <cell r="E1254" t="str">
            <v>Sanders Lead Co Inc</v>
          </cell>
          <cell r="F1254">
            <v>43</v>
          </cell>
          <cell r="G1254">
            <v>21790</v>
          </cell>
          <cell r="I1254" t="str">
            <v>North America</v>
          </cell>
          <cell r="J1254" t="str">
            <v>USA</v>
          </cell>
          <cell r="K1254">
            <v>21001</v>
          </cell>
        </row>
        <row r="1255">
          <cell r="A1255" t="str">
            <v>In service</v>
          </cell>
          <cell r="B1255" t="str">
            <v>Gulfstream Aerospace Gulfstream I</v>
          </cell>
          <cell r="C1255" t="str">
            <v xml:space="preserve"> </v>
          </cell>
          <cell r="D1255">
            <v>1963</v>
          </cell>
          <cell r="E1255" t="str">
            <v>Phoenix Air</v>
          </cell>
          <cell r="F1255">
            <v>39</v>
          </cell>
          <cell r="G1255">
            <v>23328</v>
          </cell>
          <cell r="I1255" t="str">
            <v>North America</v>
          </cell>
          <cell r="J1255" t="str">
            <v>USA</v>
          </cell>
          <cell r="K1255">
            <v>23177</v>
          </cell>
        </row>
        <row r="1256">
          <cell r="A1256" t="str">
            <v>In service</v>
          </cell>
          <cell r="B1256" t="str">
            <v>Gulfstream Aerospace Gulfstream I</v>
          </cell>
          <cell r="C1256" t="str">
            <v xml:space="preserve"> </v>
          </cell>
          <cell r="D1256">
            <v>1964</v>
          </cell>
          <cell r="E1256" t="str">
            <v>Intertransit</v>
          </cell>
          <cell r="F1256">
            <v>38</v>
          </cell>
          <cell r="G1256">
            <v>23424</v>
          </cell>
          <cell r="I1256" t="str">
            <v>Africa</v>
          </cell>
          <cell r="J1256" t="str">
            <v>Angola</v>
          </cell>
          <cell r="K1256">
            <v>23192</v>
          </cell>
        </row>
        <row r="1257">
          <cell r="A1257" t="str">
            <v>In service</v>
          </cell>
          <cell r="B1257" t="str">
            <v>Gulfstream Aerospace Gulfstream I</v>
          </cell>
          <cell r="C1257" t="str">
            <v xml:space="preserve"> </v>
          </cell>
          <cell r="D1257">
            <v>1964</v>
          </cell>
          <cell r="E1257" t="str">
            <v>Bonanza Aerolineas</v>
          </cell>
          <cell r="F1257">
            <v>38</v>
          </cell>
          <cell r="G1257">
            <v>23455</v>
          </cell>
          <cell r="I1257" t="str">
            <v>Latin America and Caribbean</v>
          </cell>
          <cell r="J1257" t="str">
            <v>Mexico</v>
          </cell>
          <cell r="K1257">
            <v>23192</v>
          </cell>
        </row>
        <row r="1258">
          <cell r="A1258" t="str">
            <v>In service</v>
          </cell>
          <cell r="B1258" t="str">
            <v>Gulfstream Aerospace Gulfstream I</v>
          </cell>
          <cell r="C1258" t="str">
            <v xml:space="preserve"> </v>
          </cell>
          <cell r="D1258">
            <v>1964</v>
          </cell>
          <cell r="E1258" t="str">
            <v>Aerial Films Inc</v>
          </cell>
          <cell r="F1258">
            <v>38</v>
          </cell>
          <cell r="G1258">
            <v>23508</v>
          </cell>
          <cell r="I1258" t="str">
            <v>North America</v>
          </cell>
          <cell r="J1258" t="str">
            <v>USA</v>
          </cell>
          <cell r="K1258">
            <v>23391</v>
          </cell>
        </row>
        <row r="1259">
          <cell r="A1259" t="str">
            <v>In service</v>
          </cell>
          <cell r="B1259" t="str">
            <v>Gulfstream Aerospace Gulfstream I</v>
          </cell>
          <cell r="C1259" t="str">
            <v xml:space="preserve"> </v>
          </cell>
          <cell r="D1259">
            <v>1964</v>
          </cell>
          <cell r="E1259" t="str">
            <v>Indonesia Air Transport</v>
          </cell>
          <cell r="F1259">
            <v>38</v>
          </cell>
          <cell r="G1259">
            <v>23498</v>
          </cell>
          <cell r="I1259" t="str">
            <v>Asia</v>
          </cell>
          <cell r="J1259" t="str">
            <v>Indonesia</v>
          </cell>
          <cell r="K1259">
            <v>23422</v>
          </cell>
        </row>
        <row r="1260">
          <cell r="A1260" t="str">
            <v>In service</v>
          </cell>
          <cell r="B1260" t="str">
            <v>Gulfstream Aerospace Gulfstream I</v>
          </cell>
          <cell r="C1260" t="str">
            <v xml:space="preserve"> </v>
          </cell>
          <cell r="D1260">
            <v>1964</v>
          </cell>
          <cell r="E1260" t="str">
            <v>Aero Minerales SA</v>
          </cell>
          <cell r="F1260">
            <v>38</v>
          </cell>
          <cell r="G1260">
            <v>23594</v>
          </cell>
          <cell r="I1260" t="str">
            <v>Latin America and Caribbean</v>
          </cell>
          <cell r="J1260" t="str">
            <v>Mexico</v>
          </cell>
          <cell r="K1260">
            <v>23558</v>
          </cell>
        </row>
        <row r="1261">
          <cell r="A1261" t="str">
            <v>In service</v>
          </cell>
          <cell r="B1261" t="str">
            <v>Gulfstream Aerospace Gulfstream I</v>
          </cell>
          <cell r="C1261" t="str">
            <v xml:space="preserve"> </v>
          </cell>
          <cell r="D1261">
            <v>1964</v>
          </cell>
          <cell r="E1261" t="str">
            <v>Phoenix Air</v>
          </cell>
          <cell r="F1261">
            <v>38</v>
          </cell>
          <cell r="G1261">
            <v>23629</v>
          </cell>
          <cell r="I1261" t="str">
            <v>North America</v>
          </cell>
          <cell r="J1261" t="str">
            <v>USA</v>
          </cell>
          <cell r="K1261">
            <v>23558</v>
          </cell>
        </row>
        <row r="1262">
          <cell r="A1262" t="str">
            <v>In service</v>
          </cell>
          <cell r="B1262" t="str">
            <v>Gulfstream Aerospace Gulfstream I</v>
          </cell>
          <cell r="C1262" t="str">
            <v xml:space="preserve"> </v>
          </cell>
          <cell r="D1262">
            <v>1964</v>
          </cell>
          <cell r="E1262" t="str">
            <v>Compania Rural de Occidente Ltda</v>
          </cell>
          <cell r="F1262">
            <v>38</v>
          </cell>
          <cell r="G1262">
            <v>23722</v>
          </cell>
          <cell r="I1262" t="str">
            <v>Latin America and Caribbean</v>
          </cell>
          <cell r="J1262" t="str">
            <v>Colombia</v>
          </cell>
          <cell r="K1262">
            <v>23635</v>
          </cell>
        </row>
        <row r="1263">
          <cell r="A1263" t="str">
            <v>In service</v>
          </cell>
          <cell r="B1263" t="str">
            <v>Gulfstream Aerospace Gulfstream I</v>
          </cell>
          <cell r="C1263" t="str">
            <v xml:space="preserve"> </v>
          </cell>
          <cell r="D1263">
            <v>1964</v>
          </cell>
          <cell r="E1263" t="str">
            <v>Skyservice Airlines</v>
          </cell>
          <cell r="F1263">
            <v>38</v>
          </cell>
          <cell r="G1263">
            <v>23746</v>
          </cell>
          <cell r="I1263" t="str">
            <v>North America</v>
          </cell>
          <cell r="J1263" t="str">
            <v>Canada</v>
          </cell>
          <cell r="K1263">
            <v>23558</v>
          </cell>
        </row>
        <row r="1264">
          <cell r="A1264" t="str">
            <v>In service</v>
          </cell>
          <cell r="B1264" t="str">
            <v>Gulfstream Aerospace Gulfstream I</v>
          </cell>
          <cell r="C1264" t="str">
            <v xml:space="preserve"> </v>
          </cell>
          <cell r="D1264">
            <v>1965</v>
          </cell>
          <cell r="E1264" t="str">
            <v>Phoenix Air</v>
          </cell>
          <cell r="F1264">
            <v>37</v>
          </cell>
          <cell r="G1264">
            <v>23925</v>
          </cell>
          <cell r="I1264" t="str">
            <v>North America</v>
          </cell>
          <cell r="J1264" t="str">
            <v>USA</v>
          </cell>
          <cell r="K1264">
            <v>23665</v>
          </cell>
        </row>
        <row r="1265">
          <cell r="A1265" t="str">
            <v>In service</v>
          </cell>
          <cell r="B1265" t="str">
            <v>Gulfstream Aerospace Gulfstream I</v>
          </cell>
          <cell r="C1265" t="str">
            <v xml:space="preserve"> </v>
          </cell>
          <cell r="D1265">
            <v>1965</v>
          </cell>
          <cell r="E1265" t="str">
            <v>G-1 Leasing Corp</v>
          </cell>
          <cell r="F1265">
            <v>37</v>
          </cell>
          <cell r="G1265">
            <v>23872</v>
          </cell>
          <cell r="I1265" t="str">
            <v>North America</v>
          </cell>
          <cell r="J1265" t="str">
            <v>USA</v>
          </cell>
          <cell r="K1265">
            <v>23696</v>
          </cell>
        </row>
        <row r="1266">
          <cell r="A1266" t="str">
            <v>In service</v>
          </cell>
          <cell r="B1266" t="str">
            <v>Gulfstream Aerospace Gulfstream I</v>
          </cell>
          <cell r="C1266" t="str">
            <v xml:space="preserve"> </v>
          </cell>
          <cell r="D1266">
            <v>1965</v>
          </cell>
          <cell r="E1266" t="str">
            <v>Phoenix Air</v>
          </cell>
          <cell r="F1266">
            <v>37</v>
          </cell>
          <cell r="G1266">
            <v>24002</v>
          </cell>
          <cell r="I1266" t="str">
            <v>North America</v>
          </cell>
          <cell r="J1266" t="str">
            <v>USA</v>
          </cell>
          <cell r="K1266">
            <v>23788</v>
          </cell>
        </row>
        <row r="1267">
          <cell r="A1267" t="str">
            <v>In service</v>
          </cell>
          <cell r="B1267" t="str">
            <v>Gulfstream Aerospace Gulfstream I</v>
          </cell>
          <cell r="C1267" t="str">
            <v xml:space="preserve"> </v>
          </cell>
          <cell r="D1267">
            <v>1965</v>
          </cell>
          <cell r="E1267" t="str">
            <v>African Commuter Services</v>
          </cell>
          <cell r="F1267">
            <v>37</v>
          </cell>
          <cell r="G1267">
            <v>23960</v>
          </cell>
          <cell r="I1267" t="str">
            <v>Africa</v>
          </cell>
          <cell r="J1267" t="str">
            <v>Kenya</v>
          </cell>
          <cell r="K1267">
            <v>23908</v>
          </cell>
        </row>
        <row r="1268">
          <cell r="A1268" t="str">
            <v>In service</v>
          </cell>
          <cell r="B1268" t="str">
            <v>Gulfstream Aerospace Gulfstream I</v>
          </cell>
          <cell r="C1268" t="str">
            <v xml:space="preserve"> </v>
          </cell>
          <cell r="D1268">
            <v>1965</v>
          </cell>
          <cell r="E1268" t="str">
            <v>Aerial Films Inc</v>
          </cell>
          <cell r="F1268">
            <v>37</v>
          </cell>
          <cell r="G1268">
            <v>24226</v>
          </cell>
          <cell r="I1268" t="str">
            <v>North America</v>
          </cell>
          <cell r="J1268" t="str">
            <v>USA</v>
          </cell>
          <cell r="K1268">
            <v>24084</v>
          </cell>
        </row>
        <row r="1269">
          <cell r="A1269" t="str">
            <v>In service</v>
          </cell>
          <cell r="B1269" t="str">
            <v>Gulfstream Aerospace Gulfstream I</v>
          </cell>
          <cell r="C1269" t="str">
            <v xml:space="preserve"> </v>
          </cell>
          <cell r="D1269">
            <v>1965</v>
          </cell>
          <cell r="E1269" t="str">
            <v>Upfront &amp; Company Inc</v>
          </cell>
          <cell r="F1269">
            <v>37</v>
          </cell>
          <cell r="G1269">
            <v>24124</v>
          </cell>
          <cell r="I1269" t="str">
            <v>North America</v>
          </cell>
          <cell r="J1269" t="str">
            <v>USA</v>
          </cell>
          <cell r="K1269">
            <v>23877</v>
          </cell>
        </row>
        <row r="1270">
          <cell r="A1270" t="str">
            <v>In service</v>
          </cell>
          <cell r="B1270" t="str">
            <v>Gulfstream Aerospace Gulfstream I</v>
          </cell>
          <cell r="C1270" t="str">
            <v xml:space="preserve"> </v>
          </cell>
          <cell r="D1270">
            <v>1965</v>
          </cell>
          <cell r="E1270" t="str">
            <v>Erin Miel Inc</v>
          </cell>
          <cell r="F1270">
            <v>37</v>
          </cell>
          <cell r="G1270">
            <v>24268</v>
          </cell>
          <cell r="I1270" t="str">
            <v>North America</v>
          </cell>
          <cell r="J1270" t="str">
            <v>USA</v>
          </cell>
          <cell r="K1270">
            <v>24091</v>
          </cell>
        </row>
        <row r="1271">
          <cell r="A1271" t="str">
            <v>In service</v>
          </cell>
          <cell r="B1271" t="str">
            <v>Gulfstream Aerospace Gulfstream I</v>
          </cell>
          <cell r="C1271" t="str">
            <v xml:space="preserve"> </v>
          </cell>
          <cell r="D1271">
            <v>1965</v>
          </cell>
          <cell r="E1271" t="str">
            <v>Riverside International Airlines</v>
          </cell>
          <cell r="F1271">
            <v>37</v>
          </cell>
          <cell r="G1271">
            <v>24227</v>
          </cell>
          <cell r="I1271" t="str">
            <v>North America</v>
          </cell>
          <cell r="J1271" t="str">
            <v>USA</v>
          </cell>
          <cell r="K1271">
            <v>24122</v>
          </cell>
        </row>
        <row r="1272">
          <cell r="A1272" t="str">
            <v>In service</v>
          </cell>
          <cell r="B1272" t="str">
            <v>Gulfstream Aerospace Gulfstream I</v>
          </cell>
          <cell r="C1272" t="str">
            <v xml:space="preserve"> </v>
          </cell>
          <cell r="D1272">
            <v>1966</v>
          </cell>
          <cell r="E1272" t="str">
            <v>Termnet Merchant Services Inc</v>
          </cell>
          <cell r="F1272">
            <v>36</v>
          </cell>
          <cell r="G1272">
            <v>24208</v>
          </cell>
          <cell r="I1272" t="str">
            <v>North America</v>
          </cell>
          <cell r="J1272" t="str">
            <v>USA</v>
          </cell>
          <cell r="K1272">
            <v>24153</v>
          </cell>
        </row>
        <row r="1273">
          <cell r="A1273" t="str">
            <v>In service</v>
          </cell>
          <cell r="B1273" t="str">
            <v>Gulfstream Aerospace Gulfstream I</v>
          </cell>
          <cell r="C1273" t="str">
            <v xml:space="preserve"> </v>
          </cell>
          <cell r="D1273">
            <v>1966</v>
          </cell>
          <cell r="E1273" t="str">
            <v>Robinson Air Crane Inc</v>
          </cell>
          <cell r="F1273">
            <v>36</v>
          </cell>
          <cell r="G1273">
            <v>24352</v>
          </cell>
          <cell r="I1273" t="str">
            <v>North America</v>
          </cell>
          <cell r="J1273" t="str">
            <v>USA</v>
          </cell>
          <cell r="K1273">
            <v>24303</v>
          </cell>
        </row>
        <row r="1274">
          <cell r="A1274" t="str">
            <v>In service</v>
          </cell>
          <cell r="B1274" t="str">
            <v>Gulfstream Aerospace Gulfstream I</v>
          </cell>
          <cell r="C1274" t="str">
            <v xml:space="preserve"> </v>
          </cell>
          <cell r="D1274">
            <v>1959</v>
          </cell>
          <cell r="E1274" t="str">
            <v>Scott Aviation Inc</v>
          </cell>
          <cell r="F1274">
            <v>43</v>
          </cell>
          <cell r="G1274">
            <v>21849</v>
          </cell>
          <cell r="I1274" t="str">
            <v>North America</v>
          </cell>
          <cell r="J1274" t="str">
            <v>USA</v>
          </cell>
          <cell r="K1274">
            <v>21001</v>
          </cell>
        </row>
        <row r="1275">
          <cell r="A1275" t="str">
            <v>In service</v>
          </cell>
          <cell r="B1275" t="str">
            <v>Gulfstream Aerospace Gulfstream I</v>
          </cell>
          <cell r="C1275" t="str">
            <v xml:space="preserve"> </v>
          </cell>
          <cell r="D1275">
            <v>1968</v>
          </cell>
          <cell r="E1275" t="str">
            <v>Propair</v>
          </cell>
          <cell r="F1275">
            <v>34</v>
          </cell>
          <cell r="G1275">
            <v>24891</v>
          </cell>
          <cell r="I1275" t="str">
            <v>North America</v>
          </cell>
          <cell r="J1275" t="str">
            <v>Canada</v>
          </cell>
          <cell r="K1275">
            <v>24852</v>
          </cell>
        </row>
        <row r="1276">
          <cell r="A1276" t="str">
            <v>In service</v>
          </cell>
          <cell r="B1276" t="str">
            <v>Gulfstream Aerospace Gulfstream I</v>
          </cell>
          <cell r="C1276" t="str">
            <v xml:space="preserve"> </v>
          </cell>
          <cell r="D1276">
            <v>1968</v>
          </cell>
          <cell r="E1276" t="str">
            <v>Post Ekspres Prima</v>
          </cell>
          <cell r="F1276">
            <v>34</v>
          </cell>
          <cell r="G1276">
            <v>25038</v>
          </cell>
          <cell r="I1276" t="str">
            <v>Asia</v>
          </cell>
          <cell r="J1276" t="str">
            <v>Indonesia</v>
          </cell>
          <cell r="K1276">
            <v>24973</v>
          </cell>
        </row>
        <row r="1277">
          <cell r="A1277" t="str">
            <v>In service</v>
          </cell>
          <cell r="B1277" t="str">
            <v>Gulfstream Aerospace Gulfstream I</v>
          </cell>
          <cell r="C1277" t="str">
            <v xml:space="preserve"> </v>
          </cell>
          <cell r="D1277">
            <v>1968</v>
          </cell>
          <cell r="E1277" t="str">
            <v>Phoenix Air</v>
          </cell>
          <cell r="F1277">
            <v>34</v>
          </cell>
          <cell r="G1277">
            <v>25034</v>
          </cell>
          <cell r="I1277" t="str">
            <v>North America</v>
          </cell>
          <cell r="J1277" t="str">
            <v>USA</v>
          </cell>
          <cell r="K1277">
            <v>25004</v>
          </cell>
        </row>
        <row r="1278">
          <cell r="A1278" t="str">
            <v>In service</v>
          </cell>
          <cell r="B1278" t="str">
            <v>Gulfstream Aerospace Gulfstream I</v>
          </cell>
          <cell r="C1278" t="str">
            <v xml:space="preserve"> </v>
          </cell>
          <cell r="D1278">
            <v>1968</v>
          </cell>
          <cell r="E1278" t="str">
            <v>Tramon Air</v>
          </cell>
          <cell r="F1278">
            <v>34</v>
          </cell>
          <cell r="G1278">
            <v>32794</v>
          </cell>
          <cell r="I1278" t="str">
            <v>Africa</v>
          </cell>
          <cell r="J1278" t="str">
            <v>South Africa</v>
          </cell>
        </row>
        <row r="1279">
          <cell r="A1279" t="str">
            <v>In service</v>
          </cell>
          <cell r="B1279" t="str">
            <v>Gulfstream Aerospace Gulfstream I</v>
          </cell>
          <cell r="C1279" t="str">
            <v xml:space="preserve"> </v>
          </cell>
          <cell r="D1279">
            <v>1969</v>
          </cell>
          <cell r="E1279" t="str">
            <v>Conquest Air LLC</v>
          </cell>
          <cell r="F1279">
            <v>33</v>
          </cell>
          <cell r="G1279">
            <v>25269</v>
          </cell>
          <cell r="I1279" t="str">
            <v>North America</v>
          </cell>
          <cell r="J1279" t="str">
            <v>USA</v>
          </cell>
          <cell r="K1279">
            <v>25249</v>
          </cell>
        </row>
        <row r="1280">
          <cell r="A1280" t="str">
            <v>In service</v>
          </cell>
          <cell r="B1280" t="str">
            <v>Gulfstream Aerospace Gulfstream I</v>
          </cell>
          <cell r="C1280" t="str">
            <v xml:space="preserve"> </v>
          </cell>
          <cell r="D1280">
            <v>1969</v>
          </cell>
          <cell r="E1280" t="str">
            <v>Phoenix Air</v>
          </cell>
          <cell r="F1280">
            <v>33</v>
          </cell>
          <cell r="G1280">
            <v>25268</v>
          </cell>
          <cell r="I1280" t="str">
            <v>North America</v>
          </cell>
          <cell r="J1280" t="str">
            <v>USA</v>
          </cell>
          <cell r="K1280">
            <v>25249</v>
          </cell>
        </row>
        <row r="1281">
          <cell r="A1281" t="str">
            <v>In service</v>
          </cell>
          <cell r="B1281" t="str">
            <v>Gulfstream Aerospace Gulfstream I</v>
          </cell>
          <cell r="C1281" t="str">
            <v xml:space="preserve"> </v>
          </cell>
          <cell r="D1281">
            <v>1969</v>
          </cell>
          <cell r="E1281" t="str">
            <v>Platinum Air LLC</v>
          </cell>
          <cell r="F1281">
            <v>33</v>
          </cell>
          <cell r="G1281">
            <v>25357</v>
          </cell>
          <cell r="I1281" t="str">
            <v>North America</v>
          </cell>
          <cell r="J1281" t="str">
            <v>USA</v>
          </cell>
          <cell r="K1281">
            <v>25249</v>
          </cell>
        </row>
        <row r="1282">
          <cell r="A1282" t="str">
            <v>In service</v>
          </cell>
          <cell r="B1282" t="str">
            <v>Gulfstream Aerospace Gulfstream I</v>
          </cell>
          <cell r="C1282" t="str">
            <v xml:space="preserve"> </v>
          </cell>
          <cell r="D1282">
            <v>1959</v>
          </cell>
          <cell r="E1282" t="str">
            <v>Phoenix Air</v>
          </cell>
          <cell r="F1282">
            <v>43</v>
          </cell>
          <cell r="G1282">
            <v>21892</v>
          </cell>
          <cell r="I1282" t="str">
            <v>North America</v>
          </cell>
          <cell r="J1282" t="str">
            <v>USA</v>
          </cell>
          <cell r="K1282">
            <v>21200</v>
          </cell>
        </row>
        <row r="1283">
          <cell r="A1283" t="str">
            <v>In service</v>
          </cell>
          <cell r="B1283" t="str">
            <v>Gulfstream Aerospace Gulfstream I</v>
          </cell>
          <cell r="C1283" t="str">
            <v xml:space="preserve"> </v>
          </cell>
          <cell r="D1283">
            <v>1959</v>
          </cell>
          <cell r="E1283" t="str">
            <v>Phoenix Air</v>
          </cell>
          <cell r="F1283">
            <v>43</v>
          </cell>
          <cell r="G1283">
            <v>21912</v>
          </cell>
          <cell r="I1283" t="str">
            <v>North America</v>
          </cell>
          <cell r="J1283" t="str">
            <v>USA</v>
          </cell>
          <cell r="K1283">
            <v>21320</v>
          </cell>
        </row>
        <row r="1284">
          <cell r="A1284" t="str">
            <v>In service</v>
          </cell>
          <cell r="B1284" t="str">
            <v>Gulfstream Aerospace Gulfstream I</v>
          </cell>
          <cell r="C1284" t="str">
            <v xml:space="preserve"> </v>
          </cell>
          <cell r="D1284">
            <v>1963</v>
          </cell>
          <cell r="E1284" t="str">
            <v>Saicam Air (US) Inc</v>
          </cell>
          <cell r="F1284">
            <v>39</v>
          </cell>
          <cell r="I1284" t="str">
            <v>North America</v>
          </cell>
          <cell r="J1284" t="str">
            <v>USA</v>
          </cell>
        </row>
        <row r="1285">
          <cell r="A1285" t="str">
            <v>In service</v>
          </cell>
          <cell r="B1285" t="str">
            <v>Gulfstream Aerospace Gulfstream I</v>
          </cell>
          <cell r="C1285" t="str">
            <v xml:space="preserve"> </v>
          </cell>
          <cell r="D1285">
            <v>1964</v>
          </cell>
          <cell r="E1285" t="str">
            <v>SAP</v>
          </cell>
          <cell r="F1285">
            <v>38</v>
          </cell>
          <cell r="G1285">
            <v>23405</v>
          </cell>
          <cell r="I1285" t="str">
            <v>Latin America and Caribbean</v>
          </cell>
          <cell r="J1285" t="str">
            <v>Dominican Republic</v>
          </cell>
          <cell r="K1285">
            <v>23330</v>
          </cell>
        </row>
        <row r="1286">
          <cell r="A1286" t="str">
            <v>In service</v>
          </cell>
          <cell r="B1286" t="str">
            <v>Gulfstream Aerospace Gulfstream I</v>
          </cell>
          <cell r="C1286" t="str">
            <v xml:space="preserve"> </v>
          </cell>
          <cell r="D1286">
            <v>1960</v>
          </cell>
          <cell r="E1286" t="str">
            <v>CAA - Compagnie Africaine d'Aviation</v>
          </cell>
          <cell r="F1286">
            <v>42</v>
          </cell>
          <cell r="G1286">
            <v>21996</v>
          </cell>
          <cell r="I1286" t="str">
            <v>Africa</v>
          </cell>
          <cell r="J1286" t="str">
            <v>Congo (Democratic Republic)</v>
          </cell>
          <cell r="K1286">
            <v>21777</v>
          </cell>
        </row>
        <row r="1287">
          <cell r="A1287" t="str">
            <v>In service</v>
          </cell>
          <cell r="B1287" t="str">
            <v>Gulfstream Aerospace Gulfstream I</v>
          </cell>
          <cell r="C1287" t="str">
            <v xml:space="preserve"> </v>
          </cell>
          <cell r="D1287">
            <v>1960</v>
          </cell>
          <cell r="E1287" t="str">
            <v>Riverside International Airlines</v>
          </cell>
          <cell r="F1287">
            <v>42</v>
          </cell>
          <cell r="G1287">
            <v>22018</v>
          </cell>
          <cell r="I1287" t="str">
            <v>North America</v>
          </cell>
          <cell r="J1287" t="str">
            <v>USA</v>
          </cell>
          <cell r="K1287">
            <v>21990</v>
          </cell>
        </row>
        <row r="1288">
          <cell r="A1288" t="str">
            <v>In service</v>
          </cell>
          <cell r="B1288" t="str">
            <v>Gulfstream Aerospace Gulfstream I</v>
          </cell>
          <cell r="C1288" t="str">
            <v xml:space="preserve"> </v>
          </cell>
          <cell r="D1288">
            <v>1960</v>
          </cell>
          <cell r="E1288" t="str">
            <v>Gabon Express</v>
          </cell>
          <cell r="F1288">
            <v>42</v>
          </cell>
          <cell r="G1288">
            <v>22059</v>
          </cell>
          <cell r="I1288" t="str">
            <v>Africa</v>
          </cell>
          <cell r="J1288" t="str">
            <v>Gabon</v>
          </cell>
          <cell r="K1288">
            <v>21930</v>
          </cell>
        </row>
        <row r="1289">
          <cell r="A1289" t="str">
            <v>In service</v>
          </cell>
          <cell r="B1289" t="str">
            <v>Gulfstream Aerospace Gulfstream I</v>
          </cell>
          <cell r="C1289" t="str">
            <v xml:space="preserve"> </v>
          </cell>
          <cell r="D1289">
            <v>1960</v>
          </cell>
          <cell r="E1289" t="str">
            <v>Mississippi River Commission</v>
          </cell>
          <cell r="F1289">
            <v>42</v>
          </cell>
          <cell r="G1289">
            <v>22084</v>
          </cell>
          <cell r="I1289" t="str">
            <v>North America</v>
          </cell>
          <cell r="J1289" t="str">
            <v>USA</v>
          </cell>
          <cell r="K1289">
            <v>21990</v>
          </cell>
        </row>
        <row r="1290">
          <cell r="A1290" t="str">
            <v>In service</v>
          </cell>
          <cell r="B1290" t="str">
            <v>Gulfstream Aerospace Gulfstream I</v>
          </cell>
          <cell r="C1290" t="str">
            <v xml:space="preserve"> </v>
          </cell>
          <cell r="D1290">
            <v>1960</v>
          </cell>
          <cell r="E1290" t="str">
            <v>Mission Air Services LLC</v>
          </cell>
          <cell r="F1290">
            <v>42</v>
          </cell>
          <cell r="G1290">
            <v>22289</v>
          </cell>
          <cell r="I1290" t="str">
            <v>North America</v>
          </cell>
          <cell r="J1290" t="str">
            <v>USA</v>
          </cell>
          <cell r="K1290">
            <v>22082</v>
          </cell>
        </row>
        <row r="1291">
          <cell r="A1291" t="str">
            <v>In service</v>
          </cell>
          <cell r="B1291" t="str">
            <v>Gulfstream Aerospace Gulfstream I</v>
          </cell>
          <cell r="C1291" t="str">
            <v xml:space="preserve"> </v>
          </cell>
          <cell r="D1291">
            <v>1960</v>
          </cell>
          <cell r="E1291" t="str">
            <v>Celanese Mexicana SA</v>
          </cell>
          <cell r="F1291">
            <v>42</v>
          </cell>
          <cell r="G1291">
            <v>22269</v>
          </cell>
          <cell r="I1291" t="str">
            <v>Latin America and Caribbean</v>
          </cell>
          <cell r="J1291" t="str">
            <v>Mexico</v>
          </cell>
          <cell r="K1291">
            <v>22174</v>
          </cell>
        </row>
        <row r="1292">
          <cell r="A1292" t="str">
            <v>In service</v>
          </cell>
          <cell r="B1292" t="str">
            <v>Gulfstream Aerospace Gulfstream I</v>
          </cell>
          <cell r="C1292" t="str">
            <v xml:space="preserve"> </v>
          </cell>
          <cell r="D1292">
            <v>1961</v>
          </cell>
          <cell r="E1292" t="str">
            <v>US Immigration &amp; Naturalization Service</v>
          </cell>
          <cell r="F1292">
            <v>41</v>
          </cell>
          <cell r="G1292">
            <v>22406</v>
          </cell>
          <cell r="I1292" t="str">
            <v>North America</v>
          </cell>
          <cell r="J1292" t="str">
            <v>USA</v>
          </cell>
          <cell r="K1292">
            <v>22327</v>
          </cell>
        </row>
        <row r="1293">
          <cell r="A1293" t="str">
            <v>In service</v>
          </cell>
          <cell r="B1293" t="str">
            <v>Gulfstream Aerospace Gulfstream I</v>
          </cell>
          <cell r="C1293" t="str">
            <v xml:space="preserve"> </v>
          </cell>
          <cell r="D1293">
            <v>1959</v>
          </cell>
          <cell r="E1293" t="str">
            <v>Missionair Inc</v>
          </cell>
          <cell r="F1293">
            <v>43</v>
          </cell>
          <cell r="G1293">
            <v>21761</v>
          </cell>
          <cell r="I1293" t="str">
            <v>North America</v>
          </cell>
          <cell r="J1293" t="str">
            <v>USA</v>
          </cell>
          <cell r="K1293">
            <v>21001</v>
          </cell>
        </row>
        <row r="1294">
          <cell r="A1294" t="str">
            <v>In service</v>
          </cell>
          <cell r="B1294" t="str">
            <v>Gulfstream Aerospace Gulfstream I</v>
          </cell>
          <cell r="C1294" t="str">
            <v xml:space="preserve"> </v>
          </cell>
          <cell r="D1294">
            <v>1961</v>
          </cell>
          <cell r="E1294" t="str">
            <v>Battelle Pacific Northwest Laboratories</v>
          </cell>
          <cell r="F1294">
            <v>41</v>
          </cell>
          <cell r="G1294">
            <v>22599</v>
          </cell>
          <cell r="I1294" t="str">
            <v>North America</v>
          </cell>
          <cell r="J1294" t="str">
            <v>USA</v>
          </cell>
          <cell r="K1294">
            <v>22462</v>
          </cell>
        </row>
        <row r="1295">
          <cell r="A1295" t="str">
            <v>In service</v>
          </cell>
          <cell r="B1295" t="str">
            <v>Gulfstream Aerospace Gulfstream I</v>
          </cell>
          <cell r="C1295" t="str">
            <v xml:space="preserve"> </v>
          </cell>
          <cell r="D1295">
            <v>1961</v>
          </cell>
          <cell r="E1295" t="str">
            <v>Jet Sul Taxi Aereo</v>
          </cell>
          <cell r="F1295">
            <v>41</v>
          </cell>
          <cell r="G1295">
            <v>22629</v>
          </cell>
          <cell r="I1295" t="str">
            <v>Latin America and Caribbean</v>
          </cell>
          <cell r="J1295" t="str">
            <v>Brazil</v>
          </cell>
          <cell r="K1295">
            <v>22462</v>
          </cell>
        </row>
        <row r="1296">
          <cell r="A1296" t="str">
            <v>In service</v>
          </cell>
          <cell r="B1296" t="str">
            <v>Gulfstream Aerospace Gulfstream I</v>
          </cell>
          <cell r="C1296" t="str">
            <v xml:space="preserve"> </v>
          </cell>
          <cell r="D1296">
            <v>1961</v>
          </cell>
          <cell r="E1296" t="str">
            <v>TAC Air Services</v>
          </cell>
          <cell r="F1296">
            <v>41</v>
          </cell>
          <cell r="G1296">
            <v>22669</v>
          </cell>
          <cell r="I1296" t="str">
            <v>Africa</v>
          </cell>
          <cell r="J1296" t="str">
            <v>South Africa</v>
          </cell>
          <cell r="K1296">
            <v>22462</v>
          </cell>
        </row>
        <row r="1297">
          <cell r="A1297" t="str">
            <v>In service</v>
          </cell>
          <cell r="B1297" t="str">
            <v>Gulfstream Aerospace Gulfstream I</v>
          </cell>
          <cell r="C1297" t="str">
            <v xml:space="preserve"> </v>
          </cell>
          <cell r="D1297">
            <v>1961</v>
          </cell>
          <cell r="E1297" t="str">
            <v>Aerotaxi de Valledupar</v>
          </cell>
          <cell r="F1297">
            <v>41</v>
          </cell>
          <cell r="G1297">
            <v>22601</v>
          </cell>
          <cell r="I1297" t="str">
            <v>Latin America and Caribbean</v>
          </cell>
          <cell r="J1297" t="str">
            <v>Colombia</v>
          </cell>
          <cell r="K1297">
            <v>22462</v>
          </cell>
        </row>
        <row r="1298">
          <cell r="A1298" t="str">
            <v>In service</v>
          </cell>
          <cell r="B1298" t="str">
            <v>Gulfstream Aerospace Gulfstream I</v>
          </cell>
          <cell r="C1298" t="str">
            <v xml:space="preserve"> </v>
          </cell>
          <cell r="D1298">
            <v>1962</v>
          </cell>
          <cell r="E1298" t="str">
            <v>William C Ray &amp; David M Ray</v>
          </cell>
          <cell r="F1298">
            <v>40</v>
          </cell>
          <cell r="G1298">
            <v>22733</v>
          </cell>
          <cell r="I1298" t="str">
            <v>North America</v>
          </cell>
          <cell r="J1298" t="str">
            <v>USA</v>
          </cell>
          <cell r="K1298">
            <v>22462</v>
          </cell>
        </row>
        <row r="1299">
          <cell r="A1299" t="str">
            <v>In service</v>
          </cell>
          <cell r="B1299" t="str">
            <v>Gulfstream Aerospace Gulfstream I</v>
          </cell>
          <cell r="C1299" t="str">
            <v xml:space="preserve"> </v>
          </cell>
          <cell r="D1299">
            <v>1962</v>
          </cell>
          <cell r="E1299" t="str">
            <v>Tramon Air</v>
          </cell>
          <cell r="F1299">
            <v>40</v>
          </cell>
          <cell r="G1299">
            <v>22734</v>
          </cell>
          <cell r="I1299" t="str">
            <v>Africa</v>
          </cell>
          <cell r="J1299" t="str">
            <v>South Africa</v>
          </cell>
          <cell r="K1299">
            <v>22661</v>
          </cell>
        </row>
        <row r="1300">
          <cell r="A1300" t="str">
            <v>In service</v>
          </cell>
          <cell r="B1300" t="str">
            <v>Gulfstream Aerospace Gulfstream I</v>
          </cell>
          <cell r="C1300" t="str">
            <v xml:space="preserve"> </v>
          </cell>
          <cell r="D1300">
            <v>1962</v>
          </cell>
          <cell r="E1300" t="str">
            <v>Mission Air Capital Services LLC</v>
          </cell>
          <cell r="F1300">
            <v>40</v>
          </cell>
          <cell r="G1300">
            <v>22817</v>
          </cell>
          <cell r="I1300" t="str">
            <v>North America</v>
          </cell>
          <cell r="J1300" t="str">
            <v>USA</v>
          </cell>
          <cell r="K1300">
            <v>22720</v>
          </cell>
        </row>
        <row r="1301">
          <cell r="A1301" t="str">
            <v>In service</v>
          </cell>
          <cell r="B1301" t="str">
            <v>Gulfstream Aerospace Gulfstream I</v>
          </cell>
          <cell r="C1301" t="str">
            <v xml:space="preserve"> </v>
          </cell>
          <cell r="D1301">
            <v>1962</v>
          </cell>
          <cell r="E1301" t="str">
            <v>US Coast Guard</v>
          </cell>
          <cell r="F1301">
            <v>40</v>
          </cell>
          <cell r="G1301">
            <v>23076</v>
          </cell>
          <cell r="H1301" t="str">
            <v>VC-4A</v>
          </cell>
          <cell r="I1301" t="str">
            <v>North America</v>
          </cell>
          <cell r="J1301" t="str">
            <v>USA</v>
          </cell>
          <cell r="K1301">
            <v>22827</v>
          </cell>
        </row>
        <row r="1302">
          <cell r="A1302" t="str">
            <v>In service</v>
          </cell>
          <cell r="B1302" t="str">
            <v>Gulfstream Aerospace Gulfstream I</v>
          </cell>
          <cell r="C1302" t="str">
            <v xml:space="preserve"> </v>
          </cell>
          <cell r="D1302">
            <v>1962</v>
          </cell>
          <cell r="E1302" t="str">
            <v>N8E LLC</v>
          </cell>
          <cell r="F1302">
            <v>40</v>
          </cell>
          <cell r="G1302">
            <v>22962</v>
          </cell>
          <cell r="I1302" t="str">
            <v>North America</v>
          </cell>
          <cell r="J1302" t="str">
            <v>USA</v>
          </cell>
          <cell r="K1302">
            <v>22827</v>
          </cell>
        </row>
        <row r="1303">
          <cell r="A1303" t="str">
            <v>In service</v>
          </cell>
          <cell r="B1303" t="str">
            <v>Gulfstream Aerospace Gulfstream I</v>
          </cell>
          <cell r="C1303" t="str">
            <v xml:space="preserve"> </v>
          </cell>
          <cell r="D1303">
            <v>1962</v>
          </cell>
          <cell r="E1303" t="str">
            <v>Mission Air Support Inc</v>
          </cell>
          <cell r="F1303">
            <v>40</v>
          </cell>
          <cell r="G1303">
            <v>22976</v>
          </cell>
          <cell r="I1303" t="str">
            <v>North America</v>
          </cell>
          <cell r="J1303" t="str">
            <v>USA</v>
          </cell>
          <cell r="K1303">
            <v>22827</v>
          </cell>
        </row>
        <row r="1304">
          <cell r="A1304" t="str">
            <v>In service</v>
          </cell>
          <cell r="B1304" t="str">
            <v>Gulfstream Aerospace Gulfstream I</v>
          </cell>
          <cell r="C1304" t="str">
            <v xml:space="preserve"> </v>
          </cell>
          <cell r="D1304">
            <v>1962</v>
          </cell>
          <cell r="E1304" t="str">
            <v>NASA</v>
          </cell>
          <cell r="F1304">
            <v>40</v>
          </cell>
          <cell r="G1304">
            <v>23085</v>
          </cell>
          <cell r="I1304" t="str">
            <v>North America</v>
          </cell>
          <cell r="J1304" t="str">
            <v>USA</v>
          </cell>
          <cell r="K1304">
            <v>22827</v>
          </cell>
        </row>
        <row r="1305">
          <cell r="A1305" t="str">
            <v>In service</v>
          </cell>
          <cell r="B1305" t="str">
            <v>Gulfstream Aerospace Gulfstream I</v>
          </cell>
          <cell r="C1305" t="str">
            <v xml:space="preserve"> </v>
          </cell>
          <cell r="D1305">
            <v>1962</v>
          </cell>
          <cell r="E1305" t="str">
            <v>Phoenix Air</v>
          </cell>
          <cell r="F1305">
            <v>40</v>
          </cell>
          <cell r="G1305">
            <v>23000</v>
          </cell>
          <cell r="I1305" t="str">
            <v>North America</v>
          </cell>
          <cell r="J1305" t="str">
            <v>USA</v>
          </cell>
          <cell r="K1305">
            <v>22827</v>
          </cell>
        </row>
        <row r="1306">
          <cell r="A1306" t="str">
            <v>In service</v>
          </cell>
          <cell r="B1306" t="str">
            <v>Gulfstream Aerospace Gulfstream I</v>
          </cell>
          <cell r="C1306" t="str">
            <v>1C Commuter</v>
          </cell>
          <cell r="D1306">
            <v>1959</v>
          </cell>
          <cell r="E1306" t="str">
            <v>Phoenix Air</v>
          </cell>
          <cell r="F1306">
            <v>43</v>
          </cell>
          <cell r="G1306">
            <v>21919</v>
          </cell>
          <cell r="H1306" t="str">
            <v>1C</v>
          </cell>
          <cell r="I1306" t="str">
            <v>North America</v>
          </cell>
          <cell r="J1306" t="str">
            <v>USA</v>
          </cell>
          <cell r="K1306">
            <v>21412</v>
          </cell>
        </row>
        <row r="1307">
          <cell r="A1307" t="str">
            <v>In service</v>
          </cell>
          <cell r="B1307" t="str">
            <v>Gulfstream Aerospace Gulfstream I</v>
          </cell>
          <cell r="C1307" t="str">
            <v>Commuter</v>
          </cell>
          <cell r="D1307">
            <v>1963</v>
          </cell>
          <cell r="E1307" t="str">
            <v>Diwan Airservice</v>
          </cell>
          <cell r="F1307">
            <v>39</v>
          </cell>
          <cell r="G1307">
            <v>23357</v>
          </cell>
          <cell r="H1307" t="str">
            <v>Commuter</v>
          </cell>
          <cell r="I1307" t="str">
            <v>Europe</v>
          </cell>
          <cell r="J1307" t="str">
            <v>France</v>
          </cell>
          <cell r="K1307">
            <v>23269</v>
          </cell>
        </row>
        <row r="1308">
          <cell r="A1308" t="str">
            <v>In service</v>
          </cell>
          <cell r="B1308" t="str">
            <v>Gulfstream Aerospace Gulfstream I</v>
          </cell>
          <cell r="C1308" t="str">
            <v>Commuter</v>
          </cell>
          <cell r="D1308">
            <v>1964</v>
          </cell>
          <cell r="E1308" t="str">
            <v>Airquarius Air Charter</v>
          </cell>
          <cell r="F1308">
            <v>38</v>
          </cell>
          <cell r="G1308">
            <v>23585</v>
          </cell>
          <cell r="H1308" t="str">
            <v>Commuter</v>
          </cell>
          <cell r="I1308" t="str">
            <v>Africa</v>
          </cell>
          <cell r="J1308" t="str">
            <v>South Africa</v>
          </cell>
          <cell r="K1308">
            <v>23192</v>
          </cell>
        </row>
        <row r="1309">
          <cell r="A1309" t="str">
            <v>In service</v>
          </cell>
          <cell r="B1309" t="str">
            <v>Gulfstream Aerospace Gulfstream I</v>
          </cell>
          <cell r="C1309" t="str">
            <v>Commuter</v>
          </cell>
          <cell r="D1309">
            <v>1965</v>
          </cell>
          <cell r="E1309" t="str">
            <v>CAA - Compagnie Africaine d'Aviation</v>
          </cell>
          <cell r="F1309">
            <v>37</v>
          </cell>
          <cell r="G1309">
            <v>23881</v>
          </cell>
          <cell r="H1309" t="str">
            <v>Commuter</v>
          </cell>
          <cell r="I1309" t="str">
            <v>Africa</v>
          </cell>
          <cell r="J1309" t="str">
            <v>Congo (Democratic Republic)</v>
          </cell>
          <cell r="K1309">
            <v>23788</v>
          </cell>
        </row>
        <row r="1310">
          <cell r="A1310" t="str">
            <v>In service</v>
          </cell>
          <cell r="B1310" t="str">
            <v>Gulfstream Aerospace Gulfstream I</v>
          </cell>
          <cell r="C1310" t="str">
            <v>Commuter</v>
          </cell>
          <cell r="D1310">
            <v>1965</v>
          </cell>
          <cell r="E1310" t="str">
            <v>Intertransit</v>
          </cell>
          <cell r="F1310">
            <v>37</v>
          </cell>
          <cell r="G1310">
            <v>24131</v>
          </cell>
          <cell r="H1310" t="str">
            <v>Commuter</v>
          </cell>
          <cell r="I1310" t="str">
            <v>Africa</v>
          </cell>
          <cell r="J1310" t="str">
            <v>Angola</v>
          </cell>
          <cell r="K1310">
            <v>24091</v>
          </cell>
        </row>
        <row r="1311">
          <cell r="A1311" t="str">
            <v>In service</v>
          </cell>
          <cell r="B1311" t="str">
            <v>Gulfstream Aerospace Gulfstream I</v>
          </cell>
          <cell r="C1311" t="str">
            <v>Commuter</v>
          </cell>
          <cell r="D1311">
            <v>1967</v>
          </cell>
          <cell r="E1311" t="str">
            <v>Citra Aviation</v>
          </cell>
          <cell r="F1311">
            <v>35</v>
          </cell>
          <cell r="G1311">
            <v>24539</v>
          </cell>
          <cell r="H1311" t="str">
            <v>Commuter</v>
          </cell>
          <cell r="I1311" t="str">
            <v>Asia</v>
          </cell>
          <cell r="J1311" t="str">
            <v>Indonesia</v>
          </cell>
          <cell r="K1311">
            <v>24456</v>
          </cell>
        </row>
        <row r="1312">
          <cell r="A1312" t="str">
            <v>In service</v>
          </cell>
          <cell r="B1312" t="str">
            <v>Gulfstream Aerospace Gulfstream I</v>
          </cell>
          <cell r="C1312" t="str">
            <v>Commuter</v>
          </cell>
          <cell r="D1312">
            <v>1968</v>
          </cell>
          <cell r="E1312" t="str">
            <v>Aero Aar</v>
          </cell>
          <cell r="F1312">
            <v>34</v>
          </cell>
          <cell r="G1312">
            <v>25148</v>
          </cell>
          <cell r="H1312" t="str">
            <v>Commuter</v>
          </cell>
          <cell r="I1312" t="str">
            <v>Latin America and Caribbean</v>
          </cell>
          <cell r="J1312" t="str">
            <v>Venezuela</v>
          </cell>
          <cell r="K1312">
            <v>25126</v>
          </cell>
        </row>
        <row r="1313">
          <cell r="A1313" t="str">
            <v>In service</v>
          </cell>
          <cell r="B1313" t="str">
            <v>Gulfstream Aerospace Gulfstream I</v>
          </cell>
          <cell r="C1313" t="str">
            <v>Commuter</v>
          </cell>
          <cell r="D1313">
            <v>1959</v>
          </cell>
          <cell r="E1313" t="str">
            <v>Societe de Transport Aerien (Star)</v>
          </cell>
          <cell r="F1313">
            <v>43</v>
          </cell>
          <cell r="G1313">
            <v>21860</v>
          </cell>
          <cell r="H1313" t="str">
            <v>Commuter</v>
          </cell>
          <cell r="I1313" t="str">
            <v>Africa</v>
          </cell>
          <cell r="J1313" t="str">
            <v>Cameroon</v>
          </cell>
          <cell r="K1313">
            <v>21001</v>
          </cell>
        </row>
        <row r="1314">
          <cell r="A1314" t="str">
            <v>In service</v>
          </cell>
          <cell r="B1314" t="str">
            <v>Gulfstream Aerospace Gulfstream I</v>
          </cell>
          <cell r="C1314" t="str">
            <v>Commuter</v>
          </cell>
          <cell r="D1314">
            <v>1959</v>
          </cell>
          <cell r="E1314" t="str">
            <v>Merafe Aviation (Pty) Ltd</v>
          </cell>
          <cell r="F1314">
            <v>43</v>
          </cell>
          <cell r="G1314">
            <v>21732</v>
          </cell>
          <cell r="H1314" t="str">
            <v>Commuter</v>
          </cell>
          <cell r="I1314" t="str">
            <v>Africa</v>
          </cell>
          <cell r="J1314" t="str">
            <v>South Africa</v>
          </cell>
          <cell r="K1314">
            <v>21108</v>
          </cell>
        </row>
        <row r="1315">
          <cell r="A1315" t="str">
            <v>In service</v>
          </cell>
          <cell r="B1315" t="str">
            <v>Gulfstream Aerospace Gulfstream I</v>
          </cell>
          <cell r="C1315" t="str">
            <v>Commuter</v>
          </cell>
          <cell r="D1315">
            <v>1961</v>
          </cell>
          <cell r="E1315" t="str">
            <v>Alternanive Air Sa de CV</v>
          </cell>
          <cell r="F1315">
            <v>41</v>
          </cell>
          <cell r="G1315">
            <v>22469</v>
          </cell>
          <cell r="H1315" t="str">
            <v>Commuter</v>
          </cell>
          <cell r="I1315" t="str">
            <v>Latin America and Caribbean</v>
          </cell>
          <cell r="J1315" t="str">
            <v>Mexico</v>
          </cell>
          <cell r="K1315">
            <v>22386</v>
          </cell>
        </row>
        <row r="1316">
          <cell r="A1316" t="str">
            <v>In service</v>
          </cell>
          <cell r="B1316" t="str">
            <v>Gulfstream Aerospace Gulfstream I</v>
          </cell>
          <cell r="C1316" t="str">
            <v>Commuter</v>
          </cell>
          <cell r="D1316">
            <v>1961</v>
          </cell>
          <cell r="E1316" t="str">
            <v>Intertransit</v>
          </cell>
          <cell r="F1316">
            <v>41</v>
          </cell>
          <cell r="G1316">
            <v>22662</v>
          </cell>
          <cell r="H1316" t="str">
            <v>Commuter</v>
          </cell>
          <cell r="I1316" t="str">
            <v>Africa</v>
          </cell>
          <cell r="J1316" t="str">
            <v>Angola</v>
          </cell>
          <cell r="K1316">
            <v>22462</v>
          </cell>
        </row>
        <row r="1317">
          <cell r="A1317" t="str">
            <v>In service</v>
          </cell>
          <cell r="B1317" t="str">
            <v>Gulfstream Aerospace Gulfstream I</v>
          </cell>
          <cell r="C1317" t="str">
            <v>Freighter</v>
          </cell>
          <cell r="D1317">
            <v>1958</v>
          </cell>
          <cell r="E1317" t="str">
            <v>Flamingo Airlines</v>
          </cell>
          <cell r="F1317">
            <v>44</v>
          </cell>
          <cell r="G1317">
            <v>26724</v>
          </cell>
          <cell r="H1317" t="str">
            <v>Freighter</v>
          </cell>
          <cell r="I1317" t="str">
            <v>Africa</v>
          </cell>
          <cell r="J1317" t="str">
            <v>Kenya</v>
          </cell>
        </row>
        <row r="1318">
          <cell r="A1318" t="str">
            <v>In service</v>
          </cell>
          <cell r="B1318" t="str">
            <v>Gulfstream Aerospace Gulfstream I</v>
          </cell>
          <cell r="C1318" t="str">
            <v>Freighter</v>
          </cell>
          <cell r="D1318">
            <v>1964</v>
          </cell>
          <cell r="E1318" t="str">
            <v>King Air Services Partnership</v>
          </cell>
          <cell r="F1318">
            <v>38</v>
          </cell>
          <cell r="G1318">
            <v>23658</v>
          </cell>
          <cell r="H1318" t="str">
            <v>Freighter</v>
          </cell>
          <cell r="I1318" t="str">
            <v>Africa</v>
          </cell>
          <cell r="J1318" t="str">
            <v>South Africa</v>
          </cell>
          <cell r="K1318">
            <v>23573</v>
          </cell>
        </row>
        <row r="1319">
          <cell r="A1319" t="str">
            <v>In service</v>
          </cell>
          <cell r="B1319" t="str">
            <v>Gulfstream Aerospace Gulfstream I</v>
          </cell>
          <cell r="C1319" t="str">
            <v>Freighter</v>
          </cell>
          <cell r="D1319">
            <v>1965</v>
          </cell>
          <cell r="E1319" t="str">
            <v>Stellair</v>
          </cell>
          <cell r="F1319">
            <v>37</v>
          </cell>
          <cell r="G1319">
            <v>23966</v>
          </cell>
          <cell r="H1319" t="str">
            <v>Freighter</v>
          </cell>
          <cell r="I1319" t="str">
            <v>Europe</v>
          </cell>
          <cell r="J1319" t="str">
            <v>Spain</v>
          </cell>
          <cell r="K1319">
            <v>23757</v>
          </cell>
        </row>
        <row r="1320">
          <cell r="A1320" t="str">
            <v>In service</v>
          </cell>
          <cell r="B1320" t="str">
            <v>Gulfstream Aerospace Gulfstream I</v>
          </cell>
          <cell r="C1320" t="str">
            <v>Freighter</v>
          </cell>
          <cell r="D1320">
            <v>1969</v>
          </cell>
          <cell r="E1320" t="str">
            <v>Phoenix Air</v>
          </cell>
          <cell r="F1320">
            <v>33</v>
          </cell>
          <cell r="G1320">
            <v>25218</v>
          </cell>
          <cell r="H1320" t="str">
            <v>Freighter</v>
          </cell>
          <cell r="I1320" t="str">
            <v>North America</v>
          </cell>
          <cell r="J1320" t="str">
            <v>USA</v>
          </cell>
          <cell r="K1320">
            <v>24912</v>
          </cell>
        </row>
        <row r="1321">
          <cell r="A1321" t="str">
            <v>In service</v>
          </cell>
          <cell r="B1321" t="str">
            <v>Gulfstream Aerospace Gulfstream I</v>
          </cell>
          <cell r="C1321" t="str">
            <v>Freighter</v>
          </cell>
          <cell r="D1321">
            <v>1960</v>
          </cell>
          <cell r="E1321" t="str">
            <v>Stellair</v>
          </cell>
          <cell r="F1321">
            <v>42</v>
          </cell>
          <cell r="G1321">
            <v>22038</v>
          </cell>
          <cell r="H1321" t="str">
            <v>Freighter</v>
          </cell>
          <cell r="I1321" t="str">
            <v>Europe</v>
          </cell>
          <cell r="J1321" t="str">
            <v>Spain</v>
          </cell>
          <cell r="K1321">
            <v>21869</v>
          </cell>
        </row>
        <row r="1322">
          <cell r="A1322" t="str">
            <v>In service</v>
          </cell>
          <cell r="B1322" t="str">
            <v>Gulfstream Aerospace Gulfstream I</v>
          </cell>
          <cell r="C1322" t="str">
            <v>Freighter</v>
          </cell>
          <cell r="D1322">
            <v>1962</v>
          </cell>
          <cell r="E1322" t="str">
            <v>Phoenix Air</v>
          </cell>
          <cell r="F1322">
            <v>40</v>
          </cell>
          <cell r="G1322">
            <v>23008</v>
          </cell>
          <cell r="H1322" t="str">
            <v>Freighter</v>
          </cell>
          <cell r="I1322" t="str">
            <v>North America</v>
          </cell>
          <cell r="J1322" t="str">
            <v>USA</v>
          </cell>
          <cell r="K1322">
            <v>22827</v>
          </cell>
        </row>
        <row r="1323">
          <cell r="A1323" t="str">
            <v>In service</v>
          </cell>
          <cell r="B1323" t="str">
            <v>Gulfstream Aerospace Gulfstream II</v>
          </cell>
          <cell r="C1323" t="str">
            <v xml:space="preserve"> </v>
          </cell>
          <cell r="D1323">
            <v>1971</v>
          </cell>
          <cell r="E1323" t="str">
            <v>Aero Falcons LLC</v>
          </cell>
          <cell r="F1323">
            <v>31</v>
          </cell>
          <cell r="G1323">
            <v>26276</v>
          </cell>
          <cell r="I1323" t="str">
            <v>North America</v>
          </cell>
          <cell r="J1323" t="str">
            <v>USA</v>
          </cell>
          <cell r="K1323">
            <v>25384</v>
          </cell>
        </row>
        <row r="1324">
          <cell r="A1324" t="str">
            <v>In service</v>
          </cell>
          <cell r="B1324" t="str">
            <v>Gulfstream Aerospace Gulfstream II</v>
          </cell>
          <cell r="C1324" t="str">
            <v xml:space="preserve"> </v>
          </cell>
          <cell r="D1324">
            <v>1971</v>
          </cell>
          <cell r="E1324" t="str">
            <v>Geosar LLC</v>
          </cell>
          <cell r="F1324">
            <v>31</v>
          </cell>
          <cell r="G1324">
            <v>26301</v>
          </cell>
          <cell r="I1324" t="str">
            <v>North America</v>
          </cell>
          <cell r="J1324" t="str">
            <v>USA</v>
          </cell>
          <cell r="K1324">
            <v>26114</v>
          </cell>
        </row>
        <row r="1325">
          <cell r="A1325" t="str">
            <v>In service</v>
          </cell>
          <cell r="B1325" t="str">
            <v>Gulfstream Aerospace Gulfstream II</v>
          </cell>
          <cell r="C1325" t="str">
            <v xml:space="preserve"> </v>
          </cell>
          <cell r="D1325">
            <v>1968</v>
          </cell>
          <cell r="E1325" t="str">
            <v>Fairway Enterprises Inc</v>
          </cell>
          <cell r="F1325">
            <v>34</v>
          </cell>
          <cell r="G1325">
            <v>24873</v>
          </cell>
          <cell r="I1325" t="str">
            <v>North America</v>
          </cell>
          <cell r="J1325" t="str">
            <v>USA</v>
          </cell>
          <cell r="K1325">
            <v>24653</v>
          </cell>
        </row>
        <row r="1326">
          <cell r="A1326" t="str">
            <v>In service</v>
          </cell>
          <cell r="B1326" t="str">
            <v>Gulfstream Aerospace Gulfstream II</v>
          </cell>
          <cell r="C1326" t="str">
            <v xml:space="preserve"> </v>
          </cell>
          <cell r="D1326">
            <v>1972</v>
          </cell>
          <cell r="E1326" t="str">
            <v>Business Jet Enterprises LP</v>
          </cell>
          <cell r="F1326">
            <v>30</v>
          </cell>
          <cell r="G1326">
            <v>26413</v>
          </cell>
          <cell r="I1326" t="str">
            <v>North America</v>
          </cell>
          <cell r="J1326" t="str">
            <v>USA</v>
          </cell>
          <cell r="K1326">
            <v>25749</v>
          </cell>
        </row>
        <row r="1327">
          <cell r="A1327" t="str">
            <v>In service</v>
          </cell>
          <cell r="B1327" t="str">
            <v>Gulfstream Aerospace Gulfstream II</v>
          </cell>
          <cell r="C1327" t="str">
            <v xml:space="preserve"> </v>
          </cell>
          <cell r="D1327">
            <v>1972</v>
          </cell>
          <cell r="E1327" t="str">
            <v>Omnitrition de Mexico SA</v>
          </cell>
          <cell r="F1327">
            <v>30</v>
          </cell>
          <cell r="G1327">
            <v>26480</v>
          </cell>
          <cell r="I1327" t="str">
            <v>Latin America and Caribbean</v>
          </cell>
          <cell r="J1327" t="str">
            <v>Mexico</v>
          </cell>
          <cell r="K1327">
            <v>26114</v>
          </cell>
        </row>
        <row r="1328">
          <cell r="A1328" t="str">
            <v>In service</v>
          </cell>
          <cell r="B1328" t="str">
            <v>Gulfstream Aerospace Gulfstream II</v>
          </cell>
          <cell r="C1328" t="str">
            <v xml:space="preserve"> </v>
          </cell>
          <cell r="D1328">
            <v>1972</v>
          </cell>
          <cell r="E1328" t="str">
            <v>Trans Exec Air Service</v>
          </cell>
          <cell r="F1328">
            <v>30</v>
          </cell>
          <cell r="G1328">
            <v>26536</v>
          </cell>
          <cell r="I1328" t="str">
            <v>North America</v>
          </cell>
          <cell r="J1328" t="str">
            <v>USA</v>
          </cell>
          <cell r="K1328">
            <v>25749</v>
          </cell>
        </row>
        <row r="1329">
          <cell r="A1329" t="str">
            <v>In service</v>
          </cell>
          <cell r="B1329" t="str">
            <v>Gulfstream Aerospace Gulfstream II</v>
          </cell>
          <cell r="C1329" t="str">
            <v xml:space="preserve"> </v>
          </cell>
          <cell r="D1329">
            <v>1972</v>
          </cell>
          <cell r="E1329" t="str">
            <v>NASA</v>
          </cell>
          <cell r="F1329">
            <v>30</v>
          </cell>
          <cell r="G1329">
            <v>26576</v>
          </cell>
          <cell r="I1329" t="str">
            <v>North America</v>
          </cell>
          <cell r="J1329" t="str">
            <v>USA</v>
          </cell>
          <cell r="K1329">
            <v>26114</v>
          </cell>
        </row>
        <row r="1330">
          <cell r="A1330" t="str">
            <v>In service</v>
          </cell>
          <cell r="B1330" t="str">
            <v>Gulfstream Aerospace Gulfstream II</v>
          </cell>
          <cell r="C1330" t="str">
            <v xml:space="preserve"> </v>
          </cell>
          <cell r="D1330">
            <v>1972</v>
          </cell>
          <cell r="E1330" t="str">
            <v>R Lacy Inc</v>
          </cell>
          <cell r="F1330">
            <v>30</v>
          </cell>
          <cell r="G1330">
            <v>26669</v>
          </cell>
          <cell r="I1330" t="str">
            <v>North America</v>
          </cell>
          <cell r="J1330" t="str">
            <v>USA</v>
          </cell>
          <cell r="K1330">
            <v>26114</v>
          </cell>
        </row>
        <row r="1331">
          <cell r="A1331" t="str">
            <v>In service</v>
          </cell>
          <cell r="B1331" t="str">
            <v>Gulfstream Aerospace Gulfstream II</v>
          </cell>
          <cell r="C1331" t="str">
            <v xml:space="preserve"> </v>
          </cell>
          <cell r="D1331">
            <v>1973</v>
          </cell>
          <cell r="E1331" t="str">
            <v>Watson/Perando/Gary Williams/Parenti/Lewis/McManus</v>
          </cell>
          <cell r="F1331">
            <v>29</v>
          </cell>
          <cell r="G1331">
            <v>26757</v>
          </cell>
          <cell r="I1331" t="str">
            <v>North America</v>
          </cell>
          <cell r="J1331" t="str">
            <v>USA</v>
          </cell>
          <cell r="K1331">
            <v>26114</v>
          </cell>
        </row>
        <row r="1332">
          <cell r="A1332" t="str">
            <v>In service</v>
          </cell>
          <cell r="B1332" t="str">
            <v>Gulfstream Aerospace Gulfstream II</v>
          </cell>
          <cell r="C1332" t="str">
            <v xml:space="preserve"> </v>
          </cell>
          <cell r="D1332">
            <v>1973</v>
          </cell>
          <cell r="E1332" t="str">
            <v xml:space="preserve">New Light Church World Outreach &amp; Worship Centers </v>
          </cell>
          <cell r="F1332">
            <v>29</v>
          </cell>
          <cell r="G1332">
            <v>26801</v>
          </cell>
          <cell r="I1332" t="str">
            <v>North America</v>
          </cell>
          <cell r="J1332" t="str">
            <v>USA</v>
          </cell>
          <cell r="K1332">
            <v>26114</v>
          </cell>
        </row>
        <row r="1333">
          <cell r="A1333" t="str">
            <v>In service</v>
          </cell>
          <cell r="B1333" t="str">
            <v>Gulfstream Aerospace Gulfstream II</v>
          </cell>
          <cell r="C1333" t="str">
            <v xml:space="preserve"> </v>
          </cell>
          <cell r="D1333">
            <v>1968</v>
          </cell>
          <cell r="E1333" t="str">
            <v>LFP Inc</v>
          </cell>
          <cell r="F1333">
            <v>34</v>
          </cell>
          <cell r="G1333">
            <v>24960</v>
          </cell>
          <cell r="I1333" t="str">
            <v>North America</v>
          </cell>
          <cell r="J1333" t="str">
            <v>USA</v>
          </cell>
          <cell r="K1333">
            <v>23923</v>
          </cell>
        </row>
        <row r="1334">
          <cell r="A1334" t="str">
            <v>In service</v>
          </cell>
          <cell r="B1334" t="str">
            <v>Gulfstream Aerospace Gulfstream II</v>
          </cell>
          <cell r="C1334" t="str">
            <v xml:space="preserve"> </v>
          </cell>
          <cell r="D1334">
            <v>1973</v>
          </cell>
          <cell r="E1334" t="str">
            <v>Lorien Aviation Inc</v>
          </cell>
          <cell r="F1334">
            <v>29</v>
          </cell>
          <cell r="G1334">
            <v>26873</v>
          </cell>
          <cell r="I1334" t="str">
            <v>North America</v>
          </cell>
          <cell r="J1334" t="str">
            <v>USA</v>
          </cell>
          <cell r="K1334">
            <v>26480</v>
          </cell>
        </row>
        <row r="1335">
          <cell r="A1335" t="str">
            <v>In service</v>
          </cell>
          <cell r="B1335" t="str">
            <v>Gulfstream Aerospace Gulfstream II</v>
          </cell>
          <cell r="C1335" t="str">
            <v xml:space="preserve"> </v>
          </cell>
          <cell r="D1335">
            <v>1973</v>
          </cell>
          <cell r="E1335" t="str">
            <v>Cedarhurst Air Charter Inc</v>
          </cell>
          <cell r="F1335">
            <v>29</v>
          </cell>
          <cell r="G1335">
            <v>26896</v>
          </cell>
          <cell r="I1335" t="str">
            <v>North America</v>
          </cell>
          <cell r="J1335" t="str">
            <v>USA</v>
          </cell>
          <cell r="K1335">
            <v>26480</v>
          </cell>
        </row>
        <row r="1336">
          <cell r="A1336" t="str">
            <v>In service</v>
          </cell>
          <cell r="B1336" t="str">
            <v>Gulfstream Aerospace Gulfstream II</v>
          </cell>
          <cell r="C1336" t="str">
            <v xml:space="preserve"> </v>
          </cell>
          <cell r="D1336">
            <v>1973</v>
          </cell>
          <cell r="E1336" t="str">
            <v>EICO II Corp</v>
          </cell>
          <cell r="F1336">
            <v>29</v>
          </cell>
          <cell r="G1336">
            <v>26907</v>
          </cell>
          <cell r="I1336" t="str">
            <v>North America</v>
          </cell>
          <cell r="J1336" t="str">
            <v>USA</v>
          </cell>
          <cell r="K1336">
            <v>26114</v>
          </cell>
        </row>
        <row r="1337">
          <cell r="A1337" t="str">
            <v>In service</v>
          </cell>
          <cell r="B1337" t="str">
            <v>Gulfstream Aerospace Gulfstream II</v>
          </cell>
          <cell r="C1337" t="str">
            <v xml:space="preserve"> </v>
          </cell>
          <cell r="D1337">
            <v>1973</v>
          </cell>
          <cell r="E1337" t="str">
            <v>RMQ Ltd</v>
          </cell>
          <cell r="F1337">
            <v>29</v>
          </cell>
          <cell r="G1337">
            <v>26974</v>
          </cell>
          <cell r="I1337" t="str">
            <v>North America</v>
          </cell>
          <cell r="J1337" t="str">
            <v>USA</v>
          </cell>
          <cell r="K1337">
            <v>26480</v>
          </cell>
        </row>
        <row r="1338">
          <cell r="A1338" t="str">
            <v>In service</v>
          </cell>
          <cell r="B1338" t="str">
            <v>Gulfstream Aerospace Gulfstream II</v>
          </cell>
          <cell r="C1338" t="str">
            <v xml:space="preserve"> </v>
          </cell>
          <cell r="D1338">
            <v>1973</v>
          </cell>
          <cell r="E1338" t="str">
            <v>Walter Industries Inc</v>
          </cell>
          <cell r="F1338">
            <v>29</v>
          </cell>
          <cell r="G1338">
            <v>27008</v>
          </cell>
          <cell r="I1338" t="str">
            <v>North America</v>
          </cell>
          <cell r="J1338" t="str">
            <v>USA</v>
          </cell>
          <cell r="K1338">
            <v>26480</v>
          </cell>
        </row>
        <row r="1339">
          <cell r="A1339" t="str">
            <v>In service</v>
          </cell>
          <cell r="B1339" t="str">
            <v>Gulfstream Aerospace Gulfstream II</v>
          </cell>
          <cell r="C1339" t="str">
            <v xml:space="preserve"> </v>
          </cell>
          <cell r="D1339">
            <v>1974</v>
          </cell>
          <cell r="E1339" t="str">
            <v>Diamond Air Service</v>
          </cell>
          <cell r="F1339">
            <v>28</v>
          </cell>
          <cell r="G1339">
            <v>27196</v>
          </cell>
          <cell r="I1339" t="str">
            <v>Asia</v>
          </cell>
          <cell r="J1339" t="str">
            <v>Japan</v>
          </cell>
          <cell r="K1339">
            <v>26480</v>
          </cell>
        </row>
        <row r="1340">
          <cell r="A1340" t="str">
            <v>In service</v>
          </cell>
          <cell r="B1340" t="str">
            <v>Gulfstream Aerospace Gulfstream II</v>
          </cell>
          <cell r="C1340" t="str">
            <v xml:space="preserve"> </v>
          </cell>
          <cell r="D1340">
            <v>1974</v>
          </cell>
          <cell r="E1340" t="str">
            <v>RDC Marine Inc</v>
          </cell>
          <cell r="F1340">
            <v>28</v>
          </cell>
          <cell r="G1340">
            <v>27335</v>
          </cell>
          <cell r="I1340" t="str">
            <v>North America</v>
          </cell>
          <cell r="J1340" t="str">
            <v>USA</v>
          </cell>
          <cell r="K1340">
            <v>26845</v>
          </cell>
        </row>
        <row r="1341">
          <cell r="A1341" t="str">
            <v>In service</v>
          </cell>
          <cell r="B1341" t="str">
            <v>Gulfstream Aerospace Gulfstream II</v>
          </cell>
          <cell r="C1341" t="str">
            <v xml:space="preserve"> </v>
          </cell>
          <cell r="D1341">
            <v>1974</v>
          </cell>
          <cell r="E1341" t="str">
            <v>NASA</v>
          </cell>
          <cell r="F1341">
            <v>28</v>
          </cell>
          <cell r="G1341">
            <v>27269</v>
          </cell>
          <cell r="I1341" t="str">
            <v>North America</v>
          </cell>
          <cell r="J1341" t="str">
            <v>USA</v>
          </cell>
          <cell r="K1341">
            <v>26845</v>
          </cell>
        </row>
        <row r="1342">
          <cell r="A1342" t="str">
            <v>In service</v>
          </cell>
          <cell r="B1342" t="str">
            <v>Gulfstream Aerospace Gulfstream II</v>
          </cell>
          <cell r="C1342" t="str">
            <v xml:space="preserve"> </v>
          </cell>
          <cell r="D1342">
            <v>1974</v>
          </cell>
          <cell r="E1342" t="str">
            <v>Aviation Associates LLC</v>
          </cell>
          <cell r="F1342">
            <v>28</v>
          </cell>
          <cell r="G1342">
            <v>27156</v>
          </cell>
          <cell r="I1342" t="str">
            <v>North America</v>
          </cell>
          <cell r="J1342" t="str">
            <v>USA</v>
          </cell>
          <cell r="K1342">
            <v>26480</v>
          </cell>
        </row>
        <row r="1343">
          <cell r="A1343" t="str">
            <v>In service</v>
          </cell>
          <cell r="B1343" t="str">
            <v>Gulfstream Aerospace Gulfstream II</v>
          </cell>
          <cell r="C1343" t="str">
            <v xml:space="preserve"> </v>
          </cell>
          <cell r="D1343">
            <v>1974</v>
          </cell>
          <cell r="E1343" t="str">
            <v>NASA</v>
          </cell>
          <cell r="F1343">
            <v>28</v>
          </cell>
          <cell r="G1343">
            <v>27169</v>
          </cell>
          <cell r="I1343" t="str">
            <v>North America</v>
          </cell>
          <cell r="J1343" t="str">
            <v>USA</v>
          </cell>
          <cell r="K1343">
            <v>26845</v>
          </cell>
        </row>
        <row r="1344">
          <cell r="A1344" t="str">
            <v>In service</v>
          </cell>
          <cell r="B1344" t="str">
            <v>Gulfstream Aerospace Gulfstream II</v>
          </cell>
          <cell r="C1344" t="str">
            <v xml:space="preserve"> </v>
          </cell>
          <cell r="D1344">
            <v>1974</v>
          </cell>
          <cell r="E1344" t="str">
            <v>NASA</v>
          </cell>
          <cell r="F1344">
            <v>28</v>
          </cell>
          <cell r="G1344">
            <v>27193</v>
          </cell>
          <cell r="I1344" t="str">
            <v>North America</v>
          </cell>
          <cell r="J1344" t="str">
            <v>USA</v>
          </cell>
          <cell r="K1344">
            <v>26845</v>
          </cell>
        </row>
        <row r="1345">
          <cell r="A1345" t="str">
            <v>In service</v>
          </cell>
          <cell r="B1345" t="str">
            <v>Gulfstream Aerospace Gulfstream II</v>
          </cell>
          <cell r="C1345" t="str">
            <v xml:space="preserve"> </v>
          </cell>
          <cell r="D1345">
            <v>1968</v>
          </cell>
          <cell r="E1345" t="str">
            <v>The O'Leary Group Inc</v>
          </cell>
          <cell r="F1345">
            <v>34</v>
          </cell>
          <cell r="G1345">
            <v>25034</v>
          </cell>
          <cell r="I1345" t="str">
            <v>North America</v>
          </cell>
          <cell r="J1345" t="str">
            <v>USA</v>
          </cell>
          <cell r="K1345">
            <v>24653</v>
          </cell>
        </row>
        <row r="1346">
          <cell r="A1346" t="str">
            <v>In service</v>
          </cell>
          <cell r="B1346" t="str">
            <v>Gulfstream Aerospace Gulfstream II</v>
          </cell>
          <cell r="C1346" t="str">
            <v xml:space="preserve"> </v>
          </cell>
          <cell r="D1346">
            <v>1974</v>
          </cell>
          <cell r="E1346" t="str">
            <v>Little Caesar Enterprises Inc</v>
          </cell>
          <cell r="F1346">
            <v>28</v>
          </cell>
          <cell r="G1346">
            <v>27306</v>
          </cell>
          <cell r="I1346" t="str">
            <v>North America</v>
          </cell>
          <cell r="J1346" t="str">
            <v>USA</v>
          </cell>
        </row>
        <row r="1347">
          <cell r="A1347" t="str">
            <v>In service</v>
          </cell>
          <cell r="B1347" t="str">
            <v>Gulfstream Aerospace Gulfstream II</v>
          </cell>
          <cell r="C1347" t="str">
            <v xml:space="preserve"> </v>
          </cell>
          <cell r="D1347">
            <v>1974</v>
          </cell>
          <cell r="E1347" t="str">
            <v>Crenshaw Christian Center Church of Los Angeles</v>
          </cell>
          <cell r="F1347">
            <v>28</v>
          </cell>
          <cell r="G1347">
            <v>27339</v>
          </cell>
          <cell r="I1347" t="str">
            <v>North America</v>
          </cell>
          <cell r="J1347" t="str">
            <v>USA</v>
          </cell>
          <cell r="K1347">
            <v>26480</v>
          </cell>
        </row>
        <row r="1348">
          <cell r="A1348" t="str">
            <v>In service</v>
          </cell>
          <cell r="B1348" t="str">
            <v>Gulfstream Aerospace Gulfstream II</v>
          </cell>
          <cell r="C1348" t="str">
            <v xml:space="preserve"> </v>
          </cell>
          <cell r="D1348">
            <v>1974</v>
          </cell>
          <cell r="E1348" t="str">
            <v xml:space="preserve">Crown Aviation LLC </v>
          </cell>
          <cell r="F1348">
            <v>28</v>
          </cell>
          <cell r="G1348">
            <v>27210</v>
          </cell>
          <cell r="I1348" t="str">
            <v>North America</v>
          </cell>
          <cell r="J1348" t="str">
            <v>USA</v>
          </cell>
          <cell r="K1348">
            <v>26845</v>
          </cell>
        </row>
        <row r="1349">
          <cell r="A1349" t="str">
            <v>In service</v>
          </cell>
          <cell r="B1349" t="str">
            <v>Gulfstream Aerospace Gulfstream II</v>
          </cell>
          <cell r="C1349" t="str">
            <v xml:space="preserve"> </v>
          </cell>
          <cell r="D1349">
            <v>1975</v>
          </cell>
          <cell r="E1349" t="str">
            <v>Antair SA de CV</v>
          </cell>
          <cell r="F1349">
            <v>27</v>
          </cell>
          <cell r="G1349">
            <v>27505</v>
          </cell>
          <cell r="I1349" t="str">
            <v>Latin America and Caribbean</v>
          </cell>
          <cell r="J1349" t="str">
            <v>Mexico</v>
          </cell>
          <cell r="K1349">
            <v>26845</v>
          </cell>
        </row>
        <row r="1350">
          <cell r="A1350" t="str">
            <v>In service</v>
          </cell>
          <cell r="B1350" t="str">
            <v>Gulfstream Aerospace Gulfstream II</v>
          </cell>
          <cell r="C1350" t="str">
            <v xml:space="preserve"> </v>
          </cell>
          <cell r="D1350">
            <v>1975</v>
          </cell>
          <cell r="E1350" t="str">
            <v>Plan 15 Aviation LLC</v>
          </cell>
          <cell r="F1350">
            <v>27</v>
          </cell>
          <cell r="G1350">
            <v>27774</v>
          </cell>
          <cell r="I1350" t="str">
            <v>North America</v>
          </cell>
          <cell r="J1350" t="str">
            <v>USA</v>
          </cell>
          <cell r="K1350">
            <v>27210</v>
          </cell>
        </row>
        <row r="1351">
          <cell r="A1351" t="str">
            <v>In service</v>
          </cell>
          <cell r="B1351" t="str">
            <v>Gulfstream Aerospace Gulfstream II</v>
          </cell>
          <cell r="C1351" t="str">
            <v xml:space="preserve"> </v>
          </cell>
          <cell r="D1351">
            <v>1975</v>
          </cell>
          <cell r="E1351" t="str">
            <v>XTO Energy Inc</v>
          </cell>
          <cell r="F1351">
            <v>27</v>
          </cell>
          <cell r="G1351">
            <v>27699</v>
          </cell>
          <cell r="I1351" t="str">
            <v>North America</v>
          </cell>
          <cell r="J1351" t="str">
            <v>USA</v>
          </cell>
        </row>
        <row r="1352">
          <cell r="A1352" t="str">
            <v>In service</v>
          </cell>
          <cell r="B1352" t="str">
            <v>Gulfstream Aerospace Gulfstream II</v>
          </cell>
          <cell r="C1352" t="str">
            <v xml:space="preserve"> </v>
          </cell>
          <cell r="D1352">
            <v>1975</v>
          </cell>
          <cell r="E1352" t="str">
            <v>Saudi Arabian Airlines</v>
          </cell>
          <cell r="F1352">
            <v>27</v>
          </cell>
          <cell r="G1352">
            <v>27900</v>
          </cell>
          <cell r="I1352" t="str">
            <v>Middle East</v>
          </cell>
          <cell r="J1352" t="str">
            <v>Saudi Arabia</v>
          </cell>
          <cell r="K1352">
            <v>27210</v>
          </cell>
        </row>
        <row r="1353">
          <cell r="A1353" t="str">
            <v>In service</v>
          </cell>
          <cell r="B1353" t="str">
            <v>Gulfstream Aerospace Gulfstream II</v>
          </cell>
          <cell r="C1353" t="str">
            <v xml:space="preserve"> </v>
          </cell>
          <cell r="D1353">
            <v>1976</v>
          </cell>
          <cell r="E1353" t="str">
            <v>Federal Government of Nigeria</v>
          </cell>
          <cell r="F1353">
            <v>26</v>
          </cell>
          <cell r="G1353">
            <v>28074</v>
          </cell>
          <cell r="I1353" t="str">
            <v>Africa</v>
          </cell>
          <cell r="J1353" t="str">
            <v>Nigeria</v>
          </cell>
          <cell r="K1353">
            <v>27210</v>
          </cell>
        </row>
        <row r="1354">
          <cell r="A1354" t="str">
            <v>In service</v>
          </cell>
          <cell r="B1354" t="str">
            <v>Gulfstream Aerospace Gulfstream II</v>
          </cell>
          <cell r="C1354" t="str">
            <v xml:space="preserve"> </v>
          </cell>
          <cell r="D1354">
            <v>1976</v>
          </cell>
          <cell r="E1354" t="str">
            <v>Saudi CAA</v>
          </cell>
          <cell r="F1354">
            <v>26</v>
          </cell>
          <cell r="G1354">
            <v>28103</v>
          </cell>
          <cell r="I1354" t="str">
            <v>Middle East</v>
          </cell>
          <cell r="J1354" t="str">
            <v>Saudi Arabia</v>
          </cell>
        </row>
        <row r="1355">
          <cell r="A1355" t="str">
            <v>In service</v>
          </cell>
          <cell r="B1355" t="str">
            <v>Gulfstream Aerospace Gulfstream II</v>
          </cell>
          <cell r="C1355" t="str">
            <v xml:space="preserve"> </v>
          </cell>
          <cell r="D1355">
            <v>1968</v>
          </cell>
          <cell r="E1355" t="str">
            <v>Procuraduria General de la Republica Nacional</v>
          </cell>
          <cell r="F1355">
            <v>34</v>
          </cell>
          <cell r="G1355">
            <v>24981</v>
          </cell>
          <cell r="I1355" t="str">
            <v>Latin America and Caribbean</v>
          </cell>
          <cell r="J1355" t="str">
            <v>Mexico</v>
          </cell>
          <cell r="K1355">
            <v>23923</v>
          </cell>
        </row>
        <row r="1356">
          <cell r="A1356" t="str">
            <v>In service</v>
          </cell>
          <cell r="B1356" t="str">
            <v>Gulfstream Aerospace Gulfstream II</v>
          </cell>
          <cell r="C1356" t="str">
            <v xml:space="preserve"> </v>
          </cell>
          <cell r="D1356">
            <v>1976</v>
          </cell>
          <cell r="E1356" t="str">
            <v>Jet Aviation Private Fleet LLC</v>
          </cell>
          <cell r="F1356">
            <v>26</v>
          </cell>
          <cell r="G1356">
            <v>27858</v>
          </cell>
          <cell r="I1356" t="str">
            <v>North America</v>
          </cell>
          <cell r="J1356" t="str">
            <v>USA</v>
          </cell>
          <cell r="K1356">
            <v>27210</v>
          </cell>
        </row>
        <row r="1357">
          <cell r="A1357" t="str">
            <v>In service</v>
          </cell>
          <cell r="B1357" t="str">
            <v>Gulfstream Aerospace Gulfstream II</v>
          </cell>
          <cell r="C1357" t="str">
            <v xml:space="preserve"> </v>
          </cell>
          <cell r="D1357">
            <v>1976</v>
          </cell>
          <cell r="E1357" t="str">
            <v>Jet Place Inc</v>
          </cell>
          <cell r="F1357">
            <v>26</v>
          </cell>
          <cell r="G1357">
            <v>28047</v>
          </cell>
          <cell r="I1357" t="str">
            <v>North America</v>
          </cell>
          <cell r="J1357" t="str">
            <v>USA</v>
          </cell>
          <cell r="K1357">
            <v>27575</v>
          </cell>
        </row>
        <row r="1358">
          <cell r="A1358" t="str">
            <v>In service</v>
          </cell>
          <cell r="B1358" t="str">
            <v>Gulfstream Aerospace Gulfstream II</v>
          </cell>
          <cell r="C1358" t="str">
            <v xml:space="preserve"> </v>
          </cell>
          <cell r="D1358">
            <v>1976</v>
          </cell>
          <cell r="E1358" t="str">
            <v>Richard &amp; David Jacobs Group</v>
          </cell>
          <cell r="F1358">
            <v>26</v>
          </cell>
          <cell r="G1358">
            <v>28111</v>
          </cell>
          <cell r="I1358" t="str">
            <v>North America</v>
          </cell>
          <cell r="J1358" t="str">
            <v>USA</v>
          </cell>
        </row>
        <row r="1359">
          <cell r="A1359" t="str">
            <v>In service</v>
          </cell>
          <cell r="B1359" t="str">
            <v>Gulfstream Aerospace Gulfstream II</v>
          </cell>
          <cell r="C1359" t="str">
            <v xml:space="preserve"> </v>
          </cell>
          <cell r="D1359">
            <v>1976</v>
          </cell>
          <cell r="E1359" t="str">
            <v>Uniexpress Jet Services Ltd</v>
          </cell>
          <cell r="F1359">
            <v>26</v>
          </cell>
          <cell r="G1359">
            <v>28260</v>
          </cell>
          <cell r="I1359" t="str">
            <v>Latin America and Caribbean</v>
          </cell>
          <cell r="J1359" t="str">
            <v>Bermuda</v>
          </cell>
          <cell r="K1359">
            <v>27575</v>
          </cell>
        </row>
        <row r="1360">
          <cell r="A1360" t="str">
            <v>In service</v>
          </cell>
          <cell r="B1360" t="str">
            <v>Gulfstream Aerospace Gulfstream II</v>
          </cell>
          <cell r="C1360" t="str">
            <v xml:space="preserve"> </v>
          </cell>
          <cell r="D1360">
            <v>1976</v>
          </cell>
          <cell r="E1360" t="str">
            <v>Avstar Jet Charter &amp; Management Services Inc</v>
          </cell>
          <cell r="F1360">
            <v>26</v>
          </cell>
          <cell r="G1360">
            <v>28397</v>
          </cell>
          <cell r="I1360" t="str">
            <v>North America</v>
          </cell>
          <cell r="J1360" t="str">
            <v>USA</v>
          </cell>
        </row>
        <row r="1361">
          <cell r="A1361" t="str">
            <v>In service</v>
          </cell>
          <cell r="B1361" t="str">
            <v>Gulfstream Aerospace Gulfstream II</v>
          </cell>
          <cell r="C1361" t="str">
            <v xml:space="preserve"> </v>
          </cell>
          <cell r="D1361">
            <v>1976</v>
          </cell>
          <cell r="E1361" t="str">
            <v>Avion LLC</v>
          </cell>
          <cell r="F1361">
            <v>26</v>
          </cell>
          <cell r="G1361">
            <v>28020</v>
          </cell>
          <cell r="I1361" t="str">
            <v>North America</v>
          </cell>
          <cell r="J1361" t="str">
            <v>USA</v>
          </cell>
        </row>
        <row r="1362">
          <cell r="A1362" t="str">
            <v>In service</v>
          </cell>
          <cell r="B1362" t="str">
            <v>Gulfstream Aerospace Gulfstream II</v>
          </cell>
          <cell r="C1362" t="str">
            <v xml:space="preserve"> </v>
          </cell>
          <cell r="D1362">
            <v>1976</v>
          </cell>
          <cell r="E1362" t="str">
            <v>American Aircraft Leasing Inc</v>
          </cell>
          <cell r="F1362">
            <v>26</v>
          </cell>
          <cell r="G1362">
            <v>28083</v>
          </cell>
          <cell r="I1362" t="str">
            <v>North America</v>
          </cell>
          <cell r="J1362" t="str">
            <v>USA</v>
          </cell>
          <cell r="K1362">
            <v>27575</v>
          </cell>
        </row>
        <row r="1363">
          <cell r="A1363" t="str">
            <v>In service</v>
          </cell>
          <cell r="B1363" t="str">
            <v>Gulfstream Aerospace Gulfstream II</v>
          </cell>
          <cell r="C1363" t="str">
            <v xml:space="preserve"> </v>
          </cell>
          <cell r="D1363">
            <v>1976</v>
          </cell>
          <cell r="E1363" t="str">
            <v>GFS Manassas Air Services Inc</v>
          </cell>
          <cell r="F1363">
            <v>26</v>
          </cell>
          <cell r="G1363">
            <v>28098</v>
          </cell>
          <cell r="I1363" t="str">
            <v>North America</v>
          </cell>
          <cell r="J1363" t="str">
            <v>USA</v>
          </cell>
          <cell r="K1363">
            <v>27575</v>
          </cell>
        </row>
        <row r="1364">
          <cell r="A1364" t="str">
            <v>In service</v>
          </cell>
          <cell r="B1364" t="str">
            <v>Gulfstream Aerospace Gulfstream II</v>
          </cell>
          <cell r="C1364" t="str">
            <v xml:space="preserve"> </v>
          </cell>
          <cell r="D1364">
            <v>1976</v>
          </cell>
          <cell r="E1364" t="str">
            <v>Transpais Aereo SA de CV</v>
          </cell>
          <cell r="F1364">
            <v>26</v>
          </cell>
          <cell r="G1364">
            <v>28105</v>
          </cell>
          <cell r="I1364" t="str">
            <v>Latin America and Caribbean</v>
          </cell>
          <cell r="J1364" t="str">
            <v>Mexico</v>
          </cell>
          <cell r="K1364">
            <v>27575</v>
          </cell>
        </row>
        <row r="1365">
          <cell r="A1365" t="str">
            <v>In service</v>
          </cell>
          <cell r="B1365" t="str">
            <v>Gulfstream Aerospace Gulfstream II</v>
          </cell>
          <cell r="C1365" t="str">
            <v xml:space="preserve"> </v>
          </cell>
          <cell r="D1365">
            <v>1976</v>
          </cell>
          <cell r="E1365" t="str">
            <v>May Department Stores Co</v>
          </cell>
          <cell r="F1365">
            <v>26</v>
          </cell>
          <cell r="G1365">
            <v>28132</v>
          </cell>
          <cell r="I1365" t="str">
            <v>North America</v>
          </cell>
          <cell r="J1365" t="str">
            <v>USA</v>
          </cell>
          <cell r="K1365">
            <v>27575</v>
          </cell>
        </row>
        <row r="1366">
          <cell r="A1366" t="str">
            <v>In service</v>
          </cell>
          <cell r="B1366" t="str">
            <v>Gulfstream Aerospace Gulfstream II</v>
          </cell>
          <cell r="C1366" t="str">
            <v xml:space="preserve"> </v>
          </cell>
          <cell r="D1366">
            <v>1977</v>
          </cell>
          <cell r="E1366" t="str">
            <v>AH Jet Transport LLC</v>
          </cell>
          <cell r="F1366">
            <v>25</v>
          </cell>
          <cell r="G1366">
            <v>28150</v>
          </cell>
          <cell r="I1366" t="str">
            <v>North America</v>
          </cell>
          <cell r="J1366" t="str">
            <v>USA</v>
          </cell>
          <cell r="K1366">
            <v>27210</v>
          </cell>
        </row>
        <row r="1367">
          <cell r="A1367" t="str">
            <v>In service</v>
          </cell>
          <cell r="B1367" t="str">
            <v>Gulfstream Aerospace Gulfstream II</v>
          </cell>
          <cell r="C1367" t="str">
            <v xml:space="preserve"> </v>
          </cell>
          <cell r="D1367">
            <v>1968</v>
          </cell>
          <cell r="E1367" t="str">
            <v>Bell-Aire Aviation LLC</v>
          </cell>
          <cell r="F1367">
            <v>34</v>
          </cell>
          <cell r="G1367">
            <v>25009</v>
          </cell>
          <cell r="I1367" t="str">
            <v>North America</v>
          </cell>
          <cell r="J1367" t="str">
            <v>USA</v>
          </cell>
          <cell r="K1367">
            <v>24288</v>
          </cell>
        </row>
        <row r="1368">
          <cell r="A1368" t="str">
            <v>In service</v>
          </cell>
          <cell r="B1368" t="str">
            <v>Gulfstream Aerospace Gulfstream II</v>
          </cell>
          <cell r="C1368" t="str">
            <v xml:space="preserve"> </v>
          </cell>
          <cell r="D1368">
            <v>1977</v>
          </cell>
          <cell r="E1368" t="str">
            <v>B L Aviation Group</v>
          </cell>
          <cell r="F1368">
            <v>25</v>
          </cell>
          <cell r="G1368">
            <v>28352</v>
          </cell>
          <cell r="I1368" t="str">
            <v>North America</v>
          </cell>
          <cell r="J1368" t="str">
            <v>USA</v>
          </cell>
          <cell r="K1368">
            <v>27941</v>
          </cell>
        </row>
        <row r="1369">
          <cell r="A1369" t="str">
            <v>In service</v>
          </cell>
          <cell r="B1369" t="str">
            <v>Gulfstream Aerospace Gulfstream II</v>
          </cell>
          <cell r="C1369" t="str">
            <v xml:space="preserve"> </v>
          </cell>
          <cell r="D1369">
            <v>1977</v>
          </cell>
          <cell r="E1369" t="str">
            <v>Merle Norman Cosmetics Inc</v>
          </cell>
          <cell r="F1369">
            <v>25</v>
          </cell>
          <cell r="G1369">
            <v>28485</v>
          </cell>
          <cell r="I1369" t="str">
            <v>North America</v>
          </cell>
          <cell r="J1369" t="str">
            <v>USA</v>
          </cell>
          <cell r="K1369">
            <v>27941</v>
          </cell>
        </row>
        <row r="1370">
          <cell r="A1370" t="str">
            <v>In service</v>
          </cell>
          <cell r="B1370" t="str">
            <v>Gulfstream Aerospace Gulfstream II</v>
          </cell>
          <cell r="C1370" t="str">
            <v xml:space="preserve"> </v>
          </cell>
          <cell r="D1370">
            <v>1978</v>
          </cell>
          <cell r="E1370" t="str">
            <v>HBJ Leasing LLC</v>
          </cell>
          <cell r="F1370">
            <v>24</v>
          </cell>
          <cell r="G1370">
            <v>28510</v>
          </cell>
          <cell r="I1370" t="str">
            <v>North America</v>
          </cell>
          <cell r="J1370" t="str">
            <v>USA</v>
          </cell>
          <cell r="K1370">
            <v>27941</v>
          </cell>
        </row>
        <row r="1371">
          <cell r="A1371" t="str">
            <v>In service</v>
          </cell>
          <cell r="B1371" t="str">
            <v>Gulfstream Aerospace Gulfstream II</v>
          </cell>
          <cell r="C1371" t="str">
            <v xml:space="preserve"> </v>
          </cell>
          <cell r="D1371">
            <v>1978</v>
          </cell>
          <cell r="E1371" t="str">
            <v>RS Aircraft</v>
          </cell>
          <cell r="F1371">
            <v>24</v>
          </cell>
          <cell r="G1371">
            <v>28722</v>
          </cell>
          <cell r="I1371" t="str">
            <v>North America</v>
          </cell>
          <cell r="J1371" t="str">
            <v>USA</v>
          </cell>
          <cell r="K1371">
            <v>28671</v>
          </cell>
        </row>
        <row r="1372">
          <cell r="A1372" t="str">
            <v>In service</v>
          </cell>
          <cell r="B1372" t="str">
            <v>Gulfstream Aerospace Gulfstream II</v>
          </cell>
          <cell r="C1372" t="str">
            <v xml:space="preserve"> </v>
          </cell>
          <cell r="D1372">
            <v>1978</v>
          </cell>
          <cell r="E1372" t="str">
            <v>G &amp; L Aviation</v>
          </cell>
          <cell r="F1372">
            <v>24</v>
          </cell>
          <cell r="G1372">
            <v>28961</v>
          </cell>
          <cell r="I1372" t="str">
            <v>North America</v>
          </cell>
          <cell r="J1372" t="str">
            <v>USA</v>
          </cell>
        </row>
        <row r="1373">
          <cell r="A1373" t="str">
            <v>In service</v>
          </cell>
          <cell r="B1373" t="str">
            <v>Gulfstream Aerospace Gulfstream II</v>
          </cell>
          <cell r="C1373" t="str">
            <v xml:space="preserve"> </v>
          </cell>
          <cell r="D1373">
            <v>1978</v>
          </cell>
          <cell r="E1373" t="str">
            <v>NASA</v>
          </cell>
          <cell r="F1373">
            <v>24</v>
          </cell>
          <cell r="G1373">
            <v>28640</v>
          </cell>
          <cell r="I1373" t="str">
            <v>North America</v>
          </cell>
          <cell r="J1373" t="str">
            <v>USA</v>
          </cell>
        </row>
        <row r="1374">
          <cell r="A1374" t="str">
            <v>In service</v>
          </cell>
          <cell r="B1374" t="str">
            <v>Gulfstream Aerospace Gulfstream II</v>
          </cell>
          <cell r="C1374" t="str">
            <v xml:space="preserve"> </v>
          </cell>
          <cell r="D1374">
            <v>1968</v>
          </cell>
          <cell r="E1374" t="str">
            <v>General Electric Capital Corp</v>
          </cell>
          <cell r="F1374">
            <v>34</v>
          </cell>
          <cell r="G1374">
            <v>25238</v>
          </cell>
          <cell r="H1374" t="str">
            <v>VC-11A</v>
          </cell>
          <cell r="I1374" t="str">
            <v>North America</v>
          </cell>
          <cell r="J1374" t="str">
            <v>USA</v>
          </cell>
          <cell r="K1374">
            <v>24653</v>
          </cell>
        </row>
        <row r="1375">
          <cell r="A1375" t="str">
            <v>In service</v>
          </cell>
          <cell r="B1375" t="str">
            <v>Gulfstream Aerospace Gulfstream II</v>
          </cell>
          <cell r="C1375" t="str">
            <v xml:space="preserve"> </v>
          </cell>
          <cell r="D1375">
            <v>1978</v>
          </cell>
          <cell r="E1375" t="str">
            <v>Straight Arrow Publishers</v>
          </cell>
          <cell r="F1375">
            <v>24</v>
          </cell>
          <cell r="G1375">
            <v>28814</v>
          </cell>
          <cell r="I1375" t="str">
            <v>North America</v>
          </cell>
          <cell r="J1375" t="str">
            <v>USA</v>
          </cell>
        </row>
        <row r="1376">
          <cell r="A1376" t="str">
            <v>In service</v>
          </cell>
          <cell r="B1376" t="str">
            <v>Gulfstream Aerospace Gulfstream II</v>
          </cell>
          <cell r="C1376" t="str">
            <v xml:space="preserve"> </v>
          </cell>
          <cell r="D1376">
            <v>1968</v>
          </cell>
          <cell r="E1376" t="str">
            <v>Cedar Enterprises LLC</v>
          </cell>
          <cell r="F1376">
            <v>34</v>
          </cell>
          <cell r="G1376">
            <v>25069</v>
          </cell>
          <cell r="I1376" t="str">
            <v>North America</v>
          </cell>
          <cell r="J1376" t="str">
            <v>USA</v>
          </cell>
          <cell r="K1376">
            <v>24288</v>
          </cell>
        </row>
        <row r="1377">
          <cell r="A1377" t="str">
            <v>In service</v>
          </cell>
          <cell r="B1377" t="str">
            <v>Gulfstream Aerospace Gulfstream II</v>
          </cell>
          <cell r="C1377" t="str">
            <v xml:space="preserve"> </v>
          </cell>
          <cell r="D1377">
            <v>1979</v>
          </cell>
          <cell r="E1377" t="str">
            <v>Government of Chad</v>
          </cell>
          <cell r="F1377">
            <v>23</v>
          </cell>
          <cell r="G1377">
            <v>29218</v>
          </cell>
          <cell r="I1377" t="str">
            <v>Africa</v>
          </cell>
          <cell r="J1377" t="str">
            <v>Chad</v>
          </cell>
        </row>
        <row r="1378">
          <cell r="A1378" t="str">
            <v>In service</v>
          </cell>
          <cell r="B1378" t="str">
            <v>Gulfstream Aerospace Gulfstream II</v>
          </cell>
          <cell r="C1378" t="str">
            <v xml:space="preserve"> </v>
          </cell>
          <cell r="D1378">
            <v>1979</v>
          </cell>
          <cell r="E1378" t="str">
            <v>Government of Libya</v>
          </cell>
          <cell r="F1378">
            <v>23</v>
          </cell>
          <cell r="G1378">
            <v>29249</v>
          </cell>
          <cell r="I1378" t="str">
            <v>Africa</v>
          </cell>
          <cell r="J1378" t="str">
            <v>Libya</v>
          </cell>
        </row>
        <row r="1379">
          <cell r="A1379" t="str">
            <v>In service</v>
          </cell>
          <cell r="B1379" t="str">
            <v>Gulfstream Aerospace Gulfstream II</v>
          </cell>
          <cell r="C1379" t="str">
            <v xml:space="preserve"> </v>
          </cell>
          <cell r="D1379">
            <v>1968</v>
          </cell>
          <cell r="E1379" t="str">
            <v>Heritage Jets Inc</v>
          </cell>
          <cell r="F1379">
            <v>34</v>
          </cell>
          <cell r="G1379">
            <v>25070</v>
          </cell>
          <cell r="I1379" t="str">
            <v>North America</v>
          </cell>
          <cell r="J1379" t="str">
            <v>USA</v>
          </cell>
          <cell r="K1379">
            <v>24288</v>
          </cell>
        </row>
        <row r="1380">
          <cell r="A1380" t="str">
            <v>In service</v>
          </cell>
          <cell r="B1380" t="str">
            <v>Gulfstream Aerospace Gulfstream II</v>
          </cell>
          <cell r="C1380" t="str">
            <v xml:space="preserve"> </v>
          </cell>
          <cell r="D1380">
            <v>1979</v>
          </cell>
          <cell r="E1380" t="str">
            <v>Anadarko Petroleum Corp</v>
          </cell>
          <cell r="F1380">
            <v>23</v>
          </cell>
          <cell r="G1380">
            <v>29143</v>
          </cell>
          <cell r="I1380" t="str">
            <v>North America</v>
          </cell>
          <cell r="J1380" t="str">
            <v>USA</v>
          </cell>
          <cell r="K1380">
            <v>28671</v>
          </cell>
        </row>
        <row r="1381">
          <cell r="A1381" t="str">
            <v>In service</v>
          </cell>
          <cell r="B1381" t="str">
            <v>Gulfstream Aerospace Gulfstream II</v>
          </cell>
          <cell r="C1381" t="str">
            <v xml:space="preserve"> </v>
          </cell>
          <cell r="D1381">
            <v>1980</v>
          </cell>
          <cell r="E1381" t="str">
            <v>Badger Air Inc</v>
          </cell>
          <cell r="F1381">
            <v>22</v>
          </cell>
          <cell r="G1381">
            <v>29481</v>
          </cell>
          <cell r="I1381" t="str">
            <v>North America</v>
          </cell>
          <cell r="J1381" t="str">
            <v>USA</v>
          </cell>
          <cell r="K1381">
            <v>28671</v>
          </cell>
        </row>
        <row r="1382">
          <cell r="A1382" t="str">
            <v>In service</v>
          </cell>
          <cell r="B1382" t="str">
            <v>Gulfstream Aerospace Gulfstream II</v>
          </cell>
          <cell r="C1382" t="str">
            <v xml:space="preserve"> </v>
          </cell>
          <cell r="D1382">
            <v>1980</v>
          </cell>
          <cell r="E1382" t="str">
            <v>Haliburton Energy Services Inc</v>
          </cell>
          <cell r="F1382">
            <v>22</v>
          </cell>
          <cell r="G1382">
            <v>29235</v>
          </cell>
          <cell r="I1382" t="str">
            <v>North America</v>
          </cell>
          <cell r="J1382" t="str">
            <v>USA</v>
          </cell>
          <cell r="K1382">
            <v>29036</v>
          </cell>
        </row>
        <row r="1383">
          <cell r="A1383" t="str">
            <v>In service</v>
          </cell>
          <cell r="B1383" t="str">
            <v>Gulfstream Aerospace Gulfstream II</v>
          </cell>
          <cell r="C1383" t="str">
            <v xml:space="preserve"> </v>
          </cell>
          <cell r="D1383">
            <v>1968</v>
          </cell>
          <cell r="E1383" t="str">
            <v>KW Plastics Recycling Division Trust</v>
          </cell>
          <cell r="F1383">
            <v>34</v>
          </cell>
          <cell r="G1383">
            <v>25100</v>
          </cell>
          <cell r="I1383" t="str">
            <v>North America</v>
          </cell>
          <cell r="J1383" t="str">
            <v>USA</v>
          </cell>
          <cell r="K1383">
            <v>24653</v>
          </cell>
        </row>
        <row r="1384">
          <cell r="A1384" t="str">
            <v>In service</v>
          </cell>
          <cell r="B1384" t="str">
            <v>Gulfstream Aerospace Gulfstream II</v>
          </cell>
          <cell r="C1384" t="str">
            <v xml:space="preserve"> </v>
          </cell>
          <cell r="D1384">
            <v>1967</v>
          </cell>
          <cell r="E1384" t="str">
            <v>Avstar Jet Charter &amp; Management Services Inc</v>
          </cell>
          <cell r="F1384">
            <v>35</v>
          </cell>
          <cell r="G1384">
            <v>24866</v>
          </cell>
          <cell r="I1384" t="str">
            <v>North America</v>
          </cell>
          <cell r="J1384" t="str">
            <v>USA</v>
          </cell>
          <cell r="K1384">
            <v>24288</v>
          </cell>
        </row>
        <row r="1385">
          <cell r="A1385" t="str">
            <v>In service</v>
          </cell>
          <cell r="B1385" t="str">
            <v>Gulfstream Aerospace Gulfstream II</v>
          </cell>
          <cell r="C1385" t="str">
            <v xml:space="preserve"> </v>
          </cell>
          <cell r="D1385">
            <v>1968</v>
          </cell>
          <cell r="E1385" t="str">
            <v>Air Force Material Command</v>
          </cell>
          <cell r="F1385">
            <v>34</v>
          </cell>
          <cell r="G1385">
            <v>25125</v>
          </cell>
          <cell r="I1385" t="str">
            <v>North America</v>
          </cell>
          <cell r="J1385" t="str">
            <v>USA</v>
          </cell>
          <cell r="K1385">
            <v>24288</v>
          </cell>
        </row>
        <row r="1386">
          <cell r="A1386" t="str">
            <v>In service</v>
          </cell>
          <cell r="B1386" t="str">
            <v>Gulfstream Aerospace Gulfstream II</v>
          </cell>
          <cell r="C1386" t="str">
            <v xml:space="preserve"> </v>
          </cell>
          <cell r="D1386">
            <v>1968</v>
          </cell>
          <cell r="E1386" t="str">
            <v>Rutherford Moran Oil Corp</v>
          </cell>
          <cell r="F1386">
            <v>34</v>
          </cell>
          <cell r="G1386">
            <v>25177</v>
          </cell>
          <cell r="I1386" t="str">
            <v>North America</v>
          </cell>
          <cell r="J1386" t="str">
            <v>USA</v>
          </cell>
          <cell r="K1386">
            <v>24288</v>
          </cell>
        </row>
        <row r="1387">
          <cell r="A1387" t="str">
            <v>In service</v>
          </cell>
          <cell r="B1387" t="str">
            <v>Gulfstream Aerospace Gulfstream II</v>
          </cell>
          <cell r="C1387" t="str">
            <v xml:space="preserve"> </v>
          </cell>
          <cell r="D1387">
            <v>1969</v>
          </cell>
          <cell r="E1387" t="str">
            <v>Nashville Jet Charters Inc</v>
          </cell>
          <cell r="F1387">
            <v>33</v>
          </cell>
          <cell r="G1387">
            <v>25234</v>
          </cell>
          <cell r="I1387" t="str">
            <v>North America</v>
          </cell>
          <cell r="J1387" t="str">
            <v>USA</v>
          </cell>
          <cell r="K1387">
            <v>24653</v>
          </cell>
        </row>
        <row r="1388">
          <cell r="A1388" t="str">
            <v>In service</v>
          </cell>
          <cell r="B1388" t="str">
            <v>Gulfstream Aerospace Gulfstream II</v>
          </cell>
          <cell r="C1388" t="str">
            <v xml:space="preserve"> </v>
          </cell>
          <cell r="D1388">
            <v>1969</v>
          </cell>
          <cell r="E1388" t="str">
            <v>Stafford Aviation LLC</v>
          </cell>
          <cell r="F1388">
            <v>33</v>
          </cell>
          <cell r="G1388">
            <v>25515</v>
          </cell>
          <cell r="I1388" t="str">
            <v>North America</v>
          </cell>
          <cell r="J1388" t="str">
            <v>USA</v>
          </cell>
          <cell r="K1388">
            <v>25019</v>
          </cell>
        </row>
        <row r="1389">
          <cell r="A1389" t="str">
            <v>In service</v>
          </cell>
          <cell r="B1389" t="str">
            <v>Gulfstream Aerospace Gulfstream II</v>
          </cell>
          <cell r="C1389" t="str">
            <v xml:space="preserve"> </v>
          </cell>
          <cell r="D1389">
            <v>1967</v>
          </cell>
          <cell r="E1389" t="str">
            <v>General Electric Capital Corp</v>
          </cell>
          <cell r="F1389">
            <v>35</v>
          </cell>
          <cell r="G1389">
            <v>24812</v>
          </cell>
          <cell r="I1389" t="str">
            <v>North America</v>
          </cell>
          <cell r="J1389" t="str">
            <v>USA</v>
          </cell>
          <cell r="K1389">
            <v>23923</v>
          </cell>
        </row>
        <row r="1390">
          <cell r="A1390" t="str">
            <v>In service</v>
          </cell>
          <cell r="B1390" t="str">
            <v>Gulfstream Aerospace Gulfstream II</v>
          </cell>
          <cell r="C1390" t="str">
            <v xml:space="preserve"> </v>
          </cell>
          <cell r="D1390">
            <v>1969</v>
          </cell>
          <cell r="E1390" t="str">
            <v>Air Tiger Inc</v>
          </cell>
          <cell r="F1390">
            <v>33</v>
          </cell>
          <cell r="G1390">
            <v>25293</v>
          </cell>
          <cell r="I1390" t="str">
            <v>North America</v>
          </cell>
          <cell r="J1390" t="str">
            <v>USA</v>
          </cell>
          <cell r="K1390">
            <v>24653</v>
          </cell>
        </row>
        <row r="1391">
          <cell r="A1391" t="str">
            <v>In service</v>
          </cell>
          <cell r="B1391" t="str">
            <v>Gulfstream Aerospace Gulfstream II</v>
          </cell>
          <cell r="C1391" t="str">
            <v xml:space="preserve"> </v>
          </cell>
          <cell r="D1391">
            <v>1969</v>
          </cell>
          <cell r="E1391" t="str">
            <v>SFG Equipment Leasing Corp I</v>
          </cell>
          <cell r="F1391">
            <v>33</v>
          </cell>
          <cell r="G1391">
            <v>25324</v>
          </cell>
          <cell r="I1391" t="str">
            <v>North America</v>
          </cell>
          <cell r="J1391" t="str">
            <v>USA</v>
          </cell>
          <cell r="K1391">
            <v>24653</v>
          </cell>
        </row>
        <row r="1392">
          <cell r="A1392" t="str">
            <v>In service</v>
          </cell>
          <cell r="B1392" t="str">
            <v>Gulfstream Aerospace Gulfstream II</v>
          </cell>
          <cell r="C1392" t="str">
            <v xml:space="preserve"> </v>
          </cell>
          <cell r="D1392">
            <v>1969</v>
          </cell>
          <cell r="E1392" t="str">
            <v>Drummond Co Inc</v>
          </cell>
          <cell r="F1392">
            <v>33</v>
          </cell>
          <cell r="G1392">
            <v>25335</v>
          </cell>
          <cell r="I1392" t="str">
            <v>North America</v>
          </cell>
          <cell r="J1392" t="str">
            <v>USA</v>
          </cell>
          <cell r="K1392">
            <v>24653</v>
          </cell>
        </row>
        <row r="1393">
          <cell r="A1393" t="str">
            <v>In service</v>
          </cell>
          <cell r="B1393" t="str">
            <v>Gulfstream Aerospace Gulfstream II</v>
          </cell>
          <cell r="C1393" t="str">
            <v xml:space="preserve"> </v>
          </cell>
          <cell r="D1393">
            <v>1967</v>
          </cell>
          <cell r="E1393" t="str">
            <v>Pincervale Ltd</v>
          </cell>
          <cell r="F1393">
            <v>35</v>
          </cell>
          <cell r="G1393">
            <v>24866</v>
          </cell>
          <cell r="I1393" t="str">
            <v>North America</v>
          </cell>
          <cell r="J1393" t="str">
            <v>USA</v>
          </cell>
          <cell r="K1393">
            <v>24288</v>
          </cell>
        </row>
        <row r="1394">
          <cell r="A1394" t="str">
            <v>In service</v>
          </cell>
          <cell r="B1394" t="str">
            <v>Gulfstream Aerospace Gulfstream II</v>
          </cell>
          <cell r="C1394" t="str">
            <v xml:space="preserve"> </v>
          </cell>
          <cell r="D1394">
            <v>1969</v>
          </cell>
          <cell r="E1394" t="str">
            <v>Kipp Ginsberg Trust</v>
          </cell>
          <cell r="F1394">
            <v>33</v>
          </cell>
          <cell r="G1394">
            <v>25409</v>
          </cell>
          <cell r="I1394" t="str">
            <v>North America</v>
          </cell>
          <cell r="J1394" t="str">
            <v>USA</v>
          </cell>
          <cell r="K1394">
            <v>24653</v>
          </cell>
        </row>
        <row r="1395">
          <cell r="A1395" t="str">
            <v>In service</v>
          </cell>
          <cell r="B1395" t="str">
            <v>Gulfstream Aerospace Gulfstream II</v>
          </cell>
          <cell r="C1395" t="str">
            <v xml:space="preserve"> </v>
          </cell>
          <cell r="D1395">
            <v>1969</v>
          </cell>
          <cell r="E1395" t="str">
            <v>Aviation Enterprises Inc</v>
          </cell>
          <cell r="F1395">
            <v>33</v>
          </cell>
          <cell r="G1395">
            <v>25433</v>
          </cell>
          <cell r="I1395" t="str">
            <v>North America</v>
          </cell>
          <cell r="J1395" t="str">
            <v>USA</v>
          </cell>
          <cell r="K1395">
            <v>24653</v>
          </cell>
        </row>
        <row r="1396">
          <cell r="A1396" t="str">
            <v>In service</v>
          </cell>
          <cell r="B1396" t="str">
            <v>Gulfstream Aerospace Gulfstream II</v>
          </cell>
          <cell r="C1396" t="str">
            <v xml:space="preserve"> </v>
          </cell>
          <cell r="D1396">
            <v>1969</v>
          </cell>
          <cell r="E1396" t="str">
            <v>JHS Leasing of Tampa Inc</v>
          </cell>
          <cell r="F1396">
            <v>33</v>
          </cell>
          <cell r="G1396">
            <v>25441</v>
          </cell>
          <cell r="I1396" t="str">
            <v>North America</v>
          </cell>
          <cell r="J1396" t="str">
            <v>USA</v>
          </cell>
          <cell r="K1396">
            <v>24653</v>
          </cell>
        </row>
        <row r="1397">
          <cell r="A1397" t="str">
            <v>In service</v>
          </cell>
          <cell r="B1397" t="str">
            <v>Gulfstream Aerospace Gulfstream II</v>
          </cell>
          <cell r="C1397" t="str">
            <v xml:space="preserve"> </v>
          </cell>
          <cell r="D1397">
            <v>1969</v>
          </cell>
          <cell r="E1397" t="str">
            <v>Scott Aviation Inc</v>
          </cell>
          <cell r="F1397">
            <v>33</v>
          </cell>
          <cell r="G1397">
            <v>25458</v>
          </cell>
          <cell r="I1397" t="str">
            <v>North America</v>
          </cell>
          <cell r="J1397" t="str">
            <v>USA</v>
          </cell>
          <cell r="K1397">
            <v>24653</v>
          </cell>
        </row>
        <row r="1398">
          <cell r="A1398" t="str">
            <v>In service</v>
          </cell>
          <cell r="B1398" t="str">
            <v>Gulfstream Aerospace Gulfstream II</v>
          </cell>
          <cell r="C1398" t="str">
            <v xml:space="preserve"> </v>
          </cell>
          <cell r="D1398">
            <v>1969</v>
          </cell>
          <cell r="E1398" t="str">
            <v>7-N Aircorp</v>
          </cell>
          <cell r="F1398">
            <v>33</v>
          </cell>
          <cell r="G1398">
            <v>25489</v>
          </cell>
          <cell r="I1398" t="str">
            <v>North America</v>
          </cell>
          <cell r="J1398" t="str">
            <v>USA</v>
          </cell>
          <cell r="K1398">
            <v>24653</v>
          </cell>
        </row>
        <row r="1399">
          <cell r="A1399" t="str">
            <v>In service</v>
          </cell>
          <cell r="B1399" t="str">
            <v>Gulfstream Aerospace Gulfstream II</v>
          </cell>
          <cell r="C1399" t="str">
            <v xml:space="preserve"> </v>
          </cell>
          <cell r="D1399">
            <v>1969</v>
          </cell>
          <cell r="E1399" t="str">
            <v>Gulfstream Aerospace Corp</v>
          </cell>
          <cell r="F1399">
            <v>33</v>
          </cell>
          <cell r="G1399">
            <v>25559</v>
          </cell>
          <cell r="I1399" t="str">
            <v>North America</v>
          </cell>
          <cell r="J1399" t="str">
            <v>USA</v>
          </cell>
          <cell r="K1399">
            <v>24653</v>
          </cell>
        </row>
        <row r="1400">
          <cell r="A1400" t="str">
            <v>In service</v>
          </cell>
          <cell r="B1400" t="str">
            <v>Gulfstream Aerospace Gulfstream II</v>
          </cell>
          <cell r="C1400" t="str">
            <v xml:space="preserve"> </v>
          </cell>
          <cell r="D1400">
            <v>1970</v>
          </cell>
          <cell r="E1400" t="str">
            <v>Hendrick Motorsports Inc</v>
          </cell>
          <cell r="F1400">
            <v>32</v>
          </cell>
          <cell r="G1400">
            <v>25703</v>
          </cell>
          <cell r="I1400" t="str">
            <v>North America</v>
          </cell>
          <cell r="J1400" t="str">
            <v>USA</v>
          </cell>
          <cell r="K1400">
            <v>25019</v>
          </cell>
        </row>
        <row r="1401">
          <cell r="A1401" t="str">
            <v>In service</v>
          </cell>
          <cell r="B1401" t="str">
            <v>Gulfstream Aerospace Gulfstream II</v>
          </cell>
          <cell r="C1401" t="str">
            <v xml:space="preserve"> </v>
          </cell>
          <cell r="D1401">
            <v>1970</v>
          </cell>
          <cell r="E1401" t="str">
            <v>Southern Leasing LLC</v>
          </cell>
          <cell r="F1401">
            <v>32</v>
          </cell>
          <cell r="G1401">
            <v>25630</v>
          </cell>
          <cell r="I1401" t="str">
            <v>North America</v>
          </cell>
          <cell r="J1401" t="str">
            <v>USA</v>
          </cell>
          <cell r="K1401">
            <v>25019</v>
          </cell>
        </row>
        <row r="1402">
          <cell r="A1402" t="str">
            <v>In service</v>
          </cell>
          <cell r="B1402" t="str">
            <v>Gulfstream Aerospace Gulfstream II</v>
          </cell>
          <cell r="C1402" t="str">
            <v xml:space="preserve"> </v>
          </cell>
          <cell r="D1402">
            <v>1970</v>
          </cell>
          <cell r="E1402" t="str">
            <v>Scott Aviation Inc</v>
          </cell>
          <cell r="F1402">
            <v>32</v>
          </cell>
          <cell r="G1402">
            <v>25703</v>
          </cell>
          <cell r="I1402" t="str">
            <v>North America</v>
          </cell>
          <cell r="J1402" t="str">
            <v>USA</v>
          </cell>
          <cell r="K1402">
            <v>25019</v>
          </cell>
        </row>
        <row r="1403">
          <cell r="A1403" t="str">
            <v>In service</v>
          </cell>
          <cell r="B1403" t="str">
            <v>Gulfstream Aerospace Gulfstream II</v>
          </cell>
          <cell r="C1403" t="str">
            <v>B</v>
          </cell>
          <cell r="D1403">
            <v>1971</v>
          </cell>
          <cell r="E1403" t="str">
            <v>The Clorox Co</v>
          </cell>
          <cell r="F1403">
            <v>31</v>
          </cell>
          <cell r="G1403">
            <v>26213</v>
          </cell>
          <cell r="H1403" t="str">
            <v>IIB</v>
          </cell>
          <cell r="I1403" t="str">
            <v>North America</v>
          </cell>
          <cell r="J1403" t="str">
            <v>USA</v>
          </cell>
          <cell r="K1403">
            <v>25384</v>
          </cell>
        </row>
        <row r="1404">
          <cell r="A1404" t="str">
            <v>In service</v>
          </cell>
          <cell r="B1404" t="str">
            <v>Gulfstream Aerospace Gulfstream II</v>
          </cell>
          <cell r="C1404" t="str">
            <v>B</v>
          </cell>
          <cell r="D1404">
            <v>1972</v>
          </cell>
          <cell r="E1404" t="str">
            <v>New World Aircraft GIIB-119</v>
          </cell>
          <cell r="F1404">
            <v>30</v>
          </cell>
          <cell r="G1404">
            <v>26606</v>
          </cell>
          <cell r="H1404" t="str">
            <v>IIB</v>
          </cell>
          <cell r="I1404" t="str">
            <v>North America</v>
          </cell>
          <cell r="J1404" t="str">
            <v>USA</v>
          </cell>
          <cell r="K1404">
            <v>25749</v>
          </cell>
        </row>
        <row r="1405">
          <cell r="A1405" t="str">
            <v>In service</v>
          </cell>
          <cell r="B1405" t="str">
            <v>Gulfstream Aerospace Gulfstream II</v>
          </cell>
          <cell r="C1405" t="str">
            <v>B</v>
          </cell>
          <cell r="D1405">
            <v>1973</v>
          </cell>
          <cell r="E1405" t="str">
            <v>Richard F Scruggs PA</v>
          </cell>
          <cell r="F1405">
            <v>29</v>
          </cell>
          <cell r="G1405">
            <v>26693</v>
          </cell>
          <cell r="H1405" t="str">
            <v>IIB</v>
          </cell>
          <cell r="I1405" t="str">
            <v>North America</v>
          </cell>
          <cell r="J1405" t="str">
            <v>USA</v>
          </cell>
          <cell r="K1405">
            <v>26480</v>
          </cell>
        </row>
        <row r="1406">
          <cell r="A1406" t="str">
            <v>In service</v>
          </cell>
          <cell r="B1406" t="str">
            <v>Gulfstream Aerospace Gulfstream II</v>
          </cell>
          <cell r="C1406" t="str">
            <v>B</v>
          </cell>
          <cell r="D1406">
            <v>1973</v>
          </cell>
          <cell r="E1406" t="str">
            <v>Aviation Technologies Inc</v>
          </cell>
          <cell r="F1406">
            <v>29</v>
          </cell>
          <cell r="G1406">
            <v>26743</v>
          </cell>
          <cell r="H1406" t="str">
            <v>HALO II</v>
          </cell>
          <cell r="I1406" t="str">
            <v>North America</v>
          </cell>
          <cell r="J1406" t="str">
            <v>USA</v>
          </cell>
          <cell r="K1406">
            <v>26114</v>
          </cell>
        </row>
        <row r="1407">
          <cell r="A1407" t="str">
            <v>In service</v>
          </cell>
          <cell r="B1407" t="str">
            <v>Gulfstream Aerospace Gulfstream II</v>
          </cell>
          <cell r="C1407" t="str">
            <v>B</v>
          </cell>
          <cell r="D1407">
            <v>1973</v>
          </cell>
          <cell r="E1407" t="str">
            <v>Tech Aircraft LLC</v>
          </cell>
          <cell r="F1407">
            <v>29</v>
          </cell>
          <cell r="G1407">
            <v>26854</v>
          </cell>
          <cell r="H1407" t="str">
            <v>IIB</v>
          </cell>
          <cell r="I1407" t="str">
            <v>North America</v>
          </cell>
          <cell r="J1407" t="str">
            <v>USA</v>
          </cell>
          <cell r="K1407">
            <v>26480</v>
          </cell>
        </row>
        <row r="1408">
          <cell r="A1408" t="str">
            <v>In service</v>
          </cell>
          <cell r="B1408" t="str">
            <v>Gulfstream Aerospace Gulfstream II</v>
          </cell>
          <cell r="C1408" t="str">
            <v>B</v>
          </cell>
          <cell r="D1408">
            <v>1973</v>
          </cell>
          <cell r="E1408" t="str">
            <v>Freeman Holdings Aircraft LLC</v>
          </cell>
          <cell r="F1408">
            <v>29</v>
          </cell>
          <cell r="G1408">
            <v>27054</v>
          </cell>
          <cell r="H1408" t="str">
            <v>IIB</v>
          </cell>
          <cell r="I1408" t="str">
            <v>North America</v>
          </cell>
          <cell r="J1408" t="str">
            <v>USA</v>
          </cell>
          <cell r="K1408">
            <v>26480</v>
          </cell>
        </row>
        <row r="1409">
          <cell r="A1409" t="str">
            <v>In service</v>
          </cell>
          <cell r="B1409" t="str">
            <v>Gulfstream Aerospace Gulfstream II</v>
          </cell>
          <cell r="C1409" t="str">
            <v>B</v>
          </cell>
          <cell r="D1409">
            <v>1974</v>
          </cell>
          <cell r="E1409" t="str">
            <v>Tikchik LLC</v>
          </cell>
          <cell r="F1409">
            <v>28</v>
          </cell>
          <cell r="G1409">
            <v>27173</v>
          </cell>
          <cell r="H1409" t="str">
            <v>IIB</v>
          </cell>
          <cell r="I1409" t="str">
            <v>North America</v>
          </cell>
          <cell r="J1409" t="str">
            <v>USA</v>
          </cell>
          <cell r="K1409">
            <v>26480</v>
          </cell>
        </row>
        <row r="1410">
          <cell r="A1410" t="str">
            <v>In service</v>
          </cell>
          <cell r="B1410" t="str">
            <v>Gulfstream Aerospace Gulfstream II</v>
          </cell>
          <cell r="C1410" t="str">
            <v>B</v>
          </cell>
          <cell r="D1410">
            <v>1974</v>
          </cell>
          <cell r="E1410" t="str">
            <v>Air Resources Corp</v>
          </cell>
          <cell r="F1410">
            <v>28</v>
          </cell>
          <cell r="G1410">
            <v>27224</v>
          </cell>
          <cell r="H1410" t="str">
            <v>IIB</v>
          </cell>
          <cell r="I1410" t="str">
            <v>North America</v>
          </cell>
          <cell r="J1410" t="str">
            <v>USA</v>
          </cell>
          <cell r="K1410">
            <v>27210</v>
          </cell>
        </row>
        <row r="1411">
          <cell r="A1411" t="str">
            <v>In service</v>
          </cell>
          <cell r="B1411" t="str">
            <v>Gulfstream Aerospace Gulfstream II</v>
          </cell>
          <cell r="C1411" t="str">
            <v>B</v>
          </cell>
          <cell r="D1411">
            <v>1974</v>
          </cell>
          <cell r="E1411" t="str">
            <v>Hyperion Air Inc</v>
          </cell>
          <cell r="F1411">
            <v>28</v>
          </cell>
          <cell r="G1411">
            <v>27320</v>
          </cell>
          <cell r="H1411" t="str">
            <v>IIB</v>
          </cell>
          <cell r="I1411" t="str">
            <v>North America</v>
          </cell>
          <cell r="J1411" t="str">
            <v>USA</v>
          </cell>
        </row>
        <row r="1412">
          <cell r="A1412" t="str">
            <v>In service</v>
          </cell>
          <cell r="B1412" t="str">
            <v>Gulfstream Aerospace Gulfstream II</v>
          </cell>
          <cell r="C1412" t="str">
            <v>B</v>
          </cell>
          <cell r="D1412">
            <v>1974</v>
          </cell>
          <cell r="E1412" t="str">
            <v>CDL Aviation Inc</v>
          </cell>
          <cell r="F1412">
            <v>28</v>
          </cell>
          <cell r="G1412">
            <v>27369</v>
          </cell>
          <cell r="H1412" t="str">
            <v>IIB</v>
          </cell>
          <cell r="I1412" t="str">
            <v>North America</v>
          </cell>
          <cell r="J1412" t="str">
            <v>USA</v>
          </cell>
          <cell r="K1412">
            <v>26480</v>
          </cell>
        </row>
        <row r="1413">
          <cell r="A1413" t="str">
            <v>In service</v>
          </cell>
          <cell r="B1413" t="str">
            <v>Gulfstream Aerospace Gulfstream II</v>
          </cell>
          <cell r="C1413" t="str">
            <v>B</v>
          </cell>
          <cell r="D1413">
            <v>1974</v>
          </cell>
          <cell r="E1413" t="str">
            <v>477 Aviation LLC</v>
          </cell>
          <cell r="F1413">
            <v>28</v>
          </cell>
          <cell r="G1413">
            <v>27378</v>
          </cell>
          <cell r="H1413" t="str">
            <v>IIB</v>
          </cell>
          <cell r="I1413" t="str">
            <v>North America</v>
          </cell>
          <cell r="J1413" t="str">
            <v>USA</v>
          </cell>
          <cell r="K1413">
            <v>26480</v>
          </cell>
        </row>
        <row r="1414">
          <cell r="A1414" t="str">
            <v>In service</v>
          </cell>
          <cell r="B1414" t="str">
            <v>Gulfstream Aerospace Gulfstream II</v>
          </cell>
          <cell r="C1414" t="str">
            <v>B</v>
          </cell>
          <cell r="D1414">
            <v>1974</v>
          </cell>
          <cell r="E1414" t="str">
            <v>Yellowstone Aviation LLC</v>
          </cell>
          <cell r="F1414">
            <v>28</v>
          </cell>
          <cell r="G1414">
            <v>27417</v>
          </cell>
          <cell r="H1414" t="str">
            <v>IIB</v>
          </cell>
          <cell r="I1414" t="str">
            <v>North America</v>
          </cell>
          <cell r="J1414" t="str">
            <v>USA</v>
          </cell>
          <cell r="K1414">
            <v>26845</v>
          </cell>
        </row>
        <row r="1415">
          <cell r="A1415" t="str">
            <v>In service</v>
          </cell>
          <cell r="B1415" t="str">
            <v>Gulfstream Aerospace Gulfstream II</v>
          </cell>
          <cell r="C1415" t="str">
            <v>B</v>
          </cell>
          <cell r="D1415">
            <v>1968</v>
          </cell>
          <cell r="E1415" t="str">
            <v>Charles Fry Electronics Inc</v>
          </cell>
          <cell r="F1415">
            <v>34</v>
          </cell>
          <cell r="G1415">
            <v>24975</v>
          </cell>
          <cell r="H1415" t="str">
            <v>IIB</v>
          </cell>
          <cell r="I1415" t="str">
            <v>North America</v>
          </cell>
          <cell r="J1415" t="str">
            <v>USA</v>
          </cell>
          <cell r="K1415">
            <v>24288</v>
          </cell>
        </row>
        <row r="1416">
          <cell r="A1416" t="str">
            <v>In service</v>
          </cell>
          <cell r="B1416" t="str">
            <v>Gulfstream Aerospace Gulfstream II</v>
          </cell>
          <cell r="C1416" t="str">
            <v>B</v>
          </cell>
          <cell r="D1416">
            <v>1975</v>
          </cell>
          <cell r="E1416" t="str">
            <v>Coastal Corp</v>
          </cell>
          <cell r="F1416">
            <v>27</v>
          </cell>
          <cell r="G1416">
            <v>27589</v>
          </cell>
          <cell r="H1416" t="str">
            <v>IIB</v>
          </cell>
          <cell r="I1416" t="str">
            <v>North America</v>
          </cell>
          <cell r="J1416" t="str">
            <v>USA</v>
          </cell>
        </row>
        <row r="1417">
          <cell r="A1417" t="str">
            <v>In service</v>
          </cell>
          <cell r="B1417" t="str">
            <v>Gulfstream Aerospace Gulfstream II</v>
          </cell>
          <cell r="C1417" t="str">
            <v>B</v>
          </cell>
          <cell r="D1417">
            <v>1975</v>
          </cell>
          <cell r="E1417" t="str">
            <v>Deniston Enterprises Inc</v>
          </cell>
          <cell r="F1417">
            <v>27</v>
          </cell>
          <cell r="G1417">
            <v>27603</v>
          </cell>
          <cell r="H1417" t="str">
            <v>IIB</v>
          </cell>
          <cell r="I1417" t="str">
            <v>North America</v>
          </cell>
          <cell r="J1417" t="str">
            <v>USA</v>
          </cell>
          <cell r="K1417">
            <v>27210</v>
          </cell>
        </row>
        <row r="1418">
          <cell r="A1418" t="str">
            <v>In service</v>
          </cell>
          <cell r="B1418" t="str">
            <v>Gulfstream Aerospace Gulfstream II</v>
          </cell>
          <cell r="C1418" t="str">
            <v>B</v>
          </cell>
          <cell r="D1418">
            <v>1976</v>
          </cell>
          <cell r="E1418" t="str">
            <v>El Paso CGP ABCO Aviation Co</v>
          </cell>
          <cell r="F1418">
            <v>26</v>
          </cell>
          <cell r="G1418">
            <v>28026</v>
          </cell>
          <cell r="H1418" t="str">
            <v>IIB</v>
          </cell>
          <cell r="I1418" t="str">
            <v>North America</v>
          </cell>
          <cell r="J1418" t="str">
            <v>USA</v>
          </cell>
          <cell r="K1418">
            <v>27575</v>
          </cell>
        </row>
        <row r="1419">
          <cell r="A1419" t="str">
            <v>In service</v>
          </cell>
          <cell r="B1419" t="str">
            <v>Gulfstream Aerospace Gulfstream II</v>
          </cell>
          <cell r="C1419" t="str">
            <v>B</v>
          </cell>
          <cell r="D1419">
            <v>1977</v>
          </cell>
          <cell r="E1419" t="str">
            <v>Bopper Airways LLC</v>
          </cell>
          <cell r="F1419">
            <v>25</v>
          </cell>
          <cell r="G1419">
            <v>28177</v>
          </cell>
          <cell r="H1419" t="str">
            <v>IIB</v>
          </cell>
          <cell r="I1419" t="str">
            <v>North America</v>
          </cell>
          <cell r="J1419" t="str">
            <v>USA</v>
          </cell>
          <cell r="K1419">
            <v>27941</v>
          </cell>
        </row>
        <row r="1420">
          <cell r="A1420" t="str">
            <v>In service</v>
          </cell>
          <cell r="B1420" t="str">
            <v>Gulfstream Aerospace Gulfstream II</v>
          </cell>
          <cell r="C1420" t="str">
            <v>B</v>
          </cell>
          <cell r="D1420">
            <v>1977</v>
          </cell>
          <cell r="E1420" t="str">
            <v>C &amp; L Aviation LLC</v>
          </cell>
          <cell r="F1420">
            <v>25</v>
          </cell>
          <cell r="G1420">
            <v>28199</v>
          </cell>
          <cell r="H1420" t="str">
            <v>IIB</v>
          </cell>
          <cell r="I1420" t="str">
            <v>North America</v>
          </cell>
          <cell r="J1420" t="str">
            <v>USA</v>
          </cell>
          <cell r="K1420">
            <v>27941</v>
          </cell>
        </row>
        <row r="1421">
          <cell r="A1421" t="str">
            <v>In service</v>
          </cell>
          <cell r="B1421" t="str">
            <v>Gulfstream Aerospace Gulfstream II</v>
          </cell>
          <cell r="C1421" t="str">
            <v>B</v>
          </cell>
          <cell r="D1421">
            <v>1977</v>
          </cell>
          <cell r="E1421" t="str">
            <v>United Breweries</v>
          </cell>
          <cell r="F1421">
            <v>25</v>
          </cell>
          <cell r="G1421">
            <v>28383</v>
          </cell>
          <cell r="H1421" t="str">
            <v>IIB</v>
          </cell>
          <cell r="I1421" t="str">
            <v>Asia</v>
          </cell>
          <cell r="J1421" t="str">
            <v>India</v>
          </cell>
          <cell r="K1421">
            <v>27575</v>
          </cell>
        </row>
        <row r="1422">
          <cell r="A1422" t="str">
            <v>In service</v>
          </cell>
          <cell r="B1422" t="str">
            <v>Gulfstream Aerospace Gulfstream II</v>
          </cell>
          <cell r="C1422" t="str">
            <v>B</v>
          </cell>
          <cell r="D1422">
            <v>1968</v>
          </cell>
          <cell r="E1422" t="str">
            <v>Hi-Flite Inc</v>
          </cell>
          <cell r="F1422">
            <v>34</v>
          </cell>
          <cell r="G1422">
            <v>25058</v>
          </cell>
          <cell r="H1422" t="str">
            <v>IIB</v>
          </cell>
          <cell r="I1422" t="str">
            <v>North America</v>
          </cell>
          <cell r="J1422" t="str">
            <v>USA</v>
          </cell>
          <cell r="K1422">
            <v>24288</v>
          </cell>
        </row>
        <row r="1423">
          <cell r="A1423" t="str">
            <v>In service</v>
          </cell>
          <cell r="B1423" t="str">
            <v>Gulfstream Aerospace Gulfstream II</v>
          </cell>
          <cell r="C1423" t="str">
            <v>B</v>
          </cell>
          <cell r="D1423">
            <v>1978</v>
          </cell>
          <cell r="E1423" t="str">
            <v>CHI Aviation Inc</v>
          </cell>
          <cell r="F1423">
            <v>24</v>
          </cell>
          <cell r="G1423">
            <v>28574</v>
          </cell>
          <cell r="H1423" t="str">
            <v>IIB</v>
          </cell>
          <cell r="I1423" t="str">
            <v>North America</v>
          </cell>
          <cell r="J1423" t="str">
            <v>USA</v>
          </cell>
          <cell r="K1423">
            <v>27941</v>
          </cell>
        </row>
        <row r="1424">
          <cell r="A1424" t="str">
            <v>In service</v>
          </cell>
          <cell r="B1424" t="str">
            <v>Gulfstream Aerospace Gulfstream II</v>
          </cell>
          <cell r="C1424" t="str">
            <v>B</v>
          </cell>
          <cell r="D1424">
            <v>1978</v>
          </cell>
          <cell r="E1424" t="str">
            <v>Eastman Chemical Co</v>
          </cell>
          <cell r="F1424">
            <v>24</v>
          </cell>
          <cell r="G1424">
            <v>28804</v>
          </cell>
          <cell r="H1424" t="str">
            <v>IIB</v>
          </cell>
          <cell r="I1424" t="str">
            <v>North America</v>
          </cell>
          <cell r="J1424" t="str">
            <v>USA</v>
          </cell>
          <cell r="K1424">
            <v>28306</v>
          </cell>
        </row>
        <row r="1425">
          <cell r="A1425" t="str">
            <v>In service</v>
          </cell>
          <cell r="B1425" t="str">
            <v>Gulfstream Aerospace Gulfstream II</v>
          </cell>
          <cell r="C1425" t="str">
            <v>B</v>
          </cell>
          <cell r="D1425">
            <v>1979</v>
          </cell>
          <cell r="E1425" t="str">
            <v>Gestair</v>
          </cell>
          <cell r="F1425">
            <v>23</v>
          </cell>
          <cell r="G1425">
            <v>28870</v>
          </cell>
          <cell r="H1425" t="str">
            <v>IIB</v>
          </cell>
          <cell r="I1425" t="str">
            <v>Europe</v>
          </cell>
          <cell r="J1425" t="str">
            <v>Spain</v>
          </cell>
          <cell r="K1425">
            <v>28306</v>
          </cell>
        </row>
        <row r="1426">
          <cell r="A1426" t="str">
            <v>In service</v>
          </cell>
          <cell r="B1426" t="str">
            <v>Gulfstream Aerospace Gulfstream II</v>
          </cell>
          <cell r="C1426" t="str">
            <v>B</v>
          </cell>
          <cell r="D1426">
            <v>1979</v>
          </cell>
          <cell r="E1426" t="str">
            <v>222 Aviation LLC</v>
          </cell>
          <cell r="F1426">
            <v>23</v>
          </cell>
          <cell r="G1426">
            <v>29042</v>
          </cell>
          <cell r="H1426" t="str">
            <v>IIB</v>
          </cell>
          <cell r="I1426" t="str">
            <v>North America</v>
          </cell>
          <cell r="J1426" t="str">
            <v>USA</v>
          </cell>
        </row>
        <row r="1427">
          <cell r="A1427" t="str">
            <v>In service</v>
          </cell>
          <cell r="B1427" t="str">
            <v>Gulfstream Aerospace Gulfstream II</v>
          </cell>
          <cell r="C1427" t="str">
            <v>B</v>
          </cell>
          <cell r="D1427">
            <v>1979</v>
          </cell>
          <cell r="E1427" t="str">
            <v>Tricycle Aviation LLC</v>
          </cell>
          <cell r="F1427">
            <v>23</v>
          </cell>
          <cell r="G1427">
            <v>29174</v>
          </cell>
          <cell r="H1427" t="str">
            <v>IIB</v>
          </cell>
          <cell r="I1427" t="str">
            <v>North America</v>
          </cell>
          <cell r="J1427" t="str">
            <v>USA</v>
          </cell>
          <cell r="K1427">
            <v>28306</v>
          </cell>
        </row>
        <row r="1428">
          <cell r="A1428" t="str">
            <v>In service</v>
          </cell>
          <cell r="B1428" t="str">
            <v>Gulfstream Aerospace Gulfstream II</v>
          </cell>
          <cell r="C1428" t="str">
            <v>B</v>
          </cell>
          <cell r="D1428">
            <v>1979</v>
          </cell>
          <cell r="E1428" t="str">
            <v>Wilmington Aero Ventures IV Inc</v>
          </cell>
          <cell r="F1428">
            <v>23</v>
          </cell>
          <cell r="G1428">
            <v>29235</v>
          </cell>
          <cell r="H1428" t="str">
            <v>IIB</v>
          </cell>
          <cell r="I1428" t="str">
            <v>North America</v>
          </cell>
          <cell r="J1428" t="str">
            <v>USA</v>
          </cell>
          <cell r="K1428">
            <v>28671</v>
          </cell>
        </row>
        <row r="1429">
          <cell r="A1429" t="str">
            <v>In service</v>
          </cell>
          <cell r="B1429" t="str">
            <v>Gulfstream Aerospace Gulfstream II</v>
          </cell>
          <cell r="C1429" t="str">
            <v>B</v>
          </cell>
          <cell r="D1429">
            <v>1980</v>
          </cell>
          <cell r="E1429" t="str">
            <v>North American Financial Corp</v>
          </cell>
          <cell r="F1429">
            <v>22</v>
          </cell>
          <cell r="G1429">
            <v>29479</v>
          </cell>
          <cell r="H1429" t="str">
            <v>IIB</v>
          </cell>
          <cell r="I1429" t="str">
            <v>North America</v>
          </cell>
          <cell r="J1429" t="str">
            <v>USA</v>
          </cell>
          <cell r="K1429">
            <v>28671</v>
          </cell>
        </row>
        <row r="1430">
          <cell r="A1430" t="str">
            <v>In service</v>
          </cell>
          <cell r="B1430" t="str">
            <v>Gulfstream Aerospace Gulfstream II</v>
          </cell>
          <cell r="C1430" t="str">
            <v>B</v>
          </cell>
          <cell r="D1430">
            <v>1968</v>
          </cell>
          <cell r="E1430" t="str">
            <v>C Hank Rhon</v>
          </cell>
          <cell r="F1430">
            <v>34</v>
          </cell>
          <cell r="G1430">
            <v>25142</v>
          </cell>
          <cell r="H1430" t="str">
            <v>IIB</v>
          </cell>
          <cell r="I1430" t="str">
            <v>Latin America and Caribbean</v>
          </cell>
          <cell r="J1430" t="str">
            <v>Mexico</v>
          </cell>
          <cell r="K1430">
            <v>24288</v>
          </cell>
        </row>
        <row r="1431">
          <cell r="A1431" t="str">
            <v>In service</v>
          </cell>
          <cell r="B1431" t="str">
            <v>Gulfstream Aerospace Gulfstream II</v>
          </cell>
          <cell r="C1431" t="str">
            <v>B</v>
          </cell>
          <cell r="D1431">
            <v>1968</v>
          </cell>
          <cell r="E1431" t="str">
            <v>N97EC LLC</v>
          </cell>
          <cell r="F1431">
            <v>34</v>
          </cell>
          <cell r="G1431">
            <v>25151</v>
          </cell>
          <cell r="H1431" t="str">
            <v>IIB</v>
          </cell>
          <cell r="I1431" t="str">
            <v>North America</v>
          </cell>
          <cell r="J1431" t="str">
            <v>USA</v>
          </cell>
          <cell r="K1431">
            <v>24653</v>
          </cell>
        </row>
        <row r="1432">
          <cell r="A1432" t="str">
            <v>In service</v>
          </cell>
          <cell r="B1432" t="str">
            <v>Gulfstream Aerospace Gulfstream II</v>
          </cell>
          <cell r="C1432" t="str">
            <v>B</v>
          </cell>
          <cell r="D1432">
            <v>1968</v>
          </cell>
          <cell r="E1432" t="str">
            <v>Aeromet Inc</v>
          </cell>
          <cell r="F1432">
            <v>34</v>
          </cell>
          <cell r="G1432">
            <v>25163</v>
          </cell>
          <cell r="H1432" t="str">
            <v>HALO I</v>
          </cell>
          <cell r="I1432" t="str">
            <v>North America</v>
          </cell>
          <cell r="J1432" t="str">
            <v>USA</v>
          </cell>
          <cell r="K1432">
            <v>25019</v>
          </cell>
        </row>
        <row r="1433">
          <cell r="A1433" t="str">
            <v>In service</v>
          </cell>
          <cell r="B1433" t="str">
            <v>Gulfstream Aerospace Gulfstream II</v>
          </cell>
          <cell r="C1433" t="str">
            <v>B</v>
          </cell>
          <cell r="D1433">
            <v>1967</v>
          </cell>
          <cell r="E1433" t="str">
            <v>RGR Technologies Inc</v>
          </cell>
          <cell r="F1433">
            <v>35</v>
          </cell>
          <cell r="G1433">
            <v>24850</v>
          </cell>
          <cell r="H1433" t="str">
            <v>IIB</v>
          </cell>
          <cell r="I1433" t="str">
            <v>North America</v>
          </cell>
          <cell r="J1433" t="str">
            <v>USA</v>
          </cell>
          <cell r="K1433">
            <v>23923</v>
          </cell>
        </row>
        <row r="1434">
          <cell r="A1434" t="str">
            <v>In service</v>
          </cell>
          <cell r="B1434" t="str">
            <v>Gulfstream Aerospace Gulfstream II</v>
          </cell>
          <cell r="C1434" t="str">
            <v>B</v>
          </cell>
          <cell r="D1434">
            <v>1968</v>
          </cell>
          <cell r="E1434" t="str">
            <v>B&amp;G Leasing LLC</v>
          </cell>
          <cell r="F1434">
            <v>34</v>
          </cell>
          <cell r="G1434">
            <v>25205</v>
          </cell>
          <cell r="H1434" t="str">
            <v>IIB</v>
          </cell>
          <cell r="I1434" t="str">
            <v>North America</v>
          </cell>
          <cell r="J1434" t="str">
            <v>USA</v>
          </cell>
          <cell r="K1434">
            <v>24653</v>
          </cell>
        </row>
        <row r="1435">
          <cell r="A1435" t="str">
            <v>In service</v>
          </cell>
          <cell r="B1435" t="str">
            <v>Gulfstream Aerospace Gulfstream II</v>
          </cell>
          <cell r="C1435" t="str">
            <v>B</v>
          </cell>
          <cell r="D1435">
            <v>1969</v>
          </cell>
          <cell r="E1435" t="str">
            <v>Hudson Capital Group Inc</v>
          </cell>
          <cell r="F1435">
            <v>33</v>
          </cell>
          <cell r="G1435">
            <v>25274</v>
          </cell>
          <cell r="H1435" t="str">
            <v>IIB</v>
          </cell>
          <cell r="I1435" t="str">
            <v>North America</v>
          </cell>
          <cell r="J1435" t="str">
            <v>USA</v>
          </cell>
          <cell r="K1435">
            <v>24653</v>
          </cell>
        </row>
        <row r="1436">
          <cell r="A1436" t="str">
            <v>In service</v>
          </cell>
          <cell r="B1436" t="str">
            <v>Gulfstream Aerospace Gulfstream II</v>
          </cell>
          <cell r="C1436" t="str">
            <v>B</v>
          </cell>
          <cell r="D1436">
            <v>1969</v>
          </cell>
          <cell r="E1436" t="str">
            <v>Coastal Corp</v>
          </cell>
          <cell r="F1436">
            <v>33</v>
          </cell>
          <cell r="G1436">
            <v>25328</v>
          </cell>
          <cell r="H1436" t="str">
            <v>IIB</v>
          </cell>
          <cell r="I1436" t="str">
            <v>North America</v>
          </cell>
          <cell r="J1436" t="str">
            <v>USA</v>
          </cell>
          <cell r="K1436">
            <v>24653</v>
          </cell>
        </row>
        <row r="1437">
          <cell r="A1437" t="str">
            <v>In service</v>
          </cell>
          <cell r="B1437" t="str">
            <v>Gulfstream Aerospace Gulfstream II</v>
          </cell>
          <cell r="C1437" t="str">
            <v>B</v>
          </cell>
          <cell r="D1437">
            <v>1969</v>
          </cell>
          <cell r="E1437" t="str">
            <v>New World Aviation Inc</v>
          </cell>
          <cell r="F1437">
            <v>33</v>
          </cell>
          <cell r="G1437">
            <v>25421</v>
          </cell>
          <cell r="H1437" t="str">
            <v>IIB</v>
          </cell>
          <cell r="I1437" t="str">
            <v>North America</v>
          </cell>
          <cell r="J1437" t="str">
            <v>USA</v>
          </cell>
          <cell r="K1437">
            <v>25019</v>
          </cell>
        </row>
        <row r="1438">
          <cell r="A1438" t="str">
            <v>In service</v>
          </cell>
          <cell r="B1438" t="str">
            <v>Gulfstream Aerospace Gulfstream II</v>
          </cell>
          <cell r="C1438" t="str">
            <v>B</v>
          </cell>
          <cell r="D1438">
            <v>1969</v>
          </cell>
          <cell r="E1438" t="str">
            <v xml:space="preserve">FINOVA Capital Corp </v>
          </cell>
          <cell r="F1438">
            <v>33</v>
          </cell>
          <cell r="G1438">
            <v>25492</v>
          </cell>
          <cell r="H1438" t="str">
            <v>IIB</v>
          </cell>
          <cell r="I1438" t="str">
            <v>North America</v>
          </cell>
          <cell r="J1438" t="str">
            <v>USA</v>
          </cell>
          <cell r="K1438">
            <v>25019</v>
          </cell>
        </row>
        <row r="1439">
          <cell r="A1439" t="str">
            <v>In service</v>
          </cell>
          <cell r="B1439" t="str">
            <v>Gulfstream Aerospace Gulfstream II</v>
          </cell>
          <cell r="C1439" t="str">
            <v>B</v>
          </cell>
          <cell r="D1439">
            <v>1969</v>
          </cell>
          <cell r="E1439" t="str">
            <v>ConocoPhillips Co</v>
          </cell>
          <cell r="F1439">
            <v>33</v>
          </cell>
          <cell r="G1439">
            <v>25514</v>
          </cell>
          <cell r="H1439" t="str">
            <v>IIB</v>
          </cell>
          <cell r="I1439" t="str">
            <v>North America</v>
          </cell>
          <cell r="J1439" t="str">
            <v>USA</v>
          </cell>
          <cell r="K1439">
            <v>25019</v>
          </cell>
        </row>
        <row r="1440">
          <cell r="A1440" t="str">
            <v>In service</v>
          </cell>
          <cell r="B1440" t="str">
            <v>Gulfstream Aerospace Gulfstream II</v>
          </cell>
          <cell r="C1440" t="str">
            <v>B</v>
          </cell>
          <cell r="D1440">
            <v>1969</v>
          </cell>
          <cell r="E1440" t="str">
            <v>New World Aircraft GIIB-075 LLC</v>
          </cell>
          <cell r="F1440">
            <v>33</v>
          </cell>
          <cell r="G1440">
            <v>25541</v>
          </cell>
          <cell r="H1440" t="str">
            <v>IIB</v>
          </cell>
          <cell r="I1440" t="str">
            <v>North America</v>
          </cell>
          <cell r="J1440" t="str">
            <v>USA</v>
          </cell>
          <cell r="K1440">
            <v>25019</v>
          </cell>
        </row>
        <row r="1441">
          <cell r="A1441" t="str">
            <v>In service</v>
          </cell>
          <cell r="B1441" t="str">
            <v>Gulfstream Aerospace Gulfstream II</v>
          </cell>
          <cell r="C1441" t="str">
            <v>B</v>
          </cell>
          <cell r="D1441">
            <v>1969</v>
          </cell>
          <cell r="E1441" t="str">
            <v>Pace LLC</v>
          </cell>
          <cell r="F1441">
            <v>33</v>
          </cell>
          <cell r="G1441">
            <v>26360</v>
          </cell>
          <cell r="H1441" t="str">
            <v>IIB</v>
          </cell>
          <cell r="I1441" t="str">
            <v>North America</v>
          </cell>
          <cell r="J1441" t="str">
            <v>USA</v>
          </cell>
          <cell r="K1441">
            <v>25749</v>
          </cell>
        </row>
        <row r="1442">
          <cell r="A1442" t="str">
            <v>In service</v>
          </cell>
          <cell r="B1442" t="str">
            <v>Gulfstream Aerospace Gulfstream II</v>
          </cell>
          <cell r="C1442" t="str">
            <v>B</v>
          </cell>
          <cell r="D1442">
            <v>1970</v>
          </cell>
          <cell r="E1442" t="str">
            <v>NMP Enterprises LLC</v>
          </cell>
          <cell r="F1442">
            <v>32</v>
          </cell>
          <cell r="G1442">
            <v>25660</v>
          </cell>
          <cell r="H1442" t="str">
            <v>IIB</v>
          </cell>
          <cell r="I1442" t="str">
            <v>North America</v>
          </cell>
          <cell r="J1442" t="str">
            <v>USA</v>
          </cell>
          <cell r="K1442">
            <v>25019</v>
          </cell>
        </row>
        <row r="1443">
          <cell r="A1443" t="str">
            <v>In service</v>
          </cell>
          <cell r="B1443" t="str">
            <v>Gulfstream Aerospace Gulfstream II</v>
          </cell>
          <cell r="C1443" t="str">
            <v>B</v>
          </cell>
          <cell r="D1443">
            <v>1970</v>
          </cell>
          <cell r="E1443" t="str">
            <v>Letica Corp</v>
          </cell>
          <cell r="F1443">
            <v>32</v>
          </cell>
          <cell r="G1443">
            <v>25679</v>
          </cell>
          <cell r="H1443" t="str">
            <v>IIB</v>
          </cell>
          <cell r="I1443" t="str">
            <v>North America</v>
          </cell>
          <cell r="J1443" t="str">
            <v>USA</v>
          </cell>
          <cell r="K1443">
            <v>25384</v>
          </cell>
        </row>
        <row r="1444">
          <cell r="A1444" t="str">
            <v>In service</v>
          </cell>
          <cell r="B1444" t="str">
            <v>Gulfstream Aerospace Gulfstream II</v>
          </cell>
          <cell r="C1444" t="str">
            <v>B</v>
          </cell>
          <cell r="D1444">
            <v>1968</v>
          </cell>
          <cell r="E1444" t="str">
            <v>Eastman Chemical Co</v>
          </cell>
          <cell r="F1444">
            <v>34</v>
          </cell>
          <cell r="G1444">
            <v>24862</v>
          </cell>
          <cell r="H1444" t="str">
            <v>IIB</v>
          </cell>
          <cell r="I1444" t="str">
            <v>North America</v>
          </cell>
          <cell r="J1444" t="str">
            <v>USA</v>
          </cell>
          <cell r="K1444">
            <v>23923</v>
          </cell>
        </row>
        <row r="1445">
          <cell r="A1445" t="str">
            <v>In service</v>
          </cell>
          <cell r="B1445" t="str">
            <v>Gulfstream Aerospace Gulfstream II</v>
          </cell>
          <cell r="C1445" t="str">
            <v>B</v>
          </cell>
          <cell r="D1445">
            <v>1970</v>
          </cell>
          <cell r="E1445" t="str">
            <v>113CS LLC</v>
          </cell>
          <cell r="F1445">
            <v>32</v>
          </cell>
          <cell r="G1445">
            <v>26038</v>
          </cell>
          <cell r="H1445" t="str">
            <v>IIB</v>
          </cell>
          <cell r="I1445" t="str">
            <v>North America</v>
          </cell>
          <cell r="J1445" t="str">
            <v>USA</v>
          </cell>
          <cell r="K1445">
            <v>25384</v>
          </cell>
        </row>
        <row r="1446">
          <cell r="A1446" t="str">
            <v>In service</v>
          </cell>
          <cell r="B1446" t="str">
            <v>Gulfstream Aerospace Gulfstream II</v>
          </cell>
          <cell r="C1446" t="str">
            <v>B</v>
          </cell>
          <cell r="D1446">
            <v>1970</v>
          </cell>
          <cell r="E1446" t="str">
            <v>Avjet Corp</v>
          </cell>
          <cell r="F1446">
            <v>32</v>
          </cell>
          <cell r="G1446">
            <v>25983</v>
          </cell>
          <cell r="H1446" t="str">
            <v>IIB</v>
          </cell>
          <cell r="I1446" t="str">
            <v>North America</v>
          </cell>
          <cell r="J1446" t="str">
            <v>USA</v>
          </cell>
          <cell r="K1446">
            <v>25384</v>
          </cell>
        </row>
        <row r="1447">
          <cell r="A1447" t="str">
            <v>In service</v>
          </cell>
          <cell r="B1447" t="str">
            <v>Gulfstream Aerospace Gulfstream II</v>
          </cell>
          <cell r="C1447" t="str">
            <v>SP</v>
          </cell>
          <cell r="D1447">
            <v>1966</v>
          </cell>
          <cell r="E1447" t="str">
            <v>Motorola Inc</v>
          </cell>
          <cell r="F1447">
            <v>36</v>
          </cell>
          <cell r="G1447">
            <v>25839</v>
          </cell>
          <cell r="H1447" t="str">
            <v>IISP</v>
          </cell>
          <cell r="I1447" t="str">
            <v>North America</v>
          </cell>
          <cell r="J1447" t="str">
            <v>USA</v>
          </cell>
        </row>
        <row r="1448">
          <cell r="A1448" t="str">
            <v>In service</v>
          </cell>
          <cell r="B1448" t="str">
            <v>Gulfstream Aerospace Gulfstream II</v>
          </cell>
          <cell r="C1448" t="str">
            <v>SP</v>
          </cell>
          <cell r="D1448">
            <v>1968</v>
          </cell>
          <cell r="E1448" t="str">
            <v>CX Air LLC</v>
          </cell>
          <cell r="F1448">
            <v>34</v>
          </cell>
          <cell r="G1448">
            <v>24876</v>
          </cell>
          <cell r="H1448" t="str">
            <v>IISP</v>
          </cell>
          <cell r="I1448" t="str">
            <v>North America</v>
          </cell>
          <cell r="J1448" t="str">
            <v>USA</v>
          </cell>
          <cell r="K1448">
            <v>24288</v>
          </cell>
        </row>
        <row r="1449">
          <cell r="A1449" t="str">
            <v>In service</v>
          </cell>
          <cell r="B1449" t="str">
            <v>Gulfstream Aerospace Gulfstream II</v>
          </cell>
          <cell r="C1449" t="str">
            <v>SP</v>
          </cell>
          <cell r="D1449">
            <v>1970</v>
          </cell>
          <cell r="E1449" t="str">
            <v>KFLP Air LLC</v>
          </cell>
          <cell r="F1449">
            <v>32</v>
          </cell>
          <cell r="G1449">
            <v>26151</v>
          </cell>
          <cell r="H1449" t="str">
            <v>IISP</v>
          </cell>
          <cell r="I1449" t="str">
            <v>North America</v>
          </cell>
          <cell r="J1449" t="str">
            <v>USA</v>
          </cell>
          <cell r="K1449">
            <v>25384</v>
          </cell>
        </row>
        <row r="1450">
          <cell r="A1450" t="str">
            <v>In service</v>
          </cell>
          <cell r="B1450" t="str">
            <v>Gulfstream Aerospace Gulfstream II</v>
          </cell>
          <cell r="C1450" t="str">
            <v>SP</v>
          </cell>
          <cell r="D1450">
            <v>1970</v>
          </cell>
          <cell r="E1450" t="str">
            <v>Jetex International Inc</v>
          </cell>
          <cell r="F1450">
            <v>32</v>
          </cell>
          <cell r="G1450">
            <v>25930</v>
          </cell>
          <cell r="H1450" t="str">
            <v>IISP</v>
          </cell>
          <cell r="I1450" t="str">
            <v>North America</v>
          </cell>
          <cell r="J1450" t="str">
            <v>USA</v>
          </cell>
          <cell r="K1450">
            <v>25019</v>
          </cell>
        </row>
        <row r="1451">
          <cell r="A1451" t="str">
            <v>In service</v>
          </cell>
          <cell r="B1451" t="str">
            <v>Gulfstream Aerospace Gulfstream II</v>
          </cell>
          <cell r="C1451" t="str">
            <v>SP</v>
          </cell>
          <cell r="D1451">
            <v>1971</v>
          </cell>
          <cell r="E1451" t="str">
            <v>Newport/Signal Air Inc</v>
          </cell>
          <cell r="F1451">
            <v>31</v>
          </cell>
          <cell r="G1451">
            <v>26282</v>
          </cell>
          <cell r="H1451" t="str">
            <v>IISP</v>
          </cell>
          <cell r="I1451" t="str">
            <v>North America</v>
          </cell>
          <cell r="J1451" t="str">
            <v>USA</v>
          </cell>
          <cell r="K1451">
            <v>25384</v>
          </cell>
        </row>
        <row r="1452">
          <cell r="A1452" t="str">
            <v>In service</v>
          </cell>
          <cell r="B1452" t="str">
            <v>Gulfstream Aerospace Gulfstream II</v>
          </cell>
          <cell r="C1452" t="str">
            <v>SP</v>
          </cell>
          <cell r="D1452">
            <v>1972</v>
          </cell>
          <cell r="E1452" t="str">
            <v>Private Jet Inc</v>
          </cell>
          <cell r="F1452">
            <v>30</v>
          </cell>
          <cell r="G1452">
            <v>26333</v>
          </cell>
          <cell r="H1452" t="str">
            <v>IISP</v>
          </cell>
          <cell r="I1452" t="str">
            <v>North America</v>
          </cell>
          <cell r="J1452" t="str">
            <v>USA</v>
          </cell>
          <cell r="K1452">
            <v>25749</v>
          </cell>
        </row>
        <row r="1453">
          <cell r="A1453" t="str">
            <v>In service</v>
          </cell>
          <cell r="B1453" t="str">
            <v>Gulfstream Aerospace Gulfstream II</v>
          </cell>
          <cell r="C1453" t="str">
            <v>SP</v>
          </cell>
          <cell r="D1453">
            <v>1972</v>
          </cell>
          <cell r="E1453" t="str">
            <v>Dealaero Inc</v>
          </cell>
          <cell r="F1453">
            <v>30</v>
          </cell>
          <cell r="G1453">
            <v>26353</v>
          </cell>
          <cell r="H1453" t="str">
            <v>IISP</v>
          </cell>
          <cell r="I1453" t="str">
            <v>North America</v>
          </cell>
          <cell r="J1453" t="str">
            <v>USA</v>
          </cell>
          <cell r="K1453">
            <v>25749</v>
          </cell>
        </row>
        <row r="1454">
          <cell r="A1454" t="str">
            <v>In service</v>
          </cell>
          <cell r="B1454" t="str">
            <v>Gulfstream Aerospace Gulfstream II</v>
          </cell>
          <cell r="C1454" t="str">
            <v>SP</v>
          </cell>
          <cell r="D1454">
            <v>1972</v>
          </cell>
          <cell r="E1454" t="str">
            <v>Starflite Management Group Inc</v>
          </cell>
          <cell r="F1454">
            <v>30</v>
          </cell>
          <cell r="G1454">
            <v>26381</v>
          </cell>
          <cell r="H1454" t="str">
            <v>IISP</v>
          </cell>
          <cell r="I1454" t="str">
            <v>North America</v>
          </cell>
          <cell r="J1454" t="str">
            <v>USA</v>
          </cell>
          <cell r="K1454">
            <v>26114</v>
          </cell>
        </row>
        <row r="1455">
          <cell r="A1455" t="str">
            <v>In service</v>
          </cell>
          <cell r="B1455" t="str">
            <v>Gulfstream Aerospace Gulfstream II</v>
          </cell>
          <cell r="C1455" t="str">
            <v>SP</v>
          </cell>
          <cell r="D1455">
            <v>1972</v>
          </cell>
          <cell r="E1455" t="str">
            <v>Flightworks</v>
          </cell>
          <cell r="F1455">
            <v>30</v>
          </cell>
          <cell r="G1455">
            <v>26473</v>
          </cell>
          <cell r="H1455" t="str">
            <v>IISP</v>
          </cell>
          <cell r="I1455" t="str">
            <v>North America</v>
          </cell>
          <cell r="J1455" t="str">
            <v>USA</v>
          </cell>
          <cell r="K1455">
            <v>25749</v>
          </cell>
        </row>
        <row r="1456">
          <cell r="A1456" t="str">
            <v>In service</v>
          </cell>
          <cell r="B1456" t="str">
            <v>Gulfstream Aerospace Gulfstream II</v>
          </cell>
          <cell r="C1456" t="str">
            <v>SP</v>
          </cell>
          <cell r="D1456">
            <v>1972</v>
          </cell>
          <cell r="E1456" t="str">
            <v>FG Aviation Inc</v>
          </cell>
          <cell r="F1456">
            <v>30</v>
          </cell>
          <cell r="G1456">
            <v>26461</v>
          </cell>
          <cell r="H1456" t="str">
            <v>IISP</v>
          </cell>
          <cell r="I1456" t="str">
            <v>North America</v>
          </cell>
          <cell r="J1456" t="str">
            <v>USA</v>
          </cell>
          <cell r="K1456">
            <v>25749</v>
          </cell>
        </row>
        <row r="1457">
          <cell r="A1457" t="str">
            <v>In service</v>
          </cell>
          <cell r="B1457" t="str">
            <v>Gulfstream Aerospace Gulfstream II</v>
          </cell>
          <cell r="C1457" t="str">
            <v>SP</v>
          </cell>
          <cell r="D1457">
            <v>1972</v>
          </cell>
          <cell r="E1457" t="str">
            <v>Benco Inc</v>
          </cell>
          <cell r="F1457">
            <v>30</v>
          </cell>
          <cell r="G1457">
            <v>26505</v>
          </cell>
          <cell r="H1457" t="str">
            <v>IISP</v>
          </cell>
          <cell r="I1457" t="str">
            <v>North America</v>
          </cell>
          <cell r="J1457" t="str">
            <v>USA</v>
          </cell>
          <cell r="K1457">
            <v>26114</v>
          </cell>
        </row>
        <row r="1458">
          <cell r="A1458" t="str">
            <v>In service</v>
          </cell>
          <cell r="B1458" t="str">
            <v>Gulfstream Aerospace Gulfstream II</v>
          </cell>
          <cell r="C1458" t="str">
            <v>SP</v>
          </cell>
          <cell r="D1458">
            <v>1972</v>
          </cell>
          <cell r="E1458" t="str">
            <v>Crown Controls Corp</v>
          </cell>
          <cell r="F1458">
            <v>30</v>
          </cell>
          <cell r="G1458">
            <v>26564</v>
          </cell>
          <cell r="H1458" t="str">
            <v>IISP</v>
          </cell>
          <cell r="I1458" t="str">
            <v>North America</v>
          </cell>
          <cell r="J1458" t="str">
            <v>USA</v>
          </cell>
          <cell r="K1458">
            <v>25749</v>
          </cell>
        </row>
        <row r="1459">
          <cell r="A1459" t="str">
            <v>In service</v>
          </cell>
          <cell r="B1459" t="str">
            <v>Gulfstream Aerospace Gulfstream II</v>
          </cell>
          <cell r="C1459" t="str">
            <v>SP</v>
          </cell>
          <cell r="D1459">
            <v>1968</v>
          </cell>
          <cell r="E1459" t="str">
            <v>R Squared LLC</v>
          </cell>
          <cell r="F1459">
            <v>34</v>
          </cell>
          <cell r="G1459">
            <v>24932</v>
          </cell>
          <cell r="H1459" t="str">
            <v>IISP</v>
          </cell>
          <cell r="I1459" t="str">
            <v>North America</v>
          </cell>
          <cell r="J1459" t="str">
            <v>USA</v>
          </cell>
          <cell r="K1459">
            <v>24288</v>
          </cell>
        </row>
        <row r="1460">
          <cell r="A1460" t="str">
            <v>In service</v>
          </cell>
          <cell r="B1460" t="str">
            <v>Gulfstream Aerospace Gulfstream II</v>
          </cell>
          <cell r="C1460" t="str">
            <v>SP</v>
          </cell>
          <cell r="D1460">
            <v>1972</v>
          </cell>
          <cell r="E1460" t="str">
            <v>Skyservice Airlines</v>
          </cell>
          <cell r="F1460">
            <v>30</v>
          </cell>
          <cell r="G1460">
            <v>26632</v>
          </cell>
          <cell r="H1460" t="str">
            <v>IISP</v>
          </cell>
          <cell r="I1460" t="str">
            <v>North America</v>
          </cell>
          <cell r="J1460" t="str">
            <v>Canada</v>
          </cell>
          <cell r="K1460">
            <v>25749</v>
          </cell>
        </row>
        <row r="1461">
          <cell r="A1461" t="str">
            <v>In service</v>
          </cell>
          <cell r="B1461" t="str">
            <v>Gulfstream Aerospace Gulfstream II</v>
          </cell>
          <cell r="C1461" t="str">
            <v>SP</v>
          </cell>
          <cell r="D1461">
            <v>1972</v>
          </cell>
          <cell r="E1461" t="str">
            <v>Trayton Aviation LLC</v>
          </cell>
          <cell r="F1461">
            <v>30</v>
          </cell>
          <cell r="G1461">
            <v>26650</v>
          </cell>
          <cell r="H1461" t="str">
            <v>IISP</v>
          </cell>
          <cell r="I1461" t="str">
            <v>North America</v>
          </cell>
          <cell r="J1461" t="str">
            <v>USA</v>
          </cell>
          <cell r="K1461">
            <v>26114</v>
          </cell>
        </row>
        <row r="1462">
          <cell r="A1462" t="str">
            <v>In service</v>
          </cell>
          <cell r="B1462" t="str">
            <v>Gulfstream Aerospace Gulfstream II</v>
          </cell>
          <cell r="C1462" t="str">
            <v>SP</v>
          </cell>
          <cell r="D1462">
            <v>1973</v>
          </cell>
          <cell r="E1462" t="str">
            <v>Evergreen International Aviation Inc</v>
          </cell>
          <cell r="F1462">
            <v>29</v>
          </cell>
          <cell r="G1462">
            <v>26974</v>
          </cell>
          <cell r="H1462" t="str">
            <v>IISP</v>
          </cell>
          <cell r="I1462" t="str">
            <v>North America</v>
          </cell>
          <cell r="J1462" t="str">
            <v>USA</v>
          </cell>
          <cell r="K1462">
            <v>25749</v>
          </cell>
        </row>
        <row r="1463">
          <cell r="A1463" t="str">
            <v>In service</v>
          </cell>
          <cell r="B1463" t="str">
            <v>Gulfstream Aerospace Gulfstream II</v>
          </cell>
          <cell r="C1463" t="str">
            <v>SP</v>
          </cell>
          <cell r="D1463">
            <v>1973</v>
          </cell>
          <cell r="E1463" t="str">
            <v>Executive Fliteways Inc</v>
          </cell>
          <cell r="F1463">
            <v>29</v>
          </cell>
          <cell r="G1463">
            <v>26837</v>
          </cell>
          <cell r="H1463" t="str">
            <v>IISP</v>
          </cell>
          <cell r="I1463" t="str">
            <v>North America</v>
          </cell>
          <cell r="J1463" t="str">
            <v>USA</v>
          </cell>
          <cell r="K1463">
            <v>26114</v>
          </cell>
        </row>
        <row r="1464">
          <cell r="A1464" t="str">
            <v>In service</v>
          </cell>
          <cell r="B1464" t="str">
            <v>Gulfstream Aerospace Gulfstream II</v>
          </cell>
          <cell r="C1464" t="str">
            <v>SP</v>
          </cell>
          <cell r="D1464">
            <v>1973</v>
          </cell>
          <cell r="E1464" t="str">
            <v>JT Aviation Corp</v>
          </cell>
          <cell r="F1464">
            <v>29</v>
          </cell>
          <cell r="G1464">
            <v>26938</v>
          </cell>
          <cell r="H1464" t="str">
            <v>IISP</v>
          </cell>
          <cell r="I1464" t="str">
            <v>North America</v>
          </cell>
          <cell r="J1464" t="str">
            <v>USA</v>
          </cell>
          <cell r="K1464">
            <v>26114</v>
          </cell>
        </row>
        <row r="1465">
          <cell r="A1465" t="str">
            <v>In service</v>
          </cell>
          <cell r="B1465" t="str">
            <v>Gulfstream Aerospace Gulfstream II</v>
          </cell>
          <cell r="C1465" t="str">
            <v>SP</v>
          </cell>
          <cell r="D1465">
            <v>1973</v>
          </cell>
          <cell r="E1465" t="str">
            <v>Aeromundo Ejecutivo SA de CV</v>
          </cell>
          <cell r="F1465">
            <v>29</v>
          </cell>
          <cell r="G1465">
            <v>26960</v>
          </cell>
          <cell r="H1465" t="str">
            <v>IISP</v>
          </cell>
          <cell r="I1465" t="str">
            <v>Latin America and Caribbean</v>
          </cell>
          <cell r="J1465" t="str">
            <v>Mexico</v>
          </cell>
          <cell r="K1465">
            <v>26480</v>
          </cell>
        </row>
        <row r="1466">
          <cell r="A1466" t="str">
            <v>In service</v>
          </cell>
          <cell r="B1466" t="str">
            <v>Gulfstream Aerospace Gulfstream II</v>
          </cell>
          <cell r="C1466" t="str">
            <v>SP</v>
          </cell>
          <cell r="D1466">
            <v>1974</v>
          </cell>
          <cell r="E1466" t="str">
            <v>Bison Air Corp</v>
          </cell>
          <cell r="F1466">
            <v>28</v>
          </cell>
          <cell r="G1466">
            <v>27316</v>
          </cell>
          <cell r="H1466" t="str">
            <v>IISP</v>
          </cell>
          <cell r="I1466" t="str">
            <v>North America</v>
          </cell>
          <cell r="J1466" t="str">
            <v>USA</v>
          </cell>
          <cell r="K1466">
            <v>26480</v>
          </cell>
        </row>
        <row r="1467">
          <cell r="A1467" t="str">
            <v>In service</v>
          </cell>
          <cell r="B1467" t="str">
            <v>Gulfstream Aerospace Gulfstream II</v>
          </cell>
          <cell r="C1467" t="str">
            <v>SP</v>
          </cell>
          <cell r="D1467">
            <v>1975</v>
          </cell>
          <cell r="E1467" t="str">
            <v>Amador LLC</v>
          </cell>
          <cell r="F1467">
            <v>27</v>
          </cell>
          <cell r="G1467">
            <v>27451</v>
          </cell>
          <cell r="H1467" t="str">
            <v>IISP</v>
          </cell>
          <cell r="I1467" t="str">
            <v>North America</v>
          </cell>
          <cell r="J1467" t="str">
            <v>USA</v>
          </cell>
          <cell r="K1467">
            <v>26845</v>
          </cell>
        </row>
        <row r="1468">
          <cell r="A1468" t="str">
            <v>In service</v>
          </cell>
          <cell r="B1468" t="str">
            <v>Gulfstream Aerospace Gulfstream II</v>
          </cell>
          <cell r="C1468" t="str">
            <v>SP</v>
          </cell>
          <cell r="D1468">
            <v>1975</v>
          </cell>
          <cell r="E1468" t="str">
            <v>Bentley AutoJet LLC</v>
          </cell>
          <cell r="F1468">
            <v>27</v>
          </cell>
          <cell r="G1468">
            <v>27733</v>
          </cell>
          <cell r="H1468" t="str">
            <v>IISP</v>
          </cell>
          <cell r="I1468" t="str">
            <v>North America</v>
          </cell>
          <cell r="J1468" t="str">
            <v>USA</v>
          </cell>
        </row>
        <row r="1469">
          <cell r="A1469" t="str">
            <v>In service</v>
          </cell>
          <cell r="B1469" t="str">
            <v>Gulfstream Aerospace Gulfstream II</v>
          </cell>
          <cell r="C1469" t="str">
            <v>SP</v>
          </cell>
          <cell r="D1469">
            <v>1975</v>
          </cell>
          <cell r="E1469" t="str">
            <v>Federal Aviation Services Corp</v>
          </cell>
          <cell r="F1469">
            <v>27</v>
          </cell>
          <cell r="G1469">
            <v>27500</v>
          </cell>
          <cell r="H1469" t="str">
            <v>IISP</v>
          </cell>
          <cell r="I1469" t="str">
            <v>North America</v>
          </cell>
          <cell r="J1469" t="str">
            <v>USA</v>
          </cell>
          <cell r="K1469">
            <v>26845</v>
          </cell>
        </row>
        <row r="1470">
          <cell r="A1470" t="str">
            <v>In service</v>
          </cell>
          <cell r="B1470" t="str">
            <v>Gulfstream Aerospace Gulfstream II</v>
          </cell>
          <cell r="C1470" t="str">
            <v>SP</v>
          </cell>
          <cell r="D1470">
            <v>1975</v>
          </cell>
          <cell r="E1470" t="str">
            <v>Gavilan Corp</v>
          </cell>
          <cell r="F1470">
            <v>27</v>
          </cell>
          <cell r="G1470">
            <v>27888</v>
          </cell>
          <cell r="H1470" t="str">
            <v>IISP</v>
          </cell>
          <cell r="I1470" t="str">
            <v>North America</v>
          </cell>
          <cell r="J1470" t="str">
            <v>USA</v>
          </cell>
        </row>
        <row r="1471">
          <cell r="A1471" t="str">
            <v>In service</v>
          </cell>
          <cell r="B1471" t="str">
            <v>Gulfstream Aerospace Gulfstream II</v>
          </cell>
          <cell r="C1471" t="str">
            <v>SP</v>
          </cell>
          <cell r="D1471">
            <v>1975</v>
          </cell>
          <cell r="E1471" t="str">
            <v>Horizon Natural Resources Holding Co LLC</v>
          </cell>
          <cell r="F1471">
            <v>27</v>
          </cell>
          <cell r="G1471">
            <v>27755</v>
          </cell>
          <cell r="H1471" t="str">
            <v>IISP</v>
          </cell>
          <cell r="I1471" t="str">
            <v>North America</v>
          </cell>
          <cell r="J1471" t="str">
            <v>USA</v>
          </cell>
          <cell r="K1471">
            <v>27210</v>
          </cell>
        </row>
        <row r="1472">
          <cell r="A1472" t="str">
            <v>In service</v>
          </cell>
          <cell r="B1472" t="str">
            <v>Gulfstream Aerospace Gulfstream II</v>
          </cell>
          <cell r="C1472" t="str">
            <v>SP</v>
          </cell>
          <cell r="D1472">
            <v>1975</v>
          </cell>
          <cell r="E1472" t="str">
            <v>Blue Sky Group Inc</v>
          </cell>
          <cell r="F1472">
            <v>27</v>
          </cell>
          <cell r="G1472">
            <v>27786</v>
          </cell>
          <cell r="H1472" t="str">
            <v>IISP</v>
          </cell>
          <cell r="I1472" t="str">
            <v>North America</v>
          </cell>
          <cell r="J1472" t="str">
            <v>USA</v>
          </cell>
        </row>
        <row r="1473">
          <cell r="A1473" t="str">
            <v>In service</v>
          </cell>
          <cell r="B1473" t="str">
            <v>Gulfstream Aerospace Gulfstream II</v>
          </cell>
          <cell r="C1473" t="str">
            <v>SP</v>
          </cell>
          <cell r="D1473">
            <v>1975</v>
          </cell>
          <cell r="E1473" t="str">
            <v>Euro Airways Inc</v>
          </cell>
          <cell r="F1473">
            <v>27</v>
          </cell>
          <cell r="G1473">
            <v>27634</v>
          </cell>
          <cell r="H1473" t="str">
            <v>IISP</v>
          </cell>
          <cell r="I1473" t="str">
            <v>North America</v>
          </cell>
          <cell r="J1473" t="str">
            <v>USA</v>
          </cell>
          <cell r="K1473">
            <v>26845</v>
          </cell>
        </row>
        <row r="1474">
          <cell r="A1474" t="str">
            <v>In service</v>
          </cell>
          <cell r="B1474" t="str">
            <v>Gulfstream Aerospace Gulfstream II</v>
          </cell>
          <cell r="C1474" t="str">
            <v>SP</v>
          </cell>
          <cell r="D1474">
            <v>1975</v>
          </cell>
          <cell r="E1474" t="str">
            <v>D Squared LLC</v>
          </cell>
          <cell r="F1474">
            <v>27</v>
          </cell>
          <cell r="G1474">
            <v>27823</v>
          </cell>
          <cell r="H1474" t="str">
            <v>IISP</v>
          </cell>
          <cell r="I1474" t="str">
            <v>North America</v>
          </cell>
          <cell r="J1474" t="str">
            <v>USA</v>
          </cell>
          <cell r="K1474">
            <v>27210</v>
          </cell>
        </row>
        <row r="1475">
          <cell r="A1475" t="str">
            <v>In service</v>
          </cell>
          <cell r="B1475" t="str">
            <v>Gulfstream Aerospace Gulfstream II</v>
          </cell>
          <cell r="C1475" t="str">
            <v>SP</v>
          </cell>
          <cell r="D1475">
            <v>1968</v>
          </cell>
          <cell r="E1475" t="str">
            <v>Cypress Aviation LLC</v>
          </cell>
          <cell r="F1475">
            <v>34</v>
          </cell>
          <cell r="G1475">
            <v>24968</v>
          </cell>
          <cell r="H1475" t="str">
            <v>IISP</v>
          </cell>
          <cell r="I1475" t="str">
            <v>North America</v>
          </cell>
          <cell r="J1475" t="str">
            <v>USA</v>
          </cell>
          <cell r="K1475">
            <v>24288</v>
          </cell>
        </row>
        <row r="1476">
          <cell r="A1476" t="str">
            <v>In service</v>
          </cell>
          <cell r="B1476" t="str">
            <v>Gulfstream Aerospace Gulfstream II</v>
          </cell>
          <cell r="C1476" t="str">
            <v>SP</v>
          </cell>
          <cell r="D1476">
            <v>1975</v>
          </cell>
          <cell r="E1476" t="str">
            <v>S/A Holdings LLC</v>
          </cell>
          <cell r="F1476">
            <v>27</v>
          </cell>
          <cell r="G1476">
            <v>27711</v>
          </cell>
          <cell r="H1476" t="str">
            <v>IISP</v>
          </cell>
          <cell r="I1476" t="str">
            <v>North America</v>
          </cell>
          <cell r="J1476" t="str">
            <v>USA</v>
          </cell>
          <cell r="K1476">
            <v>26845</v>
          </cell>
        </row>
        <row r="1477">
          <cell r="A1477" t="str">
            <v>In service</v>
          </cell>
          <cell r="B1477" t="str">
            <v>Gulfstream Aerospace Gulfstream II</v>
          </cell>
          <cell r="C1477" t="str">
            <v>SP</v>
          </cell>
          <cell r="D1477">
            <v>1975</v>
          </cell>
          <cell r="E1477" t="str">
            <v>Jetmark Aviation LLC</v>
          </cell>
          <cell r="F1477">
            <v>27</v>
          </cell>
          <cell r="G1477">
            <v>27751</v>
          </cell>
          <cell r="H1477" t="str">
            <v>IISP</v>
          </cell>
          <cell r="I1477" t="str">
            <v>North America</v>
          </cell>
          <cell r="J1477" t="str">
            <v>USA</v>
          </cell>
          <cell r="K1477">
            <v>27210</v>
          </cell>
        </row>
        <row r="1478">
          <cell r="A1478" t="str">
            <v>In service</v>
          </cell>
          <cell r="B1478" t="str">
            <v>Gulfstream Aerospace Gulfstream II</v>
          </cell>
          <cell r="C1478" t="str">
            <v>SP</v>
          </cell>
          <cell r="D1478">
            <v>1975</v>
          </cell>
          <cell r="E1478" t="str">
            <v>Policia Federal Preventiva de Mexico</v>
          </cell>
          <cell r="F1478">
            <v>27</v>
          </cell>
          <cell r="G1478">
            <v>27973</v>
          </cell>
          <cell r="H1478" t="str">
            <v>IISP</v>
          </cell>
          <cell r="I1478" t="str">
            <v>Latin America and Caribbean</v>
          </cell>
          <cell r="J1478" t="str">
            <v>Mexico</v>
          </cell>
          <cell r="K1478">
            <v>27575</v>
          </cell>
        </row>
        <row r="1479">
          <cell r="A1479" t="str">
            <v>In service</v>
          </cell>
          <cell r="B1479" t="str">
            <v>Gulfstream Aerospace Gulfstream II</v>
          </cell>
          <cell r="C1479" t="str">
            <v>SP</v>
          </cell>
          <cell r="D1479">
            <v>1976</v>
          </cell>
          <cell r="E1479" t="str">
            <v>Frank Group LLC &amp; Capital Aircraft Group LLC</v>
          </cell>
          <cell r="F1479">
            <v>26</v>
          </cell>
          <cell r="G1479">
            <v>27789</v>
          </cell>
          <cell r="H1479" t="str">
            <v>IISP</v>
          </cell>
          <cell r="I1479" t="str">
            <v>North America</v>
          </cell>
          <cell r="J1479" t="str">
            <v>USA</v>
          </cell>
          <cell r="K1479">
            <v>27210</v>
          </cell>
        </row>
        <row r="1480">
          <cell r="A1480" t="str">
            <v>In service</v>
          </cell>
          <cell r="B1480" t="str">
            <v>Gulfstream Aerospace Gulfstream II</v>
          </cell>
          <cell r="C1480" t="str">
            <v>SP</v>
          </cell>
          <cell r="D1480">
            <v>1976</v>
          </cell>
          <cell r="E1480" t="str">
            <v>Flightworks</v>
          </cell>
          <cell r="F1480">
            <v>26</v>
          </cell>
          <cell r="G1480">
            <v>27852</v>
          </cell>
          <cell r="H1480" t="str">
            <v>IISP</v>
          </cell>
          <cell r="I1480" t="str">
            <v>North America</v>
          </cell>
          <cell r="J1480" t="str">
            <v>USA</v>
          </cell>
          <cell r="K1480">
            <v>27210</v>
          </cell>
        </row>
        <row r="1481">
          <cell r="A1481" t="str">
            <v>In service</v>
          </cell>
          <cell r="B1481" t="str">
            <v>Gulfstream Aerospace Gulfstream II</v>
          </cell>
          <cell r="C1481" t="str">
            <v>SP</v>
          </cell>
          <cell r="D1481">
            <v>1976</v>
          </cell>
          <cell r="E1481" t="str">
            <v>G II Jet Partners LLC</v>
          </cell>
          <cell r="F1481">
            <v>26</v>
          </cell>
          <cell r="G1481">
            <v>28074</v>
          </cell>
          <cell r="H1481" t="str">
            <v>IISP</v>
          </cell>
          <cell r="I1481" t="str">
            <v>North America</v>
          </cell>
          <cell r="J1481" t="str">
            <v>USA</v>
          </cell>
          <cell r="K1481">
            <v>27575</v>
          </cell>
        </row>
        <row r="1482">
          <cell r="A1482" t="str">
            <v>In service</v>
          </cell>
          <cell r="B1482" t="str">
            <v>Gulfstream Aerospace Gulfstream II</v>
          </cell>
          <cell r="C1482" t="str">
            <v>SP</v>
          </cell>
          <cell r="D1482">
            <v>1976</v>
          </cell>
          <cell r="E1482" t="str">
            <v>NASA</v>
          </cell>
          <cell r="F1482">
            <v>26</v>
          </cell>
          <cell r="G1482">
            <v>27947</v>
          </cell>
          <cell r="H1482" t="str">
            <v>IISP</v>
          </cell>
          <cell r="I1482" t="str">
            <v>North America</v>
          </cell>
          <cell r="J1482" t="str">
            <v>USA</v>
          </cell>
        </row>
        <row r="1483">
          <cell r="A1483" t="str">
            <v>In service</v>
          </cell>
          <cell r="B1483" t="str">
            <v>Gulfstream Aerospace Gulfstream II</v>
          </cell>
          <cell r="C1483" t="str">
            <v>SP</v>
          </cell>
          <cell r="D1483">
            <v>1968</v>
          </cell>
          <cell r="E1483" t="str">
            <v>ChanceCarson Inc</v>
          </cell>
          <cell r="F1483">
            <v>34</v>
          </cell>
          <cell r="G1483">
            <v>24992</v>
          </cell>
          <cell r="H1483" t="str">
            <v>IISP</v>
          </cell>
          <cell r="I1483" t="str">
            <v>North America</v>
          </cell>
          <cell r="J1483" t="str">
            <v>USA</v>
          </cell>
          <cell r="K1483">
            <v>24288</v>
          </cell>
        </row>
        <row r="1484">
          <cell r="A1484" t="str">
            <v>In service</v>
          </cell>
          <cell r="B1484" t="str">
            <v>Gulfstream Aerospace Gulfstream II</v>
          </cell>
          <cell r="C1484" t="str">
            <v>SP</v>
          </cell>
          <cell r="D1484">
            <v>1976</v>
          </cell>
          <cell r="E1484" t="str">
            <v>Air PIP Inc &amp; CF Air LLC</v>
          </cell>
          <cell r="F1484">
            <v>26</v>
          </cell>
          <cell r="G1484">
            <v>28033</v>
          </cell>
          <cell r="H1484" t="str">
            <v>IISP</v>
          </cell>
          <cell r="I1484" t="str">
            <v>North America</v>
          </cell>
          <cell r="J1484" t="str">
            <v>USA</v>
          </cell>
          <cell r="K1484">
            <v>27575</v>
          </cell>
        </row>
        <row r="1485">
          <cell r="A1485" t="str">
            <v>In service</v>
          </cell>
          <cell r="B1485" t="str">
            <v>Gulfstream Aerospace Gulfstream II</v>
          </cell>
          <cell r="C1485" t="str">
            <v>SP</v>
          </cell>
          <cell r="D1485">
            <v>1976</v>
          </cell>
          <cell r="E1485" t="str">
            <v>Kenair Inc</v>
          </cell>
          <cell r="F1485">
            <v>26</v>
          </cell>
          <cell r="G1485">
            <v>28048</v>
          </cell>
          <cell r="H1485" t="str">
            <v>IISP</v>
          </cell>
          <cell r="I1485" t="str">
            <v>North America</v>
          </cell>
          <cell r="J1485" t="str">
            <v>USA</v>
          </cell>
          <cell r="K1485">
            <v>27575</v>
          </cell>
        </row>
        <row r="1486">
          <cell r="A1486" t="str">
            <v>In service</v>
          </cell>
          <cell r="B1486" t="str">
            <v>Gulfstream Aerospace Gulfstream II</v>
          </cell>
          <cell r="C1486" t="str">
            <v>SP</v>
          </cell>
          <cell r="D1486">
            <v>1976</v>
          </cell>
          <cell r="E1486" t="str">
            <v>Stockwood Inc</v>
          </cell>
          <cell r="F1486">
            <v>26</v>
          </cell>
          <cell r="G1486">
            <v>28069</v>
          </cell>
          <cell r="H1486" t="str">
            <v>IISP</v>
          </cell>
          <cell r="I1486" t="str">
            <v>North America</v>
          </cell>
          <cell r="J1486" t="str">
            <v>USA</v>
          </cell>
          <cell r="K1486">
            <v>27210</v>
          </cell>
        </row>
        <row r="1487">
          <cell r="A1487" t="str">
            <v>In service</v>
          </cell>
          <cell r="B1487" t="str">
            <v>Gulfstream Aerospace Gulfstream II</v>
          </cell>
          <cell r="C1487" t="str">
            <v>SP</v>
          </cell>
          <cell r="D1487">
            <v>1967</v>
          </cell>
          <cell r="E1487" t="str">
            <v>Guild Investments LLC</v>
          </cell>
          <cell r="F1487">
            <v>35</v>
          </cell>
          <cell r="G1487">
            <v>32344</v>
          </cell>
          <cell r="H1487" t="str">
            <v>IISP</v>
          </cell>
          <cell r="I1487" t="str">
            <v>North America</v>
          </cell>
          <cell r="J1487" t="str">
            <v>USA</v>
          </cell>
        </row>
        <row r="1488">
          <cell r="A1488" t="str">
            <v>In service</v>
          </cell>
          <cell r="B1488" t="str">
            <v>Gulfstream Aerospace Gulfstream II</v>
          </cell>
          <cell r="C1488" t="str">
            <v>SP</v>
          </cell>
          <cell r="D1488">
            <v>1977</v>
          </cell>
          <cell r="E1488" t="str">
            <v>Not Yours LLC</v>
          </cell>
          <cell r="F1488">
            <v>25</v>
          </cell>
          <cell r="G1488">
            <v>28430</v>
          </cell>
          <cell r="H1488" t="str">
            <v>IISP</v>
          </cell>
          <cell r="I1488" t="str">
            <v>North America</v>
          </cell>
          <cell r="J1488" t="str">
            <v>USA</v>
          </cell>
          <cell r="K1488">
            <v>27575</v>
          </cell>
        </row>
        <row r="1489">
          <cell r="A1489" t="str">
            <v>In service</v>
          </cell>
          <cell r="B1489" t="str">
            <v>Gulfstream Aerospace Gulfstream II</v>
          </cell>
          <cell r="C1489" t="str">
            <v>SP</v>
          </cell>
          <cell r="D1489">
            <v>1977</v>
          </cell>
          <cell r="E1489" t="str">
            <v>J W Connolly &amp; Shirley B Connolly</v>
          </cell>
          <cell r="F1489">
            <v>25</v>
          </cell>
          <cell r="G1489">
            <v>28706</v>
          </cell>
          <cell r="H1489" t="str">
            <v>IISP</v>
          </cell>
          <cell r="I1489" t="str">
            <v>North America</v>
          </cell>
          <cell r="J1489" t="str">
            <v>USA</v>
          </cell>
          <cell r="K1489">
            <v>28306</v>
          </cell>
        </row>
        <row r="1490">
          <cell r="A1490" t="str">
            <v>In service</v>
          </cell>
          <cell r="B1490" t="str">
            <v>Gulfstream Aerospace Gulfstream II</v>
          </cell>
          <cell r="C1490" t="str">
            <v>SP</v>
          </cell>
          <cell r="D1490">
            <v>1977</v>
          </cell>
          <cell r="E1490" t="str">
            <v>Apex Oil Co Inc</v>
          </cell>
          <cell r="F1490">
            <v>25</v>
          </cell>
          <cell r="G1490">
            <v>28600</v>
          </cell>
          <cell r="H1490" t="str">
            <v>IISP</v>
          </cell>
          <cell r="I1490" t="str">
            <v>North America</v>
          </cell>
          <cell r="J1490" t="str">
            <v>USA</v>
          </cell>
          <cell r="K1490">
            <v>28306</v>
          </cell>
        </row>
        <row r="1491">
          <cell r="A1491" t="str">
            <v>In service</v>
          </cell>
          <cell r="B1491" t="str">
            <v>Gulfstream Aerospace Gulfstream II</v>
          </cell>
          <cell r="C1491" t="str">
            <v>SP</v>
          </cell>
          <cell r="D1491">
            <v>1977</v>
          </cell>
          <cell r="E1491" t="str">
            <v>Aspen I LLC</v>
          </cell>
          <cell r="F1491">
            <v>25</v>
          </cell>
          <cell r="G1491">
            <v>28377</v>
          </cell>
          <cell r="H1491" t="str">
            <v>IISP</v>
          </cell>
          <cell r="I1491" t="str">
            <v>North America</v>
          </cell>
          <cell r="J1491" t="str">
            <v>USA</v>
          </cell>
          <cell r="K1491">
            <v>27575</v>
          </cell>
        </row>
        <row r="1492">
          <cell r="A1492" t="str">
            <v>In service</v>
          </cell>
          <cell r="B1492" t="str">
            <v>Gulfstream Aerospace Gulfstream II</v>
          </cell>
          <cell r="C1492" t="str">
            <v>SP</v>
          </cell>
          <cell r="D1492">
            <v>1977</v>
          </cell>
          <cell r="E1492" t="str">
            <v>ER Aviation LLC</v>
          </cell>
          <cell r="F1492">
            <v>25</v>
          </cell>
          <cell r="G1492">
            <v>28360</v>
          </cell>
          <cell r="H1492" t="str">
            <v>IISP</v>
          </cell>
          <cell r="I1492" t="str">
            <v>North America</v>
          </cell>
          <cell r="J1492" t="str">
            <v>USA</v>
          </cell>
          <cell r="K1492">
            <v>27941</v>
          </cell>
        </row>
        <row r="1493">
          <cell r="A1493" t="str">
            <v>In service</v>
          </cell>
          <cell r="B1493" t="str">
            <v>Gulfstream Aerospace Gulfstream II</v>
          </cell>
          <cell r="C1493" t="str">
            <v>SP</v>
          </cell>
          <cell r="D1493">
            <v>1977</v>
          </cell>
          <cell r="E1493" t="str">
            <v>W Polisseni Inc</v>
          </cell>
          <cell r="F1493">
            <v>25</v>
          </cell>
          <cell r="G1493">
            <v>28618</v>
          </cell>
          <cell r="H1493" t="str">
            <v>IISP</v>
          </cell>
          <cell r="I1493" t="str">
            <v>North America</v>
          </cell>
          <cell r="J1493" t="str">
            <v>USA</v>
          </cell>
          <cell r="K1493">
            <v>27941</v>
          </cell>
        </row>
        <row r="1494">
          <cell r="A1494" t="str">
            <v>In service</v>
          </cell>
          <cell r="B1494" t="str">
            <v>Gulfstream Aerospace Gulfstream II</v>
          </cell>
          <cell r="C1494" t="str">
            <v>SP</v>
          </cell>
          <cell r="D1494">
            <v>1977</v>
          </cell>
          <cell r="E1494" t="str">
            <v>Ditco Air Ltd</v>
          </cell>
          <cell r="F1494">
            <v>25</v>
          </cell>
          <cell r="G1494">
            <v>28622</v>
          </cell>
          <cell r="H1494" t="str">
            <v>IISP</v>
          </cell>
          <cell r="I1494" t="str">
            <v>Middle East</v>
          </cell>
          <cell r="J1494" t="str">
            <v>Saudi Arabia</v>
          </cell>
          <cell r="K1494">
            <v>28306</v>
          </cell>
        </row>
        <row r="1495">
          <cell r="A1495" t="str">
            <v>In service</v>
          </cell>
          <cell r="B1495" t="str">
            <v>Gulfstream Aerospace Gulfstream II</v>
          </cell>
          <cell r="C1495" t="str">
            <v>SP</v>
          </cell>
          <cell r="D1495">
            <v>1977</v>
          </cell>
          <cell r="E1495" t="str">
            <v>JI Aviation Inc</v>
          </cell>
          <cell r="F1495">
            <v>25</v>
          </cell>
          <cell r="G1495">
            <v>28454</v>
          </cell>
          <cell r="H1495" t="str">
            <v>IISP</v>
          </cell>
          <cell r="I1495" t="str">
            <v>North America</v>
          </cell>
          <cell r="J1495" t="str">
            <v>USA</v>
          </cell>
          <cell r="K1495">
            <v>27941</v>
          </cell>
        </row>
        <row r="1496">
          <cell r="A1496" t="str">
            <v>In service</v>
          </cell>
          <cell r="B1496" t="str">
            <v>Gulfstream Aerospace Gulfstream II</v>
          </cell>
          <cell r="C1496" t="str">
            <v>SP</v>
          </cell>
          <cell r="D1496">
            <v>1977</v>
          </cell>
          <cell r="E1496" t="str">
            <v>Krystal Air LLC</v>
          </cell>
          <cell r="F1496">
            <v>25</v>
          </cell>
          <cell r="G1496">
            <v>28692</v>
          </cell>
          <cell r="H1496" t="str">
            <v>IISP</v>
          </cell>
          <cell r="I1496" t="str">
            <v>North America</v>
          </cell>
          <cell r="J1496" t="str">
            <v>USA</v>
          </cell>
          <cell r="K1496">
            <v>27941</v>
          </cell>
        </row>
        <row r="1497">
          <cell r="A1497" t="str">
            <v>In service</v>
          </cell>
          <cell r="B1497" t="str">
            <v>Gulfstream Aerospace Gulfstream II</v>
          </cell>
          <cell r="C1497" t="str">
            <v>SP</v>
          </cell>
          <cell r="D1497">
            <v>1968</v>
          </cell>
          <cell r="E1497" t="str">
            <v>Rutter Aviation LLC</v>
          </cell>
          <cell r="F1497">
            <v>34</v>
          </cell>
          <cell r="G1497">
            <v>25009</v>
          </cell>
          <cell r="H1497" t="str">
            <v>IISP</v>
          </cell>
          <cell r="I1497" t="str">
            <v>North America</v>
          </cell>
          <cell r="J1497" t="str">
            <v>USA</v>
          </cell>
          <cell r="K1497">
            <v>24288</v>
          </cell>
        </row>
        <row r="1498">
          <cell r="A1498" t="str">
            <v>In service</v>
          </cell>
          <cell r="B1498" t="str">
            <v>Gulfstream Aerospace Gulfstream II</v>
          </cell>
          <cell r="C1498" t="str">
            <v>SP</v>
          </cell>
          <cell r="D1498">
            <v>1978</v>
          </cell>
          <cell r="E1498" t="str">
            <v>NASA</v>
          </cell>
          <cell r="F1498">
            <v>24</v>
          </cell>
          <cell r="G1498">
            <v>28608</v>
          </cell>
          <cell r="H1498" t="str">
            <v>IISP</v>
          </cell>
          <cell r="I1498" t="str">
            <v>North America</v>
          </cell>
          <cell r="J1498" t="str">
            <v>USA</v>
          </cell>
          <cell r="K1498">
            <v>27941</v>
          </cell>
        </row>
        <row r="1499">
          <cell r="A1499" t="str">
            <v>In service</v>
          </cell>
          <cell r="B1499" t="str">
            <v>Gulfstream Aerospace Gulfstream II</v>
          </cell>
          <cell r="C1499" t="str">
            <v>SP</v>
          </cell>
          <cell r="D1499">
            <v>1978</v>
          </cell>
          <cell r="E1499" t="str">
            <v>Lancaster Aviation Inc</v>
          </cell>
          <cell r="F1499">
            <v>24</v>
          </cell>
          <cell r="G1499">
            <v>28630</v>
          </cell>
          <cell r="H1499" t="str">
            <v>IISP</v>
          </cell>
          <cell r="I1499" t="str">
            <v>North America</v>
          </cell>
          <cell r="J1499" t="str">
            <v>USA</v>
          </cell>
          <cell r="K1499">
            <v>27941</v>
          </cell>
        </row>
        <row r="1500">
          <cell r="A1500" t="str">
            <v>In service</v>
          </cell>
          <cell r="B1500" t="str">
            <v>Gulfstream Aerospace Gulfstream II</v>
          </cell>
          <cell r="C1500" t="str">
            <v>SP</v>
          </cell>
          <cell r="D1500">
            <v>1978</v>
          </cell>
          <cell r="E1500" t="str">
            <v>Frontier Oil Corp</v>
          </cell>
          <cell r="F1500">
            <v>24</v>
          </cell>
          <cell r="G1500">
            <v>29060</v>
          </cell>
          <cell r="H1500" t="str">
            <v>IISP</v>
          </cell>
          <cell r="I1500" t="str">
            <v>North America</v>
          </cell>
          <cell r="J1500" t="str">
            <v>USA</v>
          </cell>
          <cell r="K1500">
            <v>28671</v>
          </cell>
        </row>
        <row r="1501">
          <cell r="A1501" t="str">
            <v>In service</v>
          </cell>
          <cell r="B1501" t="str">
            <v>Gulfstream Aerospace Gulfstream II</v>
          </cell>
          <cell r="C1501" t="str">
            <v>SP</v>
          </cell>
          <cell r="D1501">
            <v>1978</v>
          </cell>
          <cell r="E1501" t="str">
            <v>Rich-Air/American Money Management/et al</v>
          </cell>
          <cell r="F1501">
            <v>24</v>
          </cell>
          <cell r="G1501">
            <v>28717</v>
          </cell>
          <cell r="H1501" t="str">
            <v>IISP</v>
          </cell>
          <cell r="I1501" t="str">
            <v>North America</v>
          </cell>
          <cell r="J1501" t="str">
            <v>USA</v>
          </cell>
          <cell r="K1501">
            <v>27941</v>
          </cell>
        </row>
        <row r="1502">
          <cell r="A1502" t="str">
            <v>In service</v>
          </cell>
          <cell r="B1502" t="str">
            <v>Gulfstream Aerospace Gulfstream II</v>
          </cell>
          <cell r="C1502" t="str">
            <v>SP</v>
          </cell>
          <cell r="D1502">
            <v>1978</v>
          </cell>
          <cell r="E1502" t="str">
            <v>Clay Lacy Aviation</v>
          </cell>
          <cell r="F1502">
            <v>24</v>
          </cell>
          <cell r="G1502">
            <v>28722</v>
          </cell>
          <cell r="H1502" t="str">
            <v>IISP</v>
          </cell>
          <cell r="I1502" t="str">
            <v>North America</v>
          </cell>
          <cell r="J1502" t="str">
            <v>USA</v>
          </cell>
          <cell r="K1502">
            <v>27941</v>
          </cell>
        </row>
        <row r="1503">
          <cell r="A1503" t="str">
            <v>In service</v>
          </cell>
          <cell r="B1503" t="str">
            <v>Gulfstream Aerospace Gulfstream II</v>
          </cell>
          <cell r="C1503" t="str">
            <v>SP</v>
          </cell>
          <cell r="D1503">
            <v>1978</v>
          </cell>
          <cell r="E1503" t="str">
            <v>Willis Stein Advisors LLC</v>
          </cell>
          <cell r="F1503">
            <v>24</v>
          </cell>
          <cell r="G1503">
            <v>28958</v>
          </cell>
          <cell r="H1503" t="str">
            <v>IISP</v>
          </cell>
          <cell r="I1503" t="str">
            <v>North America</v>
          </cell>
          <cell r="J1503" t="str">
            <v>USA</v>
          </cell>
          <cell r="K1503">
            <v>28306</v>
          </cell>
        </row>
        <row r="1504">
          <cell r="A1504" t="str">
            <v>In service</v>
          </cell>
          <cell r="B1504" t="str">
            <v>Gulfstream Aerospace Gulfstream II</v>
          </cell>
          <cell r="C1504" t="str">
            <v>SP</v>
          </cell>
          <cell r="D1504">
            <v>1979</v>
          </cell>
          <cell r="E1504" t="str">
            <v>MK Aviation LLC</v>
          </cell>
          <cell r="F1504">
            <v>23</v>
          </cell>
          <cell r="G1504">
            <v>28901</v>
          </cell>
          <cell r="H1504" t="str">
            <v>IISP</v>
          </cell>
          <cell r="I1504" t="str">
            <v>North America</v>
          </cell>
          <cell r="J1504" t="str">
            <v>USA</v>
          </cell>
        </row>
        <row r="1505">
          <cell r="A1505" t="str">
            <v>In service</v>
          </cell>
          <cell r="B1505" t="str">
            <v>Gulfstream Aerospace Gulfstream II</v>
          </cell>
          <cell r="C1505" t="str">
            <v>SP</v>
          </cell>
          <cell r="D1505">
            <v>1979</v>
          </cell>
          <cell r="E1505" t="str">
            <v>Flynn Financial Corp</v>
          </cell>
          <cell r="F1505">
            <v>23</v>
          </cell>
          <cell r="G1505">
            <v>29245</v>
          </cell>
          <cell r="H1505" t="str">
            <v>IISP</v>
          </cell>
          <cell r="I1505" t="str">
            <v>North America</v>
          </cell>
          <cell r="J1505" t="str">
            <v>USA</v>
          </cell>
          <cell r="K1505">
            <v>28671</v>
          </cell>
        </row>
        <row r="1506">
          <cell r="A1506" t="str">
            <v>In service</v>
          </cell>
          <cell r="B1506" t="str">
            <v>Gulfstream Aerospace Gulfstream II</v>
          </cell>
          <cell r="C1506" t="str">
            <v>SP</v>
          </cell>
          <cell r="D1506">
            <v>1979</v>
          </cell>
          <cell r="E1506" t="str">
            <v>MG-75 Inc</v>
          </cell>
          <cell r="F1506">
            <v>23</v>
          </cell>
          <cell r="G1506">
            <v>29082</v>
          </cell>
          <cell r="H1506" t="str">
            <v>IISP</v>
          </cell>
          <cell r="I1506" t="str">
            <v>North America</v>
          </cell>
          <cell r="J1506" t="str">
            <v>USA</v>
          </cell>
          <cell r="K1506">
            <v>28306</v>
          </cell>
        </row>
        <row r="1507">
          <cell r="A1507" t="str">
            <v>In service</v>
          </cell>
          <cell r="B1507" t="str">
            <v>Gulfstream Aerospace Gulfstream II</v>
          </cell>
          <cell r="C1507" t="str">
            <v>SP</v>
          </cell>
          <cell r="D1507">
            <v>1979</v>
          </cell>
          <cell r="E1507" t="str">
            <v>ConAero Inc</v>
          </cell>
          <cell r="F1507">
            <v>23</v>
          </cell>
          <cell r="G1507">
            <v>29306</v>
          </cell>
          <cell r="H1507" t="str">
            <v>IISP</v>
          </cell>
          <cell r="I1507" t="str">
            <v>North America</v>
          </cell>
          <cell r="J1507" t="str">
            <v>USA</v>
          </cell>
          <cell r="K1507">
            <v>28671</v>
          </cell>
        </row>
        <row r="1508">
          <cell r="A1508" t="str">
            <v>In service</v>
          </cell>
          <cell r="B1508" t="str">
            <v>Gulfstream Aerospace Gulfstream II</v>
          </cell>
          <cell r="C1508" t="str">
            <v>SP</v>
          </cell>
          <cell r="D1508">
            <v>1979</v>
          </cell>
          <cell r="E1508" t="str">
            <v>Consolidated Oil &amp; Gas</v>
          </cell>
          <cell r="F1508">
            <v>23</v>
          </cell>
          <cell r="G1508">
            <v>29174</v>
          </cell>
          <cell r="H1508" t="str">
            <v>IISP</v>
          </cell>
          <cell r="I1508" t="str">
            <v>North America</v>
          </cell>
          <cell r="J1508" t="str">
            <v>USA</v>
          </cell>
          <cell r="K1508">
            <v>29036</v>
          </cell>
        </row>
        <row r="1509">
          <cell r="A1509" t="str">
            <v>In service</v>
          </cell>
          <cell r="B1509" t="str">
            <v>Gulfstream Aerospace Gulfstream II</v>
          </cell>
          <cell r="C1509" t="str">
            <v>SP</v>
          </cell>
          <cell r="D1509">
            <v>1968</v>
          </cell>
          <cell r="E1509" t="str">
            <v>Hazben Inc</v>
          </cell>
          <cell r="F1509">
            <v>34</v>
          </cell>
          <cell r="G1509">
            <v>25084</v>
          </cell>
          <cell r="H1509" t="str">
            <v>IISP</v>
          </cell>
          <cell r="I1509" t="str">
            <v>North America</v>
          </cell>
          <cell r="J1509" t="str">
            <v>USA</v>
          </cell>
          <cell r="K1509">
            <v>24288</v>
          </cell>
        </row>
        <row r="1510">
          <cell r="A1510" t="str">
            <v>In service</v>
          </cell>
          <cell r="B1510" t="str">
            <v>Gulfstream Aerospace Gulfstream II</v>
          </cell>
          <cell r="C1510" t="str">
            <v>SP</v>
          </cell>
          <cell r="D1510">
            <v>1968</v>
          </cell>
          <cell r="E1510" t="str">
            <v>Aero Air LLC</v>
          </cell>
          <cell r="F1510">
            <v>34</v>
          </cell>
          <cell r="G1510">
            <v>25084</v>
          </cell>
          <cell r="H1510" t="str">
            <v>IISP</v>
          </cell>
          <cell r="I1510" t="str">
            <v>North America</v>
          </cell>
          <cell r="J1510" t="str">
            <v>USA</v>
          </cell>
          <cell r="K1510">
            <v>24653</v>
          </cell>
        </row>
        <row r="1511">
          <cell r="A1511" t="str">
            <v>In service</v>
          </cell>
          <cell r="B1511" t="str">
            <v>Gulfstream Aerospace Gulfstream II</v>
          </cell>
          <cell r="C1511" t="str">
            <v>SP</v>
          </cell>
          <cell r="D1511">
            <v>1968</v>
          </cell>
          <cell r="E1511" t="str">
            <v>Bondstone Corp</v>
          </cell>
          <cell r="F1511">
            <v>34</v>
          </cell>
          <cell r="G1511">
            <v>25113</v>
          </cell>
          <cell r="H1511" t="str">
            <v>IISP</v>
          </cell>
          <cell r="I1511" t="str">
            <v>North America</v>
          </cell>
          <cell r="J1511" t="str">
            <v>USA</v>
          </cell>
          <cell r="K1511">
            <v>24288</v>
          </cell>
        </row>
        <row r="1512">
          <cell r="A1512" t="str">
            <v>In service</v>
          </cell>
          <cell r="B1512" t="str">
            <v>Gulfstream Aerospace Gulfstream II</v>
          </cell>
          <cell r="C1512" t="str">
            <v>SP</v>
          </cell>
          <cell r="D1512">
            <v>1968</v>
          </cell>
          <cell r="E1512" t="str">
            <v>FTO Co Inc</v>
          </cell>
          <cell r="F1512">
            <v>34</v>
          </cell>
          <cell r="G1512">
            <v>25153</v>
          </cell>
          <cell r="H1512" t="str">
            <v>IISP</v>
          </cell>
          <cell r="I1512" t="str">
            <v>North America</v>
          </cell>
          <cell r="J1512" t="str">
            <v>USA</v>
          </cell>
          <cell r="K1512">
            <v>24288</v>
          </cell>
        </row>
        <row r="1513">
          <cell r="A1513" t="str">
            <v>In service</v>
          </cell>
          <cell r="B1513" t="str">
            <v>Gulfstream Aerospace Gulfstream II</v>
          </cell>
          <cell r="C1513" t="str">
            <v>SP</v>
          </cell>
          <cell r="D1513">
            <v>1968</v>
          </cell>
          <cell r="E1513" t="str">
            <v>Aspen I LLC</v>
          </cell>
          <cell r="F1513">
            <v>34</v>
          </cell>
          <cell r="G1513">
            <v>25190</v>
          </cell>
          <cell r="H1513" t="str">
            <v>IISP</v>
          </cell>
          <cell r="I1513" t="str">
            <v>North America</v>
          </cell>
          <cell r="J1513" t="str">
            <v>USA</v>
          </cell>
          <cell r="K1513">
            <v>24288</v>
          </cell>
        </row>
        <row r="1514">
          <cell r="A1514" t="str">
            <v>In service</v>
          </cell>
          <cell r="B1514" t="str">
            <v>Gulfstream Aerospace Gulfstream II</v>
          </cell>
          <cell r="C1514" t="str">
            <v>SP</v>
          </cell>
          <cell r="D1514">
            <v>1968</v>
          </cell>
          <cell r="E1514" t="str">
            <v>Pennsylvania Marine Services Inc</v>
          </cell>
          <cell r="F1514">
            <v>34</v>
          </cell>
          <cell r="G1514">
            <v>25192</v>
          </cell>
          <cell r="H1514" t="str">
            <v>IISP</v>
          </cell>
          <cell r="I1514" t="str">
            <v>North America</v>
          </cell>
          <cell r="J1514" t="str">
            <v>USA</v>
          </cell>
          <cell r="K1514">
            <v>24288</v>
          </cell>
        </row>
        <row r="1515">
          <cell r="A1515" t="str">
            <v>In service</v>
          </cell>
          <cell r="B1515" t="str">
            <v>Gulfstream Aerospace Gulfstream II</v>
          </cell>
          <cell r="C1515" t="str">
            <v>SP</v>
          </cell>
          <cell r="D1515">
            <v>1969</v>
          </cell>
          <cell r="E1515" t="str">
            <v>Martin Sprocket &amp; Gear Inc</v>
          </cell>
          <cell r="F1515">
            <v>33</v>
          </cell>
          <cell r="G1515">
            <v>25247</v>
          </cell>
          <cell r="H1515" t="str">
            <v>IISP</v>
          </cell>
          <cell r="I1515" t="str">
            <v>North America</v>
          </cell>
          <cell r="J1515" t="str">
            <v>USA</v>
          </cell>
          <cell r="K1515">
            <v>24653</v>
          </cell>
        </row>
        <row r="1516">
          <cell r="A1516" t="str">
            <v>In service</v>
          </cell>
          <cell r="B1516" t="str">
            <v>Gulfstream Aerospace Gulfstream II</v>
          </cell>
          <cell r="C1516" t="str">
            <v>SP</v>
          </cell>
          <cell r="D1516">
            <v>1969</v>
          </cell>
          <cell r="E1516" t="str">
            <v>Robert E Torray &amp; Co</v>
          </cell>
          <cell r="F1516">
            <v>33</v>
          </cell>
          <cell r="G1516">
            <v>25956</v>
          </cell>
          <cell r="H1516" t="str">
            <v>IISP</v>
          </cell>
          <cell r="I1516" t="str">
            <v>North America</v>
          </cell>
          <cell r="J1516" t="str">
            <v>USA</v>
          </cell>
        </row>
        <row r="1517">
          <cell r="A1517" t="str">
            <v>In service</v>
          </cell>
          <cell r="B1517" t="str">
            <v>Gulfstream Aerospace Gulfstream II</v>
          </cell>
          <cell r="C1517" t="str">
            <v>SP</v>
          </cell>
          <cell r="D1517">
            <v>1969</v>
          </cell>
          <cell r="E1517" t="str">
            <v>Hubbard Broadcasting Inc</v>
          </cell>
          <cell r="F1517">
            <v>33</v>
          </cell>
          <cell r="G1517">
            <v>25308</v>
          </cell>
          <cell r="H1517" t="str">
            <v>IISP</v>
          </cell>
          <cell r="I1517" t="str">
            <v>North America</v>
          </cell>
          <cell r="J1517" t="str">
            <v>USA</v>
          </cell>
          <cell r="K1517">
            <v>24653</v>
          </cell>
        </row>
        <row r="1518">
          <cell r="A1518" t="str">
            <v>In service</v>
          </cell>
          <cell r="B1518" t="str">
            <v>Gulfstream Aerospace Gulfstream II</v>
          </cell>
          <cell r="C1518" t="str">
            <v>SP</v>
          </cell>
          <cell r="D1518">
            <v>1969</v>
          </cell>
          <cell r="E1518" t="str">
            <v>World Heir Inc</v>
          </cell>
          <cell r="F1518">
            <v>33</v>
          </cell>
          <cell r="G1518">
            <v>25321</v>
          </cell>
          <cell r="H1518" t="str">
            <v>IISP</v>
          </cell>
          <cell r="I1518" t="str">
            <v>North America</v>
          </cell>
          <cell r="J1518" t="str">
            <v>USA</v>
          </cell>
          <cell r="K1518">
            <v>24653</v>
          </cell>
        </row>
        <row r="1519">
          <cell r="A1519" t="str">
            <v>In service</v>
          </cell>
          <cell r="B1519" t="str">
            <v>Gulfstream Aerospace Gulfstream II</v>
          </cell>
          <cell r="C1519" t="str">
            <v>SP</v>
          </cell>
          <cell r="D1519">
            <v>1969</v>
          </cell>
          <cell r="E1519" t="str">
            <v>Oxy Petroleum Inc</v>
          </cell>
          <cell r="F1519">
            <v>33</v>
          </cell>
          <cell r="G1519">
            <v>25343</v>
          </cell>
          <cell r="H1519" t="str">
            <v>IISP</v>
          </cell>
          <cell r="I1519" t="str">
            <v>North America</v>
          </cell>
          <cell r="J1519" t="str">
            <v>USA</v>
          </cell>
          <cell r="K1519">
            <v>24653</v>
          </cell>
        </row>
        <row r="1520">
          <cell r="A1520" t="str">
            <v>In service</v>
          </cell>
          <cell r="B1520" t="str">
            <v>Gulfstream Aerospace Gulfstream II</v>
          </cell>
          <cell r="C1520" t="str">
            <v>SP</v>
          </cell>
          <cell r="D1520">
            <v>1969</v>
          </cell>
          <cell r="E1520" t="str">
            <v>Bellevue Jet Partners LLC</v>
          </cell>
          <cell r="F1520">
            <v>33</v>
          </cell>
          <cell r="G1520">
            <v>25357</v>
          </cell>
          <cell r="H1520" t="str">
            <v>IISP</v>
          </cell>
          <cell r="I1520" t="str">
            <v>North America</v>
          </cell>
          <cell r="J1520" t="str">
            <v>USA</v>
          </cell>
          <cell r="K1520">
            <v>24653</v>
          </cell>
        </row>
        <row r="1521">
          <cell r="A1521" t="str">
            <v>In service</v>
          </cell>
          <cell r="B1521" t="str">
            <v>Gulfstream Aerospace Gulfstream II</v>
          </cell>
          <cell r="C1521" t="str">
            <v>SP</v>
          </cell>
          <cell r="D1521">
            <v>1969</v>
          </cell>
          <cell r="E1521" t="str">
            <v>The Air Group Inc</v>
          </cell>
          <cell r="F1521">
            <v>33</v>
          </cell>
          <cell r="G1521">
            <v>25381</v>
          </cell>
          <cell r="H1521" t="str">
            <v>IISP</v>
          </cell>
          <cell r="I1521" t="str">
            <v>North America</v>
          </cell>
          <cell r="J1521" t="str">
            <v>USA</v>
          </cell>
          <cell r="K1521">
            <v>24653</v>
          </cell>
        </row>
        <row r="1522">
          <cell r="A1522" t="str">
            <v>In service</v>
          </cell>
          <cell r="B1522" t="str">
            <v>Gulfstream Aerospace Gulfstream II</v>
          </cell>
          <cell r="C1522" t="str">
            <v>SP</v>
          </cell>
          <cell r="D1522">
            <v>1969</v>
          </cell>
          <cell r="E1522" t="str">
            <v>Flightworks</v>
          </cell>
          <cell r="F1522">
            <v>33</v>
          </cell>
          <cell r="G1522">
            <v>25392</v>
          </cell>
          <cell r="H1522" t="str">
            <v>IISP</v>
          </cell>
          <cell r="I1522" t="str">
            <v>North America</v>
          </cell>
          <cell r="J1522" t="str">
            <v>USA</v>
          </cell>
          <cell r="K1522">
            <v>24653</v>
          </cell>
        </row>
        <row r="1523">
          <cell r="A1523" t="str">
            <v>In service</v>
          </cell>
          <cell r="B1523" t="str">
            <v>Gulfstream Aerospace Gulfstream II</v>
          </cell>
          <cell r="C1523" t="str">
            <v>SP</v>
          </cell>
          <cell r="D1523">
            <v>1969</v>
          </cell>
          <cell r="E1523" t="str">
            <v>VOZ LLC</v>
          </cell>
          <cell r="F1523">
            <v>33</v>
          </cell>
          <cell r="G1523">
            <v>25441</v>
          </cell>
          <cell r="H1523" t="str">
            <v>IISP</v>
          </cell>
          <cell r="I1523" t="str">
            <v>North America</v>
          </cell>
          <cell r="J1523" t="str">
            <v>USA</v>
          </cell>
          <cell r="K1523">
            <v>24653</v>
          </cell>
        </row>
        <row r="1524">
          <cell r="A1524" t="str">
            <v>In service</v>
          </cell>
          <cell r="B1524" t="str">
            <v>Gulfstream Aerospace Gulfstream II</v>
          </cell>
          <cell r="C1524" t="str">
            <v>SP</v>
          </cell>
          <cell r="D1524">
            <v>1969</v>
          </cell>
          <cell r="E1524" t="str">
            <v>B L Aviation Group</v>
          </cell>
          <cell r="F1524">
            <v>33</v>
          </cell>
          <cell r="G1524">
            <v>25474</v>
          </cell>
          <cell r="H1524" t="str">
            <v>IISP</v>
          </cell>
          <cell r="I1524" t="str">
            <v>North America</v>
          </cell>
          <cell r="J1524" t="str">
            <v>USA</v>
          </cell>
          <cell r="K1524">
            <v>25019</v>
          </cell>
        </row>
        <row r="1525">
          <cell r="A1525" t="str">
            <v>In service</v>
          </cell>
          <cell r="B1525" t="str">
            <v>Gulfstream Aerospace Gulfstream II</v>
          </cell>
          <cell r="C1525" t="str">
            <v>SP</v>
          </cell>
          <cell r="D1525">
            <v>1967</v>
          </cell>
          <cell r="E1525" t="str">
            <v>Jet Aviation West Palm Beach</v>
          </cell>
          <cell r="F1525">
            <v>35</v>
          </cell>
          <cell r="G1525">
            <v>24927</v>
          </cell>
          <cell r="H1525" t="str">
            <v>IISP</v>
          </cell>
          <cell r="I1525" t="str">
            <v>North America</v>
          </cell>
          <cell r="J1525" t="str">
            <v>USA</v>
          </cell>
          <cell r="K1525">
            <v>24288</v>
          </cell>
        </row>
        <row r="1526">
          <cell r="A1526" t="str">
            <v>In service</v>
          </cell>
          <cell r="B1526" t="str">
            <v>Gulfstream Aerospace Gulfstream II</v>
          </cell>
          <cell r="C1526" t="str">
            <v>SP</v>
          </cell>
          <cell r="D1526">
            <v>1969</v>
          </cell>
          <cell r="E1526" t="str">
            <v>C &amp; A Aircraft LLC</v>
          </cell>
          <cell r="F1526">
            <v>33</v>
          </cell>
          <cell r="G1526">
            <v>25531</v>
          </cell>
          <cell r="H1526" t="str">
            <v>IISP</v>
          </cell>
          <cell r="I1526" t="str">
            <v>North America</v>
          </cell>
          <cell r="J1526" t="str">
            <v>USA</v>
          </cell>
          <cell r="K1526">
            <v>25019</v>
          </cell>
        </row>
        <row r="1527">
          <cell r="A1527" t="str">
            <v>In service</v>
          </cell>
          <cell r="B1527" t="str">
            <v>Gulfstream Aerospace Gulfstream II</v>
          </cell>
          <cell r="C1527" t="str">
            <v>SP</v>
          </cell>
          <cell r="D1527">
            <v>1969</v>
          </cell>
          <cell r="E1527" t="str">
            <v>Aspen I LLC</v>
          </cell>
          <cell r="F1527">
            <v>33</v>
          </cell>
          <cell r="G1527">
            <v>25549</v>
          </cell>
          <cell r="H1527" t="str">
            <v>IISP</v>
          </cell>
          <cell r="I1527" t="str">
            <v>North America</v>
          </cell>
          <cell r="J1527" t="str">
            <v>USA</v>
          </cell>
          <cell r="K1527">
            <v>25019</v>
          </cell>
        </row>
        <row r="1528">
          <cell r="A1528" t="str">
            <v>In service</v>
          </cell>
          <cell r="B1528" t="str">
            <v>Gulfstream Aerospace Gulfstream II</v>
          </cell>
          <cell r="C1528" t="str">
            <v>SP</v>
          </cell>
          <cell r="D1528">
            <v>1969</v>
          </cell>
          <cell r="E1528" t="str">
            <v>Aviation Company Inc</v>
          </cell>
          <cell r="F1528">
            <v>33</v>
          </cell>
          <cell r="G1528">
            <v>25599</v>
          </cell>
          <cell r="H1528" t="str">
            <v>IISP</v>
          </cell>
          <cell r="I1528" t="str">
            <v>North America</v>
          </cell>
          <cell r="J1528" t="str">
            <v>USA</v>
          </cell>
          <cell r="K1528">
            <v>25019</v>
          </cell>
        </row>
        <row r="1529">
          <cell r="A1529" t="str">
            <v>In service</v>
          </cell>
          <cell r="B1529" t="str">
            <v>Gulfstream Aerospace Gulfstream II</v>
          </cell>
          <cell r="C1529" t="str">
            <v>SP</v>
          </cell>
          <cell r="D1529">
            <v>1967</v>
          </cell>
          <cell r="E1529" t="str">
            <v>MidSouth Services Inc</v>
          </cell>
          <cell r="F1529">
            <v>35</v>
          </cell>
          <cell r="G1529">
            <v>24824</v>
          </cell>
          <cell r="H1529" t="str">
            <v>IISP</v>
          </cell>
          <cell r="I1529" t="str">
            <v>North America</v>
          </cell>
          <cell r="J1529" t="str">
            <v>USA</v>
          </cell>
          <cell r="K1529">
            <v>23923</v>
          </cell>
        </row>
        <row r="1530">
          <cell r="A1530" t="str">
            <v>In service</v>
          </cell>
          <cell r="B1530" t="str">
            <v>Gulfstream Aerospace Gulfstream II</v>
          </cell>
          <cell r="C1530" t="str">
            <v>SP</v>
          </cell>
          <cell r="D1530">
            <v>1970</v>
          </cell>
          <cell r="E1530" t="str">
            <v>M S Airplane LLC</v>
          </cell>
          <cell r="F1530">
            <v>32</v>
          </cell>
          <cell r="G1530">
            <v>25609</v>
          </cell>
          <cell r="H1530" t="str">
            <v>IISP</v>
          </cell>
          <cell r="I1530" t="str">
            <v>North America</v>
          </cell>
          <cell r="J1530" t="str">
            <v>USA</v>
          </cell>
          <cell r="K1530">
            <v>25019</v>
          </cell>
        </row>
        <row r="1531">
          <cell r="A1531" t="str">
            <v>In service</v>
          </cell>
          <cell r="B1531" t="str">
            <v>Gulfstream Aerospace Gulfstream II</v>
          </cell>
          <cell r="C1531" t="str">
            <v>SP</v>
          </cell>
          <cell r="D1531">
            <v>1970</v>
          </cell>
          <cell r="E1531" t="str">
            <v>Constellation Products Inc</v>
          </cell>
          <cell r="F1531">
            <v>32</v>
          </cell>
          <cell r="G1531">
            <v>25616</v>
          </cell>
          <cell r="H1531" t="str">
            <v>IISP</v>
          </cell>
          <cell r="I1531" t="str">
            <v>North America</v>
          </cell>
          <cell r="J1531" t="str">
            <v>USA</v>
          </cell>
          <cell r="K1531">
            <v>25019</v>
          </cell>
        </row>
        <row r="1532">
          <cell r="A1532" t="str">
            <v>In service</v>
          </cell>
          <cell r="B1532" t="str">
            <v>Gulfstream Aerospace Gulfstream II</v>
          </cell>
          <cell r="C1532" t="str">
            <v>SP</v>
          </cell>
          <cell r="D1532">
            <v>1970</v>
          </cell>
          <cell r="E1532" t="str">
            <v>Alpha Flight Co LLC</v>
          </cell>
          <cell r="F1532">
            <v>32</v>
          </cell>
          <cell r="G1532">
            <v>25640</v>
          </cell>
          <cell r="H1532" t="str">
            <v>IISP</v>
          </cell>
          <cell r="I1532" t="str">
            <v>North America</v>
          </cell>
          <cell r="J1532" t="str">
            <v>USA</v>
          </cell>
          <cell r="K1532">
            <v>25019</v>
          </cell>
        </row>
        <row r="1533">
          <cell r="A1533" t="str">
            <v>In service</v>
          </cell>
          <cell r="B1533" t="str">
            <v>Gulfstream Aerospace Gulfstream II</v>
          </cell>
          <cell r="C1533" t="str">
            <v>SP</v>
          </cell>
          <cell r="D1533">
            <v>1970</v>
          </cell>
          <cell r="E1533" t="str">
            <v>Jet Place Inc</v>
          </cell>
          <cell r="F1533">
            <v>32</v>
          </cell>
          <cell r="G1533">
            <v>25688</v>
          </cell>
          <cell r="H1533" t="str">
            <v>IISP</v>
          </cell>
          <cell r="I1533" t="str">
            <v>North America</v>
          </cell>
          <cell r="J1533" t="str">
            <v>USA</v>
          </cell>
          <cell r="K1533">
            <v>25019</v>
          </cell>
        </row>
        <row r="1534">
          <cell r="A1534" t="str">
            <v>In service</v>
          </cell>
          <cell r="B1534" t="str">
            <v>Gulfstream Aerospace Gulfstream II</v>
          </cell>
          <cell r="C1534" t="str">
            <v>SP</v>
          </cell>
          <cell r="D1534">
            <v>1970</v>
          </cell>
          <cell r="E1534" t="str">
            <v>Aero Air LLC</v>
          </cell>
          <cell r="F1534">
            <v>32</v>
          </cell>
          <cell r="G1534">
            <v>25941</v>
          </cell>
          <cell r="H1534" t="str">
            <v>IISP</v>
          </cell>
          <cell r="I1534" t="str">
            <v>North America</v>
          </cell>
          <cell r="J1534" t="str">
            <v>USA</v>
          </cell>
          <cell r="K1534">
            <v>25384</v>
          </cell>
        </row>
        <row r="1535">
          <cell r="A1535" t="str">
            <v>In service</v>
          </cell>
          <cell r="B1535" t="str">
            <v>Gulfstream Aerospace Gulfstream II</v>
          </cell>
          <cell r="C1535" t="str">
            <v>SP</v>
          </cell>
          <cell r="D1535">
            <v>1970</v>
          </cell>
          <cell r="E1535" t="str">
            <v>Triple Diamond Gulfstream LLC</v>
          </cell>
          <cell r="F1535">
            <v>32</v>
          </cell>
          <cell r="G1535">
            <v>25742</v>
          </cell>
          <cell r="H1535" t="str">
            <v>IISP</v>
          </cell>
          <cell r="I1535" t="str">
            <v>North America</v>
          </cell>
          <cell r="J1535" t="str">
            <v>USA</v>
          </cell>
          <cell r="K1535">
            <v>25019</v>
          </cell>
        </row>
        <row r="1536">
          <cell r="A1536" t="str">
            <v>In service</v>
          </cell>
          <cell r="B1536" t="str">
            <v>Gulfstream Aerospace Gulfstream II</v>
          </cell>
          <cell r="C1536" t="str">
            <v>SP</v>
          </cell>
          <cell r="D1536">
            <v>1970</v>
          </cell>
          <cell r="E1536" t="str">
            <v>Avjet Corp</v>
          </cell>
          <cell r="F1536">
            <v>32</v>
          </cell>
          <cell r="G1536">
            <v>26039</v>
          </cell>
          <cell r="H1536" t="str">
            <v>IISP</v>
          </cell>
          <cell r="I1536" t="str">
            <v>North America</v>
          </cell>
          <cell r="J1536" t="str">
            <v>USA</v>
          </cell>
          <cell r="K1536">
            <v>25384</v>
          </cell>
        </row>
        <row r="1537">
          <cell r="A1537" t="str">
            <v>In service</v>
          </cell>
          <cell r="B1537" t="str">
            <v>Gulfstream Aerospace Gulfstream II</v>
          </cell>
          <cell r="C1537" t="str">
            <v>SP</v>
          </cell>
          <cell r="D1537">
            <v>1970</v>
          </cell>
          <cell r="E1537" t="str">
            <v>Aspen I LLC</v>
          </cell>
          <cell r="F1537">
            <v>32</v>
          </cell>
          <cell r="G1537">
            <v>25773</v>
          </cell>
          <cell r="H1537" t="str">
            <v>SP</v>
          </cell>
          <cell r="I1537" t="str">
            <v>North America</v>
          </cell>
          <cell r="J1537" t="str">
            <v>USA</v>
          </cell>
          <cell r="K1537">
            <v>25019</v>
          </cell>
        </row>
        <row r="1538">
          <cell r="A1538" t="str">
            <v>In service</v>
          </cell>
          <cell r="B1538" t="str">
            <v>Gulfstream Aerospace Gulfstream II</v>
          </cell>
          <cell r="C1538" t="str">
            <v>SP</v>
          </cell>
          <cell r="D1538">
            <v>1970</v>
          </cell>
          <cell r="E1538" t="str">
            <v>Ronso SA de CV</v>
          </cell>
          <cell r="F1538">
            <v>32</v>
          </cell>
          <cell r="G1538">
            <v>26088</v>
          </cell>
          <cell r="H1538" t="str">
            <v>IISP</v>
          </cell>
          <cell r="I1538" t="str">
            <v>Latin America and Caribbean</v>
          </cell>
          <cell r="J1538" t="str">
            <v>Mexico</v>
          </cell>
          <cell r="K1538">
            <v>25749</v>
          </cell>
        </row>
        <row r="1539">
          <cell r="A1539" t="str">
            <v>In service</v>
          </cell>
          <cell r="B1539" t="str">
            <v>Gulfstream Aerospace Gulfstream II</v>
          </cell>
          <cell r="C1539" t="str">
            <v>SP</v>
          </cell>
          <cell r="D1539">
            <v>1970</v>
          </cell>
          <cell r="E1539" t="str">
            <v>Air Lake Lines Inc</v>
          </cell>
          <cell r="F1539">
            <v>32</v>
          </cell>
          <cell r="G1539">
            <v>26214</v>
          </cell>
          <cell r="H1539" t="str">
            <v>IISP</v>
          </cell>
          <cell r="I1539" t="str">
            <v>North America</v>
          </cell>
          <cell r="J1539" t="str">
            <v>USA</v>
          </cell>
          <cell r="K1539">
            <v>25749</v>
          </cell>
        </row>
        <row r="1540">
          <cell r="A1540" t="str">
            <v>In service</v>
          </cell>
          <cell r="B1540" t="str">
            <v>Gulfstream Aerospace Gulfstream II</v>
          </cell>
          <cell r="C1540" t="str">
            <v>SP</v>
          </cell>
          <cell r="D1540">
            <v>1971</v>
          </cell>
          <cell r="E1540" t="str">
            <v>Flightworks</v>
          </cell>
          <cell r="F1540">
            <v>31</v>
          </cell>
          <cell r="G1540">
            <v>26108</v>
          </cell>
          <cell r="H1540" t="str">
            <v>IISP</v>
          </cell>
          <cell r="I1540" t="str">
            <v>North America</v>
          </cell>
          <cell r="J1540" t="str">
            <v>USA</v>
          </cell>
          <cell r="K1540">
            <v>25749</v>
          </cell>
        </row>
        <row r="1541">
          <cell r="A1541" t="str">
            <v>In service</v>
          </cell>
          <cell r="B1541" t="str">
            <v>Gulfstream Aerospace Gulfstream II</v>
          </cell>
          <cell r="C1541" t="str">
            <v>Stage III Hushkit</v>
          </cell>
          <cell r="D1541">
            <v>1971</v>
          </cell>
          <cell r="E1541" t="str">
            <v>Quiet Technology Aerospace Inc</v>
          </cell>
          <cell r="F1541">
            <v>31</v>
          </cell>
          <cell r="G1541">
            <v>26282</v>
          </cell>
          <cell r="I1541" t="str">
            <v>North America</v>
          </cell>
          <cell r="J1541" t="str">
            <v>USA</v>
          </cell>
          <cell r="K1541">
            <v>25749</v>
          </cell>
        </row>
        <row r="1542">
          <cell r="A1542" t="str">
            <v>In service</v>
          </cell>
          <cell r="B1542" t="str">
            <v>Gulfstream Aerospace Gulfstream II</v>
          </cell>
          <cell r="C1542" t="str">
            <v>Stage III Hushkit</v>
          </cell>
          <cell r="D1542">
            <v>1978</v>
          </cell>
          <cell r="E1542" t="str">
            <v>Really Quiet LLC</v>
          </cell>
          <cell r="F1542">
            <v>24</v>
          </cell>
          <cell r="G1542">
            <v>29075</v>
          </cell>
          <cell r="I1542" t="str">
            <v>North America</v>
          </cell>
          <cell r="J1542" t="str">
            <v>USA</v>
          </cell>
          <cell r="K1542">
            <v>28671</v>
          </cell>
        </row>
        <row r="1543">
          <cell r="A1543" t="str">
            <v>In service</v>
          </cell>
          <cell r="B1543" t="str">
            <v>Gulfstream Aerospace Gulfstream II</v>
          </cell>
          <cell r="C1543" t="str">
            <v>Stage III Hushkit</v>
          </cell>
          <cell r="D1543">
            <v>1969</v>
          </cell>
          <cell r="E1543" t="str">
            <v>Priester Aviation</v>
          </cell>
          <cell r="F1543">
            <v>33</v>
          </cell>
          <cell r="G1543">
            <v>25422</v>
          </cell>
          <cell r="I1543" t="str">
            <v>North America</v>
          </cell>
          <cell r="J1543" t="str">
            <v>USA</v>
          </cell>
          <cell r="K1543">
            <v>25019</v>
          </cell>
        </row>
        <row r="1544">
          <cell r="A1544" t="str">
            <v>In service</v>
          </cell>
          <cell r="B1544" t="str">
            <v>Gulfstream Aerospace Gulfstream II</v>
          </cell>
          <cell r="C1544" t="str">
            <v>TT</v>
          </cell>
          <cell r="D1544">
            <v>1976</v>
          </cell>
          <cell r="E1544" t="str">
            <v>Moroccan Ministry of Defence</v>
          </cell>
          <cell r="F1544">
            <v>26</v>
          </cell>
          <cell r="G1544">
            <v>28228</v>
          </cell>
          <cell r="H1544" t="str">
            <v>IITT</v>
          </cell>
          <cell r="I1544" t="str">
            <v>Africa</v>
          </cell>
          <cell r="J1544" t="str">
            <v>Morocco</v>
          </cell>
        </row>
        <row r="1545">
          <cell r="A1545" t="str">
            <v>In service</v>
          </cell>
          <cell r="B1545" t="str">
            <v>Gulfstream Aerospace Gulfstream II</v>
          </cell>
          <cell r="C1545" t="str">
            <v>TT</v>
          </cell>
          <cell r="D1545">
            <v>1977</v>
          </cell>
          <cell r="E1545" t="str">
            <v>Saudi Arabian Airlines</v>
          </cell>
          <cell r="F1545">
            <v>25</v>
          </cell>
          <cell r="G1545">
            <v>28477</v>
          </cell>
          <cell r="H1545" t="str">
            <v>IITT</v>
          </cell>
          <cell r="I1545" t="str">
            <v>Middle East</v>
          </cell>
          <cell r="J1545" t="str">
            <v>Saudi Arabia</v>
          </cell>
          <cell r="K1545">
            <v>27941</v>
          </cell>
        </row>
        <row r="1546">
          <cell r="A1546" t="str">
            <v>In service</v>
          </cell>
          <cell r="B1546" t="str">
            <v>Gulfstream Aerospace Gulfstream II</v>
          </cell>
          <cell r="C1546" t="str">
            <v>TT</v>
          </cell>
          <cell r="D1546">
            <v>1977</v>
          </cell>
          <cell r="E1546" t="str">
            <v>Government of Bahrain</v>
          </cell>
          <cell r="F1546">
            <v>25</v>
          </cell>
          <cell r="G1546">
            <v>28529</v>
          </cell>
          <cell r="H1546" t="str">
            <v>IITT</v>
          </cell>
          <cell r="I1546" t="str">
            <v>Middle East</v>
          </cell>
          <cell r="J1546" t="str">
            <v>Bahrain</v>
          </cell>
          <cell r="K1546">
            <v>27941</v>
          </cell>
        </row>
        <row r="1547">
          <cell r="A1547" t="str">
            <v>In service</v>
          </cell>
          <cell r="B1547" t="str">
            <v>Gulfstream Aerospace Gulfstream II</v>
          </cell>
          <cell r="C1547" t="str">
            <v>TT</v>
          </cell>
          <cell r="D1547">
            <v>1977</v>
          </cell>
          <cell r="E1547" t="str">
            <v>Saudi Arabian Airlines</v>
          </cell>
          <cell r="F1547">
            <v>25</v>
          </cell>
          <cell r="G1547">
            <v>28487</v>
          </cell>
          <cell r="H1547" t="str">
            <v>IITT</v>
          </cell>
          <cell r="I1547" t="str">
            <v>Middle East</v>
          </cell>
          <cell r="J1547" t="str">
            <v>Saudi Arabia</v>
          </cell>
          <cell r="K1547">
            <v>27941</v>
          </cell>
        </row>
        <row r="1548">
          <cell r="A1548" t="str">
            <v>In service</v>
          </cell>
          <cell r="B1548" t="str">
            <v>Gulfstream Aerospace Gulfstream II</v>
          </cell>
          <cell r="C1548" t="str">
            <v>TT</v>
          </cell>
          <cell r="D1548">
            <v>1977</v>
          </cell>
          <cell r="E1548" t="str">
            <v>Lear 35 LLC</v>
          </cell>
          <cell r="F1548">
            <v>25</v>
          </cell>
          <cell r="G1548">
            <v>28625</v>
          </cell>
          <cell r="H1548" t="str">
            <v>IITT</v>
          </cell>
          <cell r="I1548" t="str">
            <v>North America</v>
          </cell>
          <cell r="J1548" t="str">
            <v>USA</v>
          </cell>
          <cell r="K1548">
            <v>27941</v>
          </cell>
        </row>
        <row r="1549">
          <cell r="A1549" t="str">
            <v>In service</v>
          </cell>
          <cell r="B1549" t="str">
            <v>Gulfstream Aerospace Gulfstream II</v>
          </cell>
          <cell r="C1549" t="str">
            <v>TT</v>
          </cell>
          <cell r="D1549">
            <v>1978</v>
          </cell>
          <cell r="E1549" t="str">
            <v>Harth Trading Establishment</v>
          </cell>
          <cell r="F1549">
            <v>24</v>
          </cell>
          <cell r="G1549">
            <v>28536</v>
          </cell>
          <cell r="H1549" t="str">
            <v>IITT</v>
          </cell>
          <cell r="I1549" t="str">
            <v>Middle East</v>
          </cell>
          <cell r="J1549" t="str">
            <v>Saudi Arabia</v>
          </cell>
          <cell r="K1549">
            <v>28306</v>
          </cell>
        </row>
        <row r="1550">
          <cell r="A1550" t="str">
            <v>In service</v>
          </cell>
          <cell r="B1550" t="str">
            <v>Gulfstream Aerospace Gulfstream II</v>
          </cell>
          <cell r="C1550" t="str">
            <v>TT</v>
          </cell>
          <cell r="D1550">
            <v>1978</v>
          </cell>
          <cell r="E1550" t="str">
            <v>PAM Aviation LLC</v>
          </cell>
          <cell r="F1550">
            <v>24</v>
          </cell>
          <cell r="G1550">
            <v>28778</v>
          </cell>
          <cell r="H1550" t="str">
            <v>IITT</v>
          </cell>
          <cell r="I1550" t="str">
            <v>North America</v>
          </cell>
          <cell r="J1550" t="str">
            <v>USA</v>
          </cell>
          <cell r="K1550">
            <v>27941</v>
          </cell>
        </row>
        <row r="1551">
          <cell r="A1551" t="str">
            <v>In service</v>
          </cell>
          <cell r="B1551" t="str">
            <v>Gulfstream Aerospace Gulfstream II</v>
          </cell>
          <cell r="C1551" t="str">
            <v>TT</v>
          </cell>
          <cell r="D1551">
            <v>1978</v>
          </cell>
          <cell r="E1551" t="str">
            <v>Jet-A-Way Charter LLC</v>
          </cell>
          <cell r="F1551">
            <v>24</v>
          </cell>
          <cell r="G1551">
            <v>28829</v>
          </cell>
          <cell r="H1551" t="str">
            <v>IITT</v>
          </cell>
          <cell r="I1551" t="str">
            <v>North America</v>
          </cell>
          <cell r="J1551" t="str">
            <v>USA</v>
          </cell>
          <cell r="K1551">
            <v>27941</v>
          </cell>
        </row>
        <row r="1552">
          <cell r="A1552" t="str">
            <v>In service</v>
          </cell>
          <cell r="B1552" t="str">
            <v>Gulfstream Aerospace Gulfstream II</v>
          </cell>
          <cell r="C1552" t="str">
            <v>TT</v>
          </cell>
          <cell r="D1552">
            <v>1978</v>
          </cell>
          <cell r="E1552" t="str">
            <v>R&amp;G Aviation LLC</v>
          </cell>
          <cell r="F1552">
            <v>24</v>
          </cell>
          <cell r="G1552">
            <v>29105</v>
          </cell>
          <cell r="H1552" t="str">
            <v>IITT</v>
          </cell>
          <cell r="I1552" t="str">
            <v>North America</v>
          </cell>
          <cell r="J1552" t="str">
            <v>USA</v>
          </cell>
          <cell r="K1552">
            <v>28671</v>
          </cell>
        </row>
        <row r="1553">
          <cell r="A1553" t="str">
            <v>In service</v>
          </cell>
          <cell r="B1553" t="str">
            <v>Gulfstream Aerospace Gulfstream II</v>
          </cell>
          <cell r="C1553" t="str">
            <v>TT</v>
          </cell>
          <cell r="D1553">
            <v>1978</v>
          </cell>
          <cell r="E1553" t="str">
            <v>Newcastle Corp</v>
          </cell>
          <cell r="F1553">
            <v>24</v>
          </cell>
          <cell r="G1553">
            <v>28843</v>
          </cell>
          <cell r="H1553" t="str">
            <v>IITT</v>
          </cell>
          <cell r="I1553" t="str">
            <v>North America</v>
          </cell>
          <cell r="J1553" t="str">
            <v>USA</v>
          </cell>
          <cell r="K1553">
            <v>28306</v>
          </cell>
        </row>
        <row r="1554">
          <cell r="A1554" t="str">
            <v>In service</v>
          </cell>
          <cell r="B1554" t="str">
            <v>Gulfstream Aerospace Gulfstream II</v>
          </cell>
          <cell r="C1554" t="str">
            <v>TT</v>
          </cell>
          <cell r="D1554">
            <v>1979</v>
          </cell>
          <cell r="E1554" t="str">
            <v>Haliburton Energy Services Inc</v>
          </cell>
          <cell r="F1554">
            <v>23</v>
          </cell>
          <cell r="G1554">
            <v>28901</v>
          </cell>
          <cell r="H1554" t="str">
            <v>IITT</v>
          </cell>
          <cell r="I1554" t="str">
            <v>North America</v>
          </cell>
          <cell r="J1554" t="str">
            <v>USA</v>
          </cell>
          <cell r="K1554">
            <v>28306</v>
          </cell>
        </row>
        <row r="1555">
          <cell r="A1555" t="str">
            <v>In service</v>
          </cell>
          <cell r="B1555" t="str">
            <v>Gulfstream Aerospace Gulfstream II</v>
          </cell>
          <cell r="C1555" t="str">
            <v>TT</v>
          </cell>
          <cell r="D1555">
            <v>1979</v>
          </cell>
          <cell r="E1555" t="str">
            <v>Saudi Arabian Airlines</v>
          </cell>
          <cell r="F1555">
            <v>23</v>
          </cell>
          <cell r="G1555">
            <v>29246</v>
          </cell>
          <cell r="H1555" t="str">
            <v>IITT</v>
          </cell>
          <cell r="I1555" t="str">
            <v>Middle East</v>
          </cell>
          <cell r="J1555" t="str">
            <v>Saudi Arabia</v>
          </cell>
          <cell r="K1555">
            <v>29036</v>
          </cell>
        </row>
        <row r="1556">
          <cell r="A1556" t="str">
            <v>In service</v>
          </cell>
          <cell r="B1556" t="str">
            <v>Gulfstream Aerospace Gulfstream II</v>
          </cell>
          <cell r="C1556" t="str">
            <v>TT</v>
          </cell>
          <cell r="D1556">
            <v>1979</v>
          </cell>
          <cell r="E1556" t="str">
            <v>Geneva International Ltd</v>
          </cell>
          <cell r="F1556">
            <v>23</v>
          </cell>
          <cell r="G1556">
            <v>29181</v>
          </cell>
          <cell r="H1556" t="str">
            <v>IITT</v>
          </cell>
          <cell r="I1556" t="str">
            <v>North America</v>
          </cell>
          <cell r="J1556" t="str">
            <v>USA</v>
          </cell>
          <cell r="K1556">
            <v>28671</v>
          </cell>
        </row>
        <row r="1557">
          <cell r="A1557" t="str">
            <v>In service</v>
          </cell>
          <cell r="B1557" t="str">
            <v>Gulfstream Aerospace Gulfstream II</v>
          </cell>
          <cell r="C1557" t="str">
            <v>TT</v>
          </cell>
          <cell r="D1557">
            <v>1979</v>
          </cell>
          <cell r="E1557" t="str">
            <v>Eli Lilly International Corp</v>
          </cell>
          <cell r="F1557">
            <v>23</v>
          </cell>
          <cell r="G1557">
            <v>29174</v>
          </cell>
          <cell r="H1557" t="str">
            <v>IITT</v>
          </cell>
          <cell r="I1557" t="str">
            <v>North America</v>
          </cell>
          <cell r="J1557" t="str">
            <v>USA</v>
          </cell>
          <cell r="K1557">
            <v>28306</v>
          </cell>
        </row>
        <row r="1558">
          <cell r="A1558" t="str">
            <v>In service</v>
          </cell>
          <cell r="B1558" t="str">
            <v>Gulfstream Aerospace Gulfstream III</v>
          </cell>
          <cell r="C1558" t="str">
            <v xml:space="preserve"> </v>
          </cell>
          <cell r="D1558">
            <v>1979</v>
          </cell>
          <cell r="E1558" t="str">
            <v>247LG LLC</v>
          </cell>
          <cell r="F1558">
            <v>23</v>
          </cell>
          <cell r="G1558">
            <v>29216</v>
          </cell>
          <cell r="I1558" t="str">
            <v>North America</v>
          </cell>
          <cell r="J1558" t="str">
            <v>USA</v>
          </cell>
          <cell r="K1558">
            <v>28671</v>
          </cell>
        </row>
        <row r="1559">
          <cell r="A1559" t="str">
            <v>In service</v>
          </cell>
          <cell r="B1559" t="str">
            <v>Gulfstream Aerospace Gulfstream III</v>
          </cell>
          <cell r="C1559" t="str">
            <v xml:space="preserve"> </v>
          </cell>
          <cell r="D1559">
            <v>1980</v>
          </cell>
          <cell r="E1559" t="str">
            <v>B H G Flights LLC</v>
          </cell>
          <cell r="F1559">
            <v>22</v>
          </cell>
          <cell r="G1559">
            <v>29591</v>
          </cell>
          <cell r="I1559" t="str">
            <v>North America</v>
          </cell>
          <cell r="J1559" t="str">
            <v>USA</v>
          </cell>
          <cell r="K1559">
            <v>29036</v>
          </cell>
        </row>
        <row r="1560">
          <cell r="A1560" t="str">
            <v>In service</v>
          </cell>
          <cell r="B1560" t="str">
            <v>Gulfstream Aerospace Gulfstream III</v>
          </cell>
          <cell r="C1560" t="str">
            <v xml:space="preserve"> </v>
          </cell>
          <cell r="D1560">
            <v>1980</v>
          </cell>
          <cell r="E1560" t="str">
            <v>Regal Aviation LLC</v>
          </cell>
          <cell r="F1560">
            <v>22</v>
          </cell>
          <cell r="G1560">
            <v>29462</v>
          </cell>
          <cell r="I1560" t="str">
            <v>North America</v>
          </cell>
          <cell r="J1560" t="str">
            <v>USA</v>
          </cell>
          <cell r="K1560">
            <v>29036</v>
          </cell>
        </row>
        <row r="1561">
          <cell r="A1561" t="str">
            <v>In service</v>
          </cell>
          <cell r="B1561" t="str">
            <v>Gulfstream Aerospace Gulfstream III</v>
          </cell>
          <cell r="C1561" t="str">
            <v xml:space="preserve"> </v>
          </cell>
          <cell r="D1561">
            <v>1980</v>
          </cell>
          <cell r="E1561" t="str">
            <v>S T Aviation LLC</v>
          </cell>
          <cell r="F1561">
            <v>22</v>
          </cell>
          <cell r="G1561">
            <v>29361</v>
          </cell>
          <cell r="I1561" t="str">
            <v>North America</v>
          </cell>
          <cell r="J1561" t="str">
            <v>USA</v>
          </cell>
          <cell r="K1561">
            <v>29036</v>
          </cell>
        </row>
        <row r="1562">
          <cell r="A1562" t="str">
            <v>In service</v>
          </cell>
          <cell r="B1562" t="str">
            <v>Gulfstream Aerospace Gulfstream III</v>
          </cell>
          <cell r="C1562" t="str">
            <v xml:space="preserve"> </v>
          </cell>
          <cell r="D1562">
            <v>1980</v>
          </cell>
          <cell r="E1562" t="str">
            <v>Tutor-Saliba Corp</v>
          </cell>
          <cell r="F1562">
            <v>22</v>
          </cell>
          <cell r="G1562">
            <v>29395</v>
          </cell>
          <cell r="I1562" t="str">
            <v>North America</v>
          </cell>
          <cell r="J1562" t="str">
            <v>USA</v>
          </cell>
          <cell r="K1562">
            <v>28671</v>
          </cell>
        </row>
        <row r="1563">
          <cell r="A1563" t="str">
            <v>In service</v>
          </cell>
          <cell r="B1563" t="str">
            <v>Gulfstream Aerospace Gulfstream III</v>
          </cell>
          <cell r="C1563" t="str">
            <v xml:space="preserve"> </v>
          </cell>
          <cell r="D1563">
            <v>1980</v>
          </cell>
          <cell r="E1563" t="str">
            <v>JT Aviation Corp</v>
          </cell>
          <cell r="F1563">
            <v>22</v>
          </cell>
          <cell r="G1563">
            <v>29408</v>
          </cell>
          <cell r="I1563" t="str">
            <v>North America</v>
          </cell>
          <cell r="J1563" t="str">
            <v>USA</v>
          </cell>
          <cell r="K1563">
            <v>28671</v>
          </cell>
        </row>
        <row r="1564">
          <cell r="A1564" t="str">
            <v>In service</v>
          </cell>
          <cell r="B1564" t="str">
            <v>Gulfstream Aerospace Gulfstream III</v>
          </cell>
          <cell r="C1564" t="str">
            <v xml:space="preserve"> </v>
          </cell>
          <cell r="D1564">
            <v>1980</v>
          </cell>
          <cell r="E1564" t="str">
            <v>Homedics Inc</v>
          </cell>
          <cell r="F1564">
            <v>22</v>
          </cell>
          <cell r="G1564">
            <v>29438</v>
          </cell>
          <cell r="I1564" t="str">
            <v>North America</v>
          </cell>
          <cell r="J1564" t="str">
            <v>USA</v>
          </cell>
          <cell r="K1564">
            <v>28671</v>
          </cell>
        </row>
        <row r="1565">
          <cell r="A1565" t="str">
            <v>In service</v>
          </cell>
          <cell r="B1565" t="str">
            <v>Gulfstream Aerospace Gulfstream III</v>
          </cell>
          <cell r="C1565" t="str">
            <v xml:space="preserve"> </v>
          </cell>
          <cell r="D1565">
            <v>1980</v>
          </cell>
          <cell r="E1565" t="str">
            <v>Falconcrest Aviation LLC</v>
          </cell>
          <cell r="F1565">
            <v>22</v>
          </cell>
          <cell r="G1565">
            <v>29451</v>
          </cell>
          <cell r="I1565" t="str">
            <v>North America</v>
          </cell>
          <cell r="J1565" t="str">
            <v>USA</v>
          </cell>
          <cell r="K1565">
            <v>28671</v>
          </cell>
        </row>
        <row r="1566">
          <cell r="A1566" t="str">
            <v>In service</v>
          </cell>
          <cell r="B1566" t="str">
            <v>Gulfstream Aerospace Gulfstream III</v>
          </cell>
          <cell r="C1566" t="str">
            <v xml:space="preserve"> </v>
          </cell>
          <cell r="D1566">
            <v>1980</v>
          </cell>
          <cell r="E1566" t="str">
            <v>Corporate Flight Inc</v>
          </cell>
          <cell r="F1566">
            <v>22</v>
          </cell>
          <cell r="G1566">
            <v>29437</v>
          </cell>
          <cell r="I1566" t="str">
            <v>North America</v>
          </cell>
          <cell r="J1566" t="str">
            <v>USA</v>
          </cell>
          <cell r="K1566">
            <v>28671</v>
          </cell>
        </row>
        <row r="1567">
          <cell r="A1567" t="str">
            <v>In service</v>
          </cell>
          <cell r="B1567" t="str">
            <v>Gulfstream Aerospace Gulfstream III</v>
          </cell>
          <cell r="C1567" t="str">
            <v xml:space="preserve"> </v>
          </cell>
          <cell r="D1567">
            <v>1980</v>
          </cell>
          <cell r="E1567" t="str">
            <v>NASA</v>
          </cell>
          <cell r="F1567">
            <v>22</v>
          </cell>
          <cell r="G1567">
            <v>29481</v>
          </cell>
          <cell r="I1567" t="str">
            <v>North America</v>
          </cell>
          <cell r="J1567" t="str">
            <v>USA</v>
          </cell>
          <cell r="K1567">
            <v>28671</v>
          </cell>
        </row>
        <row r="1568">
          <cell r="A1568" t="str">
            <v>In service</v>
          </cell>
          <cell r="B1568" t="str">
            <v>Gulfstream Aerospace Gulfstream III</v>
          </cell>
          <cell r="C1568" t="str">
            <v xml:space="preserve"> </v>
          </cell>
          <cell r="D1568">
            <v>1980</v>
          </cell>
          <cell r="E1568" t="str">
            <v>Water Over Mountains Holdings LLC</v>
          </cell>
          <cell r="F1568">
            <v>22</v>
          </cell>
          <cell r="G1568">
            <v>29459</v>
          </cell>
          <cell r="I1568" t="str">
            <v>North America</v>
          </cell>
          <cell r="J1568" t="str">
            <v>USA</v>
          </cell>
          <cell r="K1568">
            <v>28671</v>
          </cell>
        </row>
        <row r="1569">
          <cell r="A1569" t="str">
            <v>In service</v>
          </cell>
          <cell r="B1569" t="str">
            <v>Gulfstream Aerospace Gulfstream III</v>
          </cell>
          <cell r="C1569" t="str">
            <v xml:space="preserve"> </v>
          </cell>
          <cell r="D1569">
            <v>1980</v>
          </cell>
          <cell r="E1569" t="str">
            <v>Cove Partners LLC</v>
          </cell>
          <cell r="F1569">
            <v>22</v>
          </cell>
          <cell r="G1569">
            <v>29497</v>
          </cell>
          <cell r="I1569" t="str">
            <v>North America</v>
          </cell>
          <cell r="J1569" t="str">
            <v>USA</v>
          </cell>
          <cell r="K1569">
            <v>28306</v>
          </cell>
        </row>
        <row r="1570">
          <cell r="A1570" t="str">
            <v>In service</v>
          </cell>
          <cell r="B1570" t="str">
            <v>Gulfstream Aerospace Gulfstream III</v>
          </cell>
          <cell r="C1570" t="str">
            <v xml:space="preserve"> </v>
          </cell>
          <cell r="D1570">
            <v>1980</v>
          </cell>
          <cell r="E1570" t="str">
            <v>Nea One LLC/Jetwest Int'l/NAA LLC et al</v>
          </cell>
          <cell r="F1570">
            <v>22</v>
          </cell>
          <cell r="G1570">
            <v>29514</v>
          </cell>
          <cell r="I1570" t="str">
            <v>North America</v>
          </cell>
          <cell r="J1570" t="str">
            <v>USA</v>
          </cell>
          <cell r="K1570">
            <v>28306</v>
          </cell>
        </row>
        <row r="1571">
          <cell r="A1571" t="str">
            <v>In service</v>
          </cell>
          <cell r="B1571" t="str">
            <v>Gulfstream Aerospace Gulfstream III</v>
          </cell>
          <cell r="C1571" t="str">
            <v xml:space="preserve"> </v>
          </cell>
          <cell r="D1571">
            <v>1980</v>
          </cell>
          <cell r="E1571" t="str">
            <v>Phelps Dodge Corp</v>
          </cell>
          <cell r="F1571">
            <v>22</v>
          </cell>
          <cell r="G1571">
            <v>29570</v>
          </cell>
          <cell r="I1571" t="str">
            <v>North America</v>
          </cell>
          <cell r="J1571" t="str">
            <v>USA</v>
          </cell>
          <cell r="K1571">
            <v>29036</v>
          </cell>
        </row>
        <row r="1572">
          <cell r="A1572" t="str">
            <v>In service</v>
          </cell>
          <cell r="B1572" t="str">
            <v>Gulfstream Aerospace Gulfstream III</v>
          </cell>
          <cell r="C1572" t="str">
            <v xml:space="preserve"> </v>
          </cell>
          <cell r="D1572">
            <v>1980</v>
          </cell>
          <cell r="E1572" t="str">
            <v>Chouest Air Inc</v>
          </cell>
          <cell r="F1572">
            <v>22</v>
          </cell>
          <cell r="G1572">
            <v>29571</v>
          </cell>
          <cell r="I1572" t="str">
            <v>North America</v>
          </cell>
          <cell r="J1572" t="str">
            <v>USA</v>
          </cell>
          <cell r="K1572">
            <v>28671</v>
          </cell>
        </row>
        <row r="1573">
          <cell r="A1573" t="str">
            <v>In service</v>
          </cell>
          <cell r="B1573" t="str">
            <v>Gulfstream Aerospace Gulfstream III</v>
          </cell>
          <cell r="C1573" t="str">
            <v xml:space="preserve"> </v>
          </cell>
          <cell r="D1573">
            <v>1980</v>
          </cell>
          <cell r="E1573" t="str">
            <v>Dallah Avco</v>
          </cell>
          <cell r="F1573">
            <v>22</v>
          </cell>
          <cell r="G1573">
            <v>29578</v>
          </cell>
          <cell r="I1573" t="str">
            <v>Middle East</v>
          </cell>
          <cell r="J1573" t="str">
            <v>Saudi Arabia</v>
          </cell>
          <cell r="K1573">
            <v>28671</v>
          </cell>
        </row>
        <row r="1574">
          <cell r="A1574" t="str">
            <v>In service</v>
          </cell>
          <cell r="B1574" t="str">
            <v>Gulfstream Aerospace Gulfstream III</v>
          </cell>
          <cell r="C1574" t="str">
            <v xml:space="preserve"> </v>
          </cell>
          <cell r="D1574">
            <v>1980</v>
          </cell>
          <cell r="E1574" t="str">
            <v>Avjet Corp</v>
          </cell>
          <cell r="F1574">
            <v>22</v>
          </cell>
          <cell r="G1574">
            <v>29578</v>
          </cell>
          <cell r="I1574" t="str">
            <v>North America</v>
          </cell>
          <cell r="J1574" t="str">
            <v>USA</v>
          </cell>
          <cell r="K1574">
            <v>28671</v>
          </cell>
        </row>
        <row r="1575">
          <cell r="A1575" t="str">
            <v>In service</v>
          </cell>
          <cell r="B1575" t="str">
            <v>Gulfstream Aerospace Gulfstream III</v>
          </cell>
          <cell r="C1575" t="str">
            <v xml:space="preserve"> </v>
          </cell>
          <cell r="D1575">
            <v>1981</v>
          </cell>
          <cell r="E1575" t="str">
            <v>SK Travel LLC</v>
          </cell>
          <cell r="F1575">
            <v>21</v>
          </cell>
          <cell r="G1575">
            <v>29620</v>
          </cell>
          <cell r="I1575" t="str">
            <v>North America</v>
          </cell>
          <cell r="J1575" t="str">
            <v>USA</v>
          </cell>
          <cell r="K1575">
            <v>29402</v>
          </cell>
        </row>
        <row r="1576">
          <cell r="A1576" t="str">
            <v>In service</v>
          </cell>
          <cell r="B1576" t="str">
            <v>Gulfstream Aerospace Gulfstream III</v>
          </cell>
          <cell r="C1576" t="str">
            <v xml:space="preserve"> </v>
          </cell>
          <cell r="D1576">
            <v>1981</v>
          </cell>
          <cell r="E1576" t="str">
            <v>Ziff Aircraft Services Inc</v>
          </cell>
          <cell r="F1576">
            <v>21</v>
          </cell>
          <cell r="G1576">
            <v>29649</v>
          </cell>
          <cell r="I1576" t="str">
            <v>North America</v>
          </cell>
          <cell r="J1576" t="str">
            <v>USA</v>
          </cell>
          <cell r="K1576">
            <v>29036</v>
          </cell>
        </row>
        <row r="1577">
          <cell r="A1577" t="str">
            <v>In service</v>
          </cell>
          <cell r="B1577" t="str">
            <v>Gulfstream Aerospace Gulfstream III</v>
          </cell>
          <cell r="C1577" t="str">
            <v xml:space="preserve"> </v>
          </cell>
          <cell r="D1577">
            <v>1981</v>
          </cell>
          <cell r="E1577" t="str">
            <v>L&amp;L Manufacturing Co</v>
          </cell>
          <cell r="F1577">
            <v>21</v>
          </cell>
          <cell r="G1577">
            <v>29668</v>
          </cell>
          <cell r="I1577" t="str">
            <v>North America</v>
          </cell>
          <cell r="J1577" t="str">
            <v>USA</v>
          </cell>
          <cell r="K1577">
            <v>29036</v>
          </cell>
        </row>
        <row r="1578">
          <cell r="A1578" t="str">
            <v>In service</v>
          </cell>
          <cell r="B1578" t="str">
            <v>Gulfstream Aerospace Gulfstream III</v>
          </cell>
          <cell r="C1578" t="str">
            <v xml:space="preserve"> </v>
          </cell>
          <cell r="D1578">
            <v>1981</v>
          </cell>
          <cell r="E1578" t="str">
            <v>Jet Aviation Private Fleet LLC</v>
          </cell>
          <cell r="F1578">
            <v>21</v>
          </cell>
          <cell r="G1578">
            <v>29685</v>
          </cell>
          <cell r="I1578" t="str">
            <v>North America</v>
          </cell>
          <cell r="J1578" t="str">
            <v>USA</v>
          </cell>
          <cell r="K1578">
            <v>29402</v>
          </cell>
        </row>
        <row r="1579">
          <cell r="A1579" t="str">
            <v>In service</v>
          </cell>
          <cell r="B1579" t="str">
            <v>Gulfstream Aerospace Gulfstream III</v>
          </cell>
          <cell r="C1579" t="str">
            <v xml:space="preserve"> </v>
          </cell>
          <cell r="D1579">
            <v>1981</v>
          </cell>
          <cell r="E1579" t="str">
            <v>Sirvair Corp</v>
          </cell>
          <cell r="F1579">
            <v>21</v>
          </cell>
          <cell r="G1579">
            <v>29710</v>
          </cell>
          <cell r="I1579" t="str">
            <v>North America</v>
          </cell>
          <cell r="J1579" t="str">
            <v>USA</v>
          </cell>
          <cell r="K1579">
            <v>29036</v>
          </cell>
        </row>
        <row r="1580">
          <cell r="A1580" t="str">
            <v>In service</v>
          </cell>
          <cell r="B1580" t="str">
            <v>Gulfstream Aerospace Gulfstream III</v>
          </cell>
          <cell r="C1580" t="str">
            <v xml:space="preserve"> </v>
          </cell>
          <cell r="D1580">
            <v>1981</v>
          </cell>
          <cell r="E1580" t="str">
            <v>Cityair LLC</v>
          </cell>
          <cell r="F1580">
            <v>21</v>
          </cell>
          <cell r="G1580">
            <v>29730</v>
          </cell>
          <cell r="I1580" t="str">
            <v>North America</v>
          </cell>
          <cell r="J1580" t="str">
            <v>USA</v>
          </cell>
          <cell r="K1580">
            <v>28306</v>
          </cell>
        </row>
        <row r="1581">
          <cell r="A1581" t="str">
            <v>In service</v>
          </cell>
          <cell r="B1581" t="str">
            <v>Gulfstream Aerospace Gulfstream III</v>
          </cell>
          <cell r="C1581" t="str">
            <v xml:space="preserve"> </v>
          </cell>
          <cell r="D1581">
            <v>1981</v>
          </cell>
          <cell r="E1581" t="str">
            <v>Northeastern Aviation Corp</v>
          </cell>
          <cell r="F1581">
            <v>21</v>
          </cell>
          <cell r="G1581">
            <v>29715</v>
          </cell>
          <cell r="I1581" t="str">
            <v>North America</v>
          </cell>
          <cell r="J1581" t="str">
            <v>USA</v>
          </cell>
          <cell r="K1581">
            <v>29036</v>
          </cell>
        </row>
        <row r="1582">
          <cell r="A1582" t="str">
            <v>In service</v>
          </cell>
          <cell r="B1582" t="str">
            <v>Gulfstream Aerospace Gulfstream III</v>
          </cell>
          <cell r="C1582" t="str">
            <v xml:space="preserve"> </v>
          </cell>
          <cell r="D1582">
            <v>1981</v>
          </cell>
          <cell r="E1582" t="str">
            <v>Presidential Aviation I Inc</v>
          </cell>
          <cell r="F1582">
            <v>21</v>
          </cell>
          <cell r="G1582">
            <v>29769</v>
          </cell>
          <cell r="I1582" t="str">
            <v>North America</v>
          </cell>
          <cell r="J1582" t="str">
            <v>USA</v>
          </cell>
          <cell r="K1582">
            <v>29036</v>
          </cell>
        </row>
        <row r="1583">
          <cell r="A1583" t="str">
            <v>In service</v>
          </cell>
          <cell r="B1583" t="str">
            <v>Gulfstream Aerospace Gulfstream III</v>
          </cell>
          <cell r="C1583" t="str">
            <v xml:space="preserve"> </v>
          </cell>
          <cell r="D1583">
            <v>1981</v>
          </cell>
          <cell r="E1583" t="str">
            <v>Martin Aviation</v>
          </cell>
          <cell r="F1583">
            <v>21</v>
          </cell>
          <cell r="G1583">
            <v>29781</v>
          </cell>
          <cell r="I1583" t="str">
            <v>North America</v>
          </cell>
          <cell r="J1583" t="str">
            <v>USA</v>
          </cell>
          <cell r="K1583">
            <v>29036</v>
          </cell>
        </row>
        <row r="1584">
          <cell r="A1584" t="str">
            <v>In service</v>
          </cell>
          <cell r="B1584" t="str">
            <v>Gulfstream Aerospace Gulfstream III</v>
          </cell>
          <cell r="C1584" t="str">
            <v xml:space="preserve"> </v>
          </cell>
          <cell r="D1584">
            <v>1981</v>
          </cell>
          <cell r="E1584" t="str">
            <v>Golden Bear International</v>
          </cell>
          <cell r="F1584">
            <v>21</v>
          </cell>
          <cell r="G1584">
            <v>29773</v>
          </cell>
          <cell r="I1584" t="str">
            <v>North America</v>
          </cell>
          <cell r="J1584" t="str">
            <v>USA</v>
          </cell>
          <cell r="K1584">
            <v>29036</v>
          </cell>
        </row>
        <row r="1585">
          <cell r="A1585" t="str">
            <v>In service</v>
          </cell>
          <cell r="B1585" t="str">
            <v>Gulfstream Aerospace Gulfstream III</v>
          </cell>
          <cell r="C1585" t="str">
            <v xml:space="preserve"> </v>
          </cell>
          <cell r="D1585">
            <v>1981</v>
          </cell>
          <cell r="E1585" t="str">
            <v>Royal Commission for Jubail &amp; Yanbu</v>
          </cell>
          <cell r="F1585">
            <v>21</v>
          </cell>
          <cell r="G1585">
            <v>29826</v>
          </cell>
          <cell r="I1585" t="str">
            <v>Middle East</v>
          </cell>
          <cell r="J1585" t="str">
            <v>Saudi Arabia</v>
          </cell>
          <cell r="K1585">
            <v>29036</v>
          </cell>
        </row>
        <row r="1586">
          <cell r="A1586" t="str">
            <v>In service</v>
          </cell>
          <cell r="B1586" t="str">
            <v>Gulfstream Aerospace Gulfstream III</v>
          </cell>
          <cell r="C1586" t="str">
            <v xml:space="preserve"> </v>
          </cell>
          <cell r="D1586">
            <v>1981</v>
          </cell>
          <cell r="E1586" t="str">
            <v>Aether Systems Inc</v>
          </cell>
          <cell r="F1586">
            <v>21</v>
          </cell>
          <cell r="G1586">
            <v>29837</v>
          </cell>
          <cell r="I1586" t="str">
            <v>North America</v>
          </cell>
          <cell r="J1586" t="str">
            <v>USA</v>
          </cell>
          <cell r="K1586">
            <v>29036</v>
          </cell>
        </row>
        <row r="1587">
          <cell r="A1587" t="str">
            <v>In service</v>
          </cell>
          <cell r="B1587" t="str">
            <v>Gulfstream Aerospace Gulfstream III</v>
          </cell>
          <cell r="C1587" t="str">
            <v xml:space="preserve"> </v>
          </cell>
          <cell r="D1587">
            <v>1981</v>
          </cell>
          <cell r="E1587" t="str">
            <v>Coca Cola Bottling Co Consolidated</v>
          </cell>
          <cell r="F1587">
            <v>21</v>
          </cell>
          <cell r="G1587">
            <v>29859</v>
          </cell>
          <cell r="I1587" t="str">
            <v>North America</v>
          </cell>
          <cell r="J1587" t="str">
            <v>USA</v>
          </cell>
          <cell r="K1587">
            <v>29036</v>
          </cell>
        </row>
        <row r="1588">
          <cell r="A1588" t="str">
            <v>In service</v>
          </cell>
          <cell r="B1588" t="str">
            <v>Gulfstream Aerospace Gulfstream III</v>
          </cell>
          <cell r="C1588" t="str">
            <v xml:space="preserve"> </v>
          </cell>
          <cell r="D1588">
            <v>1981</v>
          </cell>
          <cell r="E1588" t="str">
            <v>The Air Group Inc</v>
          </cell>
          <cell r="F1588">
            <v>21</v>
          </cell>
          <cell r="G1588">
            <v>29868</v>
          </cell>
          <cell r="I1588" t="str">
            <v>North America</v>
          </cell>
          <cell r="J1588" t="str">
            <v>USA</v>
          </cell>
          <cell r="K1588">
            <v>29402</v>
          </cell>
        </row>
        <row r="1589">
          <cell r="A1589" t="str">
            <v>In service</v>
          </cell>
          <cell r="B1589" t="str">
            <v>Gulfstream Aerospace Gulfstream III</v>
          </cell>
          <cell r="C1589" t="str">
            <v xml:space="preserve"> </v>
          </cell>
          <cell r="D1589">
            <v>1981</v>
          </cell>
          <cell r="E1589" t="str">
            <v>ITT Flight Operations Inc</v>
          </cell>
          <cell r="F1589">
            <v>21</v>
          </cell>
          <cell r="G1589">
            <v>29896</v>
          </cell>
          <cell r="I1589" t="str">
            <v>North America</v>
          </cell>
          <cell r="J1589" t="str">
            <v>USA</v>
          </cell>
          <cell r="K1589">
            <v>29036</v>
          </cell>
        </row>
        <row r="1590">
          <cell r="A1590" t="str">
            <v>In service</v>
          </cell>
          <cell r="B1590" t="str">
            <v>Gulfstream Aerospace Gulfstream III</v>
          </cell>
          <cell r="C1590" t="str">
            <v xml:space="preserve"> </v>
          </cell>
          <cell r="D1590">
            <v>1981</v>
          </cell>
          <cell r="E1590" t="str">
            <v>DX Service Co Inc &amp; DX Aviation Inc</v>
          </cell>
          <cell r="F1590">
            <v>21</v>
          </cell>
          <cell r="G1590">
            <v>29889</v>
          </cell>
          <cell r="I1590" t="str">
            <v>North America</v>
          </cell>
          <cell r="J1590" t="str">
            <v>USA</v>
          </cell>
          <cell r="K1590">
            <v>29036</v>
          </cell>
        </row>
        <row r="1591">
          <cell r="A1591" t="str">
            <v>In service</v>
          </cell>
          <cell r="B1591" t="str">
            <v>Gulfstream Aerospace Gulfstream III</v>
          </cell>
          <cell r="C1591" t="str">
            <v xml:space="preserve"> </v>
          </cell>
          <cell r="D1591">
            <v>1981</v>
          </cell>
          <cell r="E1591" t="str">
            <v>LP B LLC</v>
          </cell>
          <cell r="F1591">
            <v>21</v>
          </cell>
          <cell r="G1591">
            <v>29902</v>
          </cell>
          <cell r="I1591" t="str">
            <v>North America</v>
          </cell>
          <cell r="J1591" t="str">
            <v>USA</v>
          </cell>
          <cell r="K1591">
            <v>29036</v>
          </cell>
        </row>
        <row r="1592">
          <cell r="A1592" t="str">
            <v>In service</v>
          </cell>
          <cell r="B1592" t="str">
            <v>Gulfstream Aerospace Gulfstream III</v>
          </cell>
          <cell r="C1592" t="str">
            <v xml:space="preserve"> </v>
          </cell>
          <cell r="D1592">
            <v>1981</v>
          </cell>
          <cell r="E1592" t="str">
            <v>Safeway Inc</v>
          </cell>
          <cell r="F1592">
            <v>21</v>
          </cell>
          <cell r="G1592">
            <v>29929</v>
          </cell>
          <cell r="I1592" t="str">
            <v>North America</v>
          </cell>
          <cell r="J1592" t="str">
            <v>USA</v>
          </cell>
          <cell r="K1592">
            <v>29036</v>
          </cell>
        </row>
        <row r="1593">
          <cell r="A1593" t="str">
            <v>In service</v>
          </cell>
          <cell r="B1593" t="str">
            <v>Gulfstream Aerospace Gulfstream III</v>
          </cell>
          <cell r="C1593" t="str">
            <v xml:space="preserve"> </v>
          </cell>
          <cell r="D1593">
            <v>1981</v>
          </cell>
          <cell r="E1593" t="str">
            <v>Salt Aire Associates LLC and Mill Creek Systems LL</v>
          </cell>
          <cell r="F1593">
            <v>21</v>
          </cell>
          <cell r="G1593">
            <v>29933</v>
          </cell>
          <cell r="I1593" t="str">
            <v>North America</v>
          </cell>
          <cell r="J1593" t="str">
            <v>USA</v>
          </cell>
          <cell r="K1593">
            <v>29402</v>
          </cell>
        </row>
        <row r="1594">
          <cell r="A1594" t="str">
            <v>In service</v>
          </cell>
          <cell r="B1594" t="str">
            <v>Gulfstream Aerospace Gulfstream III</v>
          </cell>
          <cell r="C1594" t="str">
            <v xml:space="preserve"> </v>
          </cell>
          <cell r="D1594">
            <v>1981</v>
          </cell>
          <cell r="E1594" t="str">
            <v>First Down Enterprises &amp; Bumi Aviation LLC</v>
          </cell>
          <cell r="F1594">
            <v>21</v>
          </cell>
          <cell r="G1594">
            <v>29950</v>
          </cell>
          <cell r="I1594" t="str">
            <v>North America</v>
          </cell>
          <cell r="J1594" t="str">
            <v>USA</v>
          </cell>
          <cell r="K1594">
            <v>29036</v>
          </cell>
        </row>
        <row r="1595">
          <cell r="A1595" t="str">
            <v>In service</v>
          </cell>
          <cell r="B1595" t="str">
            <v>Gulfstream Aerospace Gulfstream III</v>
          </cell>
          <cell r="C1595" t="str">
            <v xml:space="preserve"> </v>
          </cell>
          <cell r="D1595">
            <v>1981</v>
          </cell>
          <cell r="E1595" t="str">
            <v>Paragon Leasing LLC</v>
          </cell>
          <cell r="F1595">
            <v>21</v>
          </cell>
          <cell r="G1595">
            <v>29943</v>
          </cell>
          <cell r="I1595" t="str">
            <v>North America</v>
          </cell>
          <cell r="J1595" t="str">
            <v>USA</v>
          </cell>
          <cell r="K1595">
            <v>29943</v>
          </cell>
        </row>
        <row r="1596">
          <cell r="A1596" t="str">
            <v>In service</v>
          </cell>
          <cell r="B1596" t="str">
            <v>Gulfstream Aerospace Gulfstream III</v>
          </cell>
          <cell r="C1596" t="str">
            <v xml:space="preserve"> </v>
          </cell>
          <cell r="D1596">
            <v>1981</v>
          </cell>
          <cell r="E1596" t="str">
            <v>Pegasus North Inc</v>
          </cell>
          <cell r="F1596">
            <v>21</v>
          </cell>
          <cell r="G1596">
            <v>29950</v>
          </cell>
          <cell r="I1596" t="str">
            <v>North America</v>
          </cell>
          <cell r="J1596" t="str">
            <v>USA</v>
          </cell>
          <cell r="K1596">
            <v>29036</v>
          </cell>
        </row>
        <row r="1597">
          <cell r="A1597" t="str">
            <v>In service</v>
          </cell>
          <cell r="B1597" t="str">
            <v>Gulfstream Aerospace Gulfstream III</v>
          </cell>
          <cell r="C1597" t="str">
            <v xml:space="preserve"> </v>
          </cell>
          <cell r="D1597">
            <v>1982</v>
          </cell>
          <cell r="E1597" t="str">
            <v>Trans-Exec Air Services Inc</v>
          </cell>
          <cell r="F1597">
            <v>20</v>
          </cell>
          <cell r="G1597">
            <v>29987</v>
          </cell>
          <cell r="I1597" t="str">
            <v>North America</v>
          </cell>
          <cell r="J1597" t="str">
            <v>USA</v>
          </cell>
          <cell r="K1597">
            <v>29402</v>
          </cell>
        </row>
        <row r="1598">
          <cell r="A1598" t="str">
            <v>In service</v>
          </cell>
          <cell r="B1598" t="str">
            <v>Gulfstream Aerospace Gulfstream III</v>
          </cell>
          <cell r="C1598" t="str">
            <v xml:space="preserve"> </v>
          </cell>
          <cell r="D1598">
            <v>1982</v>
          </cell>
          <cell r="E1598" t="str">
            <v>Department of Energy Albuquerque operations Office</v>
          </cell>
          <cell r="F1598">
            <v>20</v>
          </cell>
          <cell r="G1598">
            <v>30002</v>
          </cell>
          <cell r="I1598" t="str">
            <v>North America</v>
          </cell>
          <cell r="J1598" t="str">
            <v>USA</v>
          </cell>
          <cell r="K1598">
            <v>29402</v>
          </cell>
        </row>
        <row r="1599">
          <cell r="A1599" t="str">
            <v>In service</v>
          </cell>
          <cell r="B1599" t="str">
            <v>Gulfstream Aerospace Gulfstream III</v>
          </cell>
          <cell r="C1599" t="str">
            <v xml:space="preserve"> </v>
          </cell>
          <cell r="D1599">
            <v>1982</v>
          </cell>
          <cell r="E1599" t="str">
            <v>Shaw Managed Services Inc</v>
          </cell>
          <cell r="F1599">
            <v>20</v>
          </cell>
          <cell r="G1599">
            <v>30130</v>
          </cell>
          <cell r="I1599" t="str">
            <v>North America</v>
          </cell>
          <cell r="J1599" t="str">
            <v>USA</v>
          </cell>
          <cell r="K1599">
            <v>29767</v>
          </cell>
        </row>
        <row r="1600">
          <cell r="A1600" t="str">
            <v>In service</v>
          </cell>
          <cell r="B1600" t="str">
            <v>Gulfstream Aerospace Gulfstream III</v>
          </cell>
          <cell r="C1600" t="str">
            <v xml:space="preserve"> </v>
          </cell>
          <cell r="D1600">
            <v>1982</v>
          </cell>
          <cell r="E1600" t="str">
            <v>Saudi Oger</v>
          </cell>
          <cell r="F1600">
            <v>20</v>
          </cell>
          <cell r="G1600">
            <v>30035</v>
          </cell>
          <cell r="I1600" t="str">
            <v>Middle East</v>
          </cell>
          <cell r="J1600" t="str">
            <v>Saudi Arabia</v>
          </cell>
          <cell r="K1600">
            <v>29402</v>
          </cell>
        </row>
        <row r="1601">
          <cell r="A1601" t="str">
            <v>In service</v>
          </cell>
          <cell r="B1601" t="str">
            <v>Gulfstream Aerospace Gulfstream III</v>
          </cell>
          <cell r="C1601" t="str">
            <v xml:space="preserve"> </v>
          </cell>
          <cell r="D1601">
            <v>1982</v>
          </cell>
          <cell r="E1601" t="str">
            <v>GC Asset Management LLC</v>
          </cell>
          <cell r="F1601">
            <v>20</v>
          </cell>
          <cell r="G1601">
            <v>30050</v>
          </cell>
          <cell r="I1601" t="str">
            <v>North America</v>
          </cell>
          <cell r="J1601" t="str">
            <v>USA</v>
          </cell>
          <cell r="K1601">
            <v>29402</v>
          </cell>
        </row>
        <row r="1602">
          <cell r="A1602" t="str">
            <v>In service</v>
          </cell>
          <cell r="B1602" t="str">
            <v>Gulfstream Aerospace Gulfstream III</v>
          </cell>
          <cell r="C1602" t="str">
            <v xml:space="preserve"> </v>
          </cell>
          <cell r="D1602">
            <v>1982</v>
          </cell>
          <cell r="E1602" t="str">
            <v>From the Heart Church Ministries</v>
          </cell>
          <cell r="F1602">
            <v>20</v>
          </cell>
          <cell r="G1602">
            <v>30050</v>
          </cell>
          <cell r="I1602" t="str">
            <v>North America</v>
          </cell>
          <cell r="J1602" t="str">
            <v>USA</v>
          </cell>
          <cell r="K1602">
            <v>29402</v>
          </cell>
        </row>
        <row r="1603">
          <cell r="A1603" t="str">
            <v>In service</v>
          </cell>
          <cell r="B1603" t="str">
            <v>Gulfstream Aerospace Gulfstream III</v>
          </cell>
          <cell r="C1603" t="str">
            <v xml:space="preserve"> </v>
          </cell>
          <cell r="D1603">
            <v>1982</v>
          </cell>
          <cell r="E1603" t="str">
            <v>Entepreneurial Asset Management LLC</v>
          </cell>
          <cell r="F1603">
            <v>20</v>
          </cell>
          <cell r="G1603">
            <v>30062</v>
          </cell>
          <cell r="I1603" t="str">
            <v>North America</v>
          </cell>
          <cell r="J1603" t="str">
            <v>USA</v>
          </cell>
          <cell r="K1603">
            <v>29402</v>
          </cell>
        </row>
        <row r="1604">
          <cell r="A1604" t="str">
            <v>In service</v>
          </cell>
          <cell r="B1604" t="str">
            <v>Gulfstream Aerospace Gulfstream III</v>
          </cell>
          <cell r="C1604" t="str">
            <v xml:space="preserve"> </v>
          </cell>
          <cell r="D1604">
            <v>1982</v>
          </cell>
          <cell r="E1604" t="str">
            <v>Amerada Hess Corp</v>
          </cell>
          <cell r="F1604">
            <v>20</v>
          </cell>
          <cell r="G1604">
            <v>30072</v>
          </cell>
          <cell r="I1604" t="str">
            <v>North America</v>
          </cell>
          <cell r="J1604" t="str">
            <v>USA</v>
          </cell>
          <cell r="K1604">
            <v>29402</v>
          </cell>
        </row>
        <row r="1605">
          <cell r="A1605" t="str">
            <v>In service</v>
          </cell>
          <cell r="B1605" t="str">
            <v>Gulfstream Aerospace Gulfstream III</v>
          </cell>
          <cell r="C1605" t="str">
            <v xml:space="preserve"> </v>
          </cell>
          <cell r="D1605">
            <v>1982</v>
          </cell>
          <cell r="E1605" t="str">
            <v>YONA Aviation Corp</v>
          </cell>
          <cell r="F1605">
            <v>20</v>
          </cell>
          <cell r="G1605">
            <v>30082</v>
          </cell>
          <cell r="I1605" t="str">
            <v>North America</v>
          </cell>
          <cell r="J1605" t="str">
            <v>USA</v>
          </cell>
          <cell r="K1605">
            <v>29402</v>
          </cell>
        </row>
        <row r="1606">
          <cell r="A1606" t="str">
            <v>In service</v>
          </cell>
          <cell r="B1606" t="str">
            <v>Gulfstream Aerospace Gulfstream III</v>
          </cell>
          <cell r="C1606" t="str">
            <v xml:space="preserve"> </v>
          </cell>
          <cell r="D1606">
            <v>1982</v>
          </cell>
          <cell r="E1606" t="str">
            <v>Mexican Air Force</v>
          </cell>
          <cell r="F1606">
            <v>20</v>
          </cell>
          <cell r="G1606">
            <v>30089</v>
          </cell>
          <cell r="I1606" t="str">
            <v>Latin America and Caribbean</v>
          </cell>
          <cell r="J1606" t="str">
            <v>Mexico</v>
          </cell>
          <cell r="K1606">
            <v>29402</v>
          </cell>
        </row>
        <row r="1607">
          <cell r="A1607" t="str">
            <v>In service</v>
          </cell>
          <cell r="B1607" t="str">
            <v>Gulfstream Aerospace Gulfstream III</v>
          </cell>
          <cell r="C1607" t="str">
            <v xml:space="preserve"> </v>
          </cell>
          <cell r="D1607">
            <v>1982</v>
          </cell>
          <cell r="E1607" t="str">
            <v>MTF Corp</v>
          </cell>
          <cell r="F1607">
            <v>20</v>
          </cell>
          <cell r="G1607">
            <v>30102</v>
          </cell>
          <cell r="I1607" t="str">
            <v>North America</v>
          </cell>
          <cell r="J1607" t="str">
            <v>USA</v>
          </cell>
          <cell r="K1607">
            <v>29767</v>
          </cell>
        </row>
        <row r="1608">
          <cell r="A1608" t="str">
            <v>In service</v>
          </cell>
          <cell r="B1608" t="str">
            <v>Gulfstream Aerospace Gulfstream III</v>
          </cell>
          <cell r="C1608" t="str">
            <v xml:space="preserve"> </v>
          </cell>
          <cell r="D1608">
            <v>1982</v>
          </cell>
          <cell r="E1608" t="str">
            <v>Newshelf 696 (Pty) Ltd</v>
          </cell>
          <cell r="F1608">
            <v>20</v>
          </cell>
          <cell r="G1608">
            <v>30117</v>
          </cell>
          <cell r="I1608" t="str">
            <v>Africa</v>
          </cell>
          <cell r="J1608" t="str">
            <v>South Africa</v>
          </cell>
          <cell r="K1608">
            <v>29402</v>
          </cell>
        </row>
        <row r="1609">
          <cell r="A1609" t="str">
            <v>In service</v>
          </cell>
          <cell r="B1609" t="str">
            <v>Gulfstream Aerospace Gulfstream III</v>
          </cell>
          <cell r="C1609" t="str">
            <v xml:space="preserve"> </v>
          </cell>
          <cell r="D1609">
            <v>1982</v>
          </cell>
          <cell r="E1609" t="str">
            <v>Academy of Art College</v>
          </cell>
          <cell r="F1609">
            <v>20</v>
          </cell>
          <cell r="G1609">
            <v>30148</v>
          </cell>
          <cell r="I1609" t="str">
            <v>North America</v>
          </cell>
          <cell r="J1609" t="str">
            <v>USA</v>
          </cell>
          <cell r="K1609">
            <v>29402</v>
          </cell>
        </row>
        <row r="1610">
          <cell r="A1610" t="str">
            <v>In service</v>
          </cell>
          <cell r="B1610" t="str">
            <v>Gulfstream Aerospace Gulfstream III</v>
          </cell>
          <cell r="C1610" t="str">
            <v xml:space="preserve"> </v>
          </cell>
          <cell r="D1610">
            <v>1982</v>
          </cell>
          <cell r="E1610" t="str">
            <v>MGM Mirage</v>
          </cell>
          <cell r="F1610">
            <v>20</v>
          </cell>
          <cell r="G1610">
            <v>30818</v>
          </cell>
          <cell r="I1610" t="str">
            <v>North America</v>
          </cell>
          <cell r="J1610" t="str">
            <v>USA</v>
          </cell>
        </row>
        <row r="1611">
          <cell r="A1611" t="str">
            <v>In service</v>
          </cell>
          <cell r="B1611" t="str">
            <v>Gulfstream Aerospace Gulfstream III</v>
          </cell>
          <cell r="C1611" t="str">
            <v xml:space="preserve"> </v>
          </cell>
          <cell r="D1611">
            <v>1982</v>
          </cell>
          <cell r="E1611" t="str">
            <v>International Jet Charter</v>
          </cell>
          <cell r="F1611">
            <v>20</v>
          </cell>
          <cell r="G1611">
            <v>30140</v>
          </cell>
          <cell r="I1611" t="str">
            <v>North America</v>
          </cell>
          <cell r="J1611" t="str">
            <v>USA</v>
          </cell>
          <cell r="K1611">
            <v>29402</v>
          </cell>
        </row>
        <row r="1612">
          <cell r="A1612" t="str">
            <v>In service</v>
          </cell>
          <cell r="B1612" t="str">
            <v>Gulfstream Aerospace Gulfstream III</v>
          </cell>
          <cell r="C1612" t="str">
            <v xml:space="preserve"> </v>
          </cell>
          <cell r="D1612">
            <v>1982</v>
          </cell>
          <cell r="E1612" t="str">
            <v>Crystal Jet Aviation Inc</v>
          </cell>
          <cell r="F1612">
            <v>20</v>
          </cell>
          <cell r="G1612">
            <v>30159</v>
          </cell>
          <cell r="I1612" t="str">
            <v>North America</v>
          </cell>
          <cell r="J1612" t="str">
            <v>USA</v>
          </cell>
          <cell r="K1612">
            <v>29767</v>
          </cell>
        </row>
        <row r="1613">
          <cell r="A1613" t="str">
            <v>In service</v>
          </cell>
          <cell r="B1613" t="str">
            <v>Gulfstream Aerospace Gulfstream III</v>
          </cell>
          <cell r="C1613" t="str">
            <v xml:space="preserve"> </v>
          </cell>
          <cell r="D1613">
            <v>1982</v>
          </cell>
          <cell r="E1613" t="str">
            <v>Jet Aviation Private Fleet LLC</v>
          </cell>
          <cell r="F1613">
            <v>20</v>
          </cell>
          <cell r="G1613">
            <v>30307</v>
          </cell>
          <cell r="I1613" t="str">
            <v>North America</v>
          </cell>
          <cell r="J1613" t="str">
            <v>USA</v>
          </cell>
          <cell r="K1613">
            <v>29402</v>
          </cell>
        </row>
        <row r="1614">
          <cell r="A1614" t="str">
            <v>In service</v>
          </cell>
          <cell r="B1614" t="str">
            <v>Gulfstream Aerospace Gulfstream III</v>
          </cell>
          <cell r="C1614" t="str">
            <v xml:space="preserve"> </v>
          </cell>
          <cell r="D1614">
            <v>1982</v>
          </cell>
          <cell r="E1614" t="str">
            <v>Anadarko Petroleum Corp</v>
          </cell>
          <cell r="F1614">
            <v>20</v>
          </cell>
          <cell r="G1614">
            <v>30181</v>
          </cell>
          <cell r="I1614" t="str">
            <v>North America</v>
          </cell>
          <cell r="J1614" t="str">
            <v>USA</v>
          </cell>
          <cell r="K1614">
            <v>29767</v>
          </cell>
        </row>
        <row r="1615">
          <cell r="A1615" t="str">
            <v>In service</v>
          </cell>
          <cell r="B1615" t="str">
            <v>Gulfstream Aerospace Gulfstream III</v>
          </cell>
          <cell r="C1615" t="str">
            <v xml:space="preserve"> </v>
          </cell>
          <cell r="D1615">
            <v>1982</v>
          </cell>
          <cell r="E1615" t="str">
            <v>Lazy Lane Farms Inc &amp; Perpetual Corp</v>
          </cell>
          <cell r="F1615">
            <v>20</v>
          </cell>
          <cell r="G1615">
            <v>30189</v>
          </cell>
          <cell r="I1615" t="str">
            <v>North America</v>
          </cell>
          <cell r="J1615" t="str">
            <v>USA</v>
          </cell>
          <cell r="K1615">
            <v>29767</v>
          </cell>
        </row>
        <row r="1616">
          <cell r="A1616" t="str">
            <v>In service</v>
          </cell>
          <cell r="B1616" t="str">
            <v>Gulfstream Aerospace Gulfstream III</v>
          </cell>
          <cell r="C1616" t="str">
            <v xml:space="preserve"> </v>
          </cell>
          <cell r="D1616">
            <v>1982</v>
          </cell>
          <cell r="E1616" t="str">
            <v>Atsinger Aviation LLC</v>
          </cell>
          <cell r="F1616">
            <v>20</v>
          </cell>
          <cell r="G1616">
            <v>30203</v>
          </cell>
          <cell r="I1616" t="str">
            <v>North America</v>
          </cell>
          <cell r="J1616" t="str">
            <v>USA</v>
          </cell>
          <cell r="K1616">
            <v>29402</v>
          </cell>
        </row>
        <row r="1617">
          <cell r="A1617" t="str">
            <v>In service</v>
          </cell>
          <cell r="B1617" t="str">
            <v>Gulfstream Aerospace Gulfstream III</v>
          </cell>
          <cell r="C1617" t="str">
            <v xml:space="preserve"> </v>
          </cell>
          <cell r="D1617">
            <v>1982</v>
          </cell>
          <cell r="E1617" t="str">
            <v>Saudi Arabian Airlines</v>
          </cell>
          <cell r="F1617">
            <v>20</v>
          </cell>
          <cell r="G1617">
            <v>30215</v>
          </cell>
          <cell r="I1617" t="str">
            <v>Middle East</v>
          </cell>
          <cell r="J1617" t="str">
            <v>Saudi Arabia</v>
          </cell>
          <cell r="K1617">
            <v>28306</v>
          </cell>
        </row>
        <row r="1618">
          <cell r="A1618" t="str">
            <v>In service</v>
          </cell>
          <cell r="B1618" t="str">
            <v>Gulfstream Aerospace Gulfstream III</v>
          </cell>
          <cell r="C1618" t="str">
            <v xml:space="preserve"> </v>
          </cell>
          <cell r="D1618">
            <v>1982</v>
          </cell>
          <cell r="E1618" t="str">
            <v>Government of Morocco</v>
          </cell>
          <cell r="F1618">
            <v>20</v>
          </cell>
          <cell r="G1618">
            <v>30227</v>
          </cell>
          <cell r="I1618" t="str">
            <v>Africa</v>
          </cell>
          <cell r="J1618" t="str">
            <v>Morocco</v>
          </cell>
          <cell r="K1618">
            <v>28306</v>
          </cell>
        </row>
        <row r="1619">
          <cell r="A1619" t="str">
            <v>In service</v>
          </cell>
          <cell r="B1619" t="str">
            <v>Gulfstream Aerospace Gulfstream III</v>
          </cell>
          <cell r="C1619" t="str">
            <v xml:space="preserve"> </v>
          </cell>
          <cell r="D1619">
            <v>1982</v>
          </cell>
          <cell r="E1619" t="str">
            <v>JetAlliance</v>
          </cell>
          <cell r="F1619">
            <v>20</v>
          </cell>
          <cell r="G1619">
            <v>30224</v>
          </cell>
          <cell r="I1619" t="str">
            <v>North America</v>
          </cell>
          <cell r="J1619" t="str">
            <v>USA</v>
          </cell>
          <cell r="K1619">
            <v>29402</v>
          </cell>
        </row>
        <row r="1620">
          <cell r="A1620" t="str">
            <v>In service</v>
          </cell>
          <cell r="B1620" t="str">
            <v>Gulfstream Aerospace Gulfstream III</v>
          </cell>
          <cell r="C1620" t="str">
            <v xml:space="preserve"> </v>
          </cell>
          <cell r="D1620">
            <v>1982</v>
          </cell>
          <cell r="E1620" t="str">
            <v>Flo-Sun Aircraft Inc</v>
          </cell>
          <cell r="F1620">
            <v>20</v>
          </cell>
          <cell r="G1620">
            <v>30237</v>
          </cell>
          <cell r="I1620" t="str">
            <v>North America</v>
          </cell>
          <cell r="J1620" t="str">
            <v>USA</v>
          </cell>
          <cell r="K1620">
            <v>29402</v>
          </cell>
        </row>
        <row r="1621">
          <cell r="A1621" t="str">
            <v>In service</v>
          </cell>
          <cell r="B1621" t="str">
            <v>Gulfstream Aerospace Gulfstream III</v>
          </cell>
          <cell r="C1621" t="str">
            <v xml:space="preserve"> </v>
          </cell>
          <cell r="D1621">
            <v>1982</v>
          </cell>
          <cell r="E1621" t="str">
            <v>Chartright Air</v>
          </cell>
          <cell r="F1621">
            <v>20</v>
          </cell>
          <cell r="G1621">
            <v>30242</v>
          </cell>
          <cell r="I1621" t="str">
            <v>North America</v>
          </cell>
          <cell r="J1621" t="str">
            <v>Canada</v>
          </cell>
          <cell r="K1621">
            <v>29767</v>
          </cell>
        </row>
        <row r="1622">
          <cell r="A1622" t="str">
            <v>In service</v>
          </cell>
          <cell r="B1622" t="str">
            <v>Gulfstream Aerospace Gulfstream III</v>
          </cell>
          <cell r="C1622" t="str">
            <v xml:space="preserve"> </v>
          </cell>
          <cell r="D1622">
            <v>1982</v>
          </cell>
          <cell r="E1622" t="str">
            <v>Jetaway Air Service LLC</v>
          </cell>
          <cell r="F1622">
            <v>20</v>
          </cell>
          <cell r="G1622">
            <v>30245</v>
          </cell>
          <cell r="I1622" t="str">
            <v>North America</v>
          </cell>
          <cell r="J1622" t="str">
            <v>USA</v>
          </cell>
          <cell r="K1622">
            <v>29402</v>
          </cell>
        </row>
        <row r="1623">
          <cell r="A1623" t="str">
            <v>In service</v>
          </cell>
          <cell r="B1623" t="str">
            <v>Gulfstream Aerospace Gulfstream III</v>
          </cell>
          <cell r="C1623" t="str">
            <v xml:space="preserve"> </v>
          </cell>
          <cell r="D1623">
            <v>1982</v>
          </cell>
          <cell r="E1623" t="str">
            <v>Mainko LLC</v>
          </cell>
          <cell r="F1623">
            <v>20</v>
          </cell>
          <cell r="G1623">
            <v>30257</v>
          </cell>
          <cell r="I1623" t="str">
            <v>North America</v>
          </cell>
          <cell r="J1623" t="str">
            <v>USA</v>
          </cell>
          <cell r="K1623">
            <v>29767</v>
          </cell>
        </row>
        <row r="1624">
          <cell r="A1624" t="str">
            <v>In service</v>
          </cell>
          <cell r="B1624" t="str">
            <v>Gulfstream Aerospace Gulfstream III</v>
          </cell>
          <cell r="C1624" t="str">
            <v xml:space="preserve"> </v>
          </cell>
          <cell r="D1624">
            <v>1982</v>
          </cell>
          <cell r="E1624" t="str">
            <v>Avjet Corp</v>
          </cell>
          <cell r="F1624">
            <v>20</v>
          </cell>
          <cell r="G1624">
            <v>30298</v>
          </cell>
          <cell r="I1624" t="str">
            <v>North America</v>
          </cell>
          <cell r="J1624" t="str">
            <v>USA</v>
          </cell>
          <cell r="K1624">
            <v>29767</v>
          </cell>
        </row>
        <row r="1625">
          <cell r="A1625" t="str">
            <v>In service</v>
          </cell>
          <cell r="B1625" t="str">
            <v>Gulfstream Aerospace Gulfstream III</v>
          </cell>
          <cell r="C1625" t="str">
            <v xml:space="preserve"> </v>
          </cell>
          <cell r="D1625">
            <v>1982</v>
          </cell>
          <cell r="E1625" t="str">
            <v>Keystone Foods Corp</v>
          </cell>
          <cell r="F1625">
            <v>20</v>
          </cell>
          <cell r="G1625">
            <v>30275</v>
          </cell>
          <cell r="I1625" t="str">
            <v>North America</v>
          </cell>
          <cell r="J1625" t="str">
            <v>USA</v>
          </cell>
          <cell r="K1625">
            <v>29767</v>
          </cell>
        </row>
        <row r="1626">
          <cell r="A1626" t="str">
            <v>In service</v>
          </cell>
          <cell r="B1626" t="str">
            <v>Gulfstream Aerospace Gulfstream III</v>
          </cell>
          <cell r="C1626" t="str">
            <v xml:space="preserve"> </v>
          </cell>
          <cell r="D1626">
            <v>1982</v>
          </cell>
          <cell r="E1626" t="str">
            <v>Roberts Aviation LLC</v>
          </cell>
          <cell r="F1626">
            <v>20</v>
          </cell>
          <cell r="G1626">
            <v>30288</v>
          </cell>
          <cell r="I1626" t="str">
            <v>North America</v>
          </cell>
          <cell r="J1626" t="str">
            <v>USA</v>
          </cell>
          <cell r="K1626">
            <v>29767</v>
          </cell>
        </row>
        <row r="1627">
          <cell r="A1627" t="str">
            <v>In service</v>
          </cell>
          <cell r="B1627" t="str">
            <v>Gulfstream Aerospace Gulfstream III</v>
          </cell>
          <cell r="C1627" t="str">
            <v xml:space="preserve"> </v>
          </cell>
          <cell r="D1627">
            <v>1982</v>
          </cell>
          <cell r="E1627" t="str">
            <v>Parke Aviation Corp</v>
          </cell>
          <cell r="F1627">
            <v>20</v>
          </cell>
          <cell r="G1627">
            <v>30288</v>
          </cell>
          <cell r="I1627" t="str">
            <v>North America</v>
          </cell>
          <cell r="J1627" t="str">
            <v>USA</v>
          </cell>
          <cell r="K1627">
            <v>29767</v>
          </cell>
        </row>
        <row r="1628">
          <cell r="A1628" t="str">
            <v>In service</v>
          </cell>
          <cell r="B1628" t="str">
            <v>Gulfstream Aerospace Gulfstream III</v>
          </cell>
          <cell r="C1628" t="str">
            <v xml:space="preserve"> </v>
          </cell>
          <cell r="D1628">
            <v>1982</v>
          </cell>
          <cell r="E1628" t="str">
            <v>Bonzi Aviation Inc</v>
          </cell>
          <cell r="F1628">
            <v>20</v>
          </cell>
          <cell r="G1628">
            <v>30295</v>
          </cell>
          <cell r="I1628" t="str">
            <v>North America</v>
          </cell>
          <cell r="J1628" t="str">
            <v>USA</v>
          </cell>
          <cell r="K1628">
            <v>29402</v>
          </cell>
        </row>
        <row r="1629">
          <cell r="A1629" t="str">
            <v>In service</v>
          </cell>
          <cell r="B1629" t="str">
            <v>Gulfstream Aerospace Gulfstream III</v>
          </cell>
          <cell r="C1629" t="str">
            <v xml:space="preserve"> </v>
          </cell>
          <cell r="D1629">
            <v>1982</v>
          </cell>
          <cell r="E1629" t="str">
            <v>Northwestern Aircraft Capital Corp</v>
          </cell>
          <cell r="F1629">
            <v>20</v>
          </cell>
          <cell r="G1629">
            <v>30315</v>
          </cell>
          <cell r="I1629" t="str">
            <v>North America</v>
          </cell>
          <cell r="J1629" t="str">
            <v>USA</v>
          </cell>
          <cell r="K1629">
            <v>29402</v>
          </cell>
        </row>
        <row r="1630">
          <cell r="A1630" t="str">
            <v>In service</v>
          </cell>
          <cell r="B1630" t="str">
            <v>Gulfstream Aerospace Gulfstream III</v>
          </cell>
          <cell r="C1630" t="str">
            <v xml:space="preserve"> </v>
          </cell>
          <cell r="D1630">
            <v>1982</v>
          </cell>
          <cell r="E1630" t="str">
            <v>Ashton Capital Corp</v>
          </cell>
          <cell r="F1630">
            <v>20</v>
          </cell>
          <cell r="G1630">
            <v>30313</v>
          </cell>
          <cell r="I1630" t="str">
            <v>North America</v>
          </cell>
          <cell r="J1630" t="str">
            <v>USA</v>
          </cell>
          <cell r="K1630">
            <v>29402</v>
          </cell>
        </row>
        <row r="1631">
          <cell r="A1631" t="str">
            <v>In service</v>
          </cell>
          <cell r="B1631" t="str">
            <v>Gulfstream Aerospace Gulfstream III</v>
          </cell>
          <cell r="C1631" t="str">
            <v xml:space="preserve"> </v>
          </cell>
          <cell r="D1631">
            <v>1982</v>
          </cell>
          <cell r="E1631" t="str">
            <v>Automotive Air Charter</v>
          </cell>
          <cell r="F1631">
            <v>20</v>
          </cell>
          <cell r="G1631">
            <v>30313</v>
          </cell>
          <cell r="I1631" t="str">
            <v>North America</v>
          </cell>
          <cell r="J1631" t="str">
            <v>USA</v>
          </cell>
          <cell r="K1631">
            <v>29767</v>
          </cell>
        </row>
        <row r="1632">
          <cell r="A1632" t="str">
            <v>In service</v>
          </cell>
          <cell r="B1632" t="str">
            <v>Gulfstream Aerospace Gulfstream III</v>
          </cell>
          <cell r="C1632" t="str">
            <v xml:space="preserve"> </v>
          </cell>
          <cell r="D1632">
            <v>1982</v>
          </cell>
          <cell r="E1632" t="str">
            <v>Sonoram Charters LLC</v>
          </cell>
          <cell r="F1632">
            <v>20</v>
          </cell>
          <cell r="G1632">
            <v>30337</v>
          </cell>
          <cell r="I1632" t="str">
            <v>North America</v>
          </cell>
          <cell r="J1632" t="str">
            <v>USA</v>
          </cell>
          <cell r="K1632">
            <v>29767</v>
          </cell>
        </row>
        <row r="1633">
          <cell r="A1633" t="str">
            <v>In service</v>
          </cell>
          <cell r="B1633" t="str">
            <v>Gulfstream Aerospace Gulfstream III</v>
          </cell>
          <cell r="C1633" t="str">
            <v xml:space="preserve"> </v>
          </cell>
          <cell r="D1633">
            <v>1983</v>
          </cell>
          <cell r="E1633" t="str">
            <v>LOR Inc</v>
          </cell>
          <cell r="F1633">
            <v>19</v>
          </cell>
          <cell r="G1633">
            <v>30347</v>
          </cell>
          <cell r="I1633" t="str">
            <v>North America</v>
          </cell>
          <cell r="J1633" t="str">
            <v>USA</v>
          </cell>
          <cell r="K1633">
            <v>29767</v>
          </cell>
        </row>
        <row r="1634">
          <cell r="A1634" t="str">
            <v>In service</v>
          </cell>
          <cell r="B1634" t="str">
            <v>Gulfstream Aerospace Gulfstream III</v>
          </cell>
          <cell r="C1634" t="str">
            <v xml:space="preserve"> </v>
          </cell>
          <cell r="D1634">
            <v>1983</v>
          </cell>
          <cell r="E1634" t="str">
            <v>SCS Investments Inc</v>
          </cell>
          <cell r="F1634">
            <v>19</v>
          </cell>
          <cell r="G1634">
            <v>30369</v>
          </cell>
          <cell r="I1634" t="str">
            <v>North America</v>
          </cell>
          <cell r="J1634" t="str">
            <v>USA</v>
          </cell>
          <cell r="K1634">
            <v>29767</v>
          </cell>
        </row>
        <row r="1635">
          <cell r="A1635" t="str">
            <v>In service</v>
          </cell>
          <cell r="B1635" t="str">
            <v>Gulfstream Aerospace Gulfstream III</v>
          </cell>
          <cell r="C1635" t="str">
            <v xml:space="preserve"> </v>
          </cell>
          <cell r="D1635">
            <v>1983</v>
          </cell>
          <cell r="E1635" t="str">
            <v>Zulu Enterprises LLC/National 36 LLC et al</v>
          </cell>
          <cell r="F1635">
            <v>19</v>
          </cell>
          <cell r="G1635">
            <v>30391</v>
          </cell>
          <cell r="I1635" t="str">
            <v>North America</v>
          </cell>
          <cell r="J1635" t="str">
            <v>USA</v>
          </cell>
          <cell r="K1635">
            <v>29767</v>
          </cell>
        </row>
        <row r="1636">
          <cell r="A1636" t="str">
            <v>In service</v>
          </cell>
          <cell r="B1636" t="str">
            <v>Gulfstream Aerospace Gulfstream III</v>
          </cell>
          <cell r="C1636" t="str">
            <v xml:space="preserve"> </v>
          </cell>
          <cell r="D1636">
            <v>1983</v>
          </cell>
          <cell r="E1636" t="str">
            <v>Saudi Aeromedical Evacuation</v>
          </cell>
          <cell r="F1636">
            <v>19</v>
          </cell>
          <cell r="G1636">
            <v>30431</v>
          </cell>
          <cell r="I1636" t="str">
            <v>Middle East</v>
          </cell>
          <cell r="J1636" t="str">
            <v>Saudi Arabia</v>
          </cell>
          <cell r="K1636">
            <v>29767</v>
          </cell>
        </row>
        <row r="1637">
          <cell r="A1637" t="str">
            <v>In service</v>
          </cell>
          <cell r="B1637" t="str">
            <v>Gulfstream Aerospace Gulfstream III</v>
          </cell>
          <cell r="C1637" t="str">
            <v xml:space="preserve"> </v>
          </cell>
          <cell r="D1637">
            <v>1983</v>
          </cell>
          <cell r="E1637" t="str">
            <v>Mexican Air Force</v>
          </cell>
          <cell r="F1637">
            <v>19</v>
          </cell>
          <cell r="G1637">
            <v>30406</v>
          </cell>
          <cell r="I1637" t="str">
            <v>Latin America and Caribbean</v>
          </cell>
          <cell r="J1637" t="str">
            <v>Mexico</v>
          </cell>
          <cell r="K1637">
            <v>30132</v>
          </cell>
        </row>
        <row r="1638">
          <cell r="A1638" t="str">
            <v>In service</v>
          </cell>
          <cell r="B1638" t="str">
            <v>Gulfstream Aerospace Gulfstream III</v>
          </cell>
          <cell r="C1638" t="str">
            <v xml:space="preserve"> </v>
          </cell>
          <cell r="D1638">
            <v>1983</v>
          </cell>
          <cell r="E1638" t="str">
            <v>RMQ Ltd</v>
          </cell>
          <cell r="F1638">
            <v>19</v>
          </cell>
          <cell r="G1638">
            <v>30381</v>
          </cell>
          <cell r="I1638" t="str">
            <v>North America</v>
          </cell>
          <cell r="J1638" t="str">
            <v>USA</v>
          </cell>
          <cell r="K1638">
            <v>29767</v>
          </cell>
        </row>
        <row r="1639">
          <cell r="A1639" t="str">
            <v>In service</v>
          </cell>
          <cell r="B1639" t="str">
            <v>Gulfstream Aerospace Gulfstream III</v>
          </cell>
          <cell r="C1639" t="str">
            <v xml:space="preserve"> </v>
          </cell>
          <cell r="D1639">
            <v>1983</v>
          </cell>
          <cell r="E1639" t="str">
            <v>Continental Aviation Services Inc</v>
          </cell>
          <cell r="F1639">
            <v>19</v>
          </cell>
          <cell r="G1639">
            <v>30418</v>
          </cell>
          <cell r="I1639" t="str">
            <v>North America</v>
          </cell>
          <cell r="J1639" t="str">
            <v>USA</v>
          </cell>
          <cell r="K1639">
            <v>30132</v>
          </cell>
        </row>
        <row r="1640">
          <cell r="A1640" t="str">
            <v>In service</v>
          </cell>
          <cell r="B1640" t="str">
            <v>Gulfstream Aerospace Gulfstream III</v>
          </cell>
          <cell r="C1640" t="str">
            <v xml:space="preserve"> </v>
          </cell>
          <cell r="D1640">
            <v>1983</v>
          </cell>
          <cell r="E1640" t="str">
            <v>Pacific Diversified Investments Inc</v>
          </cell>
          <cell r="F1640">
            <v>19</v>
          </cell>
          <cell r="G1640">
            <v>30409</v>
          </cell>
          <cell r="I1640" t="str">
            <v>North America</v>
          </cell>
          <cell r="J1640" t="str">
            <v>USA</v>
          </cell>
          <cell r="K1640">
            <v>29767</v>
          </cell>
        </row>
        <row r="1641">
          <cell r="A1641" t="str">
            <v>In service</v>
          </cell>
          <cell r="B1641" t="str">
            <v>Gulfstream Aerospace Gulfstream III</v>
          </cell>
          <cell r="C1641" t="str">
            <v xml:space="preserve"> </v>
          </cell>
          <cell r="D1641">
            <v>1983</v>
          </cell>
          <cell r="E1641" t="str">
            <v>JetAlliance</v>
          </cell>
          <cell r="F1641">
            <v>19</v>
          </cell>
          <cell r="G1641">
            <v>30467</v>
          </cell>
          <cell r="I1641" t="str">
            <v>North America</v>
          </cell>
          <cell r="J1641" t="str">
            <v>USA</v>
          </cell>
          <cell r="K1641">
            <v>29767</v>
          </cell>
        </row>
        <row r="1642">
          <cell r="A1642" t="str">
            <v>In service</v>
          </cell>
          <cell r="B1642" t="str">
            <v>Gulfstream Aerospace Gulfstream III</v>
          </cell>
          <cell r="C1642" t="str">
            <v xml:space="preserve"> </v>
          </cell>
          <cell r="D1642">
            <v>1983</v>
          </cell>
          <cell r="E1642" t="str">
            <v>Aircraft Network LLC</v>
          </cell>
          <cell r="F1642">
            <v>19</v>
          </cell>
          <cell r="G1642">
            <v>30467</v>
          </cell>
          <cell r="I1642" t="str">
            <v>North America</v>
          </cell>
          <cell r="J1642" t="str">
            <v>USA</v>
          </cell>
          <cell r="K1642">
            <v>29767</v>
          </cell>
        </row>
        <row r="1643">
          <cell r="A1643" t="str">
            <v>In service</v>
          </cell>
          <cell r="B1643" t="str">
            <v>Gulfstream Aerospace Gulfstream III</v>
          </cell>
          <cell r="C1643" t="str">
            <v xml:space="preserve"> </v>
          </cell>
          <cell r="D1643">
            <v>1983</v>
          </cell>
          <cell r="E1643" t="str">
            <v>A &amp; F Aircraft Leasing LLC</v>
          </cell>
          <cell r="F1643">
            <v>19</v>
          </cell>
          <cell r="G1643">
            <v>30497</v>
          </cell>
          <cell r="I1643" t="str">
            <v>North America</v>
          </cell>
          <cell r="J1643" t="str">
            <v>USA</v>
          </cell>
          <cell r="K1643">
            <v>29767</v>
          </cell>
        </row>
        <row r="1644">
          <cell r="A1644" t="str">
            <v>In service</v>
          </cell>
          <cell r="B1644" t="str">
            <v>Gulfstream Aerospace Gulfstream III</v>
          </cell>
          <cell r="C1644" t="str">
            <v xml:space="preserve"> </v>
          </cell>
          <cell r="D1644">
            <v>1983</v>
          </cell>
          <cell r="E1644" t="str">
            <v>Nexxus Products</v>
          </cell>
          <cell r="F1644">
            <v>19</v>
          </cell>
          <cell r="G1644">
            <v>30589</v>
          </cell>
          <cell r="I1644" t="str">
            <v>North America</v>
          </cell>
          <cell r="J1644" t="str">
            <v>USA</v>
          </cell>
          <cell r="K1644">
            <v>29767</v>
          </cell>
        </row>
        <row r="1645">
          <cell r="A1645" t="str">
            <v>In service</v>
          </cell>
          <cell r="B1645" t="str">
            <v>Gulfstream Aerospace Gulfstream III</v>
          </cell>
          <cell r="C1645" t="str">
            <v xml:space="preserve"> </v>
          </cell>
          <cell r="D1645">
            <v>1983</v>
          </cell>
          <cell r="E1645" t="str">
            <v>Northwestern Aircraft Capital Corp</v>
          </cell>
          <cell r="F1645">
            <v>19</v>
          </cell>
          <cell r="G1645">
            <v>30497</v>
          </cell>
          <cell r="I1645" t="str">
            <v>North America</v>
          </cell>
          <cell r="J1645" t="str">
            <v>USA</v>
          </cell>
          <cell r="K1645">
            <v>29767</v>
          </cell>
        </row>
        <row r="1646">
          <cell r="A1646" t="str">
            <v>In service</v>
          </cell>
          <cell r="B1646" t="str">
            <v>Gulfstream Aerospace Gulfstream III</v>
          </cell>
          <cell r="C1646" t="str">
            <v xml:space="preserve"> </v>
          </cell>
          <cell r="D1646">
            <v>1983</v>
          </cell>
          <cell r="E1646" t="str">
            <v>Bentley Aviation LLC</v>
          </cell>
          <cell r="F1646">
            <v>19</v>
          </cell>
          <cell r="G1646">
            <v>30497</v>
          </cell>
          <cell r="I1646" t="str">
            <v>North America</v>
          </cell>
          <cell r="J1646" t="str">
            <v>USA</v>
          </cell>
          <cell r="K1646">
            <v>29767</v>
          </cell>
        </row>
        <row r="1647">
          <cell r="A1647" t="str">
            <v>In service</v>
          </cell>
          <cell r="B1647" t="str">
            <v>Gulfstream Aerospace Gulfstream III</v>
          </cell>
          <cell r="C1647" t="str">
            <v xml:space="preserve"> </v>
          </cell>
          <cell r="D1647">
            <v>1983</v>
          </cell>
          <cell r="E1647" t="str">
            <v>Citadel Broadcasting Corp</v>
          </cell>
          <cell r="F1647">
            <v>19</v>
          </cell>
          <cell r="G1647">
            <v>30528</v>
          </cell>
          <cell r="I1647" t="str">
            <v>North America</v>
          </cell>
          <cell r="J1647" t="str">
            <v>USA</v>
          </cell>
          <cell r="K1647">
            <v>30132</v>
          </cell>
        </row>
        <row r="1648">
          <cell r="A1648" t="str">
            <v>In service</v>
          </cell>
          <cell r="B1648" t="str">
            <v>Gulfstream Aerospace Gulfstream III</v>
          </cell>
          <cell r="C1648" t="str">
            <v xml:space="preserve"> </v>
          </cell>
          <cell r="D1648">
            <v>1983</v>
          </cell>
          <cell r="E1648" t="str">
            <v>Crescent Ridge Aviation Inc</v>
          </cell>
          <cell r="F1648">
            <v>19</v>
          </cell>
          <cell r="G1648">
            <v>30528</v>
          </cell>
          <cell r="I1648" t="str">
            <v>North America</v>
          </cell>
          <cell r="J1648" t="str">
            <v>USA</v>
          </cell>
          <cell r="K1648">
            <v>30132</v>
          </cell>
        </row>
        <row r="1649">
          <cell r="A1649" t="str">
            <v>In service</v>
          </cell>
          <cell r="B1649" t="str">
            <v>Gulfstream Aerospace Gulfstream III</v>
          </cell>
          <cell r="C1649" t="str">
            <v xml:space="preserve"> </v>
          </cell>
          <cell r="D1649">
            <v>1983</v>
          </cell>
          <cell r="E1649" t="str">
            <v>Nu Skin USA Inc</v>
          </cell>
          <cell r="F1649">
            <v>19</v>
          </cell>
          <cell r="G1649">
            <v>30559</v>
          </cell>
          <cell r="I1649" t="str">
            <v>North America</v>
          </cell>
          <cell r="J1649" t="str">
            <v>USA</v>
          </cell>
          <cell r="K1649">
            <v>29767</v>
          </cell>
        </row>
        <row r="1650">
          <cell r="A1650" t="str">
            <v>In service</v>
          </cell>
          <cell r="B1650" t="str">
            <v>Gulfstream Aerospace Gulfstream III</v>
          </cell>
          <cell r="C1650" t="str">
            <v xml:space="preserve"> </v>
          </cell>
          <cell r="D1650">
            <v>1983</v>
          </cell>
          <cell r="E1650" t="str">
            <v>Emerson Fitipaldi</v>
          </cell>
          <cell r="F1650">
            <v>19</v>
          </cell>
          <cell r="G1650">
            <v>30559</v>
          </cell>
          <cell r="I1650" t="str">
            <v>North America</v>
          </cell>
          <cell r="J1650" t="str">
            <v>USA</v>
          </cell>
          <cell r="K1650">
            <v>29767</v>
          </cell>
        </row>
        <row r="1651">
          <cell r="A1651" t="str">
            <v>In service</v>
          </cell>
          <cell r="B1651" t="str">
            <v>Gulfstream Aerospace Gulfstream III</v>
          </cell>
          <cell r="C1651" t="str">
            <v xml:space="preserve"> </v>
          </cell>
          <cell r="D1651">
            <v>1983</v>
          </cell>
          <cell r="E1651" t="str">
            <v>JGL Aviation LLC</v>
          </cell>
          <cell r="F1651">
            <v>19</v>
          </cell>
          <cell r="G1651">
            <v>30559</v>
          </cell>
          <cell r="I1651" t="str">
            <v>North America</v>
          </cell>
          <cell r="J1651" t="str">
            <v>USA</v>
          </cell>
          <cell r="K1651">
            <v>30132</v>
          </cell>
        </row>
        <row r="1652">
          <cell r="A1652" t="str">
            <v>In service</v>
          </cell>
          <cell r="B1652" t="str">
            <v>Gulfstream Aerospace Gulfstream III</v>
          </cell>
          <cell r="C1652" t="str">
            <v xml:space="preserve"> </v>
          </cell>
          <cell r="D1652">
            <v>1983</v>
          </cell>
          <cell r="E1652" t="str">
            <v>Servicios Aereos Norte Sur SA</v>
          </cell>
          <cell r="F1652">
            <v>19</v>
          </cell>
          <cell r="G1652">
            <v>30589</v>
          </cell>
          <cell r="I1652" t="str">
            <v>Latin America and Caribbean</v>
          </cell>
          <cell r="J1652" t="str">
            <v>Mexico</v>
          </cell>
          <cell r="K1652">
            <v>29767</v>
          </cell>
        </row>
        <row r="1653">
          <cell r="A1653" t="str">
            <v>In service</v>
          </cell>
          <cell r="B1653" t="str">
            <v>Gulfstream Aerospace Gulfstream III</v>
          </cell>
          <cell r="C1653" t="str">
            <v xml:space="preserve"> </v>
          </cell>
          <cell r="D1653">
            <v>1983</v>
          </cell>
          <cell r="E1653" t="str">
            <v>Jet Star LLC</v>
          </cell>
          <cell r="F1653">
            <v>19</v>
          </cell>
          <cell r="G1653">
            <v>30589</v>
          </cell>
          <cell r="I1653" t="str">
            <v>North America</v>
          </cell>
          <cell r="J1653" t="str">
            <v>USA</v>
          </cell>
          <cell r="K1653">
            <v>30132</v>
          </cell>
        </row>
        <row r="1654">
          <cell r="A1654" t="str">
            <v>In service</v>
          </cell>
          <cell r="B1654" t="str">
            <v>Gulfstream Aerospace Gulfstream III</v>
          </cell>
          <cell r="C1654" t="str">
            <v xml:space="preserve"> </v>
          </cell>
          <cell r="D1654">
            <v>1983</v>
          </cell>
          <cell r="E1654" t="str">
            <v>448 Alliance Corp</v>
          </cell>
          <cell r="F1654">
            <v>19</v>
          </cell>
          <cell r="G1654">
            <v>30589</v>
          </cell>
          <cell r="I1654" t="str">
            <v>North America</v>
          </cell>
          <cell r="J1654" t="str">
            <v>USA</v>
          </cell>
          <cell r="K1654">
            <v>29767</v>
          </cell>
        </row>
        <row r="1655">
          <cell r="A1655" t="str">
            <v>In service</v>
          </cell>
          <cell r="B1655" t="str">
            <v>Gulfstream Aerospace Gulfstream III</v>
          </cell>
          <cell r="C1655" t="str">
            <v xml:space="preserve"> </v>
          </cell>
          <cell r="D1655">
            <v>1983</v>
          </cell>
          <cell r="E1655" t="str">
            <v>United States Steel Corp</v>
          </cell>
          <cell r="F1655">
            <v>19</v>
          </cell>
          <cell r="G1655">
            <v>30620</v>
          </cell>
          <cell r="I1655" t="str">
            <v>North America</v>
          </cell>
          <cell r="J1655" t="str">
            <v>USA</v>
          </cell>
          <cell r="K1655">
            <v>29767</v>
          </cell>
        </row>
        <row r="1656">
          <cell r="A1656" t="str">
            <v>In service</v>
          </cell>
          <cell r="B1656" t="str">
            <v>Gulfstream Aerospace Gulfstream III</v>
          </cell>
          <cell r="C1656" t="str">
            <v xml:space="preserve"> </v>
          </cell>
          <cell r="D1656">
            <v>1983</v>
          </cell>
          <cell r="E1656" t="str">
            <v>Mary Kay Inc</v>
          </cell>
          <cell r="F1656">
            <v>19</v>
          </cell>
          <cell r="G1656">
            <v>30620</v>
          </cell>
          <cell r="I1656" t="str">
            <v>North America</v>
          </cell>
          <cell r="J1656" t="str">
            <v>USA</v>
          </cell>
          <cell r="K1656">
            <v>30132</v>
          </cell>
        </row>
        <row r="1657">
          <cell r="A1657" t="str">
            <v>In service</v>
          </cell>
          <cell r="B1657" t="str">
            <v>Gulfstream Aerospace Gulfstream III</v>
          </cell>
          <cell r="C1657" t="str">
            <v xml:space="preserve"> </v>
          </cell>
          <cell r="D1657">
            <v>1983</v>
          </cell>
          <cell r="E1657" t="str">
            <v>A&amp;A Aviation Inc</v>
          </cell>
          <cell r="F1657">
            <v>19</v>
          </cell>
          <cell r="G1657">
            <v>30650</v>
          </cell>
          <cell r="I1657" t="str">
            <v>North America</v>
          </cell>
          <cell r="J1657" t="str">
            <v>USA</v>
          </cell>
          <cell r="K1657">
            <v>30132</v>
          </cell>
        </row>
        <row r="1658">
          <cell r="A1658" t="str">
            <v>In service</v>
          </cell>
          <cell r="B1658" t="str">
            <v>Gulfstream Aerospace Gulfstream III</v>
          </cell>
          <cell r="C1658" t="str">
            <v xml:space="preserve"> </v>
          </cell>
          <cell r="D1658">
            <v>1983</v>
          </cell>
          <cell r="E1658" t="str">
            <v>Saudi Arabian Airlines</v>
          </cell>
          <cell r="F1658">
            <v>19</v>
          </cell>
          <cell r="G1658">
            <v>30650</v>
          </cell>
          <cell r="I1658" t="str">
            <v>Middle East</v>
          </cell>
          <cell r="J1658" t="str">
            <v>Saudi Arabia</v>
          </cell>
          <cell r="K1658">
            <v>29767</v>
          </cell>
        </row>
        <row r="1659">
          <cell r="A1659" t="str">
            <v>In service</v>
          </cell>
          <cell r="B1659" t="str">
            <v>Gulfstream Aerospace Gulfstream III</v>
          </cell>
          <cell r="C1659" t="str">
            <v xml:space="preserve"> </v>
          </cell>
          <cell r="D1659">
            <v>1983</v>
          </cell>
          <cell r="E1659" t="str">
            <v>Deeside Trading Co Ltd</v>
          </cell>
          <cell r="F1659">
            <v>19</v>
          </cell>
          <cell r="G1659">
            <v>30650</v>
          </cell>
          <cell r="I1659" t="str">
            <v>North America</v>
          </cell>
          <cell r="J1659" t="str">
            <v>USA</v>
          </cell>
          <cell r="K1659">
            <v>29767</v>
          </cell>
        </row>
        <row r="1660">
          <cell r="A1660" t="str">
            <v>In service</v>
          </cell>
          <cell r="B1660" t="str">
            <v>Gulfstream Aerospace Gulfstream III</v>
          </cell>
          <cell r="C1660" t="str">
            <v xml:space="preserve"> </v>
          </cell>
          <cell r="D1660">
            <v>1983</v>
          </cell>
          <cell r="E1660" t="str">
            <v>Oxy Petroleum Inc</v>
          </cell>
          <cell r="F1660">
            <v>19</v>
          </cell>
          <cell r="G1660">
            <v>30650</v>
          </cell>
          <cell r="I1660" t="str">
            <v>North America</v>
          </cell>
          <cell r="J1660" t="str">
            <v>USA</v>
          </cell>
          <cell r="K1660">
            <v>30132</v>
          </cell>
        </row>
        <row r="1661">
          <cell r="A1661" t="str">
            <v>In service</v>
          </cell>
          <cell r="B1661" t="str">
            <v>Gulfstream Aerospace Gulfstream III</v>
          </cell>
          <cell r="C1661" t="str">
            <v xml:space="preserve"> </v>
          </cell>
          <cell r="D1661">
            <v>1983</v>
          </cell>
          <cell r="E1661" t="str">
            <v>ACG3 LLC</v>
          </cell>
          <cell r="F1661">
            <v>19</v>
          </cell>
          <cell r="G1661">
            <v>30681</v>
          </cell>
          <cell r="I1661" t="str">
            <v>North America</v>
          </cell>
          <cell r="J1661" t="str">
            <v>USA</v>
          </cell>
          <cell r="K1661">
            <v>29767</v>
          </cell>
        </row>
        <row r="1662">
          <cell r="A1662" t="str">
            <v>In service</v>
          </cell>
          <cell r="B1662" t="str">
            <v>Gulfstream Aerospace Gulfstream III</v>
          </cell>
          <cell r="C1662" t="str">
            <v xml:space="preserve"> </v>
          </cell>
          <cell r="D1662">
            <v>1983</v>
          </cell>
          <cell r="E1662" t="str">
            <v>Harwinton Aviation LLC</v>
          </cell>
          <cell r="F1662">
            <v>19</v>
          </cell>
          <cell r="G1662">
            <v>30681</v>
          </cell>
          <cell r="I1662" t="str">
            <v>North America</v>
          </cell>
          <cell r="J1662" t="str">
            <v>USA</v>
          </cell>
          <cell r="K1662">
            <v>29767</v>
          </cell>
        </row>
        <row r="1663">
          <cell r="A1663" t="str">
            <v>In service</v>
          </cell>
          <cell r="B1663" t="str">
            <v>Gulfstream Aerospace Gulfstream III</v>
          </cell>
          <cell r="C1663" t="str">
            <v xml:space="preserve"> </v>
          </cell>
          <cell r="D1663">
            <v>1983</v>
          </cell>
          <cell r="E1663" t="str">
            <v>Nadir Industries Ltd</v>
          </cell>
          <cell r="F1663">
            <v>19</v>
          </cell>
          <cell r="G1663">
            <v>30712</v>
          </cell>
          <cell r="I1663" t="str">
            <v>Unknown area</v>
          </cell>
          <cell r="J1663" t="str">
            <v>Unknown Country</v>
          </cell>
          <cell r="K1663">
            <v>30132</v>
          </cell>
        </row>
        <row r="1664">
          <cell r="A1664" t="str">
            <v>In service</v>
          </cell>
          <cell r="B1664" t="str">
            <v>Gulfstream Aerospace Gulfstream III</v>
          </cell>
          <cell r="C1664" t="str">
            <v xml:space="preserve"> </v>
          </cell>
          <cell r="D1664">
            <v>1983</v>
          </cell>
          <cell r="E1664" t="str">
            <v>Teratorn LLC</v>
          </cell>
          <cell r="F1664">
            <v>19</v>
          </cell>
          <cell r="G1664">
            <v>30712</v>
          </cell>
          <cell r="I1664" t="str">
            <v>North America</v>
          </cell>
          <cell r="J1664" t="str">
            <v>USA</v>
          </cell>
          <cell r="K1664">
            <v>30132</v>
          </cell>
        </row>
        <row r="1665">
          <cell r="A1665" t="str">
            <v>In service</v>
          </cell>
          <cell r="B1665" t="str">
            <v>Gulfstream Aerospace Gulfstream III</v>
          </cell>
          <cell r="C1665" t="str">
            <v xml:space="preserve"> </v>
          </cell>
          <cell r="D1665">
            <v>1983</v>
          </cell>
          <cell r="E1665" t="str">
            <v>JT Aviation Corp</v>
          </cell>
          <cell r="F1665">
            <v>19</v>
          </cell>
          <cell r="G1665">
            <v>30712</v>
          </cell>
          <cell r="I1665" t="str">
            <v>North America</v>
          </cell>
          <cell r="J1665" t="str">
            <v>USA</v>
          </cell>
          <cell r="K1665">
            <v>30132</v>
          </cell>
        </row>
        <row r="1666">
          <cell r="A1666" t="str">
            <v>In service</v>
          </cell>
          <cell r="B1666" t="str">
            <v>Gulfstream Aerospace Gulfstream III</v>
          </cell>
          <cell r="C1666" t="str">
            <v xml:space="preserve"> </v>
          </cell>
          <cell r="D1666">
            <v>1983</v>
          </cell>
          <cell r="E1666" t="str">
            <v>World Heir Inc</v>
          </cell>
          <cell r="F1666">
            <v>19</v>
          </cell>
          <cell r="G1666">
            <v>30741</v>
          </cell>
          <cell r="I1666" t="str">
            <v>North America</v>
          </cell>
          <cell r="J1666" t="str">
            <v>USA</v>
          </cell>
          <cell r="K1666">
            <v>30132</v>
          </cell>
        </row>
        <row r="1667">
          <cell r="A1667" t="str">
            <v>In service</v>
          </cell>
          <cell r="B1667" t="str">
            <v>Gulfstream Aerospace Gulfstream III</v>
          </cell>
          <cell r="C1667" t="str">
            <v xml:space="preserve"> </v>
          </cell>
          <cell r="D1667">
            <v>1984</v>
          </cell>
          <cell r="E1667" t="str">
            <v>Indian Air Force</v>
          </cell>
          <cell r="F1667">
            <v>18</v>
          </cell>
          <cell r="G1667">
            <v>31928</v>
          </cell>
          <cell r="H1667" t="str">
            <v>SRA-1</v>
          </cell>
          <cell r="I1667" t="str">
            <v>Asia</v>
          </cell>
          <cell r="J1667" t="str">
            <v>India</v>
          </cell>
        </row>
        <row r="1668">
          <cell r="A1668" t="str">
            <v>In service</v>
          </cell>
          <cell r="B1668" t="str">
            <v>Gulfstream Aerospace Gulfstream III</v>
          </cell>
          <cell r="C1668" t="str">
            <v xml:space="preserve"> </v>
          </cell>
          <cell r="D1668">
            <v>1984</v>
          </cell>
          <cell r="E1668" t="str">
            <v>Fertitta Enterprises</v>
          </cell>
          <cell r="F1668">
            <v>18</v>
          </cell>
          <cell r="G1668">
            <v>30741</v>
          </cell>
          <cell r="I1668" t="str">
            <v>North America</v>
          </cell>
          <cell r="J1668" t="str">
            <v>USA</v>
          </cell>
          <cell r="K1668">
            <v>30132</v>
          </cell>
        </row>
        <row r="1669">
          <cell r="A1669" t="str">
            <v>In service</v>
          </cell>
          <cell r="B1669" t="str">
            <v>Gulfstream Aerospace Gulfstream III</v>
          </cell>
          <cell r="C1669" t="str">
            <v xml:space="preserve"> </v>
          </cell>
          <cell r="D1669">
            <v>1984</v>
          </cell>
          <cell r="E1669" t="str">
            <v>Owen-Illinois Leasing Inc</v>
          </cell>
          <cell r="F1669">
            <v>18</v>
          </cell>
          <cell r="G1669">
            <v>30772</v>
          </cell>
          <cell r="I1669" t="str">
            <v>North America</v>
          </cell>
          <cell r="J1669" t="str">
            <v>USA</v>
          </cell>
          <cell r="K1669">
            <v>30132</v>
          </cell>
        </row>
        <row r="1670">
          <cell r="A1670" t="str">
            <v>In service</v>
          </cell>
          <cell r="B1670" t="str">
            <v>Gulfstream Aerospace Gulfstream III</v>
          </cell>
          <cell r="C1670" t="str">
            <v xml:space="preserve"> </v>
          </cell>
          <cell r="D1670">
            <v>1984</v>
          </cell>
          <cell r="E1670" t="str">
            <v>ChevronTexaco Corp</v>
          </cell>
          <cell r="F1670">
            <v>18</v>
          </cell>
          <cell r="G1670">
            <v>30772</v>
          </cell>
          <cell r="I1670" t="str">
            <v>North America</v>
          </cell>
          <cell r="J1670" t="str">
            <v>USA</v>
          </cell>
          <cell r="K1670">
            <v>30132</v>
          </cell>
        </row>
        <row r="1671">
          <cell r="A1671" t="str">
            <v>In service</v>
          </cell>
          <cell r="B1671" t="str">
            <v>Gulfstream Aerospace Gulfstream III</v>
          </cell>
          <cell r="C1671" t="str">
            <v xml:space="preserve"> </v>
          </cell>
          <cell r="D1671">
            <v>1984</v>
          </cell>
          <cell r="E1671" t="str">
            <v>Texas Aviation Sales &amp; Leasing LLC</v>
          </cell>
          <cell r="F1671">
            <v>18</v>
          </cell>
          <cell r="G1671">
            <v>30772</v>
          </cell>
          <cell r="I1671" t="str">
            <v>North America</v>
          </cell>
          <cell r="J1671" t="str">
            <v>USA</v>
          </cell>
          <cell r="K1671">
            <v>30132</v>
          </cell>
        </row>
        <row r="1672">
          <cell r="A1672" t="str">
            <v>In service</v>
          </cell>
          <cell r="B1672" t="str">
            <v>Gulfstream Aerospace Gulfstream III</v>
          </cell>
          <cell r="C1672" t="str">
            <v xml:space="preserve"> </v>
          </cell>
          <cell r="D1672">
            <v>1984</v>
          </cell>
          <cell r="E1672" t="str">
            <v>Sonic Financial Corp</v>
          </cell>
          <cell r="F1672">
            <v>18</v>
          </cell>
          <cell r="G1672">
            <v>30772</v>
          </cell>
          <cell r="I1672" t="str">
            <v>North America</v>
          </cell>
          <cell r="J1672" t="str">
            <v>USA</v>
          </cell>
          <cell r="K1672">
            <v>30132</v>
          </cell>
        </row>
        <row r="1673">
          <cell r="A1673" t="str">
            <v>In service</v>
          </cell>
          <cell r="B1673" t="str">
            <v>Gulfstream Aerospace Gulfstream III</v>
          </cell>
          <cell r="C1673" t="str">
            <v xml:space="preserve"> </v>
          </cell>
          <cell r="D1673">
            <v>1984</v>
          </cell>
          <cell r="E1673" t="str">
            <v>New World Jet Corp</v>
          </cell>
          <cell r="F1673">
            <v>18</v>
          </cell>
          <cell r="G1673">
            <v>30802</v>
          </cell>
          <cell r="I1673" t="str">
            <v>North America</v>
          </cell>
          <cell r="J1673" t="str">
            <v>USA</v>
          </cell>
          <cell r="K1673">
            <v>30497</v>
          </cell>
        </row>
        <row r="1674">
          <cell r="A1674" t="str">
            <v>In service</v>
          </cell>
          <cell r="B1674" t="str">
            <v>Gulfstream Aerospace Gulfstream III</v>
          </cell>
          <cell r="C1674" t="str">
            <v xml:space="preserve"> </v>
          </cell>
          <cell r="D1674">
            <v>1984</v>
          </cell>
          <cell r="E1674" t="str">
            <v>C&amp;S Aviation Ltd</v>
          </cell>
          <cell r="F1674">
            <v>18</v>
          </cell>
          <cell r="G1674">
            <v>30833</v>
          </cell>
          <cell r="I1674" t="str">
            <v>North America</v>
          </cell>
          <cell r="J1674" t="str">
            <v>USA</v>
          </cell>
          <cell r="K1674">
            <v>30497</v>
          </cell>
        </row>
        <row r="1675">
          <cell r="A1675" t="str">
            <v>In service</v>
          </cell>
          <cell r="B1675" t="str">
            <v>Gulfstream Aerospace Gulfstream III</v>
          </cell>
          <cell r="C1675" t="str">
            <v xml:space="preserve"> </v>
          </cell>
          <cell r="D1675">
            <v>1984</v>
          </cell>
          <cell r="E1675" t="str">
            <v>Papa Grande Aviation LLC</v>
          </cell>
          <cell r="F1675">
            <v>18</v>
          </cell>
          <cell r="G1675">
            <v>30833</v>
          </cell>
          <cell r="I1675" t="str">
            <v>North America</v>
          </cell>
          <cell r="J1675" t="str">
            <v>USA</v>
          </cell>
          <cell r="K1675">
            <v>30132</v>
          </cell>
        </row>
        <row r="1676">
          <cell r="A1676" t="str">
            <v>In service</v>
          </cell>
          <cell r="B1676" t="str">
            <v>Gulfstream Aerospace Gulfstream III</v>
          </cell>
          <cell r="C1676" t="str">
            <v xml:space="preserve"> </v>
          </cell>
          <cell r="D1676">
            <v>1984</v>
          </cell>
          <cell r="E1676" t="str">
            <v>Harbour Group Industries Inc</v>
          </cell>
          <cell r="F1676">
            <v>18</v>
          </cell>
          <cell r="G1676">
            <v>30833</v>
          </cell>
          <cell r="I1676" t="str">
            <v>North America</v>
          </cell>
          <cell r="J1676" t="str">
            <v>USA</v>
          </cell>
          <cell r="K1676">
            <v>30132</v>
          </cell>
        </row>
        <row r="1677">
          <cell r="A1677" t="str">
            <v>In service</v>
          </cell>
          <cell r="B1677" t="str">
            <v>Gulfstream Aerospace Gulfstream III</v>
          </cell>
          <cell r="C1677" t="str">
            <v xml:space="preserve"> </v>
          </cell>
          <cell r="D1677">
            <v>1984</v>
          </cell>
          <cell r="E1677" t="str">
            <v>Tenet Healthcare Corp</v>
          </cell>
          <cell r="F1677">
            <v>18</v>
          </cell>
          <cell r="G1677">
            <v>30833</v>
          </cell>
          <cell r="I1677" t="str">
            <v>North America</v>
          </cell>
          <cell r="J1677" t="str">
            <v>USA</v>
          </cell>
          <cell r="K1677">
            <v>30132</v>
          </cell>
        </row>
        <row r="1678">
          <cell r="A1678" t="str">
            <v>In service</v>
          </cell>
          <cell r="B1678" t="str">
            <v>Gulfstream Aerospace Gulfstream III</v>
          </cell>
          <cell r="C1678" t="str">
            <v xml:space="preserve"> </v>
          </cell>
          <cell r="D1678">
            <v>1984</v>
          </cell>
          <cell r="E1678" t="str">
            <v>Monarch Flight Inc</v>
          </cell>
          <cell r="F1678">
            <v>18</v>
          </cell>
          <cell r="G1678">
            <v>30863</v>
          </cell>
          <cell r="I1678" t="str">
            <v>North America</v>
          </cell>
          <cell r="J1678" t="str">
            <v>USA</v>
          </cell>
          <cell r="K1678">
            <v>30132</v>
          </cell>
        </row>
        <row r="1679">
          <cell r="A1679" t="str">
            <v>In service</v>
          </cell>
          <cell r="B1679" t="str">
            <v>Gulfstream Aerospace Gulfstream III</v>
          </cell>
          <cell r="C1679" t="str">
            <v xml:space="preserve"> </v>
          </cell>
          <cell r="D1679">
            <v>1984</v>
          </cell>
          <cell r="E1679" t="str">
            <v>New World Jet Corp</v>
          </cell>
          <cell r="F1679">
            <v>18</v>
          </cell>
          <cell r="G1679">
            <v>30863</v>
          </cell>
          <cell r="I1679" t="str">
            <v>North America</v>
          </cell>
          <cell r="J1679" t="str">
            <v>USA</v>
          </cell>
          <cell r="K1679">
            <v>30132</v>
          </cell>
        </row>
        <row r="1680">
          <cell r="A1680" t="str">
            <v>In service</v>
          </cell>
          <cell r="B1680" t="str">
            <v>Gulfstream Aerospace Gulfstream III</v>
          </cell>
          <cell r="C1680" t="str">
            <v xml:space="preserve"> </v>
          </cell>
          <cell r="D1680">
            <v>1984</v>
          </cell>
          <cell r="E1680" t="str">
            <v>Time Warner Entertainment</v>
          </cell>
          <cell r="F1680">
            <v>18</v>
          </cell>
          <cell r="G1680">
            <v>30863</v>
          </cell>
          <cell r="I1680" t="str">
            <v>North America</v>
          </cell>
          <cell r="J1680" t="str">
            <v>USA</v>
          </cell>
          <cell r="K1680">
            <v>30132</v>
          </cell>
        </row>
        <row r="1681">
          <cell r="A1681" t="str">
            <v>In service</v>
          </cell>
          <cell r="B1681" t="str">
            <v>Gulfstream Aerospace Gulfstream III</v>
          </cell>
          <cell r="C1681" t="str">
            <v xml:space="preserve"> </v>
          </cell>
          <cell r="D1681">
            <v>1984</v>
          </cell>
          <cell r="E1681" t="str">
            <v>World Healing Center Church Inc</v>
          </cell>
          <cell r="F1681">
            <v>18</v>
          </cell>
          <cell r="G1681">
            <v>30863</v>
          </cell>
          <cell r="I1681" t="str">
            <v>North America</v>
          </cell>
          <cell r="J1681" t="str">
            <v>USA</v>
          </cell>
          <cell r="K1681">
            <v>30132</v>
          </cell>
        </row>
        <row r="1682">
          <cell r="A1682" t="str">
            <v>In service</v>
          </cell>
          <cell r="B1682" t="str">
            <v>Gulfstream Aerospace Gulfstream III</v>
          </cell>
          <cell r="C1682" t="str">
            <v xml:space="preserve"> </v>
          </cell>
          <cell r="D1682">
            <v>1984</v>
          </cell>
          <cell r="E1682" t="str">
            <v>KOMAR Aviation LLC</v>
          </cell>
          <cell r="F1682">
            <v>18</v>
          </cell>
          <cell r="G1682">
            <v>30894</v>
          </cell>
          <cell r="I1682" t="str">
            <v>North America</v>
          </cell>
          <cell r="J1682" t="str">
            <v>USA</v>
          </cell>
          <cell r="K1682">
            <v>30132</v>
          </cell>
        </row>
        <row r="1683">
          <cell r="A1683" t="str">
            <v>In service</v>
          </cell>
          <cell r="B1683" t="str">
            <v>Gulfstream Aerospace Gulfstream III</v>
          </cell>
          <cell r="C1683" t="str">
            <v xml:space="preserve"> </v>
          </cell>
          <cell r="D1683">
            <v>1984</v>
          </cell>
          <cell r="E1683" t="str">
            <v>Sinclair Oil Corp</v>
          </cell>
          <cell r="F1683">
            <v>18</v>
          </cell>
          <cell r="G1683">
            <v>30925</v>
          </cell>
          <cell r="I1683" t="str">
            <v>North America</v>
          </cell>
          <cell r="J1683" t="str">
            <v>USA</v>
          </cell>
          <cell r="K1683">
            <v>30132</v>
          </cell>
        </row>
        <row r="1684">
          <cell r="A1684" t="str">
            <v>In service</v>
          </cell>
          <cell r="B1684" t="str">
            <v>Gulfstream Aerospace Gulfstream III</v>
          </cell>
          <cell r="C1684" t="str">
            <v xml:space="preserve"> </v>
          </cell>
          <cell r="D1684">
            <v>1984</v>
          </cell>
          <cell r="E1684" t="str">
            <v>Automotive Air Charter</v>
          </cell>
          <cell r="F1684">
            <v>18</v>
          </cell>
          <cell r="G1684">
            <v>30925</v>
          </cell>
          <cell r="I1684" t="str">
            <v>North America</v>
          </cell>
          <cell r="J1684" t="str">
            <v>USA</v>
          </cell>
          <cell r="K1684">
            <v>30132</v>
          </cell>
        </row>
        <row r="1685">
          <cell r="A1685" t="str">
            <v>In service</v>
          </cell>
          <cell r="B1685" t="str">
            <v>Gulfstream Aerospace Gulfstream III</v>
          </cell>
          <cell r="C1685" t="str">
            <v xml:space="preserve"> </v>
          </cell>
          <cell r="D1685">
            <v>1984</v>
          </cell>
          <cell r="E1685" t="str">
            <v>Government of Egypt</v>
          </cell>
          <cell r="F1685">
            <v>18</v>
          </cell>
          <cell r="G1685">
            <v>30955</v>
          </cell>
          <cell r="I1685" t="str">
            <v>Africa</v>
          </cell>
          <cell r="J1685" t="str">
            <v>Egypt</v>
          </cell>
          <cell r="K1685">
            <v>30132</v>
          </cell>
        </row>
        <row r="1686">
          <cell r="A1686" t="str">
            <v>In service</v>
          </cell>
          <cell r="B1686" t="str">
            <v>Gulfstream Aerospace Gulfstream III</v>
          </cell>
          <cell r="C1686" t="str">
            <v xml:space="preserve"> </v>
          </cell>
          <cell r="D1686">
            <v>1984</v>
          </cell>
          <cell r="E1686" t="str">
            <v>Consortium of AOL Time Warner Companies</v>
          </cell>
          <cell r="F1686">
            <v>18</v>
          </cell>
          <cell r="G1686">
            <v>30955</v>
          </cell>
          <cell r="I1686" t="str">
            <v>North America</v>
          </cell>
          <cell r="J1686" t="str">
            <v>USA</v>
          </cell>
          <cell r="K1686">
            <v>30132</v>
          </cell>
        </row>
        <row r="1687">
          <cell r="A1687" t="str">
            <v>In service</v>
          </cell>
          <cell r="B1687" t="str">
            <v>Gulfstream Aerospace Gulfstream III</v>
          </cell>
          <cell r="C1687" t="str">
            <v xml:space="preserve"> </v>
          </cell>
          <cell r="D1687">
            <v>1984</v>
          </cell>
          <cell r="E1687" t="str">
            <v>United States Steel Corp</v>
          </cell>
          <cell r="F1687">
            <v>18</v>
          </cell>
          <cell r="G1687">
            <v>30955</v>
          </cell>
          <cell r="I1687" t="str">
            <v>North America</v>
          </cell>
          <cell r="J1687" t="str">
            <v>USA</v>
          </cell>
          <cell r="K1687">
            <v>30132</v>
          </cell>
        </row>
        <row r="1688">
          <cell r="A1688" t="str">
            <v>In service</v>
          </cell>
          <cell r="B1688" t="str">
            <v>Gulfstream Aerospace Gulfstream III</v>
          </cell>
          <cell r="C1688" t="str">
            <v xml:space="preserve"> </v>
          </cell>
          <cell r="D1688">
            <v>1984</v>
          </cell>
          <cell r="E1688" t="str">
            <v>Government of Egypt</v>
          </cell>
          <cell r="F1688">
            <v>18</v>
          </cell>
          <cell r="G1688">
            <v>30986</v>
          </cell>
          <cell r="I1688" t="str">
            <v>Africa</v>
          </cell>
          <cell r="J1688" t="str">
            <v>Egypt</v>
          </cell>
          <cell r="K1688">
            <v>30132</v>
          </cell>
        </row>
        <row r="1689">
          <cell r="A1689" t="str">
            <v>In service</v>
          </cell>
          <cell r="B1689" t="str">
            <v>Gulfstream Aerospace Gulfstream III</v>
          </cell>
          <cell r="C1689" t="str">
            <v xml:space="preserve"> </v>
          </cell>
          <cell r="D1689">
            <v>1984</v>
          </cell>
          <cell r="E1689" t="str">
            <v>DirecTV Group Inc</v>
          </cell>
          <cell r="F1689">
            <v>18</v>
          </cell>
          <cell r="G1689">
            <v>30986</v>
          </cell>
          <cell r="I1689" t="str">
            <v>North America</v>
          </cell>
          <cell r="J1689" t="str">
            <v>USA</v>
          </cell>
          <cell r="K1689">
            <v>30497</v>
          </cell>
        </row>
        <row r="1690">
          <cell r="A1690" t="str">
            <v>In service</v>
          </cell>
          <cell r="B1690" t="str">
            <v>Gulfstream Aerospace Gulfstream III</v>
          </cell>
          <cell r="C1690" t="str">
            <v xml:space="preserve"> </v>
          </cell>
          <cell r="D1690">
            <v>1984</v>
          </cell>
          <cell r="E1690" t="str">
            <v>DKH Services LLC</v>
          </cell>
          <cell r="F1690">
            <v>18</v>
          </cell>
          <cell r="G1690">
            <v>30986</v>
          </cell>
          <cell r="I1690" t="str">
            <v>North America</v>
          </cell>
          <cell r="J1690" t="str">
            <v>USA</v>
          </cell>
          <cell r="K1690">
            <v>30497</v>
          </cell>
        </row>
        <row r="1691">
          <cell r="A1691" t="str">
            <v>In service</v>
          </cell>
          <cell r="B1691" t="str">
            <v>Gulfstream Aerospace Gulfstream III</v>
          </cell>
          <cell r="C1691" t="str">
            <v xml:space="preserve"> </v>
          </cell>
          <cell r="D1691">
            <v>1984</v>
          </cell>
          <cell r="E1691" t="str">
            <v>SM 5105 LLC</v>
          </cell>
          <cell r="F1691">
            <v>18</v>
          </cell>
          <cell r="G1691">
            <v>31016</v>
          </cell>
          <cell r="I1691" t="str">
            <v>North America</v>
          </cell>
          <cell r="J1691" t="str">
            <v>USA</v>
          </cell>
          <cell r="K1691">
            <v>30132</v>
          </cell>
        </row>
        <row r="1692">
          <cell r="A1692" t="str">
            <v>In service</v>
          </cell>
          <cell r="B1692" t="str">
            <v>Gulfstream Aerospace Gulfstream III</v>
          </cell>
          <cell r="C1692" t="str">
            <v xml:space="preserve"> </v>
          </cell>
          <cell r="D1692">
            <v>1984</v>
          </cell>
          <cell r="E1692" t="str">
            <v>Air Sterling LLC</v>
          </cell>
          <cell r="F1692">
            <v>18</v>
          </cell>
          <cell r="G1692">
            <v>31047</v>
          </cell>
          <cell r="I1692" t="str">
            <v>North America</v>
          </cell>
          <cell r="J1692" t="str">
            <v>USA</v>
          </cell>
          <cell r="K1692">
            <v>30497</v>
          </cell>
        </row>
        <row r="1693">
          <cell r="A1693" t="str">
            <v>In service</v>
          </cell>
          <cell r="B1693" t="str">
            <v>Gulfstream Aerospace Gulfstream III</v>
          </cell>
          <cell r="C1693" t="str">
            <v xml:space="preserve"> </v>
          </cell>
          <cell r="D1693">
            <v>1984</v>
          </cell>
          <cell r="E1693" t="str">
            <v>New World Jet Corp</v>
          </cell>
          <cell r="F1693">
            <v>18</v>
          </cell>
          <cell r="G1693">
            <v>31016</v>
          </cell>
          <cell r="I1693" t="str">
            <v>North America</v>
          </cell>
          <cell r="J1693" t="str">
            <v>USA</v>
          </cell>
          <cell r="K1693">
            <v>30132</v>
          </cell>
        </row>
        <row r="1694">
          <cell r="A1694" t="str">
            <v>In service</v>
          </cell>
          <cell r="B1694" t="str">
            <v>Gulfstream Aerospace Gulfstream III</v>
          </cell>
          <cell r="C1694" t="str">
            <v xml:space="preserve"> </v>
          </cell>
          <cell r="D1694">
            <v>1984</v>
          </cell>
          <cell r="E1694" t="str">
            <v>WMA Aviation LLC</v>
          </cell>
          <cell r="F1694">
            <v>18</v>
          </cell>
          <cell r="G1694">
            <v>31047</v>
          </cell>
          <cell r="I1694" t="str">
            <v>North America</v>
          </cell>
          <cell r="J1694" t="str">
            <v>USA</v>
          </cell>
          <cell r="K1694">
            <v>30497</v>
          </cell>
        </row>
        <row r="1695">
          <cell r="A1695" t="str">
            <v>In service</v>
          </cell>
          <cell r="B1695" t="str">
            <v>Gulfstream Aerospace Gulfstream III</v>
          </cell>
          <cell r="C1695" t="str">
            <v xml:space="preserve"> </v>
          </cell>
          <cell r="D1695">
            <v>1984</v>
          </cell>
          <cell r="E1695" t="str">
            <v>Jet Place Inc</v>
          </cell>
          <cell r="F1695">
            <v>18</v>
          </cell>
          <cell r="G1695">
            <v>31047</v>
          </cell>
          <cell r="I1695" t="str">
            <v>North America</v>
          </cell>
          <cell r="J1695" t="str">
            <v>USA</v>
          </cell>
          <cell r="K1695">
            <v>30132</v>
          </cell>
        </row>
        <row r="1696">
          <cell r="A1696" t="str">
            <v>In service</v>
          </cell>
          <cell r="B1696" t="str">
            <v>Gulfstream Aerospace Gulfstream III</v>
          </cell>
          <cell r="C1696" t="str">
            <v xml:space="preserve"> </v>
          </cell>
          <cell r="D1696">
            <v>1984</v>
          </cell>
          <cell r="E1696" t="str">
            <v>Bay Hawk LLC</v>
          </cell>
          <cell r="F1696">
            <v>18</v>
          </cell>
          <cell r="G1696">
            <v>31136</v>
          </cell>
          <cell r="I1696" t="str">
            <v>North America</v>
          </cell>
          <cell r="J1696" t="str">
            <v>USA</v>
          </cell>
          <cell r="K1696">
            <v>30497</v>
          </cell>
        </row>
        <row r="1697">
          <cell r="A1697" t="str">
            <v>In service</v>
          </cell>
          <cell r="B1697" t="str">
            <v>Gulfstream Aerospace Gulfstream III</v>
          </cell>
          <cell r="C1697" t="str">
            <v xml:space="preserve"> </v>
          </cell>
          <cell r="D1697">
            <v>1984</v>
          </cell>
          <cell r="E1697" t="str">
            <v>Corporate Fleet Services</v>
          </cell>
          <cell r="F1697">
            <v>18</v>
          </cell>
          <cell r="G1697">
            <v>31047</v>
          </cell>
          <cell r="I1697" t="str">
            <v>North America</v>
          </cell>
          <cell r="J1697" t="str">
            <v>USA</v>
          </cell>
          <cell r="K1697">
            <v>30132</v>
          </cell>
        </row>
        <row r="1698">
          <cell r="A1698" t="str">
            <v>In service</v>
          </cell>
          <cell r="B1698" t="str">
            <v>Gulfstream Aerospace Gulfstream III</v>
          </cell>
          <cell r="C1698" t="str">
            <v xml:space="preserve"> </v>
          </cell>
          <cell r="D1698">
            <v>1985</v>
          </cell>
          <cell r="E1698" t="str">
            <v>D'Artagnan LLC</v>
          </cell>
          <cell r="F1698">
            <v>17</v>
          </cell>
          <cell r="G1698">
            <v>31670</v>
          </cell>
          <cell r="I1698" t="str">
            <v>North America</v>
          </cell>
          <cell r="J1698" t="str">
            <v>USA</v>
          </cell>
          <cell r="K1698">
            <v>30863</v>
          </cell>
        </row>
        <row r="1699">
          <cell r="A1699" t="str">
            <v>In service</v>
          </cell>
          <cell r="B1699" t="str">
            <v>Gulfstream Aerospace Gulfstream III</v>
          </cell>
          <cell r="C1699" t="str">
            <v xml:space="preserve"> </v>
          </cell>
          <cell r="D1699">
            <v>1985</v>
          </cell>
          <cell r="E1699" t="str">
            <v>Tesoro Petroleum Co Inc</v>
          </cell>
          <cell r="F1699">
            <v>17</v>
          </cell>
          <cell r="G1699">
            <v>31137</v>
          </cell>
          <cell r="I1699" t="str">
            <v>North America</v>
          </cell>
          <cell r="J1699" t="str">
            <v>USA</v>
          </cell>
          <cell r="K1699">
            <v>30497</v>
          </cell>
        </row>
        <row r="1700">
          <cell r="A1700" t="str">
            <v>In service</v>
          </cell>
          <cell r="B1700" t="str">
            <v>Gulfstream Aerospace Gulfstream III</v>
          </cell>
          <cell r="C1700" t="str">
            <v xml:space="preserve"> </v>
          </cell>
          <cell r="D1700">
            <v>1985</v>
          </cell>
          <cell r="E1700" t="str">
            <v>Mandalay Resort Group</v>
          </cell>
          <cell r="F1700">
            <v>17</v>
          </cell>
          <cell r="G1700">
            <v>31137</v>
          </cell>
          <cell r="I1700" t="str">
            <v>North America</v>
          </cell>
          <cell r="J1700" t="str">
            <v>USA</v>
          </cell>
          <cell r="K1700">
            <v>30497</v>
          </cell>
        </row>
        <row r="1701">
          <cell r="A1701" t="str">
            <v>In service</v>
          </cell>
          <cell r="B1701" t="str">
            <v>Gulfstream Aerospace Gulfstream III</v>
          </cell>
          <cell r="C1701" t="str">
            <v xml:space="preserve"> </v>
          </cell>
          <cell r="D1701">
            <v>1985</v>
          </cell>
          <cell r="E1701" t="str">
            <v>Verizon Southwest Inc</v>
          </cell>
          <cell r="F1701">
            <v>17</v>
          </cell>
          <cell r="G1701">
            <v>31137</v>
          </cell>
          <cell r="I1701" t="str">
            <v>North America</v>
          </cell>
          <cell r="J1701" t="str">
            <v>USA</v>
          </cell>
          <cell r="K1701">
            <v>30497</v>
          </cell>
        </row>
        <row r="1702">
          <cell r="A1702" t="str">
            <v>In service</v>
          </cell>
          <cell r="B1702" t="str">
            <v>Gulfstream Aerospace Gulfstream III</v>
          </cell>
          <cell r="C1702" t="str">
            <v xml:space="preserve"> </v>
          </cell>
          <cell r="D1702">
            <v>1985</v>
          </cell>
          <cell r="E1702" t="str">
            <v>MidSouth Services Inc</v>
          </cell>
          <cell r="F1702">
            <v>17</v>
          </cell>
          <cell r="G1702">
            <v>31259</v>
          </cell>
          <cell r="I1702" t="str">
            <v>North America</v>
          </cell>
          <cell r="J1702" t="str">
            <v>USA</v>
          </cell>
          <cell r="K1702">
            <v>30863</v>
          </cell>
        </row>
        <row r="1703">
          <cell r="A1703" t="str">
            <v>In service</v>
          </cell>
          <cell r="B1703" t="str">
            <v>Gulfstream Aerospace Gulfstream III</v>
          </cell>
          <cell r="C1703" t="str">
            <v xml:space="preserve"> </v>
          </cell>
          <cell r="D1703">
            <v>1985</v>
          </cell>
          <cell r="E1703" t="str">
            <v>Parkside Aviation Corp</v>
          </cell>
          <cell r="F1703">
            <v>17</v>
          </cell>
          <cell r="G1703">
            <v>31198</v>
          </cell>
          <cell r="I1703" t="str">
            <v>North America</v>
          </cell>
          <cell r="J1703" t="str">
            <v>USA</v>
          </cell>
          <cell r="K1703">
            <v>30497</v>
          </cell>
        </row>
        <row r="1704">
          <cell r="A1704" t="str">
            <v>In service</v>
          </cell>
          <cell r="B1704" t="str">
            <v>Gulfstream Aerospace Gulfstream III</v>
          </cell>
          <cell r="C1704" t="str">
            <v xml:space="preserve"> </v>
          </cell>
          <cell r="D1704">
            <v>1985</v>
          </cell>
          <cell r="E1704" t="str">
            <v>Flying Eagle Aviation Inc</v>
          </cell>
          <cell r="F1704">
            <v>17</v>
          </cell>
          <cell r="G1704">
            <v>31228</v>
          </cell>
          <cell r="I1704" t="str">
            <v>North America</v>
          </cell>
          <cell r="J1704" t="str">
            <v>USA</v>
          </cell>
          <cell r="K1704">
            <v>30497</v>
          </cell>
        </row>
        <row r="1705">
          <cell r="A1705" t="str">
            <v>In service</v>
          </cell>
          <cell r="B1705" t="str">
            <v>Gulfstream Aerospace Gulfstream III</v>
          </cell>
          <cell r="C1705" t="str">
            <v xml:space="preserve"> </v>
          </cell>
          <cell r="D1705">
            <v>1985</v>
          </cell>
          <cell r="E1705" t="str">
            <v>Government of Ivory Coast</v>
          </cell>
          <cell r="F1705">
            <v>17</v>
          </cell>
          <cell r="G1705">
            <v>31228</v>
          </cell>
          <cell r="I1705" t="str">
            <v>Africa</v>
          </cell>
          <cell r="J1705" t="str">
            <v>Ivory Coast</v>
          </cell>
          <cell r="K1705">
            <v>30497</v>
          </cell>
        </row>
        <row r="1706">
          <cell r="A1706" t="str">
            <v>In service</v>
          </cell>
          <cell r="B1706" t="str">
            <v>Gulfstream Aerospace Gulfstream III</v>
          </cell>
          <cell r="C1706" t="str">
            <v xml:space="preserve"> </v>
          </cell>
          <cell r="D1706">
            <v>1985</v>
          </cell>
          <cell r="E1706" t="str">
            <v>Globair Bermuda</v>
          </cell>
          <cell r="F1706">
            <v>17</v>
          </cell>
          <cell r="G1706">
            <v>31259</v>
          </cell>
          <cell r="I1706" t="str">
            <v>Latin America and Caribbean</v>
          </cell>
          <cell r="J1706" t="str">
            <v>Bermuda</v>
          </cell>
          <cell r="K1706">
            <v>30497</v>
          </cell>
        </row>
        <row r="1707">
          <cell r="A1707" t="str">
            <v>In service</v>
          </cell>
          <cell r="B1707" t="str">
            <v>Gulfstream Aerospace Gulfstream III</v>
          </cell>
          <cell r="C1707" t="str">
            <v xml:space="preserve"> </v>
          </cell>
          <cell r="D1707">
            <v>1985</v>
          </cell>
          <cell r="E1707" t="str">
            <v>Caesar's Entertainment Inc</v>
          </cell>
          <cell r="F1707">
            <v>17</v>
          </cell>
          <cell r="G1707">
            <v>31381</v>
          </cell>
          <cell r="I1707" t="str">
            <v>North America</v>
          </cell>
          <cell r="J1707" t="str">
            <v>USA</v>
          </cell>
          <cell r="K1707">
            <v>30497</v>
          </cell>
        </row>
        <row r="1708">
          <cell r="A1708" t="str">
            <v>In service</v>
          </cell>
          <cell r="B1708" t="str">
            <v>Gulfstream Aerospace Gulfstream III</v>
          </cell>
          <cell r="C1708" t="str">
            <v xml:space="preserve"> </v>
          </cell>
          <cell r="D1708">
            <v>1985</v>
          </cell>
          <cell r="E1708" t="str">
            <v>TAZ Charter Services LLC</v>
          </cell>
          <cell r="F1708">
            <v>17</v>
          </cell>
          <cell r="G1708">
            <v>31381</v>
          </cell>
          <cell r="I1708" t="str">
            <v>North America</v>
          </cell>
          <cell r="J1708" t="str">
            <v>USA</v>
          </cell>
          <cell r="K1708">
            <v>30863</v>
          </cell>
        </row>
        <row r="1709">
          <cell r="A1709" t="str">
            <v>In service</v>
          </cell>
          <cell r="B1709" t="str">
            <v>Gulfstream Aerospace Gulfstream III</v>
          </cell>
          <cell r="C1709" t="str">
            <v xml:space="preserve"> </v>
          </cell>
          <cell r="D1709">
            <v>1985</v>
          </cell>
          <cell r="E1709" t="str">
            <v>Mercury Communications Inc</v>
          </cell>
          <cell r="F1709">
            <v>17</v>
          </cell>
          <cell r="G1709">
            <v>31517</v>
          </cell>
          <cell r="I1709" t="str">
            <v>North America</v>
          </cell>
          <cell r="J1709" t="str">
            <v>USA</v>
          </cell>
          <cell r="K1709">
            <v>30863</v>
          </cell>
        </row>
        <row r="1710">
          <cell r="A1710" t="str">
            <v>In service</v>
          </cell>
          <cell r="B1710" t="str">
            <v>Gulfstream Aerospace Gulfstream III</v>
          </cell>
          <cell r="C1710" t="str">
            <v xml:space="preserve"> </v>
          </cell>
          <cell r="D1710">
            <v>1985</v>
          </cell>
          <cell r="E1710" t="str">
            <v>Hill Air Corp</v>
          </cell>
          <cell r="F1710">
            <v>17</v>
          </cell>
          <cell r="G1710">
            <v>31517</v>
          </cell>
          <cell r="I1710" t="str">
            <v>North America</v>
          </cell>
          <cell r="J1710" t="str">
            <v>USA</v>
          </cell>
          <cell r="K1710">
            <v>31228</v>
          </cell>
        </row>
        <row r="1711">
          <cell r="A1711" t="str">
            <v>In service</v>
          </cell>
          <cell r="B1711" t="str">
            <v>Gulfstream Aerospace Gulfstream III</v>
          </cell>
          <cell r="C1711" t="str">
            <v xml:space="preserve"> </v>
          </cell>
          <cell r="D1711">
            <v>1985</v>
          </cell>
          <cell r="E1711" t="str">
            <v>Thompson Tractor Co</v>
          </cell>
          <cell r="F1711">
            <v>17</v>
          </cell>
          <cell r="G1711">
            <v>31344</v>
          </cell>
          <cell r="I1711" t="str">
            <v>North America</v>
          </cell>
          <cell r="J1711" t="str">
            <v>USA</v>
          </cell>
          <cell r="K1711">
            <v>30863</v>
          </cell>
        </row>
        <row r="1712">
          <cell r="A1712" t="str">
            <v>In service</v>
          </cell>
          <cell r="B1712" t="str">
            <v>Gulfstream Aerospace Gulfstream III</v>
          </cell>
          <cell r="C1712" t="str">
            <v xml:space="preserve"> </v>
          </cell>
          <cell r="D1712">
            <v>1985</v>
          </cell>
          <cell r="E1712" t="str">
            <v>Huffair Inc</v>
          </cell>
          <cell r="F1712">
            <v>17</v>
          </cell>
          <cell r="G1712">
            <v>31412</v>
          </cell>
          <cell r="I1712" t="str">
            <v>North America</v>
          </cell>
          <cell r="J1712" t="str">
            <v>USA</v>
          </cell>
        </row>
        <row r="1713">
          <cell r="A1713" t="str">
            <v>In service</v>
          </cell>
          <cell r="B1713" t="str">
            <v>Gulfstream Aerospace Gulfstream III</v>
          </cell>
          <cell r="C1713" t="str">
            <v xml:space="preserve"> </v>
          </cell>
          <cell r="D1713">
            <v>1985</v>
          </cell>
          <cell r="E1713" t="str">
            <v>Government of Angola</v>
          </cell>
          <cell r="F1713">
            <v>17</v>
          </cell>
          <cell r="G1713">
            <v>31547</v>
          </cell>
          <cell r="I1713" t="str">
            <v>Africa</v>
          </cell>
          <cell r="J1713" t="str">
            <v>Angola</v>
          </cell>
          <cell r="K1713">
            <v>30863</v>
          </cell>
        </row>
        <row r="1714">
          <cell r="A1714" t="str">
            <v>In service</v>
          </cell>
          <cell r="B1714" t="str">
            <v>Gulfstream Aerospace Gulfstream III</v>
          </cell>
          <cell r="C1714" t="str">
            <v xml:space="preserve"> </v>
          </cell>
          <cell r="D1714">
            <v>1986</v>
          </cell>
          <cell r="E1714" t="str">
            <v>Italian Air Force</v>
          </cell>
          <cell r="F1714">
            <v>16</v>
          </cell>
          <cell r="G1714">
            <v>31761</v>
          </cell>
          <cell r="I1714" t="str">
            <v>Europe</v>
          </cell>
          <cell r="J1714" t="str">
            <v>Italy</v>
          </cell>
          <cell r="K1714">
            <v>30863</v>
          </cell>
        </row>
        <row r="1715">
          <cell r="A1715" t="str">
            <v>In service</v>
          </cell>
          <cell r="B1715" t="str">
            <v>Gulfstream Aerospace Gulfstream III</v>
          </cell>
          <cell r="C1715" t="str">
            <v xml:space="preserve"> </v>
          </cell>
          <cell r="D1715">
            <v>1986</v>
          </cell>
          <cell r="E1715" t="str">
            <v>Bausch &amp; Lomb Inc</v>
          </cell>
          <cell r="F1715">
            <v>16</v>
          </cell>
          <cell r="G1715">
            <v>31674</v>
          </cell>
          <cell r="I1715" t="str">
            <v>North America</v>
          </cell>
          <cell r="J1715" t="str">
            <v>USA</v>
          </cell>
          <cell r="K1715">
            <v>31228</v>
          </cell>
        </row>
        <row r="1716">
          <cell r="A1716" t="str">
            <v>In service</v>
          </cell>
          <cell r="B1716" t="str">
            <v>Gulfstream Aerospace Gulfstream III</v>
          </cell>
          <cell r="C1716" t="str">
            <v xml:space="preserve"> </v>
          </cell>
          <cell r="D1716">
            <v>1986</v>
          </cell>
          <cell r="E1716" t="str">
            <v>Parkview Acquisitions Inc</v>
          </cell>
          <cell r="F1716">
            <v>16</v>
          </cell>
          <cell r="G1716">
            <v>31523</v>
          </cell>
          <cell r="I1716" t="str">
            <v>North America</v>
          </cell>
          <cell r="J1716" t="str">
            <v>USA</v>
          </cell>
          <cell r="K1716">
            <v>30863</v>
          </cell>
        </row>
        <row r="1717">
          <cell r="A1717" t="str">
            <v>In service</v>
          </cell>
          <cell r="B1717" t="str">
            <v>Gulfstream Aerospace Gulfstream III</v>
          </cell>
          <cell r="C1717" t="str">
            <v xml:space="preserve"> </v>
          </cell>
          <cell r="D1717">
            <v>1986</v>
          </cell>
          <cell r="E1717" t="str">
            <v>Rida Aviation Ltd</v>
          </cell>
          <cell r="F1717">
            <v>16</v>
          </cell>
          <cell r="G1717">
            <v>31560</v>
          </cell>
          <cell r="I1717" t="str">
            <v>Latin America and Caribbean</v>
          </cell>
          <cell r="J1717" t="str">
            <v>Bermuda</v>
          </cell>
          <cell r="K1717">
            <v>31228</v>
          </cell>
        </row>
        <row r="1718">
          <cell r="A1718" t="str">
            <v>In service</v>
          </cell>
          <cell r="B1718" t="str">
            <v>Gulfstream Aerospace Gulfstream III</v>
          </cell>
          <cell r="C1718" t="str">
            <v xml:space="preserve"> </v>
          </cell>
          <cell r="D1718">
            <v>1986</v>
          </cell>
          <cell r="E1718" t="str">
            <v>McWane Inc</v>
          </cell>
          <cell r="F1718">
            <v>16</v>
          </cell>
          <cell r="G1718">
            <v>31774</v>
          </cell>
          <cell r="I1718" t="str">
            <v>North America</v>
          </cell>
          <cell r="J1718" t="str">
            <v>USA</v>
          </cell>
        </row>
        <row r="1719">
          <cell r="A1719" t="str">
            <v>In service</v>
          </cell>
          <cell r="B1719" t="str">
            <v>Gulfstream Aerospace Gulfstream III</v>
          </cell>
          <cell r="C1719" t="str">
            <v xml:space="preserve"> </v>
          </cell>
          <cell r="D1719">
            <v>1986</v>
          </cell>
          <cell r="E1719" t="str">
            <v>Government of Cameroon</v>
          </cell>
          <cell r="F1719">
            <v>16</v>
          </cell>
          <cell r="G1719">
            <v>31578</v>
          </cell>
          <cell r="I1719" t="str">
            <v>Africa</v>
          </cell>
          <cell r="J1719" t="str">
            <v>Cameroon</v>
          </cell>
          <cell r="K1719">
            <v>30863</v>
          </cell>
        </row>
        <row r="1720">
          <cell r="A1720" t="str">
            <v>In service</v>
          </cell>
          <cell r="B1720" t="str">
            <v>Gulfstream Aerospace Gulfstream III</v>
          </cell>
          <cell r="C1720" t="str">
            <v xml:space="preserve"> </v>
          </cell>
          <cell r="D1720">
            <v>1986</v>
          </cell>
          <cell r="E1720" t="str">
            <v>Walter McPhail</v>
          </cell>
          <cell r="F1720">
            <v>16</v>
          </cell>
          <cell r="G1720">
            <v>31670</v>
          </cell>
          <cell r="I1720" t="str">
            <v>North America</v>
          </cell>
          <cell r="J1720" t="str">
            <v>USA</v>
          </cell>
          <cell r="K1720">
            <v>30863</v>
          </cell>
        </row>
        <row r="1721">
          <cell r="A1721" t="str">
            <v>In service</v>
          </cell>
          <cell r="B1721" t="str">
            <v>Gulfstream Aerospace Gulfstream III</v>
          </cell>
          <cell r="C1721" t="str">
            <v xml:space="preserve"> </v>
          </cell>
          <cell r="D1721">
            <v>1986</v>
          </cell>
          <cell r="E1721" t="str">
            <v>Commerce Leasing Co</v>
          </cell>
          <cell r="F1721">
            <v>16</v>
          </cell>
          <cell r="G1721">
            <v>31729</v>
          </cell>
          <cell r="I1721" t="str">
            <v>North America</v>
          </cell>
          <cell r="J1721" t="str">
            <v>USA</v>
          </cell>
          <cell r="K1721">
            <v>31228</v>
          </cell>
        </row>
        <row r="1722">
          <cell r="A1722" t="str">
            <v>In service</v>
          </cell>
          <cell r="B1722" t="str">
            <v>Gulfstream Aerospace Gulfstream III</v>
          </cell>
          <cell r="C1722" t="str">
            <v xml:space="preserve"> </v>
          </cell>
          <cell r="D1722">
            <v>1986</v>
          </cell>
          <cell r="E1722" t="str">
            <v>Countrywide Home Loans Inc</v>
          </cell>
          <cell r="F1722">
            <v>16</v>
          </cell>
          <cell r="G1722">
            <v>31700</v>
          </cell>
          <cell r="I1722" t="str">
            <v>North America</v>
          </cell>
          <cell r="J1722" t="str">
            <v>USA</v>
          </cell>
          <cell r="K1722">
            <v>31228</v>
          </cell>
        </row>
        <row r="1723">
          <cell r="A1723" t="str">
            <v>In service</v>
          </cell>
          <cell r="B1723" t="str">
            <v>Gulfstream Aerospace Gulfstream III</v>
          </cell>
          <cell r="C1723" t="str">
            <v xml:space="preserve"> </v>
          </cell>
          <cell r="D1723">
            <v>1986</v>
          </cell>
          <cell r="E1723" t="str">
            <v>Franklin/Templeton Travel Inc</v>
          </cell>
          <cell r="F1723">
            <v>16</v>
          </cell>
          <cell r="G1723">
            <v>31702</v>
          </cell>
          <cell r="I1723" t="str">
            <v>North America</v>
          </cell>
          <cell r="J1723" t="str">
            <v>USA</v>
          </cell>
          <cell r="K1723">
            <v>31228</v>
          </cell>
        </row>
        <row r="1724">
          <cell r="A1724" t="str">
            <v>In service</v>
          </cell>
          <cell r="B1724" t="str">
            <v>Gulfstream Aerospace Gulfstream III</v>
          </cell>
          <cell r="C1724" t="str">
            <v xml:space="preserve"> </v>
          </cell>
          <cell r="D1724">
            <v>1986</v>
          </cell>
          <cell r="E1724" t="str">
            <v>Ferrell Schultz Aviation LLC</v>
          </cell>
          <cell r="F1724">
            <v>16</v>
          </cell>
          <cell r="G1724">
            <v>31728</v>
          </cell>
          <cell r="I1724" t="str">
            <v>North America</v>
          </cell>
          <cell r="J1724" t="str">
            <v>USA</v>
          </cell>
          <cell r="K1724">
            <v>31228</v>
          </cell>
        </row>
        <row r="1725">
          <cell r="A1725" t="str">
            <v>In service</v>
          </cell>
          <cell r="B1725" t="str">
            <v>Gulfstream Aerospace Gulfstream III</v>
          </cell>
          <cell r="C1725" t="str">
            <v xml:space="preserve"> </v>
          </cell>
          <cell r="D1725">
            <v>1986</v>
          </cell>
          <cell r="E1725" t="str">
            <v>TC Aviation Inc</v>
          </cell>
          <cell r="F1725">
            <v>16</v>
          </cell>
          <cell r="G1725">
            <v>32126</v>
          </cell>
          <cell r="I1725" t="str">
            <v>North America</v>
          </cell>
          <cell r="J1725" t="str">
            <v>USA</v>
          </cell>
          <cell r="K1725">
            <v>31593</v>
          </cell>
        </row>
        <row r="1726">
          <cell r="A1726" t="str">
            <v>In service</v>
          </cell>
          <cell r="B1726" t="str">
            <v>Gulfstream Aerospace Gulfstream III</v>
          </cell>
          <cell r="C1726" t="str">
            <v xml:space="preserve"> </v>
          </cell>
          <cell r="D1726">
            <v>1986</v>
          </cell>
          <cell r="E1726" t="str">
            <v>Ghana Air Force</v>
          </cell>
          <cell r="F1726">
            <v>16</v>
          </cell>
          <cell r="G1726">
            <v>31770</v>
          </cell>
          <cell r="I1726" t="str">
            <v>Africa</v>
          </cell>
          <cell r="J1726" t="str">
            <v>Ghana</v>
          </cell>
        </row>
        <row r="1727">
          <cell r="A1727" t="str">
            <v>In service</v>
          </cell>
          <cell r="B1727" t="str">
            <v>Gulfstream Aerospace Gulfstream III</v>
          </cell>
          <cell r="C1727" t="str">
            <v xml:space="preserve"> </v>
          </cell>
          <cell r="D1727">
            <v>1987</v>
          </cell>
          <cell r="E1727" t="str">
            <v xml:space="preserve">Independent Aviation Services Ltd Coutts (Cayman) </v>
          </cell>
          <cell r="F1727">
            <v>15</v>
          </cell>
          <cell r="G1727">
            <v>32134</v>
          </cell>
          <cell r="I1727" t="str">
            <v>Latin America and Caribbean</v>
          </cell>
          <cell r="J1727" t="str">
            <v>Cayman Islands</v>
          </cell>
        </row>
        <row r="1728">
          <cell r="A1728" t="str">
            <v>In service</v>
          </cell>
          <cell r="B1728" t="str">
            <v>Gulfstream Aerospace Gulfstream III</v>
          </cell>
          <cell r="C1728" t="str">
            <v xml:space="preserve"> </v>
          </cell>
          <cell r="D1728">
            <v>1981</v>
          </cell>
          <cell r="E1728" t="str">
            <v>Nie Planes LLC</v>
          </cell>
          <cell r="F1728">
            <v>21</v>
          </cell>
          <cell r="G1728">
            <v>29654</v>
          </cell>
          <cell r="I1728" t="str">
            <v>North America</v>
          </cell>
          <cell r="J1728" t="str">
            <v>USA</v>
          </cell>
          <cell r="K1728">
            <v>29036</v>
          </cell>
        </row>
        <row r="1729">
          <cell r="A1729" t="str">
            <v>In service</v>
          </cell>
          <cell r="B1729" t="str">
            <v>Gulfstream Aerospace Gulfstream III</v>
          </cell>
          <cell r="C1729" t="str">
            <v>(SCD)</v>
          </cell>
          <cell r="D1729">
            <v>1979</v>
          </cell>
          <cell r="E1729" t="str">
            <v>Royal Danish Air Force</v>
          </cell>
          <cell r="F1729">
            <v>23</v>
          </cell>
          <cell r="G1729">
            <v>30056</v>
          </cell>
          <cell r="H1729" t="str">
            <v>(SCD)</v>
          </cell>
          <cell r="I1729" t="str">
            <v>Europe</v>
          </cell>
          <cell r="J1729" t="str">
            <v>Denmark</v>
          </cell>
        </row>
        <row r="1730">
          <cell r="A1730" t="str">
            <v>In service</v>
          </cell>
          <cell r="B1730" t="str">
            <v>Gulfstream Aerospace Gulfstream III</v>
          </cell>
          <cell r="C1730" t="str">
            <v>(SCD)</v>
          </cell>
          <cell r="D1730">
            <v>1980</v>
          </cell>
          <cell r="E1730" t="str">
            <v>Royal Danish Air Force</v>
          </cell>
          <cell r="F1730">
            <v>22</v>
          </cell>
          <cell r="G1730">
            <v>29465</v>
          </cell>
          <cell r="H1730" t="str">
            <v>(SCD)</v>
          </cell>
          <cell r="I1730" t="str">
            <v>Europe</v>
          </cell>
          <cell r="J1730" t="str">
            <v>Denmark</v>
          </cell>
          <cell r="K1730">
            <v>29036</v>
          </cell>
        </row>
        <row r="1731">
          <cell r="A1731" t="str">
            <v>In service</v>
          </cell>
          <cell r="B1731" t="str">
            <v>Gulfstream Aerospace Gulfstream III</v>
          </cell>
          <cell r="C1731" t="str">
            <v>(SCD)</v>
          </cell>
          <cell r="D1731">
            <v>1986</v>
          </cell>
          <cell r="E1731" t="str">
            <v>Indian Air Force</v>
          </cell>
          <cell r="F1731">
            <v>16</v>
          </cell>
          <cell r="G1731">
            <v>31770</v>
          </cell>
          <cell r="H1731" t="str">
            <v>(SCD)</v>
          </cell>
          <cell r="I1731" t="str">
            <v>Asia</v>
          </cell>
          <cell r="J1731" t="str">
            <v>India</v>
          </cell>
        </row>
        <row r="1732">
          <cell r="A1732" t="str">
            <v>In service</v>
          </cell>
          <cell r="B1732" t="str">
            <v>Gulfstream Aerospace Gulfstream III</v>
          </cell>
          <cell r="C1732" t="str">
            <v>(SCD)</v>
          </cell>
          <cell r="D1732">
            <v>1986</v>
          </cell>
          <cell r="E1732" t="str">
            <v>Indian Air Force</v>
          </cell>
          <cell r="F1732">
            <v>16</v>
          </cell>
          <cell r="G1732">
            <v>31776</v>
          </cell>
          <cell r="H1732" t="str">
            <v>(SCD)</v>
          </cell>
          <cell r="I1732" t="str">
            <v>Asia</v>
          </cell>
          <cell r="J1732" t="str">
            <v>India</v>
          </cell>
        </row>
        <row r="1733">
          <cell r="A1733" t="str">
            <v>In service</v>
          </cell>
          <cell r="B1733" t="str">
            <v>Gulfstream Aerospace Gulfstream III</v>
          </cell>
          <cell r="C1733" t="str">
            <v>C-20A</v>
          </cell>
          <cell r="D1733">
            <v>1983</v>
          </cell>
          <cell r="E1733" t="str">
            <v>US Air Force</v>
          </cell>
          <cell r="F1733">
            <v>19</v>
          </cell>
          <cell r="G1733">
            <v>30619</v>
          </cell>
          <cell r="H1733" t="str">
            <v>C-20A</v>
          </cell>
          <cell r="I1733" t="str">
            <v>North America</v>
          </cell>
          <cell r="J1733" t="str">
            <v>USA</v>
          </cell>
          <cell r="K1733">
            <v>30474</v>
          </cell>
        </row>
        <row r="1734">
          <cell r="A1734" t="str">
            <v>In service</v>
          </cell>
          <cell r="B1734" t="str">
            <v>Gulfstream Aerospace Gulfstream III</v>
          </cell>
          <cell r="C1734" t="str">
            <v>C-20A</v>
          </cell>
          <cell r="D1734">
            <v>1983</v>
          </cell>
          <cell r="E1734" t="str">
            <v>US Air Force</v>
          </cell>
          <cell r="F1734">
            <v>19</v>
          </cell>
          <cell r="G1734">
            <v>30589</v>
          </cell>
          <cell r="H1734" t="str">
            <v>C-20A</v>
          </cell>
          <cell r="I1734" t="str">
            <v>North America</v>
          </cell>
          <cell r="J1734" t="str">
            <v>USA</v>
          </cell>
          <cell r="K1734">
            <v>30474</v>
          </cell>
        </row>
        <row r="1735">
          <cell r="A1735" t="str">
            <v>In service</v>
          </cell>
          <cell r="B1735" t="str">
            <v>Gulfstream Aerospace Gulfstream III</v>
          </cell>
          <cell r="C1735" t="str">
            <v>C-20A</v>
          </cell>
          <cell r="D1735">
            <v>1983</v>
          </cell>
          <cell r="E1735" t="str">
            <v>US Air Force</v>
          </cell>
          <cell r="F1735">
            <v>19</v>
          </cell>
          <cell r="G1735">
            <v>30650</v>
          </cell>
          <cell r="H1735" t="str">
            <v>C-20A</v>
          </cell>
          <cell r="I1735" t="str">
            <v>North America</v>
          </cell>
          <cell r="J1735" t="str">
            <v>USA</v>
          </cell>
          <cell r="K1735">
            <v>30474</v>
          </cell>
        </row>
        <row r="1736">
          <cell r="A1736" t="str">
            <v>In service</v>
          </cell>
          <cell r="B1736" t="str">
            <v>Gulfstream Aerospace Gulfstream III</v>
          </cell>
          <cell r="C1736" t="str">
            <v>C-20B</v>
          </cell>
          <cell r="D1736">
            <v>1985</v>
          </cell>
          <cell r="E1736" t="str">
            <v>Regal Aviation LLC</v>
          </cell>
          <cell r="F1736">
            <v>17</v>
          </cell>
          <cell r="G1736">
            <v>31851</v>
          </cell>
          <cell r="I1736" t="str">
            <v>North America</v>
          </cell>
          <cell r="J1736" t="str">
            <v>USA</v>
          </cell>
          <cell r="K1736">
            <v>31427</v>
          </cell>
        </row>
        <row r="1737">
          <cell r="A1737" t="str">
            <v>In service</v>
          </cell>
          <cell r="B1737" t="str">
            <v>Gulfstream Aerospace Gulfstream III</v>
          </cell>
          <cell r="C1737" t="str">
            <v>C-20B</v>
          </cell>
          <cell r="D1737">
            <v>1985</v>
          </cell>
          <cell r="E1737" t="str">
            <v>US Air Force</v>
          </cell>
          <cell r="F1737">
            <v>17</v>
          </cell>
          <cell r="G1737">
            <v>31882</v>
          </cell>
          <cell r="H1737" t="str">
            <v>C-20B</v>
          </cell>
          <cell r="I1737" t="str">
            <v>North America</v>
          </cell>
          <cell r="J1737" t="str">
            <v>USA</v>
          </cell>
          <cell r="K1737">
            <v>31427</v>
          </cell>
        </row>
        <row r="1738">
          <cell r="A1738" t="str">
            <v>In service</v>
          </cell>
          <cell r="B1738" t="str">
            <v>Gulfstream Aerospace Gulfstream III</v>
          </cell>
          <cell r="C1738" t="str">
            <v>C-20B</v>
          </cell>
          <cell r="D1738">
            <v>1985</v>
          </cell>
          <cell r="E1738" t="str">
            <v>US Air Force</v>
          </cell>
          <cell r="F1738">
            <v>17</v>
          </cell>
          <cell r="G1738">
            <v>31912</v>
          </cell>
          <cell r="H1738" t="str">
            <v>C-20B</v>
          </cell>
          <cell r="I1738" t="str">
            <v>North America</v>
          </cell>
          <cell r="J1738" t="str">
            <v>USA</v>
          </cell>
          <cell r="K1738">
            <v>31427</v>
          </cell>
        </row>
        <row r="1739">
          <cell r="A1739" t="str">
            <v>In service</v>
          </cell>
          <cell r="B1739" t="str">
            <v>Gulfstream Aerospace Gulfstream III</v>
          </cell>
          <cell r="C1739" t="str">
            <v>C-20B</v>
          </cell>
          <cell r="D1739">
            <v>1985</v>
          </cell>
          <cell r="E1739" t="str">
            <v>US Air Force</v>
          </cell>
          <cell r="F1739">
            <v>17</v>
          </cell>
          <cell r="G1739">
            <v>32004</v>
          </cell>
          <cell r="H1739" t="str">
            <v>C-20B</v>
          </cell>
          <cell r="I1739" t="str">
            <v>North America</v>
          </cell>
          <cell r="J1739" t="str">
            <v>USA</v>
          </cell>
          <cell r="K1739">
            <v>31427</v>
          </cell>
        </row>
        <row r="1740">
          <cell r="A1740" t="str">
            <v>In service</v>
          </cell>
          <cell r="B1740" t="str">
            <v>Gulfstream Aerospace Gulfstream III</v>
          </cell>
          <cell r="C1740" t="str">
            <v>C-20B</v>
          </cell>
          <cell r="D1740">
            <v>1985</v>
          </cell>
          <cell r="E1740" t="str">
            <v>US Air Force</v>
          </cell>
          <cell r="F1740">
            <v>17</v>
          </cell>
          <cell r="G1740">
            <v>32035</v>
          </cell>
          <cell r="H1740" t="str">
            <v>C-20B</v>
          </cell>
          <cell r="I1740" t="str">
            <v>North America</v>
          </cell>
          <cell r="J1740" t="str">
            <v>USA</v>
          </cell>
          <cell r="K1740">
            <v>31427</v>
          </cell>
        </row>
        <row r="1741">
          <cell r="A1741" t="str">
            <v>In service</v>
          </cell>
          <cell r="B1741" t="str">
            <v>Gulfstream Aerospace Gulfstream III</v>
          </cell>
          <cell r="C1741" t="str">
            <v>C-20B</v>
          </cell>
          <cell r="D1741">
            <v>1985</v>
          </cell>
          <cell r="E1741" t="str">
            <v>US Coast Guard</v>
          </cell>
          <cell r="F1741">
            <v>17</v>
          </cell>
          <cell r="G1741">
            <v>32065</v>
          </cell>
          <cell r="H1741" t="str">
            <v>C-20B</v>
          </cell>
          <cell r="I1741" t="str">
            <v>North America</v>
          </cell>
          <cell r="J1741" t="str">
            <v>USA</v>
          </cell>
          <cell r="K1741">
            <v>31427</v>
          </cell>
        </row>
        <row r="1742">
          <cell r="A1742" t="str">
            <v>In service</v>
          </cell>
          <cell r="B1742" t="str">
            <v>Gulfstream Aerospace Gulfstream III</v>
          </cell>
          <cell r="C1742" t="str">
            <v>C-20B</v>
          </cell>
          <cell r="D1742">
            <v>1985</v>
          </cell>
          <cell r="E1742" t="str">
            <v>US Air Force</v>
          </cell>
          <cell r="F1742">
            <v>17</v>
          </cell>
          <cell r="G1742">
            <v>31517</v>
          </cell>
          <cell r="H1742" t="str">
            <v>C-20B</v>
          </cell>
          <cell r="I1742" t="str">
            <v>North America</v>
          </cell>
          <cell r="J1742" t="str">
            <v>USA</v>
          </cell>
          <cell r="K1742">
            <v>31427</v>
          </cell>
        </row>
        <row r="1743">
          <cell r="A1743" t="str">
            <v>In service</v>
          </cell>
          <cell r="B1743" t="str">
            <v>Gulfstream Aerospace Gulfstream III</v>
          </cell>
          <cell r="C1743" t="str">
            <v>C-20C</v>
          </cell>
          <cell r="D1743">
            <v>1985</v>
          </cell>
          <cell r="E1743" t="str">
            <v>US Army</v>
          </cell>
          <cell r="F1743">
            <v>17</v>
          </cell>
          <cell r="G1743">
            <v>31593</v>
          </cell>
          <cell r="H1743" t="str">
            <v>C-20C</v>
          </cell>
          <cell r="I1743" t="str">
            <v>North America</v>
          </cell>
          <cell r="J1743" t="str">
            <v>USA</v>
          </cell>
          <cell r="K1743">
            <v>30863</v>
          </cell>
        </row>
        <row r="1744">
          <cell r="A1744" t="str">
            <v>In service</v>
          </cell>
          <cell r="B1744" t="str">
            <v>Gulfstream Aerospace Gulfstream III</v>
          </cell>
          <cell r="C1744" t="str">
            <v>C-20C</v>
          </cell>
          <cell r="D1744">
            <v>1985</v>
          </cell>
          <cell r="E1744" t="str">
            <v>US Army</v>
          </cell>
          <cell r="F1744">
            <v>17</v>
          </cell>
          <cell r="G1744">
            <v>31593</v>
          </cell>
          <cell r="H1744" t="str">
            <v>C-20C</v>
          </cell>
          <cell r="I1744" t="str">
            <v>North America</v>
          </cell>
          <cell r="J1744" t="str">
            <v>USA</v>
          </cell>
          <cell r="K1744">
            <v>30863</v>
          </cell>
        </row>
        <row r="1745">
          <cell r="A1745" t="str">
            <v>In service</v>
          </cell>
          <cell r="B1745" t="str">
            <v>Gulfstream Aerospace Gulfstream III</v>
          </cell>
          <cell r="C1745" t="str">
            <v>C-20C</v>
          </cell>
          <cell r="D1745">
            <v>1985</v>
          </cell>
          <cell r="E1745" t="str">
            <v>US Air Force</v>
          </cell>
          <cell r="F1745">
            <v>17</v>
          </cell>
          <cell r="G1745">
            <v>31973</v>
          </cell>
          <cell r="H1745" t="str">
            <v>C-20C</v>
          </cell>
          <cell r="I1745" t="str">
            <v>North America</v>
          </cell>
          <cell r="J1745" t="str">
            <v>USA</v>
          </cell>
          <cell r="K1745">
            <v>31593</v>
          </cell>
        </row>
        <row r="1746">
          <cell r="A1746" t="str">
            <v>In service</v>
          </cell>
          <cell r="B1746" t="str">
            <v>Gulfstream Aerospace Gulfstream III</v>
          </cell>
          <cell r="C1746" t="str">
            <v>C-20D</v>
          </cell>
          <cell r="D1746">
            <v>1986</v>
          </cell>
          <cell r="E1746" t="str">
            <v>US Navy</v>
          </cell>
          <cell r="F1746">
            <v>16</v>
          </cell>
          <cell r="G1746">
            <v>31578</v>
          </cell>
          <cell r="H1746" t="str">
            <v>C-20D</v>
          </cell>
          <cell r="I1746" t="str">
            <v>North America</v>
          </cell>
          <cell r="J1746" t="str">
            <v>USA</v>
          </cell>
          <cell r="K1746">
            <v>30863</v>
          </cell>
        </row>
        <row r="1747">
          <cell r="A1747" t="str">
            <v>In service</v>
          </cell>
          <cell r="B1747" t="str">
            <v>Gulfstream Aerospace Gulfstream III</v>
          </cell>
          <cell r="C1747" t="str">
            <v>C-20D</v>
          </cell>
          <cell r="D1747">
            <v>1986</v>
          </cell>
          <cell r="E1747" t="str">
            <v>US Navy</v>
          </cell>
          <cell r="F1747">
            <v>16</v>
          </cell>
          <cell r="G1747">
            <v>31578</v>
          </cell>
          <cell r="H1747" t="str">
            <v>C-20D</v>
          </cell>
          <cell r="I1747" t="str">
            <v>North America</v>
          </cell>
          <cell r="J1747" t="str">
            <v>USA</v>
          </cell>
          <cell r="K1747">
            <v>30863</v>
          </cell>
        </row>
        <row r="1748">
          <cell r="A1748" t="str">
            <v>In service</v>
          </cell>
          <cell r="B1748" t="str">
            <v>Gulfstream Aerospace Gulfstream III</v>
          </cell>
          <cell r="C1748" t="str">
            <v>C-20E</v>
          </cell>
          <cell r="D1748">
            <v>1987</v>
          </cell>
          <cell r="E1748" t="str">
            <v>US Army</v>
          </cell>
          <cell r="F1748">
            <v>15</v>
          </cell>
          <cell r="G1748">
            <v>32278</v>
          </cell>
          <cell r="H1748" t="str">
            <v>C-20E</v>
          </cell>
          <cell r="I1748" t="str">
            <v>North America</v>
          </cell>
          <cell r="J1748" t="str">
            <v>USA</v>
          </cell>
          <cell r="K1748">
            <v>31593</v>
          </cell>
        </row>
        <row r="1749">
          <cell r="A1749" t="str">
            <v>In service</v>
          </cell>
          <cell r="B1749" t="str">
            <v>Gulfstream Aerospace Gulfstream III</v>
          </cell>
          <cell r="C1749" t="str">
            <v>C-20E</v>
          </cell>
          <cell r="D1749">
            <v>1987</v>
          </cell>
          <cell r="E1749" t="str">
            <v>US Army</v>
          </cell>
          <cell r="F1749">
            <v>15</v>
          </cell>
          <cell r="G1749">
            <v>32278</v>
          </cell>
          <cell r="H1749" t="str">
            <v>C-20E</v>
          </cell>
          <cell r="I1749" t="str">
            <v>North America</v>
          </cell>
          <cell r="J1749" t="str">
            <v>USA</v>
          </cell>
          <cell r="K1749">
            <v>31593</v>
          </cell>
        </row>
        <row r="1750">
          <cell r="A1750" t="str">
            <v>In service</v>
          </cell>
          <cell r="B1750" t="str">
            <v>Gulfstream Aerospace Gulfstream IV</v>
          </cell>
          <cell r="C1750" t="str">
            <v xml:space="preserve"> </v>
          </cell>
          <cell r="D1750">
            <v>1985</v>
          </cell>
          <cell r="E1750" t="str">
            <v>Emmis Operating Co</v>
          </cell>
          <cell r="F1750">
            <v>17</v>
          </cell>
          <cell r="G1750">
            <v>31396</v>
          </cell>
          <cell r="I1750" t="str">
            <v>North America</v>
          </cell>
          <cell r="J1750" t="str">
            <v>USA</v>
          </cell>
        </row>
        <row r="1751">
          <cell r="A1751" t="str">
            <v>In service</v>
          </cell>
          <cell r="B1751" t="str">
            <v>Gulfstream Aerospace Gulfstream IV</v>
          </cell>
          <cell r="C1751" t="str">
            <v xml:space="preserve"> </v>
          </cell>
          <cell r="D1751">
            <v>1986</v>
          </cell>
          <cell r="E1751" t="str">
            <v>Flight Options</v>
          </cell>
          <cell r="F1751">
            <v>16</v>
          </cell>
          <cell r="G1751">
            <v>31756</v>
          </cell>
          <cell r="I1751" t="str">
            <v>North America</v>
          </cell>
          <cell r="J1751" t="str">
            <v>USA</v>
          </cell>
          <cell r="K1751">
            <v>30863</v>
          </cell>
        </row>
        <row r="1752">
          <cell r="A1752" t="str">
            <v>In service</v>
          </cell>
          <cell r="B1752" t="str">
            <v>Gulfstream Aerospace Gulfstream IV</v>
          </cell>
          <cell r="C1752" t="str">
            <v xml:space="preserve"> </v>
          </cell>
          <cell r="D1752">
            <v>1986</v>
          </cell>
          <cell r="E1752" t="str">
            <v>DRW Financial Inc</v>
          </cell>
          <cell r="F1752">
            <v>16</v>
          </cell>
          <cell r="G1752">
            <v>31775</v>
          </cell>
          <cell r="I1752" t="str">
            <v>North America</v>
          </cell>
          <cell r="J1752" t="str">
            <v>USA</v>
          </cell>
          <cell r="K1752">
            <v>30863</v>
          </cell>
        </row>
        <row r="1753">
          <cell r="A1753" t="str">
            <v>In service</v>
          </cell>
          <cell r="B1753" t="str">
            <v>Gulfstream Aerospace Gulfstream IV</v>
          </cell>
          <cell r="C1753" t="str">
            <v xml:space="preserve"> </v>
          </cell>
          <cell r="D1753">
            <v>1986</v>
          </cell>
          <cell r="E1753" t="str">
            <v>G IV Corp</v>
          </cell>
          <cell r="F1753">
            <v>16</v>
          </cell>
          <cell r="G1753">
            <v>31608</v>
          </cell>
          <cell r="I1753" t="str">
            <v>North America</v>
          </cell>
          <cell r="J1753" t="str">
            <v>USA</v>
          </cell>
          <cell r="K1753">
            <v>30863</v>
          </cell>
        </row>
        <row r="1754">
          <cell r="A1754" t="str">
            <v>In service</v>
          </cell>
          <cell r="B1754" t="str">
            <v>Gulfstream Aerospace Gulfstream IV</v>
          </cell>
          <cell r="C1754" t="str">
            <v xml:space="preserve"> </v>
          </cell>
          <cell r="D1754">
            <v>1986</v>
          </cell>
          <cell r="E1754" t="str">
            <v>Paramount Aviation II LLC</v>
          </cell>
          <cell r="F1754">
            <v>16</v>
          </cell>
          <cell r="G1754">
            <v>31653</v>
          </cell>
          <cell r="I1754" t="str">
            <v>North America</v>
          </cell>
          <cell r="J1754" t="str">
            <v>USA</v>
          </cell>
          <cell r="K1754">
            <v>31228</v>
          </cell>
        </row>
        <row r="1755">
          <cell r="A1755" t="str">
            <v>In service</v>
          </cell>
          <cell r="B1755" t="str">
            <v>Gulfstream Aerospace Gulfstream IV</v>
          </cell>
          <cell r="C1755" t="str">
            <v xml:space="preserve"> </v>
          </cell>
          <cell r="D1755">
            <v>1986</v>
          </cell>
          <cell r="E1755" t="str">
            <v>Shako Air International Inc</v>
          </cell>
          <cell r="F1755">
            <v>16</v>
          </cell>
          <cell r="G1755">
            <v>31700</v>
          </cell>
          <cell r="I1755" t="str">
            <v>North America</v>
          </cell>
          <cell r="J1755" t="str">
            <v>USA</v>
          </cell>
          <cell r="K1755">
            <v>30863</v>
          </cell>
        </row>
        <row r="1756">
          <cell r="A1756" t="str">
            <v>In service</v>
          </cell>
          <cell r="B1756" t="str">
            <v>Gulfstream Aerospace Gulfstream IV</v>
          </cell>
          <cell r="C1756" t="str">
            <v xml:space="preserve"> </v>
          </cell>
          <cell r="D1756">
            <v>1986</v>
          </cell>
          <cell r="E1756" t="str">
            <v>Wilton Investment LC</v>
          </cell>
          <cell r="F1756">
            <v>16</v>
          </cell>
          <cell r="G1756">
            <v>31715</v>
          </cell>
          <cell r="I1756" t="str">
            <v>North America</v>
          </cell>
          <cell r="J1756" t="str">
            <v>USA</v>
          </cell>
          <cell r="K1756">
            <v>30863</v>
          </cell>
        </row>
        <row r="1757">
          <cell r="A1757" t="str">
            <v>In service</v>
          </cell>
          <cell r="B1757" t="str">
            <v>Gulfstream Aerospace Gulfstream IV</v>
          </cell>
          <cell r="C1757" t="str">
            <v xml:space="preserve"> </v>
          </cell>
          <cell r="D1757">
            <v>1986</v>
          </cell>
          <cell r="E1757" t="str">
            <v>E I Aviation Inc</v>
          </cell>
          <cell r="F1757">
            <v>16</v>
          </cell>
          <cell r="G1757">
            <v>31749</v>
          </cell>
          <cell r="I1757" t="str">
            <v>North America</v>
          </cell>
          <cell r="J1757" t="str">
            <v>USA</v>
          </cell>
          <cell r="K1757">
            <v>30863</v>
          </cell>
        </row>
        <row r="1758">
          <cell r="A1758" t="str">
            <v>In service</v>
          </cell>
          <cell r="B1758" t="str">
            <v>Gulfstream Aerospace Gulfstream IV</v>
          </cell>
          <cell r="C1758" t="str">
            <v xml:space="preserve"> </v>
          </cell>
          <cell r="D1758">
            <v>1986</v>
          </cell>
          <cell r="E1758" t="str">
            <v>Weeks Davies Aviation Inc</v>
          </cell>
          <cell r="F1758">
            <v>16</v>
          </cell>
          <cell r="G1758">
            <v>31957</v>
          </cell>
          <cell r="I1758" t="str">
            <v>North America</v>
          </cell>
          <cell r="J1758" t="str">
            <v>USA</v>
          </cell>
          <cell r="K1758">
            <v>30863</v>
          </cell>
        </row>
        <row r="1759">
          <cell r="A1759" t="str">
            <v>In service</v>
          </cell>
          <cell r="B1759" t="str">
            <v>Gulfstream Aerospace Gulfstream IV</v>
          </cell>
          <cell r="C1759" t="str">
            <v xml:space="preserve"> </v>
          </cell>
          <cell r="D1759">
            <v>1986</v>
          </cell>
          <cell r="E1759" t="str">
            <v>Royal Netherlands Air Force</v>
          </cell>
          <cell r="F1759">
            <v>16</v>
          </cell>
          <cell r="G1759">
            <v>31766</v>
          </cell>
          <cell r="I1759" t="str">
            <v>Europe</v>
          </cell>
          <cell r="J1759" t="str">
            <v>Netherlands</v>
          </cell>
          <cell r="K1759">
            <v>30863</v>
          </cell>
        </row>
        <row r="1760">
          <cell r="A1760" t="str">
            <v>In service</v>
          </cell>
          <cell r="B1760" t="str">
            <v>Gulfstream Aerospace Gulfstream IV</v>
          </cell>
          <cell r="C1760" t="str">
            <v xml:space="preserve"> </v>
          </cell>
          <cell r="D1760">
            <v>1986</v>
          </cell>
          <cell r="E1760" t="str">
            <v>Fairmont Aviation LLC</v>
          </cell>
          <cell r="F1760">
            <v>16</v>
          </cell>
          <cell r="G1760">
            <v>31787</v>
          </cell>
          <cell r="I1760" t="str">
            <v>North America</v>
          </cell>
          <cell r="J1760" t="str">
            <v>USA</v>
          </cell>
          <cell r="K1760">
            <v>31228</v>
          </cell>
        </row>
        <row r="1761">
          <cell r="A1761" t="str">
            <v>In service</v>
          </cell>
          <cell r="B1761" t="str">
            <v>Gulfstream Aerospace Gulfstream IV</v>
          </cell>
          <cell r="C1761" t="str">
            <v xml:space="preserve"> </v>
          </cell>
          <cell r="D1761">
            <v>1987</v>
          </cell>
          <cell r="E1761" t="str">
            <v>Dubai Air Wing</v>
          </cell>
          <cell r="F1761">
            <v>15</v>
          </cell>
          <cell r="G1761">
            <v>32115</v>
          </cell>
          <cell r="I1761" t="str">
            <v>Middle East</v>
          </cell>
          <cell r="J1761" t="str">
            <v>United Arab Emirates</v>
          </cell>
          <cell r="K1761">
            <v>30863</v>
          </cell>
        </row>
        <row r="1762">
          <cell r="A1762" t="str">
            <v>In service</v>
          </cell>
          <cell r="B1762" t="str">
            <v>Gulfstream Aerospace Gulfstream IV</v>
          </cell>
          <cell r="C1762" t="str">
            <v xml:space="preserve"> </v>
          </cell>
          <cell r="D1762">
            <v>1987</v>
          </cell>
          <cell r="E1762" t="str">
            <v>MacAndrews &amp; Forbes Group LLC</v>
          </cell>
          <cell r="F1762">
            <v>15</v>
          </cell>
          <cell r="G1762">
            <v>31868</v>
          </cell>
          <cell r="I1762" t="str">
            <v>North America</v>
          </cell>
          <cell r="J1762" t="str">
            <v>USA</v>
          </cell>
          <cell r="K1762">
            <v>31228</v>
          </cell>
        </row>
        <row r="1763">
          <cell r="A1763" t="str">
            <v>In service</v>
          </cell>
          <cell r="B1763" t="str">
            <v>Gulfstream Aerospace Gulfstream IV</v>
          </cell>
          <cell r="C1763" t="str">
            <v xml:space="preserve"> </v>
          </cell>
          <cell r="D1763">
            <v>1987</v>
          </cell>
          <cell r="E1763" t="str">
            <v>Fidelity National Financial inc</v>
          </cell>
          <cell r="F1763">
            <v>15</v>
          </cell>
          <cell r="G1763">
            <v>31883</v>
          </cell>
          <cell r="I1763" t="str">
            <v>North America</v>
          </cell>
          <cell r="J1763" t="str">
            <v>USA</v>
          </cell>
          <cell r="K1763">
            <v>31228</v>
          </cell>
        </row>
        <row r="1764">
          <cell r="A1764" t="str">
            <v>In service</v>
          </cell>
          <cell r="B1764" t="str">
            <v>Gulfstream Aerospace Gulfstream IV</v>
          </cell>
          <cell r="C1764" t="str">
            <v xml:space="preserve"> </v>
          </cell>
          <cell r="D1764">
            <v>1987</v>
          </cell>
          <cell r="E1764" t="str">
            <v>Swedish Air Force</v>
          </cell>
          <cell r="F1764">
            <v>15</v>
          </cell>
          <cell r="G1764">
            <v>31888</v>
          </cell>
          <cell r="H1764" t="str">
            <v>TP-102</v>
          </cell>
          <cell r="I1764" t="str">
            <v>Europe</v>
          </cell>
          <cell r="J1764" t="str">
            <v>Sweden</v>
          </cell>
          <cell r="K1764">
            <v>31228</v>
          </cell>
        </row>
        <row r="1765">
          <cell r="A1765" t="str">
            <v>In service</v>
          </cell>
          <cell r="B1765" t="str">
            <v>Gulfstream Aerospace Gulfstream IV</v>
          </cell>
          <cell r="C1765" t="str">
            <v xml:space="preserve"> </v>
          </cell>
          <cell r="D1765">
            <v>1987</v>
          </cell>
          <cell r="E1765" t="str">
            <v>Rashid Engineering</v>
          </cell>
          <cell r="F1765">
            <v>15</v>
          </cell>
          <cell r="G1765">
            <v>32006</v>
          </cell>
          <cell r="I1765" t="str">
            <v>Middle East</v>
          </cell>
          <cell r="J1765" t="str">
            <v>Saudi Arabia</v>
          </cell>
          <cell r="K1765">
            <v>31228</v>
          </cell>
        </row>
        <row r="1766">
          <cell r="A1766" t="str">
            <v>In service</v>
          </cell>
          <cell r="B1766" t="str">
            <v>Gulfstream Aerospace Gulfstream IV</v>
          </cell>
          <cell r="C1766" t="str">
            <v xml:space="preserve"> </v>
          </cell>
          <cell r="D1766">
            <v>1987</v>
          </cell>
          <cell r="E1766" t="str">
            <v>Guardian Industries Corp</v>
          </cell>
          <cell r="F1766">
            <v>15</v>
          </cell>
          <cell r="G1766">
            <v>31919</v>
          </cell>
          <cell r="I1766" t="str">
            <v>North America</v>
          </cell>
          <cell r="J1766" t="str">
            <v>USA</v>
          </cell>
          <cell r="K1766">
            <v>31228</v>
          </cell>
        </row>
        <row r="1767">
          <cell r="A1767" t="str">
            <v>In service</v>
          </cell>
          <cell r="B1767" t="str">
            <v>Gulfstream Aerospace Gulfstream IV</v>
          </cell>
          <cell r="C1767" t="str">
            <v xml:space="preserve"> </v>
          </cell>
          <cell r="D1767">
            <v>1987</v>
          </cell>
          <cell r="E1767" t="str">
            <v>Sugra Ltd</v>
          </cell>
          <cell r="F1767">
            <v>15</v>
          </cell>
          <cell r="G1767">
            <v>32203</v>
          </cell>
          <cell r="I1767" t="str">
            <v>Latin America and Caribbean</v>
          </cell>
          <cell r="J1767" t="str">
            <v>Bermuda</v>
          </cell>
          <cell r="K1767">
            <v>31593</v>
          </cell>
        </row>
        <row r="1768">
          <cell r="A1768" t="str">
            <v>In service</v>
          </cell>
          <cell r="B1768" t="str">
            <v>Gulfstream Aerospace Gulfstream IV</v>
          </cell>
          <cell r="C1768" t="str">
            <v xml:space="preserve"> </v>
          </cell>
          <cell r="D1768">
            <v>1987</v>
          </cell>
          <cell r="E1768" t="str">
            <v>Summit Aviation Inc &amp; Quest Software Inc</v>
          </cell>
          <cell r="F1768">
            <v>15</v>
          </cell>
          <cell r="G1768">
            <v>31992</v>
          </cell>
          <cell r="I1768" t="str">
            <v>North America</v>
          </cell>
          <cell r="J1768" t="str">
            <v>USA</v>
          </cell>
          <cell r="K1768">
            <v>31228</v>
          </cell>
        </row>
        <row r="1769">
          <cell r="A1769" t="str">
            <v>In service</v>
          </cell>
          <cell r="B1769" t="str">
            <v>Gulfstream Aerospace Gulfstream IV</v>
          </cell>
          <cell r="C1769" t="str">
            <v xml:space="preserve"> </v>
          </cell>
          <cell r="D1769">
            <v>1987</v>
          </cell>
          <cell r="E1769" t="str">
            <v>Government of Ivory Coast</v>
          </cell>
          <cell r="F1769">
            <v>15</v>
          </cell>
          <cell r="G1769">
            <v>32126</v>
          </cell>
          <cell r="I1769" t="str">
            <v>Africa</v>
          </cell>
          <cell r="J1769" t="str">
            <v>Ivory Coast</v>
          </cell>
          <cell r="K1769">
            <v>31228</v>
          </cell>
        </row>
        <row r="1770">
          <cell r="A1770" t="str">
            <v>In service</v>
          </cell>
          <cell r="B1770" t="str">
            <v>Gulfstream Aerospace Gulfstream IV</v>
          </cell>
          <cell r="C1770" t="str">
            <v xml:space="preserve"> </v>
          </cell>
          <cell r="D1770">
            <v>1987</v>
          </cell>
          <cell r="E1770" t="str">
            <v>The Air Group Inc</v>
          </cell>
          <cell r="F1770">
            <v>15</v>
          </cell>
          <cell r="G1770">
            <v>31957</v>
          </cell>
          <cell r="I1770" t="str">
            <v>North America</v>
          </cell>
          <cell r="J1770" t="str">
            <v>USA</v>
          </cell>
          <cell r="K1770">
            <v>31228</v>
          </cell>
        </row>
        <row r="1771">
          <cell r="A1771" t="str">
            <v>In service</v>
          </cell>
          <cell r="B1771" t="str">
            <v>Gulfstream Aerospace Gulfstream IV</v>
          </cell>
          <cell r="C1771" t="str">
            <v xml:space="preserve"> </v>
          </cell>
          <cell r="D1771">
            <v>1987</v>
          </cell>
          <cell r="E1771" t="str">
            <v>Gestair</v>
          </cell>
          <cell r="F1771">
            <v>15</v>
          </cell>
          <cell r="G1771">
            <v>32134</v>
          </cell>
          <cell r="I1771" t="str">
            <v>Europe</v>
          </cell>
          <cell r="J1771" t="str">
            <v>Spain</v>
          </cell>
          <cell r="K1771">
            <v>31228</v>
          </cell>
        </row>
        <row r="1772">
          <cell r="A1772" t="str">
            <v>In service</v>
          </cell>
          <cell r="B1772" t="str">
            <v>Gulfstream Aerospace Gulfstream IV</v>
          </cell>
          <cell r="C1772" t="str">
            <v xml:space="preserve"> </v>
          </cell>
          <cell r="D1772">
            <v>1987</v>
          </cell>
          <cell r="E1772" t="str">
            <v>Paul Davril Inc</v>
          </cell>
          <cell r="F1772">
            <v>15</v>
          </cell>
          <cell r="G1772">
            <v>32233</v>
          </cell>
          <cell r="I1772" t="str">
            <v>North America</v>
          </cell>
          <cell r="J1772" t="str">
            <v>USA</v>
          </cell>
          <cell r="K1772">
            <v>31228</v>
          </cell>
        </row>
        <row r="1773">
          <cell r="A1773" t="str">
            <v>In service</v>
          </cell>
          <cell r="B1773" t="str">
            <v>Gulfstream Aerospace Gulfstream IV</v>
          </cell>
          <cell r="C1773" t="str">
            <v xml:space="preserve"> </v>
          </cell>
          <cell r="D1773">
            <v>1987</v>
          </cell>
          <cell r="E1773" t="str">
            <v>MBNA Corp</v>
          </cell>
          <cell r="F1773">
            <v>15</v>
          </cell>
          <cell r="G1773">
            <v>31993</v>
          </cell>
          <cell r="I1773" t="str">
            <v>North America</v>
          </cell>
          <cell r="J1773" t="str">
            <v>USA</v>
          </cell>
          <cell r="K1773">
            <v>30863</v>
          </cell>
        </row>
        <row r="1774">
          <cell r="A1774" t="str">
            <v>In service</v>
          </cell>
          <cell r="B1774" t="str">
            <v>Gulfstream Aerospace Gulfstream IV</v>
          </cell>
          <cell r="C1774" t="str">
            <v xml:space="preserve"> </v>
          </cell>
          <cell r="D1774">
            <v>1987</v>
          </cell>
          <cell r="E1774" t="str">
            <v>Morita Inc</v>
          </cell>
          <cell r="F1774">
            <v>15</v>
          </cell>
          <cell r="G1774">
            <v>32016</v>
          </cell>
          <cell r="I1774" t="str">
            <v>North America</v>
          </cell>
          <cell r="J1774" t="str">
            <v>USA</v>
          </cell>
          <cell r="K1774">
            <v>31228</v>
          </cell>
        </row>
        <row r="1775">
          <cell r="A1775" t="str">
            <v>In service</v>
          </cell>
          <cell r="B1775" t="str">
            <v>Gulfstream Aerospace Gulfstream IV</v>
          </cell>
          <cell r="C1775" t="str">
            <v xml:space="preserve"> </v>
          </cell>
          <cell r="D1775">
            <v>1987</v>
          </cell>
          <cell r="E1775" t="str">
            <v>Bombardier Capital Inc</v>
          </cell>
          <cell r="F1775">
            <v>15</v>
          </cell>
          <cell r="G1775">
            <v>32024</v>
          </cell>
          <cell r="I1775" t="str">
            <v>North America</v>
          </cell>
          <cell r="J1775" t="str">
            <v>USA</v>
          </cell>
          <cell r="K1775">
            <v>31228</v>
          </cell>
        </row>
        <row r="1776">
          <cell r="A1776" t="str">
            <v>In service</v>
          </cell>
          <cell r="B1776" t="str">
            <v>Gulfstream Aerospace Gulfstream IV</v>
          </cell>
          <cell r="C1776" t="str">
            <v xml:space="preserve"> </v>
          </cell>
          <cell r="D1776">
            <v>1987</v>
          </cell>
          <cell r="E1776" t="str">
            <v>Veridian Aviation Services</v>
          </cell>
          <cell r="F1776">
            <v>15</v>
          </cell>
          <cell r="G1776">
            <v>32055</v>
          </cell>
          <cell r="I1776" t="str">
            <v>North America</v>
          </cell>
          <cell r="J1776" t="str">
            <v>USA</v>
          </cell>
          <cell r="K1776">
            <v>31228</v>
          </cell>
        </row>
        <row r="1777">
          <cell r="A1777" t="str">
            <v>In service</v>
          </cell>
          <cell r="B1777" t="str">
            <v>Gulfstream Aerospace Gulfstream IV</v>
          </cell>
          <cell r="C1777" t="str">
            <v xml:space="preserve"> </v>
          </cell>
          <cell r="D1777">
            <v>1987</v>
          </cell>
          <cell r="E1777" t="str">
            <v>Government of Turkey</v>
          </cell>
          <cell r="F1777">
            <v>15</v>
          </cell>
          <cell r="G1777">
            <v>32286</v>
          </cell>
          <cell r="I1777" t="str">
            <v>Europe</v>
          </cell>
          <cell r="J1777" t="str">
            <v>Turkey</v>
          </cell>
          <cell r="K1777">
            <v>31593</v>
          </cell>
        </row>
        <row r="1778">
          <cell r="A1778" t="str">
            <v>In service</v>
          </cell>
          <cell r="B1778" t="str">
            <v>Gulfstream Aerospace Gulfstream IV</v>
          </cell>
          <cell r="C1778" t="str">
            <v xml:space="preserve"> </v>
          </cell>
          <cell r="D1778">
            <v>1987</v>
          </cell>
          <cell r="E1778" t="str">
            <v>SAH Enterprises Inc</v>
          </cell>
          <cell r="F1778">
            <v>15</v>
          </cell>
          <cell r="G1778">
            <v>32134</v>
          </cell>
          <cell r="I1778" t="str">
            <v>North America</v>
          </cell>
          <cell r="J1778" t="str">
            <v>USA</v>
          </cell>
          <cell r="K1778">
            <v>31228</v>
          </cell>
        </row>
        <row r="1779">
          <cell r="A1779" t="str">
            <v>In service</v>
          </cell>
          <cell r="B1779" t="str">
            <v>Gulfstream Aerospace Gulfstream IV</v>
          </cell>
          <cell r="C1779" t="str">
            <v xml:space="preserve"> </v>
          </cell>
          <cell r="D1779">
            <v>1987</v>
          </cell>
          <cell r="E1779" t="str">
            <v>Specialised Transportation (Bermuda) Ltd</v>
          </cell>
          <cell r="F1779">
            <v>15</v>
          </cell>
          <cell r="G1779">
            <v>32078</v>
          </cell>
          <cell r="I1779" t="str">
            <v>Latin America and Caribbean</v>
          </cell>
          <cell r="J1779" t="str">
            <v>Bermuda</v>
          </cell>
          <cell r="K1779">
            <v>31228</v>
          </cell>
        </row>
        <row r="1780">
          <cell r="A1780" t="str">
            <v>In service</v>
          </cell>
          <cell r="B1780" t="str">
            <v>Gulfstream Aerospace Gulfstream IV</v>
          </cell>
          <cell r="C1780" t="str">
            <v xml:space="preserve"> </v>
          </cell>
          <cell r="D1780">
            <v>1987</v>
          </cell>
          <cell r="E1780" t="str">
            <v>WNP Aviation Inc</v>
          </cell>
          <cell r="F1780">
            <v>15</v>
          </cell>
          <cell r="G1780">
            <v>32188</v>
          </cell>
          <cell r="I1780" t="str">
            <v>North America</v>
          </cell>
          <cell r="J1780" t="str">
            <v>USA</v>
          </cell>
          <cell r="K1780">
            <v>31593</v>
          </cell>
        </row>
        <row r="1781">
          <cell r="A1781" t="str">
            <v>In service</v>
          </cell>
          <cell r="B1781" t="str">
            <v>Gulfstream Aerospace Gulfstream IV</v>
          </cell>
          <cell r="C1781" t="str">
            <v xml:space="preserve"> </v>
          </cell>
          <cell r="D1781">
            <v>1987</v>
          </cell>
          <cell r="E1781" t="str">
            <v>Saudi Arabian Airlines</v>
          </cell>
          <cell r="F1781">
            <v>15</v>
          </cell>
          <cell r="G1781">
            <v>32827</v>
          </cell>
          <cell r="I1781" t="str">
            <v>Middle East</v>
          </cell>
          <cell r="J1781" t="str">
            <v>Saudi Arabia</v>
          </cell>
          <cell r="K1781">
            <v>31593</v>
          </cell>
        </row>
        <row r="1782">
          <cell r="A1782" t="str">
            <v>In service</v>
          </cell>
          <cell r="B1782" t="str">
            <v>Gulfstream Aerospace Gulfstream IV</v>
          </cell>
          <cell r="C1782" t="str">
            <v xml:space="preserve"> </v>
          </cell>
          <cell r="D1782">
            <v>1987</v>
          </cell>
          <cell r="E1782" t="str">
            <v>Netjets Middle East</v>
          </cell>
          <cell r="F1782">
            <v>15</v>
          </cell>
          <cell r="G1782">
            <v>31847</v>
          </cell>
          <cell r="I1782" t="str">
            <v>Middle East</v>
          </cell>
          <cell r="J1782" t="str">
            <v>Saudi Arabia</v>
          </cell>
          <cell r="K1782">
            <v>31228</v>
          </cell>
        </row>
        <row r="1783">
          <cell r="A1783" t="str">
            <v>In service</v>
          </cell>
          <cell r="B1783" t="str">
            <v>Gulfstream Aerospace Gulfstream IV</v>
          </cell>
          <cell r="C1783" t="str">
            <v xml:space="preserve"> </v>
          </cell>
          <cell r="D1783">
            <v>1987</v>
          </cell>
          <cell r="E1783" t="str">
            <v>NIKE Inc</v>
          </cell>
          <cell r="F1783">
            <v>15</v>
          </cell>
          <cell r="G1783">
            <v>32278</v>
          </cell>
          <cell r="I1783" t="str">
            <v>North America</v>
          </cell>
          <cell r="J1783" t="str">
            <v>USA</v>
          </cell>
          <cell r="K1783">
            <v>31593</v>
          </cell>
        </row>
        <row r="1784">
          <cell r="A1784" t="str">
            <v>In service</v>
          </cell>
          <cell r="B1784" t="str">
            <v>Gulfstream Aerospace Gulfstream IV</v>
          </cell>
          <cell r="C1784" t="str">
            <v xml:space="preserve"> </v>
          </cell>
          <cell r="D1784">
            <v>1987</v>
          </cell>
          <cell r="E1784" t="str">
            <v>Tenet Healthcare Corp</v>
          </cell>
          <cell r="F1784">
            <v>15</v>
          </cell>
          <cell r="G1784">
            <v>33527</v>
          </cell>
          <cell r="I1784" t="str">
            <v>North America</v>
          </cell>
          <cell r="J1784" t="str">
            <v>USA</v>
          </cell>
        </row>
        <row r="1785">
          <cell r="A1785" t="str">
            <v>In service</v>
          </cell>
          <cell r="B1785" t="str">
            <v>Gulfstream Aerospace Gulfstream IV</v>
          </cell>
          <cell r="C1785" t="str">
            <v xml:space="preserve"> </v>
          </cell>
          <cell r="D1785">
            <v>1988</v>
          </cell>
          <cell r="E1785" t="str">
            <v>Saudi Arabian Airlines</v>
          </cell>
          <cell r="F1785">
            <v>14</v>
          </cell>
          <cell r="G1785">
            <v>32777</v>
          </cell>
          <cell r="I1785" t="str">
            <v>Middle East</v>
          </cell>
          <cell r="J1785" t="str">
            <v>Saudi Arabia</v>
          </cell>
          <cell r="K1785">
            <v>31593</v>
          </cell>
        </row>
        <row r="1786">
          <cell r="A1786" t="str">
            <v>In service</v>
          </cell>
          <cell r="B1786" t="str">
            <v>Gulfstream Aerospace Gulfstream IV</v>
          </cell>
          <cell r="C1786" t="str">
            <v xml:space="preserve"> </v>
          </cell>
          <cell r="D1786">
            <v>1987</v>
          </cell>
          <cell r="E1786" t="str">
            <v>ITT Industries Inc</v>
          </cell>
          <cell r="F1786">
            <v>15</v>
          </cell>
          <cell r="G1786">
            <v>32160</v>
          </cell>
          <cell r="I1786" t="str">
            <v>North America</v>
          </cell>
          <cell r="J1786" t="str">
            <v>USA</v>
          </cell>
          <cell r="K1786">
            <v>31228</v>
          </cell>
        </row>
        <row r="1787">
          <cell r="A1787" t="str">
            <v>In service</v>
          </cell>
          <cell r="B1787" t="str">
            <v>Gulfstream Aerospace Gulfstream IV</v>
          </cell>
          <cell r="C1787" t="str">
            <v xml:space="preserve"> </v>
          </cell>
          <cell r="D1787">
            <v>1987</v>
          </cell>
          <cell r="E1787" t="str">
            <v>Raytheon Middle East Systems</v>
          </cell>
          <cell r="F1787">
            <v>15</v>
          </cell>
          <cell r="G1787">
            <v>32309</v>
          </cell>
          <cell r="I1787" t="str">
            <v>Middle East</v>
          </cell>
          <cell r="J1787" t="str">
            <v>Saudi Arabia</v>
          </cell>
          <cell r="K1787">
            <v>31593</v>
          </cell>
        </row>
        <row r="1788">
          <cell r="A1788" t="str">
            <v>In service</v>
          </cell>
          <cell r="B1788" t="str">
            <v>Gulfstream Aerospace Gulfstream IV</v>
          </cell>
          <cell r="C1788" t="str">
            <v xml:space="preserve"> </v>
          </cell>
          <cell r="D1788">
            <v>1987</v>
          </cell>
          <cell r="E1788" t="str">
            <v>Saudi Arabian Airlines</v>
          </cell>
          <cell r="F1788">
            <v>15</v>
          </cell>
          <cell r="G1788">
            <v>32827</v>
          </cell>
          <cell r="I1788" t="str">
            <v>Middle East</v>
          </cell>
          <cell r="J1788" t="str">
            <v>Saudi Arabia</v>
          </cell>
          <cell r="K1788">
            <v>31593</v>
          </cell>
        </row>
        <row r="1789">
          <cell r="A1789" t="str">
            <v>In service</v>
          </cell>
          <cell r="B1789" t="str">
            <v>Gulfstream Aerospace Gulfstream IV</v>
          </cell>
          <cell r="C1789" t="str">
            <v xml:space="preserve"> </v>
          </cell>
          <cell r="D1789">
            <v>1988</v>
          </cell>
          <cell r="E1789" t="str">
            <v>Pharmacia Corp</v>
          </cell>
          <cell r="F1789">
            <v>14</v>
          </cell>
          <cell r="G1789">
            <v>32335</v>
          </cell>
          <cell r="I1789" t="str">
            <v>North America</v>
          </cell>
          <cell r="J1789" t="str">
            <v>USA</v>
          </cell>
          <cell r="K1789">
            <v>31593</v>
          </cell>
        </row>
        <row r="1790">
          <cell r="A1790" t="str">
            <v>In service</v>
          </cell>
          <cell r="B1790" t="str">
            <v>Gulfstream Aerospace Gulfstream IV</v>
          </cell>
          <cell r="C1790" t="str">
            <v xml:space="preserve"> </v>
          </cell>
          <cell r="D1790">
            <v>1987</v>
          </cell>
          <cell r="E1790" t="str">
            <v>620 Inc</v>
          </cell>
          <cell r="F1790">
            <v>15</v>
          </cell>
          <cell r="G1790">
            <v>32188</v>
          </cell>
          <cell r="I1790" t="str">
            <v>North America</v>
          </cell>
          <cell r="J1790" t="str">
            <v>USA</v>
          </cell>
          <cell r="K1790">
            <v>31593</v>
          </cell>
        </row>
        <row r="1791">
          <cell r="A1791" t="str">
            <v>In service</v>
          </cell>
          <cell r="B1791" t="str">
            <v>Gulfstream Aerospace Gulfstream IV</v>
          </cell>
          <cell r="C1791" t="str">
            <v xml:space="preserve"> </v>
          </cell>
          <cell r="D1791">
            <v>1987</v>
          </cell>
          <cell r="E1791" t="str">
            <v>New World Jet Corp</v>
          </cell>
          <cell r="F1791">
            <v>15</v>
          </cell>
          <cell r="G1791">
            <v>32188</v>
          </cell>
          <cell r="I1791" t="str">
            <v>North America</v>
          </cell>
          <cell r="J1791" t="str">
            <v>USA</v>
          </cell>
          <cell r="K1791">
            <v>31593</v>
          </cell>
        </row>
        <row r="1792">
          <cell r="A1792" t="str">
            <v>In service</v>
          </cell>
          <cell r="B1792" t="str">
            <v>Gulfstream Aerospace Gulfstream IV</v>
          </cell>
          <cell r="C1792" t="str">
            <v xml:space="preserve"> </v>
          </cell>
          <cell r="D1792">
            <v>1987</v>
          </cell>
          <cell r="E1792" t="str">
            <v>Rutter Aviation LLC</v>
          </cell>
          <cell r="F1792">
            <v>15</v>
          </cell>
          <cell r="G1792">
            <v>34288</v>
          </cell>
          <cell r="I1792" t="str">
            <v>North America</v>
          </cell>
          <cell r="J1792" t="str">
            <v>USA</v>
          </cell>
        </row>
        <row r="1793">
          <cell r="A1793" t="str">
            <v>In service</v>
          </cell>
          <cell r="B1793" t="str">
            <v>Gulfstream Aerospace Gulfstream IV</v>
          </cell>
          <cell r="C1793" t="str">
            <v xml:space="preserve"> </v>
          </cell>
          <cell r="D1793">
            <v>1988</v>
          </cell>
          <cell r="E1793" t="str">
            <v>Government of Turkey</v>
          </cell>
          <cell r="F1793">
            <v>14</v>
          </cell>
          <cell r="G1793">
            <v>32378</v>
          </cell>
          <cell r="I1793" t="str">
            <v>Europe</v>
          </cell>
          <cell r="J1793" t="str">
            <v>Turkey</v>
          </cell>
          <cell r="K1793">
            <v>31593</v>
          </cell>
        </row>
        <row r="1794">
          <cell r="A1794" t="str">
            <v>In service</v>
          </cell>
          <cell r="B1794" t="str">
            <v>Gulfstream Aerospace Gulfstream IV</v>
          </cell>
          <cell r="C1794" t="str">
            <v xml:space="preserve"> </v>
          </cell>
          <cell r="D1794">
            <v>1988</v>
          </cell>
          <cell r="E1794" t="str">
            <v>Timberland Aviation Inc</v>
          </cell>
          <cell r="F1794">
            <v>14</v>
          </cell>
          <cell r="G1794">
            <v>32380</v>
          </cell>
          <cell r="I1794" t="str">
            <v>North America</v>
          </cell>
          <cell r="J1794" t="str">
            <v>USA</v>
          </cell>
          <cell r="K1794">
            <v>31593</v>
          </cell>
        </row>
        <row r="1795">
          <cell r="A1795" t="str">
            <v>In service</v>
          </cell>
          <cell r="B1795" t="str">
            <v>Gulfstream Aerospace Gulfstream IV</v>
          </cell>
          <cell r="C1795" t="str">
            <v xml:space="preserve"> </v>
          </cell>
          <cell r="D1795">
            <v>1987</v>
          </cell>
          <cell r="E1795" t="str">
            <v>Mariner Management LLC</v>
          </cell>
          <cell r="F1795">
            <v>15</v>
          </cell>
          <cell r="G1795">
            <v>32204</v>
          </cell>
          <cell r="I1795" t="str">
            <v>North America</v>
          </cell>
          <cell r="J1795" t="str">
            <v>USA</v>
          </cell>
          <cell r="K1795">
            <v>31593</v>
          </cell>
        </row>
        <row r="1796">
          <cell r="A1796" t="str">
            <v>In service</v>
          </cell>
          <cell r="B1796" t="str">
            <v>Gulfstream Aerospace Gulfstream IV</v>
          </cell>
          <cell r="C1796" t="str">
            <v xml:space="preserve"> </v>
          </cell>
          <cell r="D1796">
            <v>1988</v>
          </cell>
          <cell r="E1796" t="str">
            <v>KaiserAir Inc</v>
          </cell>
          <cell r="F1796">
            <v>14</v>
          </cell>
          <cell r="G1796">
            <v>32552</v>
          </cell>
          <cell r="I1796" t="str">
            <v>North America</v>
          </cell>
          <cell r="J1796" t="str">
            <v>USA</v>
          </cell>
          <cell r="K1796">
            <v>31958</v>
          </cell>
        </row>
        <row r="1797">
          <cell r="A1797" t="str">
            <v>In service</v>
          </cell>
          <cell r="B1797" t="str">
            <v>Gulfstream Aerospace Gulfstream IV</v>
          </cell>
          <cell r="C1797" t="str">
            <v xml:space="preserve"> </v>
          </cell>
          <cell r="D1797">
            <v>1988</v>
          </cell>
          <cell r="E1797" t="str">
            <v>Government of Egypt</v>
          </cell>
          <cell r="F1797">
            <v>14</v>
          </cell>
          <cell r="G1797">
            <v>32462</v>
          </cell>
          <cell r="I1797" t="str">
            <v>Africa</v>
          </cell>
          <cell r="J1797" t="str">
            <v>Egypt</v>
          </cell>
          <cell r="K1797">
            <v>31593</v>
          </cell>
        </row>
        <row r="1798">
          <cell r="A1798" t="str">
            <v>In service</v>
          </cell>
          <cell r="B1798" t="str">
            <v>Gulfstream Aerospace Gulfstream IV</v>
          </cell>
          <cell r="C1798" t="str">
            <v xml:space="preserve"> </v>
          </cell>
          <cell r="D1798">
            <v>1988</v>
          </cell>
          <cell r="E1798" t="str">
            <v>113CS LLC</v>
          </cell>
          <cell r="F1798">
            <v>14</v>
          </cell>
          <cell r="G1798">
            <v>32519</v>
          </cell>
          <cell r="I1798" t="str">
            <v>North America</v>
          </cell>
          <cell r="J1798" t="str">
            <v>USA</v>
          </cell>
          <cell r="K1798">
            <v>31958</v>
          </cell>
        </row>
        <row r="1799">
          <cell r="A1799" t="str">
            <v>In service</v>
          </cell>
          <cell r="B1799" t="str">
            <v>Gulfstream Aerospace Gulfstream IV</v>
          </cell>
          <cell r="C1799" t="str">
            <v xml:space="preserve"> </v>
          </cell>
          <cell r="D1799">
            <v>1987</v>
          </cell>
          <cell r="E1799" t="str">
            <v>ITT Flight Operations Inc</v>
          </cell>
          <cell r="F1799">
            <v>15</v>
          </cell>
          <cell r="G1799">
            <v>32233</v>
          </cell>
          <cell r="I1799" t="str">
            <v>North America</v>
          </cell>
          <cell r="J1799" t="str">
            <v>USA</v>
          </cell>
          <cell r="K1799">
            <v>31228</v>
          </cell>
        </row>
        <row r="1800">
          <cell r="A1800" t="str">
            <v>In service</v>
          </cell>
          <cell r="B1800" t="str">
            <v>Gulfstream Aerospace Gulfstream IV</v>
          </cell>
          <cell r="C1800" t="str">
            <v xml:space="preserve"> </v>
          </cell>
          <cell r="D1800">
            <v>1987</v>
          </cell>
          <cell r="E1800" t="str">
            <v>Aero Air LLC</v>
          </cell>
          <cell r="F1800">
            <v>15</v>
          </cell>
          <cell r="G1800">
            <v>32259</v>
          </cell>
          <cell r="I1800" t="str">
            <v>North America</v>
          </cell>
          <cell r="J1800" t="str">
            <v>USA</v>
          </cell>
          <cell r="K1800">
            <v>31593</v>
          </cell>
        </row>
        <row r="1801">
          <cell r="A1801" t="str">
            <v>In service</v>
          </cell>
          <cell r="B1801" t="str">
            <v>Gulfstream Aerospace Gulfstream IV</v>
          </cell>
          <cell r="C1801" t="str">
            <v xml:space="preserve"> </v>
          </cell>
          <cell r="D1801">
            <v>1988</v>
          </cell>
          <cell r="E1801" t="str">
            <v>Mirage Leasing Corp</v>
          </cell>
          <cell r="F1801">
            <v>14</v>
          </cell>
          <cell r="G1801">
            <v>32741</v>
          </cell>
          <cell r="I1801" t="str">
            <v>North America</v>
          </cell>
          <cell r="J1801" t="str">
            <v>USA</v>
          </cell>
          <cell r="K1801">
            <v>31958</v>
          </cell>
        </row>
        <row r="1802">
          <cell r="A1802" t="str">
            <v>In service</v>
          </cell>
          <cell r="B1802" t="str">
            <v>Gulfstream Aerospace Gulfstream IV</v>
          </cell>
          <cell r="C1802" t="str">
            <v xml:space="preserve"> </v>
          </cell>
          <cell r="D1802">
            <v>1988</v>
          </cell>
          <cell r="E1802" t="str">
            <v>JM Family Enterprises Inc</v>
          </cell>
          <cell r="F1802">
            <v>14</v>
          </cell>
          <cell r="G1802">
            <v>32278</v>
          </cell>
          <cell r="I1802" t="str">
            <v>North America</v>
          </cell>
          <cell r="J1802" t="str">
            <v>USA</v>
          </cell>
          <cell r="K1802">
            <v>31593</v>
          </cell>
        </row>
        <row r="1803">
          <cell r="A1803" t="str">
            <v>In service</v>
          </cell>
          <cell r="B1803" t="str">
            <v>Gulfstream Aerospace Gulfstream IV</v>
          </cell>
          <cell r="C1803" t="str">
            <v xml:space="preserve"> </v>
          </cell>
          <cell r="D1803">
            <v>1988</v>
          </cell>
          <cell r="E1803" t="str">
            <v>Ark-Air Flight Inc</v>
          </cell>
          <cell r="F1803">
            <v>14</v>
          </cell>
          <cell r="G1803">
            <v>32275</v>
          </cell>
          <cell r="I1803" t="str">
            <v>North America</v>
          </cell>
          <cell r="J1803" t="str">
            <v>USA</v>
          </cell>
          <cell r="K1803">
            <v>31593</v>
          </cell>
        </row>
        <row r="1804">
          <cell r="A1804" t="str">
            <v>In service</v>
          </cell>
          <cell r="B1804" t="str">
            <v>Gulfstream Aerospace Gulfstream IV</v>
          </cell>
          <cell r="C1804" t="str">
            <v xml:space="preserve"> </v>
          </cell>
          <cell r="D1804">
            <v>1988</v>
          </cell>
          <cell r="E1804" t="str">
            <v>Netjets Middle East</v>
          </cell>
          <cell r="F1804">
            <v>14</v>
          </cell>
          <cell r="G1804">
            <v>32731</v>
          </cell>
          <cell r="I1804" t="str">
            <v>Middle East</v>
          </cell>
          <cell r="J1804" t="str">
            <v>Saudi Arabia</v>
          </cell>
          <cell r="K1804">
            <v>31958</v>
          </cell>
        </row>
        <row r="1805">
          <cell r="A1805" t="str">
            <v>In service</v>
          </cell>
          <cell r="B1805" t="str">
            <v>Gulfstream Aerospace Gulfstream IV</v>
          </cell>
          <cell r="C1805" t="str">
            <v xml:space="preserve"> </v>
          </cell>
          <cell r="D1805">
            <v>1988</v>
          </cell>
          <cell r="E1805" t="str">
            <v>STN Aviation Inc</v>
          </cell>
          <cell r="F1805">
            <v>14</v>
          </cell>
          <cell r="G1805">
            <v>32294</v>
          </cell>
          <cell r="I1805" t="str">
            <v>North America</v>
          </cell>
          <cell r="J1805" t="str">
            <v>USA</v>
          </cell>
          <cell r="K1805">
            <v>31228</v>
          </cell>
        </row>
        <row r="1806">
          <cell r="A1806" t="str">
            <v>In service</v>
          </cell>
          <cell r="B1806" t="str">
            <v>Gulfstream Aerospace Gulfstream IV</v>
          </cell>
          <cell r="C1806" t="str">
            <v xml:space="preserve"> </v>
          </cell>
          <cell r="D1806">
            <v>1988</v>
          </cell>
          <cell r="E1806" t="str">
            <v>DWAL LLC</v>
          </cell>
          <cell r="F1806">
            <v>14</v>
          </cell>
          <cell r="G1806">
            <v>32297</v>
          </cell>
          <cell r="I1806" t="str">
            <v>North America</v>
          </cell>
          <cell r="J1806" t="str">
            <v>USA</v>
          </cell>
          <cell r="K1806">
            <v>31228</v>
          </cell>
        </row>
        <row r="1807">
          <cell r="A1807" t="str">
            <v>In service</v>
          </cell>
          <cell r="B1807" t="str">
            <v>Gulfstream Aerospace Gulfstream IV</v>
          </cell>
          <cell r="C1807" t="str">
            <v xml:space="preserve"> </v>
          </cell>
          <cell r="D1807">
            <v>1988</v>
          </cell>
          <cell r="E1807" t="str">
            <v>KC Aviation Inc</v>
          </cell>
          <cell r="F1807">
            <v>14</v>
          </cell>
          <cell r="G1807">
            <v>32310</v>
          </cell>
          <cell r="I1807" t="str">
            <v>North America</v>
          </cell>
          <cell r="J1807" t="str">
            <v>USA</v>
          </cell>
          <cell r="K1807">
            <v>31593</v>
          </cell>
        </row>
        <row r="1808">
          <cell r="A1808" t="str">
            <v>In service</v>
          </cell>
          <cell r="B1808" t="str">
            <v>Gulfstream Aerospace Gulfstream IV</v>
          </cell>
          <cell r="C1808" t="str">
            <v xml:space="preserve"> </v>
          </cell>
          <cell r="D1808">
            <v>1989</v>
          </cell>
          <cell r="E1808" t="str">
            <v>Worldwide Services Ltd</v>
          </cell>
          <cell r="F1808">
            <v>13</v>
          </cell>
          <cell r="G1808">
            <v>32626</v>
          </cell>
          <cell r="I1808" t="str">
            <v>North America</v>
          </cell>
          <cell r="J1808" t="str">
            <v>USA</v>
          </cell>
          <cell r="K1808">
            <v>31958</v>
          </cell>
        </row>
        <row r="1809">
          <cell r="A1809" t="str">
            <v>In service</v>
          </cell>
          <cell r="B1809" t="str">
            <v>Gulfstream Aerospace Gulfstream IV</v>
          </cell>
          <cell r="C1809" t="str">
            <v xml:space="preserve"> </v>
          </cell>
          <cell r="D1809">
            <v>1988</v>
          </cell>
          <cell r="E1809" t="str">
            <v>Reliance Transport &amp; Travel LT</v>
          </cell>
          <cell r="F1809">
            <v>14</v>
          </cell>
          <cell r="G1809">
            <v>32463</v>
          </cell>
          <cell r="I1809" t="str">
            <v>Asia</v>
          </cell>
          <cell r="J1809" t="str">
            <v>India</v>
          </cell>
          <cell r="K1809">
            <v>31593</v>
          </cell>
        </row>
        <row r="1810">
          <cell r="A1810" t="str">
            <v>In service</v>
          </cell>
          <cell r="B1810" t="str">
            <v>Gulfstream Aerospace Gulfstream IV</v>
          </cell>
          <cell r="C1810" t="str">
            <v xml:space="preserve"> </v>
          </cell>
          <cell r="D1810">
            <v>1988</v>
          </cell>
          <cell r="E1810" t="str">
            <v>Prince Karim Aga Khan</v>
          </cell>
          <cell r="F1810">
            <v>14</v>
          </cell>
          <cell r="G1810">
            <v>32330</v>
          </cell>
          <cell r="I1810" t="str">
            <v>Europe</v>
          </cell>
          <cell r="J1810" t="str">
            <v>Switzerland</v>
          </cell>
          <cell r="K1810">
            <v>31958</v>
          </cell>
        </row>
        <row r="1811">
          <cell r="A1811" t="str">
            <v>In service</v>
          </cell>
          <cell r="B1811" t="str">
            <v>Gulfstream Aerospace Gulfstream IV</v>
          </cell>
          <cell r="C1811" t="str">
            <v xml:space="preserve"> </v>
          </cell>
          <cell r="D1811">
            <v>1988</v>
          </cell>
          <cell r="E1811" t="str">
            <v>MSF Aviation Ltd</v>
          </cell>
          <cell r="F1811">
            <v>14</v>
          </cell>
          <cell r="G1811">
            <v>32337</v>
          </cell>
          <cell r="I1811" t="str">
            <v>Latin America and Caribbean</v>
          </cell>
          <cell r="J1811" t="str">
            <v>Cayman Islands</v>
          </cell>
          <cell r="K1811">
            <v>31593</v>
          </cell>
        </row>
        <row r="1812">
          <cell r="A1812" t="str">
            <v>In service</v>
          </cell>
          <cell r="B1812" t="str">
            <v>Gulfstream Aerospace Gulfstream IV</v>
          </cell>
          <cell r="C1812" t="str">
            <v xml:space="preserve"> </v>
          </cell>
          <cell r="D1812">
            <v>1988</v>
          </cell>
          <cell r="E1812" t="str">
            <v>LCH Co LLC</v>
          </cell>
          <cell r="F1812">
            <v>14</v>
          </cell>
          <cell r="G1812">
            <v>32489</v>
          </cell>
          <cell r="I1812" t="str">
            <v>North America</v>
          </cell>
          <cell r="J1812" t="str">
            <v>USA</v>
          </cell>
          <cell r="K1812">
            <v>31593</v>
          </cell>
        </row>
        <row r="1813">
          <cell r="A1813" t="str">
            <v>In service</v>
          </cell>
          <cell r="B1813" t="str">
            <v>Gulfstream Aerospace Gulfstream IV</v>
          </cell>
          <cell r="C1813" t="str">
            <v xml:space="preserve"> </v>
          </cell>
          <cell r="D1813">
            <v>1988</v>
          </cell>
          <cell r="E1813" t="str">
            <v>Petersen Aviation</v>
          </cell>
          <cell r="F1813">
            <v>14</v>
          </cell>
          <cell r="G1813">
            <v>32346</v>
          </cell>
          <cell r="I1813" t="str">
            <v>North America</v>
          </cell>
          <cell r="J1813" t="str">
            <v>USA</v>
          </cell>
          <cell r="K1813">
            <v>31593</v>
          </cell>
        </row>
        <row r="1814">
          <cell r="A1814" t="str">
            <v>In service</v>
          </cell>
          <cell r="B1814" t="str">
            <v>Gulfstream Aerospace Gulfstream IV</v>
          </cell>
          <cell r="C1814" t="str">
            <v xml:space="preserve"> </v>
          </cell>
          <cell r="D1814">
            <v>1988</v>
          </cell>
          <cell r="E1814" t="str">
            <v>ConocoPhillips Co</v>
          </cell>
          <cell r="F1814">
            <v>14</v>
          </cell>
          <cell r="G1814">
            <v>32324</v>
          </cell>
          <cell r="I1814" t="str">
            <v>North America</v>
          </cell>
          <cell r="J1814" t="str">
            <v>USA</v>
          </cell>
          <cell r="K1814">
            <v>31593</v>
          </cell>
        </row>
        <row r="1815">
          <cell r="A1815" t="str">
            <v>In service</v>
          </cell>
          <cell r="B1815" t="str">
            <v>Gulfstream Aerospace Gulfstream IV</v>
          </cell>
          <cell r="C1815" t="str">
            <v xml:space="preserve"> </v>
          </cell>
          <cell r="D1815">
            <v>1988</v>
          </cell>
          <cell r="E1815" t="str">
            <v>Loral SpaceCom Corp</v>
          </cell>
          <cell r="F1815">
            <v>14</v>
          </cell>
          <cell r="G1815">
            <v>32353</v>
          </cell>
          <cell r="I1815" t="str">
            <v>North America</v>
          </cell>
          <cell r="J1815" t="str">
            <v>USA</v>
          </cell>
          <cell r="K1815">
            <v>31593</v>
          </cell>
        </row>
        <row r="1816">
          <cell r="A1816" t="str">
            <v>In service</v>
          </cell>
          <cell r="B1816" t="str">
            <v>Gulfstream Aerospace Gulfstream IV</v>
          </cell>
          <cell r="C1816" t="str">
            <v xml:space="preserve"> </v>
          </cell>
          <cell r="D1816">
            <v>1989</v>
          </cell>
          <cell r="E1816" t="str">
            <v>Prudential Insurance Company of America</v>
          </cell>
          <cell r="F1816">
            <v>13</v>
          </cell>
          <cell r="G1816">
            <v>32821</v>
          </cell>
          <cell r="I1816" t="str">
            <v>North America</v>
          </cell>
          <cell r="J1816" t="str">
            <v>USA</v>
          </cell>
          <cell r="K1816">
            <v>31958</v>
          </cell>
        </row>
        <row r="1817">
          <cell r="A1817" t="str">
            <v>In service</v>
          </cell>
          <cell r="B1817" t="str">
            <v>Gulfstream Aerospace Gulfstream IV</v>
          </cell>
          <cell r="C1817" t="str">
            <v xml:space="preserve"> </v>
          </cell>
          <cell r="D1817">
            <v>1988</v>
          </cell>
          <cell r="E1817" t="str">
            <v>Saudi ARAMCO Aviation</v>
          </cell>
          <cell r="F1817">
            <v>14</v>
          </cell>
          <cell r="G1817">
            <v>32388</v>
          </cell>
          <cell r="I1817" t="str">
            <v>Middle East</v>
          </cell>
          <cell r="J1817" t="str">
            <v>Saudi Arabia</v>
          </cell>
          <cell r="K1817">
            <v>31228</v>
          </cell>
        </row>
        <row r="1818">
          <cell r="A1818" t="str">
            <v>In service</v>
          </cell>
          <cell r="B1818" t="str">
            <v>Gulfstream Aerospace Gulfstream IV</v>
          </cell>
          <cell r="C1818" t="str">
            <v xml:space="preserve"> </v>
          </cell>
          <cell r="D1818">
            <v>1988</v>
          </cell>
          <cell r="E1818" t="str">
            <v>Saudi ARAMCO Aviation</v>
          </cell>
          <cell r="F1818">
            <v>14</v>
          </cell>
          <cell r="G1818">
            <v>32400</v>
          </cell>
          <cell r="I1818" t="str">
            <v>Middle East</v>
          </cell>
          <cell r="J1818" t="str">
            <v>Saudi Arabia</v>
          </cell>
          <cell r="K1818">
            <v>31228</v>
          </cell>
        </row>
        <row r="1819">
          <cell r="A1819" t="str">
            <v>In service</v>
          </cell>
          <cell r="B1819" t="str">
            <v>Gulfstream Aerospace Gulfstream IV</v>
          </cell>
          <cell r="C1819" t="str">
            <v xml:space="preserve"> </v>
          </cell>
          <cell r="D1819">
            <v>1988</v>
          </cell>
          <cell r="E1819" t="str">
            <v>FAA / US DoT</v>
          </cell>
          <cell r="F1819">
            <v>14</v>
          </cell>
          <cell r="G1819">
            <v>32674</v>
          </cell>
          <cell r="I1819" t="str">
            <v>North America</v>
          </cell>
          <cell r="J1819" t="str">
            <v>USA</v>
          </cell>
          <cell r="K1819">
            <v>31943</v>
          </cell>
        </row>
        <row r="1820">
          <cell r="A1820" t="str">
            <v>In service</v>
          </cell>
          <cell r="B1820" t="str">
            <v>Gulfstream Aerospace Gulfstream IV</v>
          </cell>
          <cell r="C1820" t="str">
            <v xml:space="preserve"> </v>
          </cell>
          <cell r="D1820">
            <v>1989</v>
          </cell>
          <cell r="E1820" t="str">
            <v>Crescent Heights of America Inc</v>
          </cell>
          <cell r="F1820">
            <v>13</v>
          </cell>
          <cell r="G1820">
            <v>32652</v>
          </cell>
          <cell r="I1820" t="str">
            <v>North America</v>
          </cell>
          <cell r="J1820" t="str">
            <v>USA</v>
          </cell>
          <cell r="K1820">
            <v>31958</v>
          </cell>
        </row>
        <row r="1821">
          <cell r="A1821" t="str">
            <v>In service</v>
          </cell>
          <cell r="B1821" t="str">
            <v>Gulfstream Aerospace Gulfstream IV</v>
          </cell>
          <cell r="C1821" t="str">
            <v xml:space="preserve"> </v>
          </cell>
          <cell r="D1821">
            <v>1988</v>
          </cell>
          <cell r="E1821" t="str">
            <v>Solar II Inc</v>
          </cell>
          <cell r="F1821">
            <v>14</v>
          </cell>
          <cell r="G1821">
            <v>32423</v>
          </cell>
          <cell r="I1821" t="str">
            <v>North America</v>
          </cell>
          <cell r="J1821" t="str">
            <v>USA</v>
          </cell>
          <cell r="K1821">
            <v>31593</v>
          </cell>
        </row>
        <row r="1822">
          <cell r="A1822" t="str">
            <v>In service</v>
          </cell>
          <cell r="B1822" t="str">
            <v>Gulfstream Aerospace Gulfstream IV</v>
          </cell>
          <cell r="C1822" t="str">
            <v xml:space="preserve"> </v>
          </cell>
          <cell r="D1822">
            <v>1989</v>
          </cell>
          <cell r="E1822" t="str">
            <v>Natascha Establishment Ltd</v>
          </cell>
          <cell r="F1822">
            <v>13</v>
          </cell>
          <cell r="G1822">
            <v>32609</v>
          </cell>
          <cell r="I1822" t="str">
            <v>Latin America and Caribbean</v>
          </cell>
          <cell r="J1822" t="str">
            <v>Bermuda</v>
          </cell>
          <cell r="K1822">
            <v>31958</v>
          </cell>
        </row>
        <row r="1823">
          <cell r="A1823" t="str">
            <v>In service</v>
          </cell>
          <cell r="B1823" t="str">
            <v>Gulfstream Aerospace Gulfstream IV</v>
          </cell>
          <cell r="C1823" t="str">
            <v xml:space="preserve"> </v>
          </cell>
          <cell r="D1823">
            <v>1988</v>
          </cell>
          <cell r="E1823" t="str">
            <v>Liamaj Aviation Inc</v>
          </cell>
          <cell r="F1823">
            <v>14</v>
          </cell>
          <cell r="G1823">
            <v>32426</v>
          </cell>
          <cell r="I1823" t="str">
            <v>North America</v>
          </cell>
          <cell r="J1823" t="str">
            <v>USA</v>
          </cell>
          <cell r="K1823">
            <v>31958</v>
          </cell>
        </row>
        <row r="1824">
          <cell r="A1824" t="str">
            <v>In service</v>
          </cell>
          <cell r="B1824" t="str">
            <v>Gulfstream Aerospace Gulfstream IV</v>
          </cell>
          <cell r="C1824" t="str">
            <v xml:space="preserve"> </v>
          </cell>
          <cell r="D1824">
            <v>1989</v>
          </cell>
          <cell r="E1824" t="str">
            <v>Templeton Asset Management Ltd</v>
          </cell>
          <cell r="F1824">
            <v>13</v>
          </cell>
          <cell r="G1824">
            <v>32829</v>
          </cell>
          <cell r="I1824" t="str">
            <v>Asia</v>
          </cell>
          <cell r="J1824" t="str">
            <v>Singapore</v>
          </cell>
          <cell r="K1824">
            <v>31958</v>
          </cell>
        </row>
        <row r="1825">
          <cell r="A1825" t="str">
            <v>In service</v>
          </cell>
          <cell r="B1825" t="str">
            <v>Gulfstream Aerospace Gulfstream IV</v>
          </cell>
          <cell r="C1825" t="str">
            <v xml:space="preserve"> </v>
          </cell>
          <cell r="D1825">
            <v>1988</v>
          </cell>
          <cell r="E1825" t="str">
            <v>Dankjold Reed Aviation LLC</v>
          </cell>
          <cell r="F1825">
            <v>14</v>
          </cell>
          <cell r="G1825">
            <v>32447</v>
          </cell>
          <cell r="I1825" t="str">
            <v>North America</v>
          </cell>
          <cell r="J1825" t="str">
            <v>USA</v>
          </cell>
          <cell r="K1825">
            <v>31593</v>
          </cell>
        </row>
        <row r="1826">
          <cell r="A1826" t="str">
            <v>In service</v>
          </cell>
          <cell r="B1826" t="str">
            <v>Gulfstream Aerospace Gulfstream IV</v>
          </cell>
          <cell r="C1826" t="str">
            <v xml:space="preserve"> </v>
          </cell>
          <cell r="D1826">
            <v>1989</v>
          </cell>
          <cell r="E1826" t="str">
            <v>Shell Aircraft Ltd</v>
          </cell>
          <cell r="F1826">
            <v>13</v>
          </cell>
          <cell r="G1826">
            <v>32805</v>
          </cell>
          <cell r="I1826" t="str">
            <v>Europe</v>
          </cell>
          <cell r="J1826" t="str">
            <v>United Kingdom</v>
          </cell>
          <cell r="K1826">
            <v>31958</v>
          </cell>
        </row>
        <row r="1827">
          <cell r="A1827" t="str">
            <v>In service</v>
          </cell>
          <cell r="B1827" t="str">
            <v>Gulfstream Aerospace Gulfstream IV</v>
          </cell>
          <cell r="C1827" t="str">
            <v xml:space="preserve"> </v>
          </cell>
          <cell r="D1827">
            <v>1989</v>
          </cell>
          <cell r="E1827" t="str">
            <v>Wham Leasing Corp</v>
          </cell>
          <cell r="F1827">
            <v>13</v>
          </cell>
          <cell r="G1827">
            <v>32689</v>
          </cell>
          <cell r="I1827" t="str">
            <v>North America</v>
          </cell>
          <cell r="J1827" t="str">
            <v>USA</v>
          </cell>
          <cell r="K1827">
            <v>32324</v>
          </cell>
        </row>
        <row r="1828">
          <cell r="A1828" t="str">
            <v>In service</v>
          </cell>
          <cell r="B1828" t="str">
            <v>Gulfstream Aerospace Gulfstream IV</v>
          </cell>
          <cell r="C1828" t="str">
            <v xml:space="preserve"> </v>
          </cell>
          <cell r="D1828">
            <v>1988</v>
          </cell>
          <cell r="E1828" t="str">
            <v>Oxy Petroleum Inc</v>
          </cell>
          <cell r="F1828">
            <v>14</v>
          </cell>
          <cell r="G1828">
            <v>32478</v>
          </cell>
          <cell r="I1828" t="str">
            <v>North America</v>
          </cell>
          <cell r="J1828" t="str">
            <v>USA</v>
          </cell>
          <cell r="K1828">
            <v>31593</v>
          </cell>
        </row>
        <row r="1829">
          <cell r="A1829" t="str">
            <v>In service</v>
          </cell>
          <cell r="B1829" t="str">
            <v>Gulfstream Aerospace Gulfstream IV</v>
          </cell>
          <cell r="C1829" t="str">
            <v xml:space="preserve"> </v>
          </cell>
          <cell r="D1829">
            <v>1988</v>
          </cell>
          <cell r="E1829" t="str">
            <v>Management Investments Enterprises LLC</v>
          </cell>
          <cell r="F1829">
            <v>14</v>
          </cell>
          <cell r="G1829">
            <v>32476</v>
          </cell>
          <cell r="I1829" t="str">
            <v>North America</v>
          </cell>
          <cell r="J1829" t="str">
            <v>USA</v>
          </cell>
          <cell r="K1829">
            <v>31958</v>
          </cell>
        </row>
        <row r="1830">
          <cell r="A1830" t="str">
            <v>In service</v>
          </cell>
          <cell r="B1830" t="str">
            <v>Gulfstream Aerospace Gulfstream IV</v>
          </cell>
          <cell r="C1830" t="str">
            <v xml:space="preserve"> </v>
          </cell>
          <cell r="D1830">
            <v>1988</v>
          </cell>
          <cell r="E1830" t="str">
            <v>Burlington Resources Oil &amp; Gas Co</v>
          </cell>
          <cell r="F1830">
            <v>14</v>
          </cell>
          <cell r="G1830">
            <v>32498</v>
          </cell>
          <cell r="I1830" t="str">
            <v>North America</v>
          </cell>
          <cell r="J1830" t="str">
            <v>USA</v>
          </cell>
          <cell r="K1830">
            <v>31958</v>
          </cell>
        </row>
        <row r="1831">
          <cell r="A1831" t="str">
            <v>In service</v>
          </cell>
          <cell r="B1831" t="str">
            <v>Gulfstream Aerospace Gulfstream IV</v>
          </cell>
          <cell r="C1831" t="str">
            <v xml:space="preserve"> </v>
          </cell>
          <cell r="D1831">
            <v>1988</v>
          </cell>
          <cell r="E1831" t="str">
            <v>Crown Ltd</v>
          </cell>
          <cell r="F1831">
            <v>14</v>
          </cell>
          <cell r="G1831">
            <v>32766</v>
          </cell>
          <cell r="I1831" t="str">
            <v>Australasia</v>
          </cell>
          <cell r="J1831" t="str">
            <v>Australia</v>
          </cell>
          <cell r="K1831">
            <v>31958</v>
          </cell>
        </row>
        <row r="1832">
          <cell r="A1832" t="str">
            <v>In service</v>
          </cell>
          <cell r="B1832" t="str">
            <v>Gulfstream Aerospace Gulfstream IV</v>
          </cell>
          <cell r="C1832" t="str">
            <v xml:space="preserve"> </v>
          </cell>
          <cell r="D1832">
            <v>1989</v>
          </cell>
          <cell r="E1832" t="str">
            <v>Sit-Set Aviation AG</v>
          </cell>
          <cell r="F1832">
            <v>13</v>
          </cell>
          <cell r="G1832">
            <v>32746</v>
          </cell>
          <cell r="I1832" t="str">
            <v>Europe</v>
          </cell>
          <cell r="J1832" t="str">
            <v>Switzerland</v>
          </cell>
          <cell r="K1832">
            <v>31958</v>
          </cell>
        </row>
        <row r="1833">
          <cell r="A1833" t="str">
            <v>In service</v>
          </cell>
          <cell r="B1833" t="str">
            <v>Gulfstream Aerospace Gulfstream IV</v>
          </cell>
          <cell r="C1833" t="str">
            <v xml:space="preserve"> </v>
          </cell>
          <cell r="D1833">
            <v>1988</v>
          </cell>
          <cell r="E1833" t="str">
            <v>Petersen Aviation</v>
          </cell>
          <cell r="F1833">
            <v>14</v>
          </cell>
          <cell r="G1833">
            <v>32506</v>
          </cell>
          <cell r="I1833" t="str">
            <v>North America</v>
          </cell>
          <cell r="J1833" t="str">
            <v>USA</v>
          </cell>
          <cell r="K1833">
            <v>31958</v>
          </cell>
        </row>
        <row r="1834">
          <cell r="A1834" t="str">
            <v>In service</v>
          </cell>
          <cell r="B1834" t="str">
            <v>Gulfstream Aerospace Gulfstream IV</v>
          </cell>
          <cell r="C1834" t="str">
            <v xml:space="preserve"> </v>
          </cell>
          <cell r="D1834">
            <v>1988</v>
          </cell>
          <cell r="E1834" t="str">
            <v>Stockwood Inc</v>
          </cell>
          <cell r="F1834">
            <v>14</v>
          </cell>
          <cell r="G1834">
            <v>32506</v>
          </cell>
          <cell r="I1834" t="str">
            <v>North America</v>
          </cell>
          <cell r="J1834" t="str">
            <v>USA</v>
          </cell>
          <cell r="K1834">
            <v>31958</v>
          </cell>
        </row>
        <row r="1835">
          <cell r="A1835" t="str">
            <v>In service</v>
          </cell>
          <cell r="B1835" t="str">
            <v>Gulfstream Aerospace Gulfstream IV</v>
          </cell>
          <cell r="C1835" t="str">
            <v xml:space="preserve"> </v>
          </cell>
          <cell r="D1835">
            <v>1989</v>
          </cell>
          <cell r="E1835" t="str">
            <v>Bombardier Capital Inc</v>
          </cell>
          <cell r="F1835">
            <v>13</v>
          </cell>
          <cell r="G1835">
            <v>32561</v>
          </cell>
          <cell r="I1835" t="str">
            <v>North America</v>
          </cell>
          <cell r="J1835" t="str">
            <v>USA</v>
          </cell>
          <cell r="K1835">
            <v>31958</v>
          </cell>
        </row>
        <row r="1836">
          <cell r="A1836" t="str">
            <v>In service</v>
          </cell>
          <cell r="B1836" t="str">
            <v>Gulfstream Aerospace Gulfstream IV</v>
          </cell>
          <cell r="C1836" t="str">
            <v xml:space="preserve"> </v>
          </cell>
          <cell r="D1836">
            <v>1989</v>
          </cell>
          <cell r="E1836" t="str">
            <v>Chilean Air Force</v>
          </cell>
          <cell r="F1836">
            <v>13</v>
          </cell>
          <cell r="G1836">
            <v>32566</v>
          </cell>
          <cell r="I1836" t="str">
            <v>Latin America and Caribbean</v>
          </cell>
          <cell r="J1836" t="str">
            <v>Chile</v>
          </cell>
          <cell r="K1836">
            <v>31593</v>
          </cell>
        </row>
        <row r="1837">
          <cell r="A1837" t="str">
            <v>In service</v>
          </cell>
          <cell r="B1837" t="str">
            <v>Gulfstream Aerospace Gulfstream IV</v>
          </cell>
          <cell r="C1837" t="str">
            <v xml:space="preserve"> </v>
          </cell>
          <cell r="D1837">
            <v>1989</v>
          </cell>
          <cell r="E1837" t="str">
            <v>JetFly Aviation Ltd</v>
          </cell>
          <cell r="F1837">
            <v>13</v>
          </cell>
          <cell r="G1837">
            <v>32947</v>
          </cell>
          <cell r="I1837" t="str">
            <v>Latin America and Caribbean</v>
          </cell>
          <cell r="J1837" t="str">
            <v>Cayman Islands</v>
          </cell>
          <cell r="K1837">
            <v>32324</v>
          </cell>
        </row>
        <row r="1838">
          <cell r="A1838" t="str">
            <v>In service</v>
          </cell>
          <cell r="B1838" t="str">
            <v>Gulfstream Aerospace Gulfstream IV</v>
          </cell>
          <cell r="C1838" t="str">
            <v xml:space="preserve"> </v>
          </cell>
          <cell r="D1838">
            <v>1989</v>
          </cell>
          <cell r="E1838" t="str">
            <v>General Electric Company</v>
          </cell>
          <cell r="F1838">
            <v>13</v>
          </cell>
          <cell r="G1838">
            <v>32583</v>
          </cell>
          <cell r="I1838" t="str">
            <v>North America</v>
          </cell>
          <cell r="J1838" t="str">
            <v>USA</v>
          </cell>
          <cell r="K1838">
            <v>31958</v>
          </cell>
        </row>
        <row r="1839">
          <cell r="A1839" t="str">
            <v>In service</v>
          </cell>
          <cell r="B1839" t="str">
            <v>Gulfstream Aerospace Gulfstream IV</v>
          </cell>
          <cell r="C1839" t="str">
            <v xml:space="preserve"> </v>
          </cell>
          <cell r="D1839">
            <v>1989</v>
          </cell>
          <cell r="E1839" t="str">
            <v>NBL LLC</v>
          </cell>
          <cell r="F1839">
            <v>13</v>
          </cell>
          <cell r="G1839">
            <v>32590</v>
          </cell>
          <cell r="I1839" t="str">
            <v>North America</v>
          </cell>
          <cell r="J1839" t="str">
            <v>USA</v>
          </cell>
          <cell r="K1839">
            <v>31958</v>
          </cell>
        </row>
        <row r="1840">
          <cell r="A1840" t="str">
            <v>In service</v>
          </cell>
          <cell r="B1840" t="str">
            <v>Gulfstream Aerospace Gulfstream IV</v>
          </cell>
          <cell r="C1840" t="str">
            <v xml:space="preserve"> </v>
          </cell>
          <cell r="D1840">
            <v>1989</v>
          </cell>
          <cell r="E1840" t="str">
            <v>Madiville Holdings Corp</v>
          </cell>
          <cell r="F1840">
            <v>13</v>
          </cell>
          <cell r="G1840">
            <v>32857</v>
          </cell>
          <cell r="I1840" t="str">
            <v>North America</v>
          </cell>
          <cell r="J1840" t="str">
            <v>USA</v>
          </cell>
          <cell r="K1840">
            <v>31958</v>
          </cell>
        </row>
        <row r="1841">
          <cell r="A1841" t="str">
            <v>In service</v>
          </cell>
          <cell r="B1841" t="str">
            <v>Gulfstream Aerospace Gulfstream IV</v>
          </cell>
          <cell r="C1841" t="str">
            <v xml:space="preserve"> </v>
          </cell>
          <cell r="D1841">
            <v>1989</v>
          </cell>
          <cell r="E1841" t="str">
            <v>Flying Investments LP</v>
          </cell>
          <cell r="F1841">
            <v>13</v>
          </cell>
          <cell r="G1841">
            <v>32611</v>
          </cell>
          <cell r="I1841" t="str">
            <v>Unknown area</v>
          </cell>
          <cell r="J1841" t="str">
            <v>Unknown Country</v>
          </cell>
          <cell r="K1841">
            <v>31958</v>
          </cell>
        </row>
        <row r="1842">
          <cell r="A1842" t="str">
            <v>In service</v>
          </cell>
          <cell r="B1842" t="str">
            <v>Gulfstream Aerospace Gulfstream IV</v>
          </cell>
          <cell r="C1842" t="str">
            <v xml:space="preserve"> </v>
          </cell>
          <cell r="D1842">
            <v>1989</v>
          </cell>
          <cell r="E1842" t="str">
            <v>Eli Lilly International Corp</v>
          </cell>
          <cell r="F1842">
            <v>13</v>
          </cell>
          <cell r="G1842">
            <v>32619</v>
          </cell>
          <cell r="I1842" t="str">
            <v>North America</v>
          </cell>
          <cell r="J1842" t="str">
            <v>USA</v>
          </cell>
          <cell r="K1842">
            <v>31958</v>
          </cell>
        </row>
        <row r="1843">
          <cell r="A1843" t="str">
            <v>In service</v>
          </cell>
          <cell r="B1843" t="str">
            <v>Gulfstream Aerospace Gulfstream IV</v>
          </cell>
          <cell r="C1843" t="str">
            <v xml:space="preserve"> </v>
          </cell>
          <cell r="D1843">
            <v>1989</v>
          </cell>
          <cell r="E1843" t="str">
            <v>Rolls-Royce</v>
          </cell>
          <cell r="F1843">
            <v>13</v>
          </cell>
          <cell r="G1843">
            <v>32857</v>
          </cell>
          <cell r="I1843" t="str">
            <v>Europe</v>
          </cell>
          <cell r="J1843" t="str">
            <v>United Kingdom</v>
          </cell>
          <cell r="K1843">
            <v>31958</v>
          </cell>
        </row>
        <row r="1844">
          <cell r="A1844" t="str">
            <v>In service</v>
          </cell>
          <cell r="B1844" t="str">
            <v>Gulfstream Aerospace Gulfstream IV</v>
          </cell>
          <cell r="C1844" t="str">
            <v xml:space="preserve"> </v>
          </cell>
          <cell r="D1844">
            <v>1989</v>
          </cell>
          <cell r="E1844" t="str">
            <v>ABT Flight Inc</v>
          </cell>
          <cell r="F1844">
            <v>13</v>
          </cell>
          <cell r="G1844">
            <v>32637</v>
          </cell>
          <cell r="I1844" t="str">
            <v>North America</v>
          </cell>
          <cell r="J1844" t="str">
            <v>USA</v>
          </cell>
          <cell r="K1844">
            <v>31958</v>
          </cell>
        </row>
        <row r="1845">
          <cell r="A1845" t="str">
            <v>In service</v>
          </cell>
          <cell r="B1845" t="str">
            <v>Gulfstream Aerospace Gulfstream IV</v>
          </cell>
          <cell r="C1845" t="str">
            <v xml:space="preserve"> </v>
          </cell>
          <cell r="D1845">
            <v>1989</v>
          </cell>
          <cell r="E1845" t="str">
            <v>Wings Venture Ltd</v>
          </cell>
          <cell r="F1845">
            <v>13</v>
          </cell>
          <cell r="G1845">
            <v>32660</v>
          </cell>
          <cell r="I1845" t="str">
            <v>North America</v>
          </cell>
          <cell r="J1845" t="str">
            <v>USA</v>
          </cell>
          <cell r="K1845">
            <v>31958</v>
          </cell>
        </row>
        <row r="1846">
          <cell r="A1846" t="str">
            <v>In service</v>
          </cell>
          <cell r="B1846" t="str">
            <v>Gulfstream Aerospace Gulfstream IV</v>
          </cell>
          <cell r="C1846" t="str">
            <v xml:space="preserve"> </v>
          </cell>
          <cell r="D1846">
            <v>1989</v>
          </cell>
          <cell r="E1846" t="str">
            <v>CKE Associates LLC</v>
          </cell>
          <cell r="F1846">
            <v>13</v>
          </cell>
          <cell r="G1846">
            <v>32780</v>
          </cell>
          <cell r="I1846" t="str">
            <v>North America</v>
          </cell>
          <cell r="J1846" t="str">
            <v>USA</v>
          </cell>
          <cell r="K1846">
            <v>31958</v>
          </cell>
        </row>
        <row r="1847">
          <cell r="A1847" t="str">
            <v>In service</v>
          </cell>
          <cell r="B1847" t="str">
            <v>Gulfstream Aerospace Gulfstream IV</v>
          </cell>
          <cell r="C1847" t="str">
            <v xml:space="preserve"> </v>
          </cell>
          <cell r="D1847">
            <v>1989</v>
          </cell>
          <cell r="E1847" t="str">
            <v>GC Pacific Landing Corp</v>
          </cell>
          <cell r="F1847">
            <v>13</v>
          </cell>
          <cell r="G1847">
            <v>32668</v>
          </cell>
          <cell r="I1847" t="str">
            <v>Latin America and Caribbean</v>
          </cell>
          <cell r="J1847" t="str">
            <v>Bermuda</v>
          </cell>
          <cell r="K1847">
            <v>31958</v>
          </cell>
        </row>
        <row r="1848">
          <cell r="A1848" t="str">
            <v>In service</v>
          </cell>
          <cell r="B1848" t="str">
            <v>Gulfstream Aerospace Gulfstream IV</v>
          </cell>
          <cell r="C1848" t="str">
            <v xml:space="preserve"> </v>
          </cell>
          <cell r="D1848">
            <v>1989</v>
          </cell>
          <cell r="E1848" t="str">
            <v>General Electric Company</v>
          </cell>
          <cell r="F1848">
            <v>13</v>
          </cell>
          <cell r="G1848">
            <v>32675</v>
          </cell>
          <cell r="I1848" t="str">
            <v>North America</v>
          </cell>
          <cell r="J1848" t="str">
            <v>USA</v>
          </cell>
          <cell r="K1848">
            <v>31958</v>
          </cell>
        </row>
        <row r="1849">
          <cell r="A1849" t="str">
            <v>In service</v>
          </cell>
          <cell r="B1849" t="str">
            <v>Gulfstream Aerospace Gulfstream IV</v>
          </cell>
          <cell r="C1849" t="str">
            <v xml:space="preserve"> </v>
          </cell>
          <cell r="D1849">
            <v>1989</v>
          </cell>
          <cell r="E1849" t="str">
            <v>BP Amoco Corp</v>
          </cell>
          <cell r="F1849">
            <v>13</v>
          </cell>
          <cell r="G1849">
            <v>32687</v>
          </cell>
          <cell r="I1849" t="str">
            <v>North America</v>
          </cell>
          <cell r="J1849" t="str">
            <v>USA</v>
          </cell>
          <cell r="K1849">
            <v>31958</v>
          </cell>
        </row>
        <row r="1850">
          <cell r="A1850" t="str">
            <v>In service</v>
          </cell>
          <cell r="B1850" t="str">
            <v>Gulfstream Aerospace Gulfstream IV</v>
          </cell>
          <cell r="C1850" t="str">
            <v xml:space="preserve"> </v>
          </cell>
          <cell r="D1850">
            <v>1989</v>
          </cell>
          <cell r="E1850" t="str">
            <v>Barrick Gold Corp</v>
          </cell>
          <cell r="F1850">
            <v>13</v>
          </cell>
          <cell r="G1850">
            <v>32692</v>
          </cell>
          <cell r="I1850" t="str">
            <v>North America</v>
          </cell>
          <cell r="J1850" t="str">
            <v>Canada</v>
          </cell>
          <cell r="K1850">
            <v>31958</v>
          </cell>
        </row>
        <row r="1851">
          <cell r="A1851" t="str">
            <v>In service</v>
          </cell>
          <cell r="B1851" t="str">
            <v>Gulfstream Aerospace Gulfstream IV</v>
          </cell>
          <cell r="C1851" t="str">
            <v xml:space="preserve"> </v>
          </cell>
          <cell r="D1851">
            <v>1989</v>
          </cell>
          <cell r="E1851" t="str">
            <v>MC Group</v>
          </cell>
          <cell r="F1851">
            <v>13</v>
          </cell>
          <cell r="G1851">
            <v>32884</v>
          </cell>
          <cell r="I1851" t="str">
            <v>North America</v>
          </cell>
          <cell r="J1851" t="str">
            <v>USA</v>
          </cell>
          <cell r="K1851">
            <v>32324</v>
          </cell>
        </row>
        <row r="1852">
          <cell r="A1852" t="str">
            <v>In service</v>
          </cell>
          <cell r="B1852" t="str">
            <v>Gulfstream Aerospace Gulfstream IV</v>
          </cell>
          <cell r="C1852" t="str">
            <v xml:space="preserve"> </v>
          </cell>
          <cell r="D1852">
            <v>1989</v>
          </cell>
          <cell r="E1852" t="str">
            <v>Eli Lilly International Corp</v>
          </cell>
          <cell r="F1852">
            <v>13</v>
          </cell>
          <cell r="G1852">
            <v>32722</v>
          </cell>
          <cell r="I1852" t="str">
            <v>North America</v>
          </cell>
          <cell r="J1852" t="str">
            <v>USA</v>
          </cell>
          <cell r="K1852">
            <v>31958</v>
          </cell>
        </row>
        <row r="1853">
          <cell r="A1853" t="str">
            <v>In service</v>
          </cell>
          <cell r="B1853" t="str">
            <v>Gulfstream Aerospace Gulfstream IV</v>
          </cell>
          <cell r="C1853" t="str">
            <v xml:space="preserve"> </v>
          </cell>
          <cell r="D1853">
            <v>1990</v>
          </cell>
          <cell r="E1853" t="str">
            <v>Sultanate of Johore Malaysia</v>
          </cell>
          <cell r="F1853">
            <v>12</v>
          </cell>
          <cell r="G1853">
            <v>33312</v>
          </cell>
          <cell r="I1853" t="str">
            <v>Asia</v>
          </cell>
          <cell r="J1853" t="str">
            <v>Malaysia</v>
          </cell>
          <cell r="K1853">
            <v>32689</v>
          </cell>
        </row>
        <row r="1854">
          <cell r="A1854" t="str">
            <v>In service</v>
          </cell>
          <cell r="B1854" t="str">
            <v>Gulfstream Aerospace Gulfstream IV</v>
          </cell>
          <cell r="C1854" t="str">
            <v xml:space="preserve"> </v>
          </cell>
          <cell r="D1854">
            <v>1989</v>
          </cell>
          <cell r="E1854" t="str">
            <v>Ford Aviation LLC</v>
          </cell>
          <cell r="F1854">
            <v>13</v>
          </cell>
          <cell r="G1854">
            <v>32919</v>
          </cell>
          <cell r="I1854" t="str">
            <v>North America</v>
          </cell>
          <cell r="J1854" t="str">
            <v>USA</v>
          </cell>
          <cell r="K1854">
            <v>32324</v>
          </cell>
        </row>
        <row r="1855">
          <cell r="A1855" t="str">
            <v>In service</v>
          </cell>
          <cell r="B1855" t="str">
            <v>Gulfstream Aerospace Gulfstream IV</v>
          </cell>
          <cell r="C1855" t="str">
            <v xml:space="preserve"> </v>
          </cell>
          <cell r="D1855">
            <v>1989</v>
          </cell>
          <cell r="E1855" t="str">
            <v>News Limited</v>
          </cell>
          <cell r="F1855">
            <v>13</v>
          </cell>
          <cell r="G1855">
            <v>32736</v>
          </cell>
          <cell r="I1855" t="str">
            <v>Australasia</v>
          </cell>
          <cell r="J1855" t="str">
            <v>Australia</v>
          </cell>
          <cell r="K1855">
            <v>31958</v>
          </cell>
        </row>
        <row r="1856">
          <cell r="A1856" t="str">
            <v>In service</v>
          </cell>
          <cell r="B1856" t="str">
            <v>Gulfstream Aerospace Gulfstream IV</v>
          </cell>
          <cell r="C1856" t="str">
            <v xml:space="preserve"> </v>
          </cell>
          <cell r="D1856">
            <v>1990</v>
          </cell>
          <cell r="E1856" t="str">
            <v>Gestair</v>
          </cell>
          <cell r="F1856">
            <v>12</v>
          </cell>
          <cell r="G1856">
            <v>33312</v>
          </cell>
          <cell r="I1856" t="str">
            <v>Europe</v>
          </cell>
          <cell r="J1856" t="str">
            <v>Spain</v>
          </cell>
          <cell r="K1856">
            <v>32689</v>
          </cell>
        </row>
        <row r="1857">
          <cell r="A1857" t="str">
            <v>In service</v>
          </cell>
          <cell r="B1857" t="str">
            <v>Gulfstream Aerospace Gulfstream IV</v>
          </cell>
          <cell r="C1857" t="str">
            <v xml:space="preserve"> </v>
          </cell>
          <cell r="D1857">
            <v>1989</v>
          </cell>
          <cell r="E1857" t="str">
            <v>G-IV 1000 LLC</v>
          </cell>
          <cell r="F1857">
            <v>13</v>
          </cell>
          <cell r="G1857">
            <v>32744</v>
          </cell>
          <cell r="I1857" t="str">
            <v>North America</v>
          </cell>
          <cell r="J1857" t="str">
            <v>USA</v>
          </cell>
          <cell r="K1857">
            <v>31958</v>
          </cell>
        </row>
        <row r="1858">
          <cell r="A1858" t="str">
            <v>In service</v>
          </cell>
          <cell r="B1858" t="str">
            <v>Gulfstream Aerospace Gulfstream IV</v>
          </cell>
          <cell r="C1858" t="str">
            <v xml:space="preserve"> </v>
          </cell>
          <cell r="D1858">
            <v>1989</v>
          </cell>
          <cell r="E1858" t="str">
            <v>Apex Oil Co Inc</v>
          </cell>
          <cell r="F1858">
            <v>13</v>
          </cell>
          <cell r="G1858">
            <v>32762</v>
          </cell>
          <cell r="I1858" t="str">
            <v>North America</v>
          </cell>
          <cell r="J1858" t="str">
            <v>USA</v>
          </cell>
          <cell r="K1858">
            <v>31958</v>
          </cell>
        </row>
        <row r="1859">
          <cell r="A1859" t="str">
            <v>In service</v>
          </cell>
          <cell r="B1859" t="str">
            <v>Gulfstream Aerospace Gulfstream IV</v>
          </cell>
          <cell r="C1859" t="str">
            <v xml:space="preserve"> </v>
          </cell>
          <cell r="D1859">
            <v>1989</v>
          </cell>
          <cell r="E1859" t="str">
            <v>United Technologies Corp</v>
          </cell>
          <cell r="F1859">
            <v>13</v>
          </cell>
          <cell r="G1859">
            <v>32770</v>
          </cell>
          <cell r="I1859" t="str">
            <v>North America</v>
          </cell>
          <cell r="J1859" t="str">
            <v>USA</v>
          </cell>
          <cell r="K1859">
            <v>31958</v>
          </cell>
        </row>
        <row r="1860">
          <cell r="A1860" t="str">
            <v>In service</v>
          </cell>
          <cell r="B1860" t="str">
            <v>Gulfstream Aerospace Gulfstream IV</v>
          </cell>
          <cell r="C1860" t="str">
            <v xml:space="preserve"> </v>
          </cell>
          <cell r="D1860">
            <v>1989</v>
          </cell>
          <cell r="E1860" t="str">
            <v>Garthorpe Inc</v>
          </cell>
          <cell r="F1860">
            <v>13</v>
          </cell>
          <cell r="G1860">
            <v>32787</v>
          </cell>
          <cell r="I1860" t="str">
            <v>North America</v>
          </cell>
          <cell r="J1860" t="str">
            <v>USA</v>
          </cell>
          <cell r="K1860">
            <v>32324</v>
          </cell>
        </row>
        <row r="1861">
          <cell r="A1861" t="str">
            <v>In service</v>
          </cell>
          <cell r="B1861" t="str">
            <v>Gulfstream Aerospace Gulfstream IV</v>
          </cell>
          <cell r="C1861" t="str">
            <v xml:space="preserve"> </v>
          </cell>
          <cell r="D1861">
            <v>1989</v>
          </cell>
          <cell r="E1861" t="str">
            <v>Lexair Ltd/LG Euro Holdings LLC/et al</v>
          </cell>
          <cell r="F1861">
            <v>13</v>
          </cell>
          <cell r="G1861">
            <v>33012</v>
          </cell>
          <cell r="I1861" t="str">
            <v>North America</v>
          </cell>
          <cell r="J1861" t="str">
            <v>USA</v>
          </cell>
          <cell r="K1861">
            <v>32324</v>
          </cell>
        </row>
        <row r="1862">
          <cell r="A1862" t="str">
            <v>In service</v>
          </cell>
          <cell r="B1862" t="str">
            <v>Gulfstream Aerospace Gulfstream IV</v>
          </cell>
          <cell r="C1862" t="str">
            <v xml:space="preserve"> </v>
          </cell>
          <cell r="D1862">
            <v>1989</v>
          </cell>
          <cell r="E1862" t="str">
            <v>Meridian Services Inc</v>
          </cell>
          <cell r="F1862">
            <v>13</v>
          </cell>
          <cell r="G1862">
            <v>32799</v>
          </cell>
          <cell r="I1862" t="str">
            <v>North America</v>
          </cell>
          <cell r="J1862" t="str">
            <v>USA</v>
          </cell>
          <cell r="K1862">
            <v>31958</v>
          </cell>
        </row>
        <row r="1863">
          <cell r="A1863" t="str">
            <v>In service</v>
          </cell>
          <cell r="B1863" t="str">
            <v>Gulfstream Aerospace Gulfstream IV</v>
          </cell>
          <cell r="C1863" t="str">
            <v xml:space="preserve"> </v>
          </cell>
          <cell r="D1863">
            <v>1989</v>
          </cell>
          <cell r="E1863" t="str">
            <v>National City Leasing Corp</v>
          </cell>
          <cell r="F1863">
            <v>13</v>
          </cell>
          <cell r="G1863">
            <v>33100</v>
          </cell>
          <cell r="I1863" t="str">
            <v>North America</v>
          </cell>
          <cell r="J1863" t="str">
            <v>USA</v>
          </cell>
          <cell r="K1863">
            <v>32324</v>
          </cell>
        </row>
        <row r="1864">
          <cell r="A1864" t="str">
            <v>In service</v>
          </cell>
          <cell r="B1864" t="str">
            <v>Gulfstream Aerospace Gulfstream IV</v>
          </cell>
          <cell r="C1864" t="str">
            <v xml:space="preserve"> </v>
          </cell>
          <cell r="D1864">
            <v>1991</v>
          </cell>
          <cell r="E1864" t="str">
            <v>Fayair</v>
          </cell>
          <cell r="F1864">
            <v>11</v>
          </cell>
          <cell r="G1864">
            <v>33520</v>
          </cell>
          <cell r="I1864" t="str">
            <v>Europe</v>
          </cell>
          <cell r="J1864" t="str">
            <v>United Kingdom</v>
          </cell>
          <cell r="K1864">
            <v>32689</v>
          </cell>
        </row>
        <row r="1865">
          <cell r="A1865" t="str">
            <v>In service</v>
          </cell>
          <cell r="B1865" t="str">
            <v>Gulfstream Aerospace Gulfstream IV</v>
          </cell>
          <cell r="C1865" t="str">
            <v xml:space="preserve"> </v>
          </cell>
          <cell r="D1865">
            <v>1989</v>
          </cell>
          <cell r="E1865" t="str">
            <v>Julio Inglesias</v>
          </cell>
          <cell r="F1865">
            <v>13</v>
          </cell>
          <cell r="G1865">
            <v>32834</v>
          </cell>
          <cell r="I1865" t="str">
            <v>Europe</v>
          </cell>
          <cell r="J1865" t="str">
            <v>Spain</v>
          </cell>
          <cell r="K1865">
            <v>32324</v>
          </cell>
        </row>
        <row r="1866">
          <cell r="A1866" t="str">
            <v>In service</v>
          </cell>
          <cell r="B1866" t="str">
            <v>Gulfstream Aerospace Gulfstream IV</v>
          </cell>
          <cell r="C1866" t="str">
            <v xml:space="preserve"> </v>
          </cell>
          <cell r="D1866">
            <v>1990</v>
          </cell>
          <cell r="E1866" t="str">
            <v>Chargers Football Co LLC</v>
          </cell>
          <cell r="F1866">
            <v>12</v>
          </cell>
          <cell r="G1866">
            <v>33082</v>
          </cell>
          <cell r="I1866" t="str">
            <v>North America</v>
          </cell>
          <cell r="J1866" t="str">
            <v>USA</v>
          </cell>
          <cell r="K1866">
            <v>32324</v>
          </cell>
        </row>
        <row r="1867">
          <cell r="A1867" t="str">
            <v>In service</v>
          </cell>
          <cell r="B1867" t="str">
            <v>Gulfstream Aerospace Gulfstream IV</v>
          </cell>
          <cell r="C1867" t="str">
            <v xml:space="preserve"> </v>
          </cell>
          <cell r="D1867">
            <v>1989</v>
          </cell>
          <cell r="E1867" t="str">
            <v>Aero Toy Store LLC</v>
          </cell>
          <cell r="F1867">
            <v>13</v>
          </cell>
          <cell r="G1867">
            <v>32843</v>
          </cell>
          <cell r="I1867" t="str">
            <v>North America</v>
          </cell>
          <cell r="J1867" t="str">
            <v>USA</v>
          </cell>
          <cell r="K1867">
            <v>32324</v>
          </cell>
        </row>
        <row r="1868">
          <cell r="A1868" t="str">
            <v>In service</v>
          </cell>
          <cell r="B1868" t="str">
            <v>Gulfstream Aerospace Gulfstream IV</v>
          </cell>
          <cell r="C1868" t="str">
            <v xml:space="preserve"> </v>
          </cell>
          <cell r="D1868">
            <v>1989</v>
          </cell>
          <cell r="E1868" t="str">
            <v>MBNA Corp</v>
          </cell>
          <cell r="F1868">
            <v>13</v>
          </cell>
          <cell r="G1868">
            <v>32849</v>
          </cell>
          <cell r="I1868" t="str">
            <v>North America</v>
          </cell>
          <cell r="J1868" t="str">
            <v>USA</v>
          </cell>
          <cell r="K1868">
            <v>31958</v>
          </cell>
        </row>
        <row r="1869">
          <cell r="A1869" t="str">
            <v>In service</v>
          </cell>
          <cell r="B1869" t="str">
            <v>Gulfstream Aerospace Gulfstream IV</v>
          </cell>
          <cell r="C1869" t="str">
            <v xml:space="preserve"> </v>
          </cell>
          <cell r="D1869">
            <v>1990</v>
          </cell>
          <cell r="E1869" t="str">
            <v>ALBA Servici Aerotrasporti SpA</v>
          </cell>
          <cell r="F1869">
            <v>12</v>
          </cell>
          <cell r="G1869">
            <v>33222</v>
          </cell>
          <cell r="I1869" t="str">
            <v>Europe</v>
          </cell>
          <cell r="J1869" t="str">
            <v>Italy</v>
          </cell>
          <cell r="K1869">
            <v>32324</v>
          </cell>
        </row>
        <row r="1870">
          <cell r="A1870" t="str">
            <v>In service</v>
          </cell>
          <cell r="B1870" t="str">
            <v>Gulfstream Aerospace Gulfstream IV</v>
          </cell>
          <cell r="C1870" t="str">
            <v xml:space="preserve"> </v>
          </cell>
          <cell r="D1870">
            <v>1990</v>
          </cell>
          <cell r="E1870" t="str">
            <v>Whirlpool Corp</v>
          </cell>
          <cell r="F1870">
            <v>12</v>
          </cell>
          <cell r="G1870">
            <v>33162</v>
          </cell>
          <cell r="I1870" t="str">
            <v>North America</v>
          </cell>
          <cell r="J1870" t="str">
            <v>USA</v>
          </cell>
          <cell r="K1870">
            <v>32324</v>
          </cell>
        </row>
        <row r="1871">
          <cell r="A1871" t="str">
            <v>In service</v>
          </cell>
          <cell r="B1871" t="str">
            <v>Gulfstream Aerospace Gulfstream IV</v>
          </cell>
          <cell r="C1871" t="str">
            <v xml:space="preserve"> </v>
          </cell>
          <cell r="D1871">
            <v>1989</v>
          </cell>
          <cell r="E1871" t="str">
            <v>LVH Corp</v>
          </cell>
          <cell r="F1871">
            <v>13</v>
          </cell>
          <cell r="G1871">
            <v>32869</v>
          </cell>
          <cell r="I1871" t="str">
            <v>North America</v>
          </cell>
          <cell r="J1871" t="str">
            <v>USA</v>
          </cell>
          <cell r="K1871">
            <v>31958</v>
          </cell>
        </row>
        <row r="1872">
          <cell r="A1872" t="str">
            <v>In service</v>
          </cell>
          <cell r="B1872" t="str">
            <v>Gulfstream Aerospace Gulfstream IV</v>
          </cell>
          <cell r="C1872" t="str">
            <v xml:space="preserve"> </v>
          </cell>
          <cell r="D1872">
            <v>1990</v>
          </cell>
          <cell r="E1872" t="str">
            <v>Federal Government of Nigeria</v>
          </cell>
          <cell r="F1872">
            <v>12</v>
          </cell>
          <cell r="G1872">
            <v>33192</v>
          </cell>
          <cell r="I1872" t="str">
            <v>Africa</v>
          </cell>
          <cell r="J1872" t="str">
            <v>Nigeria</v>
          </cell>
          <cell r="K1872">
            <v>31958</v>
          </cell>
        </row>
        <row r="1873">
          <cell r="A1873" t="str">
            <v>In service</v>
          </cell>
          <cell r="B1873" t="str">
            <v>Gulfstream Aerospace Gulfstream IV</v>
          </cell>
          <cell r="C1873" t="str">
            <v xml:space="preserve"> </v>
          </cell>
          <cell r="D1873">
            <v>1990</v>
          </cell>
          <cell r="E1873" t="str">
            <v>AEC International Ltd</v>
          </cell>
          <cell r="F1873">
            <v>12</v>
          </cell>
          <cell r="G1873">
            <v>32912</v>
          </cell>
          <cell r="I1873" t="str">
            <v>Latin America and Caribbean</v>
          </cell>
          <cell r="J1873" t="str">
            <v>Bermuda</v>
          </cell>
          <cell r="K1873">
            <v>32689</v>
          </cell>
        </row>
        <row r="1874">
          <cell r="A1874" t="str">
            <v>In service</v>
          </cell>
          <cell r="B1874" t="str">
            <v>Gulfstream Aerospace Gulfstream IV</v>
          </cell>
          <cell r="C1874" t="str">
            <v xml:space="preserve"> </v>
          </cell>
          <cell r="D1874">
            <v>1990</v>
          </cell>
          <cell r="E1874" t="str">
            <v>Saudi Arabian Airlines</v>
          </cell>
          <cell r="F1874">
            <v>12</v>
          </cell>
          <cell r="G1874">
            <v>33297</v>
          </cell>
          <cell r="I1874" t="str">
            <v>Middle East</v>
          </cell>
          <cell r="J1874" t="str">
            <v>Saudi Arabia</v>
          </cell>
          <cell r="K1874">
            <v>32324</v>
          </cell>
        </row>
        <row r="1875">
          <cell r="A1875" t="str">
            <v>In service</v>
          </cell>
          <cell r="B1875" t="str">
            <v>Gulfstream Aerospace Gulfstream IV</v>
          </cell>
          <cell r="C1875" t="str">
            <v xml:space="preserve"> </v>
          </cell>
          <cell r="D1875">
            <v>1990</v>
          </cell>
          <cell r="E1875" t="str">
            <v>Monaco Coach Corp</v>
          </cell>
          <cell r="F1875">
            <v>12</v>
          </cell>
          <cell r="G1875">
            <v>33131</v>
          </cell>
          <cell r="I1875" t="str">
            <v>North America</v>
          </cell>
          <cell r="J1875" t="str">
            <v>USA</v>
          </cell>
          <cell r="K1875">
            <v>32324</v>
          </cell>
        </row>
        <row r="1876">
          <cell r="A1876" t="str">
            <v>In service</v>
          </cell>
          <cell r="B1876" t="str">
            <v>Gulfstream Aerospace Gulfstream IV</v>
          </cell>
          <cell r="C1876" t="str">
            <v xml:space="preserve"> </v>
          </cell>
          <cell r="D1876">
            <v>1990</v>
          </cell>
          <cell r="E1876" t="str">
            <v>Lockheed Martin Corp</v>
          </cell>
          <cell r="F1876">
            <v>12</v>
          </cell>
          <cell r="G1876">
            <v>32954</v>
          </cell>
          <cell r="I1876" t="str">
            <v>North America</v>
          </cell>
          <cell r="J1876" t="str">
            <v>USA</v>
          </cell>
          <cell r="K1876">
            <v>32324</v>
          </cell>
        </row>
        <row r="1877">
          <cell r="A1877" t="str">
            <v>In service</v>
          </cell>
          <cell r="B1877" t="str">
            <v>Gulfstream Aerospace Gulfstream IV</v>
          </cell>
          <cell r="C1877" t="str">
            <v xml:space="preserve"> </v>
          </cell>
          <cell r="D1877">
            <v>1990</v>
          </cell>
          <cell r="E1877" t="str">
            <v>The Coca-Cola Co</v>
          </cell>
          <cell r="F1877">
            <v>12</v>
          </cell>
          <cell r="G1877">
            <v>32969</v>
          </cell>
          <cell r="I1877" t="str">
            <v>North America</v>
          </cell>
          <cell r="J1877" t="str">
            <v>USA</v>
          </cell>
          <cell r="K1877">
            <v>32324</v>
          </cell>
        </row>
        <row r="1878">
          <cell r="A1878" t="str">
            <v>In service</v>
          </cell>
          <cell r="B1878" t="str">
            <v>Gulfstream Aerospace Gulfstream IV</v>
          </cell>
          <cell r="C1878" t="str">
            <v xml:space="preserve"> </v>
          </cell>
          <cell r="D1878">
            <v>1991</v>
          </cell>
          <cell r="E1878" t="str">
            <v>Scout Aviation LLC</v>
          </cell>
          <cell r="F1878">
            <v>11</v>
          </cell>
          <cell r="G1878">
            <v>33434</v>
          </cell>
          <cell r="I1878" t="str">
            <v>North America</v>
          </cell>
          <cell r="J1878" t="str">
            <v>USA</v>
          </cell>
          <cell r="K1878">
            <v>32689</v>
          </cell>
        </row>
        <row r="1879">
          <cell r="A1879" t="str">
            <v>In service</v>
          </cell>
          <cell r="B1879" t="str">
            <v>Gulfstream Aerospace Gulfstream IV</v>
          </cell>
          <cell r="C1879" t="str">
            <v xml:space="preserve"> </v>
          </cell>
          <cell r="D1879">
            <v>1990</v>
          </cell>
          <cell r="E1879" t="str">
            <v>Copley Press Inc</v>
          </cell>
          <cell r="F1879">
            <v>12</v>
          </cell>
          <cell r="G1879">
            <v>33192</v>
          </cell>
          <cell r="I1879" t="str">
            <v>North America</v>
          </cell>
          <cell r="J1879" t="str">
            <v>USA</v>
          </cell>
          <cell r="K1879">
            <v>32324</v>
          </cell>
        </row>
        <row r="1880">
          <cell r="A1880" t="str">
            <v>In service</v>
          </cell>
          <cell r="B1880" t="str">
            <v>Gulfstream Aerospace Gulfstream IV</v>
          </cell>
          <cell r="C1880" t="str">
            <v xml:space="preserve"> </v>
          </cell>
          <cell r="D1880">
            <v>1990</v>
          </cell>
          <cell r="E1880" t="str">
            <v>Gulfstream Aerospace Corp</v>
          </cell>
          <cell r="F1880">
            <v>12</v>
          </cell>
          <cell r="G1880">
            <v>33193</v>
          </cell>
          <cell r="I1880" t="str">
            <v>North America</v>
          </cell>
          <cell r="J1880" t="str">
            <v>USA</v>
          </cell>
          <cell r="K1880">
            <v>32324</v>
          </cell>
        </row>
        <row r="1881">
          <cell r="A1881" t="str">
            <v>In service</v>
          </cell>
          <cell r="B1881" t="str">
            <v>Gulfstream Aerospace Gulfstream IV</v>
          </cell>
          <cell r="C1881" t="str">
            <v xml:space="preserve"> </v>
          </cell>
          <cell r="D1881">
            <v>1990</v>
          </cell>
          <cell r="E1881" t="str">
            <v>Earth Star Inc</v>
          </cell>
          <cell r="F1881">
            <v>12</v>
          </cell>
          <cell r="G1881">
            <v>33253</v>
          </cell>
          <cell r="I1881" t="str">
            <v>North America</v>
          </cell>
          <cell r="J1881" t="str">
            <v>USA</v>
          </cell>
          <cell r="K1881">
            <v>32689</v>
          </cell>
        </row>
        <row r="1882">
          <cell r="A1882" t="str">
            <v>In service</v>
          </cell>
          <cell r="B1882" t="str">
            <v>Gulfstream Aerospace Gulfstream IV</v>
          </cell>
          <cell r="C1882" t="str">
            <v xml:space="preserve"> </v>
          </cell>
          <cell r="D1882">
            <v>1990</v>
          </cell>
          <cell r="E1882" t="str">
            <v>Schering Plough Corp</v>
          </cell>
          <cell r="F1882">
            <v>12</v>
          </cell>
          <cell r="G1882">
            <v>33207</v>
          </cell>
          <cell r="I1882" t="str">
            <v>North America</v>
          </cell>
          <cell r="J1882" t="str">
            <v>USA</v>
          </cell>
          <cell r="K1882">
            <v>32324</v>
          </cell>
        </row>
        <row r="1883">
          <cell r="A1883" t="str">
            <v>In service</v>
          </cell>
          <cell r="B1883" t="str">
            <v>Gulfstream Aerospace Gulfstream IV</v>
          </cell>
          <cell r="C1883" t="str">
            <v xml:space="preserve"> </v>
          </cell>
          <cell r="D1883">
            <v>1990</v>
          </cell>
          <cell r="E1883" t="str">
            <v xml:space="preserve">I M S Health Transportation Services </v>
          </cell>
          <cell r="F1883">
            <v>12</v>
          </cell>
          <cell r="G1883">
            <v>33161</v>
          </cell>
          <cell r="I1883" t="str">
            <v>North America</v>
          </cell>
          <cell r="J1883" t="str">
            <v>USA</v>
          </cell>
          <cell r="K1883">
            <v>32324</v>
          </cell>
        </row>
        <row r="1884">
          <cell r="A1884" t="str">
            <v>In service</v>
          </cell>
          <cell r="B1884" t="str">
            <v>Gulfstream Aerospace Gulfstream IV</v>
          </cell>
          <cell r="C1884" t="str">
            <v xml:space="preserve"> </v>
          </cell>
          <cell r="D1884">
            <v>1991</v>
          </cell>
          <cell r="E1884" t="str">
            <v>Exxon Mobil Corp</v>
          </cell>
          <cell r="F1884">
            <v>11</v>
          </cell>
          <cell r="G1884">
            <v>33249</v>
          </cell>
          <cell r="I1884" t="str">
            <v>North America</v>
          </cell>
          <cell r="J1884" t="str">
            <v>USA</v>
          </cell>
          <cell r="K1884">
            <v>32689</v>
          </cell>
        </row>
        <row r="1885">
          <cell r="A1885" t="str">
            <v>In service</v>
          </cell>
          <cell r="B1885" t="str">
            <v>Gulfstream Aerospace Gulfstream IV</v>
          </cell>
          <cell r="C1885" t="str">
            <v xml:space="preserve"> </v>
          </cell>
          <cell r="D1885">
            <v>1991</v>
          </cell>
          <cell r="E1885" t="str">
            <v>Silver State Aviation/Moroccan Adv/et al</v>
          </cell>
          <cell r="F1885">
            <v>11</v>
          </cell>
          <cell r="G1885">
            <v>33253</v>
          </cell>
          <cell r="I1885" t="str">
            <v>North America</v>
          </cell>
          <cell r="J1885" t="str">
            <v>USA</v>
          </cell>
          <cell r="K1885">
            <v>32689</v>
          </cell>
        </row>
        <row r="1886">
          <cell r="A1886" t="str">
            <v>In service</v>
          </cell>
          <cell r="B1886" t="str">
            <v>Gulfstream Aerospace Gulfstream IV</v>
          </cell>
          <cell r="C1886" t="str">
            <v xml:space="preserve"> </v>
          </cell>
          <cell r="D1886">
            <v>1990</v>
          </cell>
          <cell r="E1886" t="str">
            <v>McDonalds Corp</v>
          </cell>
          <cell r="F1886">
            <v>12</v>
          </cell>
          <cell r="G1886">
            <v>33053</v>
          </cell>
          <cell r="I1886" t="str">
            <v>North America</v>
          </cell>
          <cell r="J1886" t="str">
            <v>USA</v>
          </cell>
          <cell r="K1886">
            <v>32324</v>
          </cell>
        </row>
        <row r="1887">
          <cell r="A1887" t="str">
            <v>In service</v>
          </cell>
          <cell r="B1887" t="str">
            <v>Gulfstream Aerospace Gulfstream IV</v>
          </cell>
          <cell r="C1887" t="str">
            <v xml:space="preserve"> </v>
          </cell>
          <cell r="D1887">
            <v>1990</v>
          </cell>
          <cell r="E1887" t="str">
            <v>Ronin LLC</v>
          </cell>
          <cell r="F1887">
            <v>12</v>
          </cell>
          <cell r="G1887">
            <v>33087</v>
          </cell>
          <cell r="I1887" t="str">
            <v>North America</v>
          </cell>
          <cell r="J1887" t="str">
            <v>USA</v>
          </cell>
          <cell r="K1887">
            <v>32324</v>
          </cell>
        </row>
        <row r="1888">
          <cell r="A1888" t="str">
            <v>In service</v>
          </cell>
          <cell r="B1888" t="str">
            <v>Gulfstream Aerospace Gulfstream IV</v>
          </cell>
          <cell r="C1888" t="str">
            <v xml:space="preserve"> </v>
          </cell>
          <cell r="D1888">
            <v>1991</v>
          </cell>
          <cell r="E1888" t="str">
            <v>Jetstream Inc</v>
          </cell>
          <cell r="F1888">
            <v>11</v>
          </cell>
          <cell r="G1888">
            <v>33343</v>
          </cell>
          <cell r="I1888" t="str">
            <v>North America</v>
          </cell>
          <cell r="J1888" t="str">
            <v>USA</v>
          </cell>
          <cell r="K1888">
            <v>33054</v>
          </cell>
        </row>
        <row r="1889">
          <cell r="A1889" t="str">
            <v>In service</v>
          </cell>
          <cell r="B1889" t="str">
            <v>Gulfstream Aerospace Gulfstream IV</v>
          </cell>
          <cell r="C1889" t="str">
            <v xml:space="preserve"> </v>
          </cell>
          <cell r="D1889">
            <v>1991</v>
          </cell>
          <cell r="E1889" t="str">
            <v>Saudi Arabian Airlines</v>
          </cell>
          <cell r="F1889">
            <v>11</v>
          </cell>
          <cell r="G1889">
            <v>33320</v>
          </cell>
          <cell r="I1889" t="str">
            <v>Middle East</v>
          </cell>
          <cell r="J1889" t="str">
            <v>Saudi Arabia</v>
          </cell>
          <cell r="K1889">
            <v>32689</v>
          </cell>
        </row>
        <row r="1890">
          <cell r="A1890" t="str">
            <v>In service</v>
          </cell>
          <cell r="B1890" t="str">
            <v>Gulfstream Aerospace Gulfstream IV</v>
          </cell>
          <cell r="C1890" t="str">
            <v xml:space="preserve"> </v>
          </cell>
          <cell r="D1890">
            <v>1991</v>
          </cell>
          <cell r="E1890" t="str">
            <v>Metrojet</v>
          </cell>
          <cell r="F1890">
            <v>11</v>
          </cell>
          <cell r="G1890">
            <v>33284</v>
          </cell>
          <cell r="I1890" t="str">
            <v>Asia</v>
          </cell>
          <cell r="J1890" t="str">
            <v>Hong Kong</v>
          </cell>
          <cell r="K1890">
            <v>32689</v>
          </cell>
        </row>
        <row r="1891">
          <cell r="A1891" t="str">
            <v>In service</v>
          </cell>
          <cell r="B1891" t="str">
            <v>Gulfstream Aerospace Gulfstream IV</v>
          </cell>
          <cell r="C1891" t="str">
            <v xml:space="preserve"> </v>
          </cell>
          <cell r="D1891">
            <v>1991</v>
          </cell>
          <cell r="E1891" t="str">
            <v>Countrywide Home Loans Inc</v>
          </cell>
          <cell r="F1891">
            <v>11</v>
          </cell>
          <cell r="G1891">
            <v>33399</v>
          </cell>
          <cell r="I1891" t="str">
            <v>North America</v>
          </cell>
          <cell r="J1891" t="str">
            <v>USA</v>
          </cell>
          <cell r="K1891">
            <v>32689</v>
          </cell>
        </row>
        <row r="1892">
          <cell r="A1892" t="str">
            <v>In service</v>
          </cell>
          <cell r="B1892" t="str">
            <v>Gulfstream Aerospace Gulfstream IV</v>
          </cell>
          <cell r="C1892" t="str">
            <v xml:space="preserve"> </v>
          </cell>
          <cell r="D1892">
            <v>1990</v>
          </cell>
          <cell r="E1892" t="str">
            <v>New World Aircraft GIV-1146 LLC</v>
          </cell>
          <cell r="F1892">
            <v>12</v>
          </cell>
          <cell r="G1892">
            <v>33337</v>
          </cell>
          <cell r="I1892" t="str">
            <v>North America</v>
          </cell>
          <cell r="J1892" t="str">
            <v>USA</v>
          </cell>
          <cell r="K1892">
            <v>32689</v>
          </cell>
        </row>
        <row r="1893">
          <cell r="A1893" t="str">
            <v>In service</v>
          </cell>
          <cell r="B1893" t="str">
            <v>Gulfstream Aerospace Gulfstream IV</v>
          </cell>
          <cell r="C1893" t="str">
            <v xml:space="preserve"> </v>
          </cell>
          <cell r="D1893">
            <v>1990</v>
          </cell>
          <cell r="E1893" t="str">
            <v>Koloa Aviation LLC</v>
          </cell>
          <cell r="F1893">
            <v>12</v>
          </cell>
          <cell r="G1893">
            <v>33161</v>
          </cell>
          <cell r="I1893" t="str">
            <v>North America</v>
          </cell>
          <cell r="J1893" t="str">
            <v>USA</v>
          </cell>
          <cell r="K1893">
            <v>32324</v>
          </cell>
        </row>
        <row r="1894">
          <cell r="A1894" t="str">
            <v>In service</v>
          </cell>
          <cell r="B1894" t="str">
            <v>Gulfstream Aerospace Gulfstream IV</v>
          </cell>
          <cell r="C1894" t="str">
            <v xml:space="preserve"> </v>
          </cell>
          <cell r="D1894">
            <v>1991</v>
          </cell>
          <cell r="E1894" t="str">
            <v>SR Transportation Services SA</v>
          </cell>
          <cell r="F1894">
            <v>11</v>
          </cell>
          <cell r="G1894">
            <v>33511</v>
          </cell>
          <cell r="I1894" t="str">
            <v>Europe</v>
          </cell>
          <cell r="J1894" t="str">
            <v>Switzerland</v>
          </cell>
          <cell r="K1894">
            <v>32689</v>
          </cell>
        </row>
        <row r="1895">
          <cell r="A1895" t="str">
            <v>In service</v>
          </cell>
          <cell r="B1895" t="str">
            <v>Gulfstream Aerospace Gulfstream IV</v>
          </cell>
          <cell r="C1895" t="str">
            <v xml:space="preserve"> </v>
          </cell>
          <cell r="D1895">
            <v>1990</v>
          </cell>
          <cell r="E1895" t="str">
            <v>Blum Capital Partners LP</v>
          </cell>
          <cell r="F1895">
            <v>12</v>
          </cell>
          <cell r="G1895">
            <v>33069</v>
          </cell>
          <cell r="I1895" t="str">
            <v>North America</v>
          </cell>
          <cell r="J1895" t="str">
            <v>USA</v>
          </cell>
          <cell r="K1895">
            <v>32689</v>
          </cell>
        </row>
        <row r="1896">
          <cell r="A1896" t="str">
            <v>In service</v>
          </cell>
          <cell r="B1896" t="str">
            <v>Gulfstream Aerospace Gulfstream IV</v>
          </cell>
          <cell r="C1896" t="str">
            <v xml:space="preserve"> </v>
          </cell>
          <cell r="D1896">
            <v>1991</v>
          </cell>
          <cell r="E1896" t="str">
            <v>RL Aviation LLC</v>
          </cell>
          <cell r="F1896">
            <v>11</v>
          </cell>
          <cell r="G1896">
            <v>33587</v>
          </cell>
          <cell r="I1896" t="str">
            <v>North America</v>
          </cell>
          <cell r="J1896" t="str">
            <v>USA</v>
          </cell>
          <cell r="K1896">
            <v>32689</v>
          </cell>
        </row>
        <row r="1897">
          <cell r="A1897" t="str">
            <v>In service</v>
          </cell>
          <cell r="B1897" t="str">
            <v>Gulfstream Aerospace Gulfstream IV</v>
          </cell>
          <cell r="C1897" t="str">
            <v xml:space="preserve"> </v>
          </cell>
          <cell r="D1897">
            <v>1990</v>
          </cell>
          <cell r="E1897" t="str">
            <v>S T Aviation LLC</v>
          </cell>
          <cell r="F1897">
            <v>12</v>
          </cell>
          <cell r="G1897">
            <v>33222</v>
          </cell>
          <cell r="I1897" t="str">
            <v>North America</v>
          </cell>
          <cell r="J1897" t="str">
            <v>USA</v>
          </cell>
          <cell r="K1897">
            <v>32324</v>
          </cell>
        </row>
        <row r="1898">
          <cell r="A1898" t="str">
            <v>In service</v>
          </cell>
          <cell r="B1898" t="str">
            <v>Gulfstream Aerospace Gulfstream IV</v>
          </cell>
          <cell r="C1898" t="str">
            <v xml:space="preserve"> </v>
          </cell>
          <cell r="D1898">
            <v>1990</v>
          </cell>
          <cell r="E1898" t="str">
            <v>International Group Inc</v>
          </cell>
          <cell r="F1898">
            <v>12</v>
          </cell>
          <cell r="G1898">
            <v>33203</v>
          </cell>
          <cell r="I1898" t="str">
            <v>North America</v>
          </cell>
          <cell r="J1898" t="str">
            <v>USA</v>
          </cell>
          <cell r="K1898">
            <v>32324</v>
          </cell>
        </row>
        <row r="1899">
          <cell r="A1899" t="str">
            <v>In service</v>
          </cell>
          <cell r="B1899" t="str">
            <v>Gulfstream Aerospace Gulfstream IV</v>
          </cell>
          <cell r="C1899" t="str">
            <v xml:space="preserve"> </v>
          </cell>
          <cell r="D1899">
            <v>1990</v>
          </cell>
          <cell r="E1899" t="str">
            <v>International Home Foods Inc</v>
          </cell>
          <cell r="F1899">
            <v>12</v>
          </cell>
          <cell r="G1899">
            <v>33224</v>
          </cell>
          <cell r="I1899" t="str">
            <v>North America</v>
          </cell>
          <cell r="J1899" t="str">
            <v>USA</v>
          </cell>
          <cell r="K1899">
            <v>32324</v>
          </cell>
        </row>
        <row r="1900">
          <cell r="A1900" t="str">
            <v>In service</v>
          </cell>
          <cell r="B1900" t="str">
            <v>Gulfstream Aerospace Gulfstream IV</v>
          </cell>
          <cell r="C1900" t="str">
            <v xml:space="preserve"> </v>
          </cell>
          <cell r="D1900">
            <v>1990</v>
          </cell>
          <cell r="E1900" t="str">
            <v>DSC Communications Corp</v>
          </cell>
          <cell r="F1900">
            <v>12</v>
          </cell>
          <cell r="G1900">
            <v>33225</v>
          </cell>
          <cell r="I1900" t="str">
            <v>North America</v>
          </cell>
          <cell r="J1900" t="str">
            <v>USA</v>
          </cell>
        </row>
        <row r="1901">
          <cell r="A1901" t="str">
            <v>In service</v>
          </cell>
          <cell r="B1901" t="str">
            <v>Gulfstream Aerospace Gulfstream IV</v>
          </cell>
          <cell r="C1901" t="str">
            <v xml:space="preserve"> </v>
          </cell>
          <cell r="D1901">
            <v>1990</v>
          </cell>
          <cell r="E1901" t="str">
            <v>BP Amoco Corp</v>
          </cell>
          <cell r="F1901">
            <v>12</v>
          </cell>
          <cell r="G1901">
            <v>33235</v>
          </cell>
          <cell r="I1901" t="str">
            <v>North America</v>
          </cell>
          <cell r="J1901" t="str">
            <v>USA</v>
          </cell>
          <cell r="K1901">
            <v>32324</v>
          </cell>
        </row>
        <row r="1902">
          <cell r="A1902" t="str">
            <v>In service</v>
          </cell>
          <cell r="B1902" t="str">
            <v>Gulfstream Aerospace Gulfstream IV</v>
          </cell>
          <cell r="C1902" t="str">
            <v xml:space="preserve"> </v>
          </cell>
          <cell r="D1902">
            <v>1990</v>
          </cell>
          <cell r="E1902" t="str">
            <v>Gandel Group Pty Ltd</v>
          </cell>
          <cell r="F1902">
            <v>12</v>
          </cell>
          <cell r="G1902">
            <v>33260</v>
          </cell>
          <cell r="I1902" t="str">
            <v>Australasia</v>
          </cell>
          <cell r="J1902" t="str">
            <v>Australia</v>
          </cell>
          <cell r="K1902">
            <v>33054</v>
          </cell>
        </row>
        <row r="1903">
          <cell r="A1903" t="str">
            <v>In service</v>
          </cell>
          <cell r="B1903" t="str">
            <v>Gulfstream Aerospace Gulfstream IV</v>
          </cell>
          <cell r="C1903" t="str">
            <v xml:space="preserve"> </v>
          </cell>
          <cell r="D1903">
            <v>1991</v>
          </cell>
          <cell r="E1903" t="str">
            <v>Kuwait Int'l Aircraft Leasing Sales &amp; Possession</v>
          </cell>
          <cell r="F1903">
            <v>11</v>
          </cell>
          <cell r="G1903">
            <v>33529</v>
          </cell>
          <cell r="I1903" t="str">
            <v>Middle East</v>
          </cell>
          <cell r="J1903" t="str">
            <v>Kuwait</v>
          </cell>
          <cell r="K1903">
            <v>32689</v>
          </cell>
        </row>
        <row r="1904">
          <cell r="A1904" t="str">
            <v>In service</v>
          </cell>
          <cell r="B1904" t="str">
            <v>Gulfstream Aerospace Gulfstream IV</v>
          </cell>
          <cell r="C1904" t="str">
            <v xml:space="preserve"> </v>
          </cell>
          <cell r="D1904">
            <v>1991</v>
          </cell>
          <cell r="E1904" t="str">
            <v>North American Air Charter Inc</v>
          </cell>
          <cell r="F1904">
            <v>11</v>
          </cell>
          <cell r="G1904">
            <v>33288</v>
          </cell>
          <cell r="I1904" t="str">
            <v>North America</v>
          </cell>
          <cell r="J1904" t="str">
            <v>USA</v>
          </cell>
          <cell r="K1904">
            <v>32689</v>
          </cell>
        </row>
        <row r="1905">
          <cell r="A1905" t="str">
            <v>In service</v>
          </cell>
          <cell r="B1905" t="str">
            <v>Gulfstream Aerospace Gulfstream IV</v>
          </cell>
          <cell r="C1905" t="str">
            <v xml:space="preserve"> </v>
          </cell>
          <cell r="D1905">
            <v>1991</v>
          </cell>
          <cell r="E1905" t="str">
            <v>Jetclub AG</v>
          </cell>
          <cell r="F1905">
            <v>11</v>
          </cell>
          <cell r="G1905">
            <v>33591</v>
          </cell>
          <cell r="I1905" t="str">
            <v>Europe</v>
          </cell>
          <cell r="J1905" t="str">
            <v>Switzerland</v>
          </cell>
          <cell r="K1905">
            <v>32689</v>
          </cell>
        </row>
        <row r="1906">
          <cell r="A1906" t="str">
            <v>In service</v>
          </cell>
          <cell r="B1906" t="str">
            <v>Gulfstream Aerospace Gulfstream IV</v>
          </cell>
          <cell r="C1906" t="str">
            <v xml:space="preserve"> </v>
          </cell>
          <cell r="D1906">
            <v>1991</v>
          </cell>
          <cell r="E1906" t="str">
            <v>Irish Air Corps</v>
          </cell>
          <cell r="F1906">
            <v>11</v>
          </cell>
          <cell r="G1906">
            <v>33591</v>
          </cell>
          <cell r="I1906" t="str">
            <v>Europe</v>
          </cell>
          <cell r="J1906" t="str">
            <v>Ireland</v>
          </cell>
          <cell r="K1906">
            <v>33054</v>
          </cell>
        </row>
        <row r="1907">
          <cell r="A1907" t="str">
            <v>In service</v>
          </cell>
          <cell r="B1907" t="str">
            <v>Gulfstream Aerospace Gulfstream IV</v>
          </cell>
          <cell r="C1907" t="str">
            <v xml:space="preserve"> </v>
          </cell>
          <cell r="D1907">
            <v>1992</v>
          </cell>
          <cell r="E1907" t="str">
            <v>Executive Fliteways Inc</v>
          </cell>
          <cell r="F1907">
            <v>10</v>
          </cell>
          <cell r="G1907">
            <v>33616</v>
          </cell>
          <cell r="I1907" t="str">
            <v>North America</v>
          </cell>
          <cell r="J1907" t="str">
            <v>USA</v>
          </cell>
          <cell r="K1907">
            <v>32689</v>
          </cell>
        </row>
        <row r="1908">
          <cell r="A1908" t="str">
            <v>In service</v>
          </cell>
          <cell r="B1908" t="str">
            <v>Gulfstream Aerospace Gulfstream IV</v>
          </cell>
          <cell r="C1908" t="str">
            <v xml:space="preserve"> </v>
          </cell>
          <cell r="D1908">
            <v>1991</v>
          </cell>
          <cell r="E1908" t="str">
            <v>Turkish Air Force</v>
          </cell>
          <cell r="F1908">
            <v>11</v>
          </cell>
          <cell r="G1908">
            <v>33587</v>
          </cell>
          <cell r="I1908" t="str">
            <v>Europe</v>
          </cell>
          <cell r="J1908" t="str">
            <v>Turkey</v>
          </cell>
        </row>
        <row r="1909">
          <cell r="A1909" t="str">
            <v>In service</v>
          </cell>
          <cell r="B1909" t="str">
            <v>Gulfstream Aerospace Gulfstream IV</v>
          </cell>
          <cell r="C1909" t="str">
            <v xml:space="preserve"> </v>
          </cell>
          <cell r="D1909">
            <v>1991</v>
          </cell>
          <cell r="E1909" t="str">
            <v>Wells Fargo &amp; Co</v>
          </cell>
          <cell r="F1909">
            <v>11</v>
          </cell>
          <cell r="G1909">
            <v>33353</v>
          </cell>
          <cell r="I1909" t="str">
            <v>North America</v>
          </cell>
          <cell r="J1909" t="str">
            <v>USA</v>
          </cell>
          <cell r="K1909">
            <v>32689</v>
          </cell>
        </row>
        <row r="1910">
          <cell r="A1910" t="str">
            <v>In service</v>
          </cell>
          <cell r="B1910" t="str">
            <v>Gulfstream Aerospace Gulfstream IV</v>
          </cell>
          <cell r="C1910" t="str">
            <v xml:space="preserve"> </v>
          </cell>
          <cell r="D1910">
            <v>1991</v>
          </cell>
          <cell r="E1910" t="str">
            <v>International Business Machines (IBM) Corp</v>
          </cell>
          <cell r="F1910">
            <v>11</v>
          </cell>
          <cell r="G1910">
            <v>33284</v>
          </cell>
          <cell r="I1910" t="str">
            <v>North America</v>
          </cell>
          <cell r="J1910" t="str">
            <v>USA</v>
          </cell>
        </row>
        <row r="1911">
          <cell r="A1911" t="str">
            <v>In service</v>
          </cell>
          <cell r="B1911" t="str">
            <v>Gulfstream Aerospace Gulfstream IV</v>
          </cell>
          <cell r="C1911" t="str">
            <v xml:space="preserve"> </v>
          </cell>
          <cell r="D1911">
            <v>1991</v>
          </cell>
          <cell r="E1911" t="str">
            <v>Saudi Arabian Airlines</v>
          </cell>
          <cell r="F1911">
            <v>11</v>
          </cell>
          <cell r="G1911">
            <v>33526</v>
          </cell>
          <cell r="I1911" t="str">
            <v>Middle East</v>
          </cell>
          <cell r="J1911" t="str">
            <v>Saudi Arabia</v>
          </cell>
        </row>
        <row r="1912">
          <cell r="A1912" t="str">
            <v>In service</v>
          </cell>
          <cell r="B1912" t="str">
            <v>Gulfstream Aerospace Gulfstream IV</v>
          </cell>
          <cell r="C1912" t="str">
            <v xml:space="preserve"> </v>
          </cell>
          <cell r="D1912">
            <v>1991</v>
          </cell>
          <cell r="E1912" t="str">
            <v>Sara Lee Corp</v>
          </cell>
          <cell r="F1912">
            <v>11</v>
          </cell>
          <cell r="G1912">
            <v>33399</v>
          </cell>
          <cell r="I1912" t="str">
            <v>North America</v>
          </cell>
          <cell r="J1912" t="str">
            <v>USA</v>
          </cell>
          <cell r="K1912">
            <v>32689</v>
          </cell>
        </row>
        <row r="1913">
          <cell r="A1913" t="str">
            <v>In service</v>
          </cell>
          <cell r="B1913" t="str">
            <v>Gulfstream Aerospace Gulfstream IV</v>
          </cell>
          <cell r="C1913" t="str">
            <v xml:space="preserve"> </v>
          </cell>
          <cell r="D1913">
            <v>1991</v>
          </cell>
          <cell r="E1913" t="str">
            <v>Oman Royal Flight</v>
          </cell>
          <cell r="F1913">
            <v>11</v>
          </cell>
          <cell r="G1913">
            <v>33395</v>
          </cell>
          <cell r="I1913" t="str">
            <v>Middle East</v>
          </cell>
          <cell r="J1913" t="str">
            <v>Oman</v>
          </cell>
        </row>
        <row r="1914">
          <cell r="A1914" t="str">
            <v>In service</v>
          </cell>
          <cell r="B1914" t="str">
            <v>Gulfstream Aerospace Gulfstream IV</v>
          </cell>
          <cell r="C1914" t="str">
            <v xml:space="preserve"> </v>
          </cell>
          <cell r="D1914">
            <v>1991</v>
          </cell>
          <cell r="E1914" t="str">
            <v>Dreamworks LLC</v>
          </cell>
          <cell r="F1914">
            <v>11</v>
          </cell>
          <cell r="G1914">
            <v>33441</v>
          </cell>
          <cell r="I1914" t="str">
            <v>North America</v>
          </cell>
          <cell r="J1914" t="str">
            <v>USA</v>
          </cell>
          <cell r="K1914">
            <v>32689</v>
          </cell>
        </row>
        <row r="1915">
          <cell r="A1915" t="str">
            <v>In service</v>
          </cell>
          <cell r="B1915" t="str">
            <v>Gulfstream Aerospace Gulfstream IV</v>
          </cell>
          <cell r="C1915" t="str">
            <v xml:space="preserve"> </v>
          </cell>
          <cell r="D1915">
            <v>1991</v>
          </cell>
          <cell r="E1915" t="str">
            <v>J Porter Enterprises Inc</v>
          </cell>
          <cell r="F1915">
            <v>11</v>
          </cell>
          <cell r="G1915">
            <v>33504</v>
          </cell>
          <cell r="I1915" t="str">
            <v>North America</v>
          </cell>
          <cell r="J1915" t="str">
            <v>USA</v>
          </cell>
          <cell r="K1915">
            <v>33054</v>
          </cell>
        </row>
        <row r="1916">
          <cell r="A1916" t="str">
            <v>In service</v>
          </cell>
          <cell r="B1916" t="str">
            <v>Gulfstream Aerospace Gulfstream IV</v>
          </cell>
          <cell r="C1916" t="str">
            <v xml:space="preserve"> </v>
          </cell>
          <cell r="D1916">
            <v>1991</v>
          </cell>
          <cell r="E1916" t="str">
            <v>SC Leasing Corp Inc</v>
          </cell>
          <cell r="F1916">
            <v>11</v>
          </cell>
          <cell r="G1916">
            <v>33470</v>
          </cell>
          <cell r="I1916" t="str">
            <v>North America</v>
          </cell>
          <cell r="J1916" t="str">
            <v>USA</v>
          </cell>
          <cell r="K1916">
            <v>32689</v>
          </cell>
        </row>
        <row r="1917">
          <cell r="A1917" t="str">
            <v>In service</v>
          </cell>
          <cell r="B1917" t="str">
            <v>Gulfstream Aerospace Gulfstream IV</v>
          </cell>
          <cell r="C1917" t="str">
            <v xml:space="preserve"> </v>
          </cell>
          <cell r="D1917">
            <v>1991</v>
          </cell>
          <cell r="E1917" t="str">
            <v>Assembly Pointe Aviation</v>
          </cell>
          <cell r="F1917">
            <v>11</v>
          </cell>
          <cell r="G1917">
            <v>33526</v>
          </cell>
          <cell r="I1917" t="str">
            <v>North America</v>
          </cell>
          <cell r="J1917" t="str">
            <v>USA</v>
          </cell>
          <cell r="K1917">
            <v>32689</v>
          </cell>
        </row>
        <row r="1918">
          <cell r="A1918" t="str">
            <v>In service</v>
          </cell>
          <cell r="B1918" t="str">
            <v>Gulfstream Aerospace Gulfstream IV</v>
          </cell>
          <cell r="C1918" t="str">
            <v xml:space="preserve"> </v>
          </cell>
          <cell r="D1918">
            <v>1992</v>
          </cell>
          <cell r="E1918" t="str">
            <v>Government of Botswana</v>
          </cell>
          <cell r="F1918">
            <v>10</v>
          </cell>
          <cell r="G1918">
            <v>33636</v>
          </cell>
          <cell r="I1918" t="str">
            <v>Africa</v>
          </cell>
          <cell r="J1918" t="str">
            <v>Botswana</v>
          </cell>
          <cell r="K1918">
            <v>33192</v>
          </cell>
        </row>
        <row r="1919">
          <cell r="A1919" t="str">
            <v>In service</v>
          </cell>
          <cell r="B1919" t="str">
            <v>Gulfstream Aerospace Gulfstream IV</v>
          </cell>
          <cell r="C1919" t="str">
            <v xml:space="preserve"> </v>
          </cell>
          <cell r="D1919">
            <v>1992</v>
          </cell>
          <cell r="E1919" t="str">
            <v>Paramount Pictures Corp</v>
          </cell>
          <cell r="F1919">
            <v>10</v>
          </cell>
          <cell r="G1919">
            <v>33862</v>
          </cell>
          <cell r="I1919" t="str">
            <v>North America</v>
          </cell>
          <cell r="J1919" t="str">
            <v>USA</v>
          </cell>
          <cell r="K1919">
            <v>33054</v>
          </cell>
        </row>
        <row r="1920">
          <cell r="A1920" t="str">
            <v>In service</v>
          </cell>
          <cell r="B1920" t="str">
            <v>Gulfstream Aerospace Gulfstream IV</v>
          </cell>
          <cell r="C1920" t="str">
            <v xml:space="preserve"> </v>
          </cell>
          <cell r="D1920">
            <v>1992</v>
          </cell>
          <cell r="E1920" t="str">
            <v>NM Rothschild &amp; Sons Ltd</v>
          </cell>
          <cell r="F1920">
            <v>10</v>
          </cell>
          <cell r="G1920">
            <v>33936</v>
          </cell>
          <cell r="I1920" t="str">
            <v>Europe</v>
          </cell>
          <cell r="J1920" t="str">
            <v>United Kingdom</v>
          </cell>
          <cell r="K1920">
            <v>33054</v>
          </cell>
        </row>
        <row r="1921">
          <cell r="A1921" t="str">
            <v>In service</v>
          </cell>
          <cell r="B1921" t="str">
            <v>Gulfstream Aerospace Gulfstream IV</v>
          </cell>
          <cell r="C1921" t="str">
            <v xml:space="preserve"> </v>
          </cell>
          <cell r="D1921">
            <v>1992</v>
          </cell>
          <cell r="E1921" t="str">
            <v>The Air Group Inc</v>
          </cell>
          <cell r="F1921">
            <v>10</v>
          </cell>
          <cell r="G1921">
            <v>33798</v>
          </cell>
          <cell r="I1921" t="str">
            <v>North America</v>
          </cell>
          <cell r="J1921" t="str">
            <v>USA</v>
          </cell>
          <cell r="K1921">
            <v>33054</v>
          </cell>
        </row>
        <row r="1922">
          <cell r="A1922" t="str">
            <v>In service</v>
          </cell>
          <cell r="B1922" t="str">
            <v>Gulfstream Aerospace Gulfstream IV</v>
          </cell>
          <cell r="C1922" t="str">
            <v xml:space="preserve"> </v>
          </cell>
          <cell r="D1922">
            <v>1992</v>
          </cell>
          <cell r="E1922" t="str">
            <v>The Coca-Cola Co</v>
          </cell>
          <cell r="F1922">
            <v>10</v>
          </cell>
          <cell r="G1922">
            <v>34010</v>
          </cell>
          <cell r="I1922" t="str">
            <v>North America</v>
          </cell>
          <cell r="J1922" t="str">
            <v>USA</v>
          </cell>
          <cell r="K1922">
            <v>33419</v>
          </cell>
        </row>
        <row r="1923">
          <cell r="A1923" t="str">
            <v>In service</v>
          </cell>
          <cell r="B1923" t="str">
            <v>Gulfstream Aerospace Gulfstream IV</v>
          </cell>
          <cell r="C1923" t="str">
            <v xml:space="preserve"> </v>
          </cell>
          <cell r="D1923">
            <v>1992</v>
          </cell>
          <cell r="E1923" t="str">
            <v>JFM Inc</v>
          </cell>
          <cell r="F1923">
            <v>10</v>
          </cell>
          <cell r="G1923">
            <v>33678</v>
          </cell>
          <cell r="I1923" t="str">
            <v>North America</v>
          </cell>
          <cell r="J1923" t="str">
            <v>USA</v>
          </cell>
          <cell r="K1923">
            <v>33054</v>
          </cell>
        </row>
        <row r="1924">
          <cell r="A1924" t="str">
            <v>In service</v>
          </cell>
          <cell r="B1924" t="str">
            <v>Gulfstream Aerospace Gulfstream IV</v>
          </cell>
          <cell r="C1924" t="str">
            <v xml:space="preserve"> </v>
          </cell>
          <cell r="D1924">
            <v>1991</v>
          </cell>
          <cell r="E1924" t="str">
            <v>JM Family Enterprises Inc</v>
          </cell>
          <cell r="F1924">
            <v>11</v>
          </cell>
          <cell r="G1924">
            <v>33557</v>
          </cell>
          <cell r="I1924" t="str">
            <v>North America</v>
          </cell>
          <cell r="J1924" t="str">
            <v>USA</v>
          </cell>
          <cell r="K1924">
            <v>32689</v>
          </cell>
        </row>
        <row r="1925">
          <cell r="A1925" t="str">
            <v>In service</v>
          </cell>
          <cell r="B1925" t="str">
            <v>Gulfstream Aerospace Gulfstream IV</v>
          </cell>
          <cell r="C1925" t="str">
            <v xml:space="preserve"> </v>
          </cell>
          <cell r="D1925">
            <v>1992</v>
          </cell>
          <cell r="E1925" t="str">
            <v>UNICCO Service Co</v>
          </cell>
          <cell r="F1925">
            <v>10</v>
          </cell>
          <cell r="G1925">
            <v>33759</v>
          </cell>
          <cell r="I1925" t="str">
            <v>North America</v>
          </cell>
          <cell r="J1925" t="str">
            <v>USA</v>
          </cell>
          <cell r="K1925">
            <v>33054</v>
          </cell>
        </row>
        <row r="1926">
          <cell r="A1926" t="str">
            <v>In service</v>
          </cell>
          <cell r="B1926" t="str">
            <v>Gulfstream Aerospace Gulfstream IV</v>
          </cell>
          <cell r="C1926" t="str">
            <v xml:space="preserve"> </v>
          </cell>
          <cell r="D1926">
            <v>1992</v>
          </cell>
          <cell r="E1926" t="str">
            <v>Crown Credit Co Ltd</v>
          </cell>
          <cell r="F1926">
            <v>10</v>
          </cell>
          <cell r="G1926">
            <v>33812</v>
          </cell>
          <cell r="I1926" t="str">
            <v>North America</v>
          </cell>
          <cell r="J1926" t="str">
            <v>USA</v>
          </cell>
          <cell r="K1926">
            <v>33054</v>
          </cell>
        </row>
        <row r="1927">
          <cell r="A1927" t="str">
            <v>In service</v>
          </cell>
          <cell r="B1927" t="str">
            <v>Gulfstream Aerospace Gulfstream IV</v>
          </cell>
          <cell r="C1927" t="str">
            <v xml:space="preserve"> </v>
          </cell>
          <cell r="D1927">
            <v>1992</v>
          </cell>
          <cell r="E1927" t="str">
            <v>Moss Trust</v>
          </cell>
          <cell r="F1927">
            <v>10</v>
          </cell>
          <cell r="G1927">
            <v>33680</v>
          </cell>
          <cell r="I1927" t="str">
            <v>North America</v>
          </cell>
          <cell r="J1927" t="str">
            <v>USA</v>
          </cell>
          <cell r="K1927">
            <v>33054</v>
          </cell>
        </row>
        <row r="1928">
          <cell r="A1928" t="str">
            <v>In service</v>
          </cell>
          <cell r="B1928" t="str">
            <v>Gulfstream Aerospace Gulfstream IV</v>
          </cell>
          <cell r="C1928" t="str">
            <v xml:space="preserve"> </v>
          </cell>
          <cell r="D1928">
            <v>1992</v>
          </cell>
          <cell r="E1928" t="str">
            <v>711 Air Corp</v>
          </cell>
          <cell r="F1928">
            <v>10</v>
          </cell>
          <cell r="G1928">
            <v>34150</v>
          </cell>
          <cell r="I1928" t="str">
            <v>North America</v>
          </cell>
          <cell r="J1928" t="str">
            <v>USA</v>
          </cell>
          <cell r="K1928">
            <v>33419</v>
          </cell>
        </row>
        <row r="1929">
          <cell r="A1929" t="str">
            <v>In service</v>
          </cell>
          <cell r="B1929" t="str">
            <v>Gulfstream Aerospace Gulfstream IV</v>
          </cell>
          <cell r="C1929" t="str">
            <v xml:space="preserve"> </v>
          </cell>
          <cell r="D1929">
            <v>1992</v>
          </cell>
          <cell r="E1929" t="str">
            <v>Korean Air</v>
          </cell>
          <cell r="F1929">
            <v>10</v>
          </cell>
          <cell r="G1929">
            <v>34655</v>
          </cell>
          <cell r="I1929" t="str">
            <v>Asia</v>
          </cell>
          <cell r="J1929" t="str">
            <v>South Korea</v>
          </cell>
          <cell r="K1929">
            <v>33785</v>
          </cell>
        </row>
        <row r="1930">
          <cell r="A1930" t="str">
            <v>In service</v>
          </cell>
          <cell r="B1930" t="str">
            <v>Gulfstream Aerospace Gulfstream IV</v>
          </cell>
          <cell r="C1930" t="str">
            <v xml:space="preserve"> </v>
          </cell>
          <cell r="D1930">
            <v>1992</v>
          </cell>
          <cell r="E1930" t="str">
            <v>Japan Civil Aviation Bureau</v>
          </cell>
          <cell r="F1930">
            <v>10</v>
          </cell>
          <cell r="G1930">
            <v>34237</v>
          </cell>
          <cell r="I1930" t="str">
            <v>Asia</v>
          </cell>
          <cell r="J1930" t="str">
            <v>Japan</v>
          </cell>
          <cell r="K1930">
            <v>34150</v>
          </cell>
        </row>
        <row r="1931">
          <cell r="A1931" t="str">
            <v>In service</v>
          </cell>
          <cell r="B1931" t="str">
            <v>Gulfstream Aerospace Gulfstream IV</v>
          </cell>
          <cell r="C1931" t="str">
            <v xml:space="preserve"> </v>
          </cell>
          <cell r="D1931">
            <v>1992</v>
          </cell>
          <cell r="E1931" t="str">
            <v>MBNA Corp</v>
          </cell>
          <cell r="F1931">
            <v>10</v>
          </cell>
          <cell r="G1931">
            <v>34124</v>
          </cell>
          <cell r="I1931" t="str">
            <v>North America</v>
          </cell>
          <cell r="J1931" t="str">
            <v>USA</v>
          </cell>
          <cell r="K1931">
            <v>33419</v>
          </cell>
        </row>
        <row r="1932">
          <cell r="A1932" t="str">
            <v>In service</v>
          </cell>
          <cell r="B1932" t="str">
            <v>Gulfstream Aerospace Gulfstream IV</v>
          </cell>
          <cell r="C1932" t="str">
            <v xml:space="preserve"> </v>
          </cell>
          <cell r="D1932">
            <v>1993</v>
          </cell>
          <cell r="E1932" t="str">
            <v>Newcourt Capital USA Inc</v>
          </cell>
          <cell r="F1932">
            <v>9</v>
          </cell>
          <cell r="G1932">
            <v>34059</v>
          </cell>
          <cell r="I1932" t="str">
            <v>North America</v>
          </cell>
          <cell r="J1932" t="str">
            <v>Canada</v>
          </cell>
          <cell r="K1932">
            <v>33419</v>
          </cell>
        </row>
        <row r="1933">
          <cell r="A1933" t="str">
            <v>In service</v>
          </cell>
          <cell r="B1933" t="str">
            <v>Gulfstream Aerospace Gulfstream IV</v>
          </cell>
          <cell r="C1933" t="str">
            <v xml:space="preserve"> </v>
          </cell>
          <cell r="D1933">
            <v>1992</v>
          </cell>
          <cell r="E1933" t="str">
            <v>Eastman Kodak Co</v>
          </cell>
          <cell r="F1933">
            <v>10</v>
          </cell>
          <cell r="G1933">
            <v>33926</v>
          </cell>
          <cell r="I1933" t="str">
            <v>North America</v>
          </cell>
          <cell r="J1933" t="str">
            <v>USA</v>
          </cell>
          <cell r="K1933">
            <v>33054</v>
          </cell>
        </row>
        <row r="1934">
          <cell r="A1934" t="str">
            <v>In service</v>
          </cell>
          <cell r="B1934" t="str">
            <v>Gulfstream Aerospace Gulfstream IV</v>
          </cell>
          <cell r="C1934" t="str">
            <v xml:space="preserve"> </v>
          </cell>
          <cell r="D1934">
            <v>1992</v>
          </cell>
          <cell r="E1934" t="str">
            <v>Automotive Air Charter</v>
          </cell>
          <cell r="F1934">
            <v>10</v>
          </cell>
          <cell r="G1934">
            <v>33926</v>
          </cell>
          <cell r="I1934" t="str">
            <v>North America</v>
          </cell>
          <cell r="J1934" t="str">
            <v>USA</v>
          </cell>
          <cell r="K1934">
            <v>33054</v>
          </cell>
        </row>
        <row r="1935">
          <cell r="A1935" t="str">
            <v>In service</v>
          </cell>
          <cell r="B1935" t="str">
            <v>Gulfstream Aerospace Gulfstream IV</v>
          </cell>
          <cell r="C1935" t="str">
            <v xml:space="preserve"> </v>
          </cell>
          <cell r="D1935">
            <v>1993</v>
          </cell>
          <cell r="E1935" t="str">
            <v>Red White &amp; Blue Pictures</v>
          </cell>
          <cell r="F1935">
            <v>9</v>
          </cell>
          <cell r="G1935">
            <v>34074</v>
          </cell>
          <cell r="I1935" t="str">
            <v>North America</v>
          </cell>
          <cell r="J1935" t="str">
            <v>USA</v>
          </cell>
          <cell r="K1935">
            <v>33419</v>
          </cell>
        </row>
        <row r="1936">
          <cell r="A1936" t="str">
            <v>In service</v>
          </cell>
          <cell r="B1936" t="str">
            <v>Gulfstream Aerospace Gulfstream IV</v>
          </cell>
          <cell r="C1936" t="str">
            <v xml:space="preserve"> </v>
          </cell>
          <cell r="D1936">
            <v>1992</v>
          </cell>
          <cell r="E1936" t="str">
            <v>Oman Royal Flight</v>
          </cell>
          <cell r="F1936">
            <v>10</v>
          </cell>
          <cell r="G1936">
            <v>33947</v>
          </cell>
          <cell r="I1936" t="str">
            <v>Middle East</v>
          </cell>
          <cell r="J1936" t="str">
            <v>Oman</v>
          </cell>
          <cell r="K1936">
            <v>33054</v>
          </cell>
        </row>
        <row r="1937">
          <cell r="A1937" t="str">
            <v>In service</v>
          </cell>
          <cell r="B1937" t="str">
            <v>Gulfstream Aerospace Gulfstream IV</v>
          </cell>
          <cell r="C1937" t="str">
            <v xml:space="preserve"> </v>
          </cell>
          <cell r="D1937">
            <v>1992</v>
          </cell>
          <cell r="E1937" t="str">
            <v>Moon Doggie Aircraft Services Corp</v>
          </cell>
          <cell r="F1937">
            <v>10</v>
          </cell>
          <cell r="G1937">
            <v>33830</v>
          </cell>
          <cell r="I1937" t="str">
            <v>North America</v>
          </cell>
          <cell r="J1937" t="str">
            <v>USA</v>
          </cell>
          <cell r="K1937">
            <v>33054</v>
          </cell>
        </row>
        <row r="1938">
          <cell r="A1938" t="str">
            <v>In service</v>
          </cell>
          <cell r="B1938" t="str">
            <v>Gulfstream Aerospace Gulfstream IV</v>
          </cell>
          <cell r="C1938" t="str">
            <v xml:space="preserve"> </v>
          </cell>
          <cell r="D1938">
            <v>1992</v>
          </cell>
          <cell r="E1938" t="str">
            <v>Viad Corp</v>
          </cell>
          <cell r="F1938">
            <v>10</v>
          </cell>
          <cell r="G1938">
            <v>33872</v>
          </cell>
          <cell r="I1938" t="str">
            <v>North America</v>
          </cell>
          <cell r="J1938" t="str">
            <v>USA</v>
          </cell>
          <cell r="K1938">
            <v>33054</v>
          </cell>
        </row>
        <row r="1939">
          <cell r="A1939" t="str">
            <v>In service</v>
          </cell>
          <cell r="B1939" t="str">
            <v>Gulfstream Aerospace Gulfstream IV</v>
          </cell>
          <cell r="C1939" t="str">
            <v xml:space="preserve"> </v>
          </cell>
          <cell r="D1939">
            <v>1993</v>
          </cell>
          <cell r="E1939" t="str">
            <v>Gama Aviation SA</v>
          </cell>
          <cell r="F1939">
            <v>9</v>
          </cell>
          <cell r="G1939">
            <v>34165</v>
          </cell>
          <cell r="I1939" t="str">
            <v>Europe</v>
          </cell>
          <cell r="J1939" t="str">
            <v>Switzerland</v>
          </cell>
          <cell r="K1939">
            <v>33419</v>
          </cell>
        </row>
        <row r="1940">
          <cell r="A1940" t="str">
            <v>In service</v>
          </cell>
          <cell r="B1940" t="str">
            <v>Gulfstream Aerospace Gulfstream IV</v>
          </cell>
          <cell r="C1940" t="str">
            <v xml:space="preserve"> </v>
          </cell>
          <cell r="D1940">
            <v>1993</v>
          </cell>
          <cell r="E1940" t="str">
            <v>AT&amp;T Corp</v>
          </cell>
          <cell r="F1940">
            <v>9</v>
          </cell>
          <cell r="G1940">
            <v>34213</v>
          </cell>
          <cell r="I1940" t="str">
            <v>North America</v>
          </cell>
          <cell r="J1940" t="str">
            <v>USA</v>
          </cell>
          <cell r="K1940">
            <v>33054</v>
          </cell>
        </row>
        <row r="1941">
          <cell r="A1941" t="str">
            <v>In service</v>
          </cell>
          <cell r="B1941" t="str">
            <v>Gulfstream Aerospace Gulfstream IV</v>
          </cell>
          <cell r="C1941" t="str">
            <v xml:space="preserve"> </v>
          </cell>
          <cell r="D1941">
            <v>1992</v>
          </cell>
          <cell r="E1941" t="str">
            <v>Cox Communications Inc</v>
          </cell>
          <cell r="F1941">
            <v>10</v>
          </cell>
          <cell r="G1941">
            <v>33938</v>
          </cell>
          <cell r="I1941" t="str">
            <v>North America</v>
          </cell>
          <cell r="J1941" t="str">
            <v>USA</v>
          </cell>
          <cell r="K1941">
            <v>33054</v>
          </cell>
        </row>
        <row r="1942">
          <cell r="A1942" t="str">
            <v>In service</v>
          </cell>
          <cell r="B1942" t="str">
            <v>Gulfstream Aerospace Gulfstream IV</v>
          </cell>
          <cell r="C1942" t="str">
            <v xml:space="preserve"> </v>
          </cell>
          <cell r="D1942">
            <v>1993</v>
          </cell>
          <cell r="E1942" t="str">
            <v>711 Air Corp</v>
          </cell>
          <cell r="F1942">
            <v>9</v>
          </cell>
          <cell r="G1942">
            <v>34204</v>
          </cell>
          <cell r="I1942" t="str">
            <v>North America</v>
          </cell>
          <cell r="J1942" t="str">
            <v>USA</v>
          </cell>
          <cell r="K1942">
            <v>33419</v>
          </cell>
        </row>
        <row r="1943">
          <cell r="A1943" t="str">
            <v>In service</v>
          </cell>
          <cell r="B1943" t="str">
            <v>Gulfstream Aerospace Gulfstream IV</v>
          </cell>
          <cell r="C1943" t="str">
            <v xml:space="preserve"> </v>
          </cell>
          <cell r="D1943">
            <v>1993</v>
          </cell>
          <cell r="E1943" t="str">
            <v>Great Buy Inc</v>
          </cell>
          <cell r="F1943">
            <v>9</v>
          </cell>
          <cell r="G1943">
            <v>34229</v>
          </cell>
          <cell r="I1943" t="str">
            <v>North America</v>
          </cell>
          <cell r="J1943" t="str">
            <v>USA</v>
          </cell>
          <cell r="K1943">
            <v>33419</v>
          </cell>
        </row>
        <row r="1944">
          <cell r="A1944" t="str">
            <v>In service</v>
          </cell>
          <cell r="B1944" t="str">
            <v>Gulfstream Aerospace Gulfstream IV</v>
          </cell>
          <cell r="C1944" t="str">
            <v xml:space="preserve"> </v>
          </cell>
          <cell r="D1944">
            <v>1993</v>
          </cell>
          <cell r="E1944" t="str">
            <v>H J Heinz Co</v>
          </cell>
          <cell r="F1944">
            <v>9</v>
          </cell>
          <cell r="G1944">
            <v>34380</v>
          </cell>
          <cell r="I1944" t="str">
            <v>North America</v>
          </cell>
          <cell r="J1944" t="str">
            <v>USA</v>
          </cell>
        </row>
        <row r="1945">
          <cell r="A1945" t="str">
            <v>In service</v>
          </cell>
          <cell r="B1945" t="str">
            <v>Gulfstream Aerospace Gulfstream IV</v>
          </cell>
          <cell r="C1945" t="str">
            <v xml:space="preserve"> </v>
          </cell>
          <cell r="D1945">
            <v>1992</v>
          </cell>
          <cell r="E1945" t="str">
            <v>PK Aire Inc</v>
          </cell>
          <cell r="F1945">
            <v>10</v>
          </cell>
          <cell r="G1945">
            <v>33962</v>
          </cell>
          <cell r="I1945" t="str">
            <v>North America</v>
          </cell>
          <cell r="J1945" t="str">
            <v>USA</v>
          </cell>
          <cell r="K1945">
            <v>33054</v>
          </cell>
        </row>
        <row r="1946">
          <cell r="A1946" t="str">
            <v>In service</v>
          </cell>
          <cell r="B1946" t="str">
            <v>Gulfstream Aerospace Gulfstream IV</v>
          </cell>
          <cell r="C1946" t="str">
            <v xml:space="preserve"> </v>
          </cell>
          <cell r="D1946">
            <v>1993</v>
          </cell>
          <cell r="E1946" t="str">
            <v>Bombardier Capital Inc</v>
          </cell>
          <cell r="F1946">
            <v>9</v>
          </cell>
          <cell r="G1946">
            <v>34488</v>
          </cell>
          <cell r="I1946" t="str">
            <v>North America</v>
          </cell>
          <cell r="J1946" t="str">
            <v>USA</v>
          </cell>
          <cell r="K1946">
            <v>33785</v>
          </cell>
        </row>
        <row r="1947">
          <cell r="A1947" t="str">
            <v>In service</v>
          </cell>
          <cell r="B1947" t="str">
            <v>Gulfstream Aerospace Gulfstream IV</v>
          </cell>
          <cell r="C1947" t="str">
            <v xml:space="preserve"> </v>
          </cell>
          <cell r="D1947">
            <v>1993</v>
          </cell>
          <cell r="E1947" t="str">
            <v>Hewlett-Packard Co</v>
          </cell>
          <cell r="F1947">
            <v>9</v>
          </cell>
          <cell r="G1947">
            <v>34194</v>
          </cell>
          <cell r="I1947" t="str">
            <v>North America</v>
          </cell>
          <cell r="J1947" t="str">
            <v>USA</v>
          </cell>
          <cell r="K1947">
            <v>33419</v>
          </cell>
        </row>
        <row r="1948">
          <cell r="A1948" t="str">
            <v>In service</v>
          </cell>
          <cell r="B1948" t="str">
            <v>Gulfstream Aerospace Gulfstream IV</v>
          </cell>
          <cell r="C1948" t="str">
            <v xml:space="preserve"> </v>
          </cell>
          <cell r="D1948">
            <v>1993</v>
          </cell>
          <cell r="E1948" t="str">
            <v>News America Inc</v>
          </cell>
          <cell r="F1948">
            <v>9</v>
          </cell>
          <cell r="G1948">
            <v>34369</v>
          </cell>
          <cell r="I1948" t="str">
            <v>North America</v>
          </cell>
          <cell r="J1948" t="str">
            <v>USA</v>
          </cell>
          <cell r="K1948">
            <v>34150</v>
          </cell>
        </row>
        <row r="1949">
          <cell r="A1949" t="str">
            <v>In service</v>
          </cell>
          <cell r="B1949" t="str">
            <v>Gulfstream Aerospace Gulfstream IV</v>
          </cell>
          <cell r="C1949" t="str">
            <v xml:space="preserve"> </v>
          </cell>
          <cell r="D1949">
            <v>1993</v>
          </cell>
          <cell r="E1949" t="str">
            <v>Exxon Mobil Corp</v>
          </cell>
          <cell r="F1949">
            <v>9</v>
          </cell>
          <cell r="G1949">
            <v>34227</v>
          </cell>
          <cell r="I1949" t="str">
            <v>North America</v>
          </cell>
          <cell r="J1949" t="str">
            <v>USA</v>
          </cell>
          <cell r="K1949">
            <v>33419</v>
          </cell>
        </row>
        <row r="1950">
          <cell r="A1950" t="str">
            <v>In service</v>
          </cell>
          <cell r="B1950" t="str">
            <v>Gulfstream Aerospace Gulfstream IV</v>
          </cell>
          <cell r="C1950" t="str">
            <v xml:space="preserve"> </v>
          </cell>
          <cell r="D1950">
            <v>1993</v>
          </cell>
          <cell r="E1950" t="str">
            <v>Hewlett-Packard Co</v>
          </cell>
          <cell r="F1950">
            <v>9</v>
          </cell>
          <cell r="G1950">
            <v>34311</v>
          </cell>
          <cell r="I1950" t="str">
            <v>North America</v>
          </cell>
          <cell r="J1950" t="str">
            <v>USA</v>
          </cell>
          <cell r="K1950">
            <v>33419</v>
          </cell>
        </row>
        <row r="1951">
          <cell r="A1951" t="str">
            <v>In service</v>
          </cell>
          <cell r="B1951" t="str">
            <v>Gulfstream Aerospace Gulfstream IV</v>
          </cell>
          <cell r="C1951" t="str">
            <v xml:space="preserve"> </v>
          </cell>
          <cell r="D1951">
            <v>1993</v>
          </cell>
          <cell r="E1951" t="str">
            <v>Time Warner Inc</v>
          </cell>
          <cell r="F1951">
            <v>9</v>
          </cell>
          <cell r="G1951">
            <v>34380</v>
          </cell>
          <cell r="I1951" t="str">
            <v>North America</v>
          </cell>
          <cell r="J1951" t="str">
            <v>USA</v>
          </cell>
          <cell r="K1951">
            <v>33785</v>
          </cell>
        </row>
        <row r="1952">
          <cell r="A1952" t="str">
            <v>In service</v>
          </cell>
          <cell r="B1952" t="str">
            <v>Gulfstream Aerospace Gulfstream IV</v>
          </cell>
          <cell r="C1952" t="str">
            <v xml:space="preserve"> </v>
          </cell>
          <cell r="D1952">
            <v>1993</v>
          </cell>
          <cell r="E1952" t="str">
            <v>Flight Operations Inc</v>
          </cell>
          <cell r="F1952">
            <v>9</v>
          </cell>
          <cell r="G1952">
            <v>34349</v>
          </cell>
          <cell r="I1952" t="str">
            <v>North America</v>
          </cell>
          <cell r="J1952" t="str">
            <v>USA</v>
          </cell>
          <cell r="K1952">
            <v>33785</v>
          </cell>
        </row>
        <row r="1953">
          <cell r="A1953" t="str">
            <v>In service</v>
          </cell>
          <cell r="B1953" t="str">
            <v>Gulfstream Aerospace Gulfstream IV</v>
          </cell>
          <cell r="C1953" t="str">
            <v xml:space="preserve"> </v>
          </cell>
          <cell r="D1953">
            <v>1993</v>
          </cell>
          <cell r="E1953" t="str">
            <v>N171JC LLC</v>
          </cell>
          <cell r="F1953">
            <v>9</v>
          </cell>
          <cell r="G1953">
            <v>34380</v>
          </cell>
          <cell r="I1953" t="str">
            <v>North America</v>
          </cell>
          <cell r="J1953" t="str">
            <v>USA</v>
          </cell>
          <cell r="K1953">
            <v>33785</v>
          </cell>
        </row>
        <row r="1954">
          <cell r="A1954" t="str">
            <v>In service</v>
          </cell>
          <cell r="B1954" t="str">
            <v>Gulfstream Aerospace Gulfstream IV</v>
          </cell>
          <cell r="C1954" t="str">
            <v xml:space="preserve"> </v>
          </cell>
          <cell r="D1954">
            <v>1993</v>
          </cell>
          <cell r="E1954" t="str">
            <v>H J Heinz Co</v>
          </cell>
          <cell r="F1954">
            <v>9</v>
          </cell>
          <cell r="G1954">
            <v>34682</v>
          </cell>
          <cell r="I1954" t="str">
            <v>North America</v>
          </cell>
          <cell r="J1954" t="str">
            <v>USA</v>
          </cell>
          <cell r="K1954">
            <v>33785</v>
          </cell>
        </row>
        <row r="1955">
          <cell r="A1955" t="str">
            <v>In service</v>
          </cell>
          <cell r="B1955" t="str">
            <v>Gulfstream Aerospace Gulfstream IV</v>
          </cell>
          <cell r="C1955" t="str">
            <v xml:space="preserve"> </v>
          </cell>
          <cell r="D1955">
            <v>1993</v>
          </cell>
          <cell r="E1955" t="str">
            <v>SDA Enterprises Inc</v>
          </cell>
          <cell r="F1955">
            <v>9</v>
          </cell>
          <cell r="G1955">
            <v>34318</v>
          </cell>
          <cell r="I1955" t="str">
            <v>North America</v>
          </cell>
          <cell r="J1955" t="str">
            <v>USA</v>
          </cell>
          <cell r="K1955">
            <v>33419</v>
          </cell>
        </row>
        <row r="1956">
          <cell r="A1956" t="str">
            <v>In service</v>
          </cell>
          <cell r="B1956" t="str">
            <v>Gulfstream Aerospace Gulfstream IV</v>
          </cell>
          <cell r="C1956" t="str">
            <v xml:space="preserve"> </v>
          </cell>
          <cell r="D1956">
            <v>1993</v>
          </cell>
          <cell r="E1956" t="str">
            <v>Silver Stream Aviation LLC</v>
          </cell>
          <cell r="F1956">
            <v>9</v>
          </cell>
          <cell r="G1956">
            <v>34212</v>
          </cell>
          <cell r="I1956" t="str">
            <v>North America</v>
          </cell>
          <cell r="J1956" t="str">
            <v>USA</v>
          </cell>
          <cell r="K1956">
            <v>33419</v>
          </cell>
        </row>
        <row r="1957">
          <cell r="A1957" t="str">
            <v>In service</v>
          </cell>
          <cell r="B1957" t="str">
            <v>Gulfstream Aerospace Gulfstream IV</v>
          </cell>
          <cell r="C1957" t="str">
            <v xml:space="preserve"> </v>
          </cell>
          <cell r="D1957">
            <v>1993</v>
          </cell>
          <cell r="E1957" t="str">
            <v>OMG American Inc</v>
          </cell>
          <cell r="F1957">
            <v>9</v>
          </cell>
          <cell r="G1957">
            <v>34515</v>
          </cell>
          <cell r="I1957" t="str">
            <v>North America</v>
          </cell>
          <cell r="J1957" t="str">
            <v>USA</v>
          </cell>
          <cell r="K1957">
            <v>33785</v>
          </cell>
        </row>
        <row r="1958">
          <cell r="A1958" t="str">
            <v>In service</v>
          </cell>
          <cell r="B1958" t="str">
            <v>Gulfstream Aerospace Gulfstream IV</v>
          </cell>
          <cell r="C1958" t="str">
            <v xml:space="preserve"> </v>
          </cell>
          <cell r="D1958">
            <v>1993</v>
          </cell>
          <cell r="E1958" t="str">
            <v>Automotive Air Charter</v>
          </cell>
          <cell r="F1958">
            <v>9</v>
          </cell>
          <cell r="G1958">
            <v>34452</v>
          </cell>
          <cell r="I1958" t="str">
            <v>North America</v>
          </cell>
          <cell r="J1958" t="str">
            <v>USA</v>
          </cell>
          <cell r="K1958">
            <v>33785</v>
          </cell>
        </row>
        <row r="1959">
          <cell r="A1959" t="str">
            <v>In service</v>
          </cell>
          <cell r="B1959" t="str">
            <v>Gulfstream Aerospace Gulfstream IV</v>
          </cell>
          <cell r="C1959" t="str">
            <v xml:space="preserve"> </v>
          </cell>
          <cell r="D1959">
            <v>1993</v>
          </cell>
          <cell r="E1959" t="str">
            <v>Trans Exec Air Service</v>
          </cell>
          <cell r="F1959">
            <v>9</v>
          </cell>
          <cell r="G1959">
            <v>34561</v>
          </cell>
          <cell r="I1959" t="str">
            <v>North America</v>
          </cell>
          <cell r="J1959" t="str">
            <v>USA</v>
          </cell>
          <cell r="K1959">
            <v>33785</v>
          </cell>
        </row>
        <row r="1960">
          <cell r="A1960" t="str">
            <v>In service</v>
          </cell>
          <cell r="B1960" t="str">
            <v>Gulfstream Aerospace Gulfstream IV</v>
          </cell>
          <cell r="C1960" t="str">
            <v>C-20F</v>
          </cell>
          <cell r="D1960">
            <v>1991</v>
          </cell>
          <cell r="E1960" t="str">
            <v>US Army</v>
          </cell>
          <cell r="F1960">
            <v>11</v>
          </cell>
          <cell r="G1960">
            <v>33411</v>
          </cell>
          <cell r="H1960" t="str">
            <v>C-20F</v>
          </cell>
          <cell r="I1960" t="str">
            <v>North America</v>
          </cell>
          <cell r="J1960" t="str">
            <v>USA</v>
          </cell>
        </row>
        <row r="1961">
          <cell r="A1961" t="str">
            <v>In service</v>
          </cell>
          <cell r="B1961" t="str">
            <v>Gulfstream Aerospace Gulfstream IV</v>
          </cell>
          <cell r="C1961" t="str">
            <v>C-20G</v>
          </cell>
          <cell r="D1961">
            <v>1994</v>
          </cell>
          <cell r="E1961" t="str">
            <v>US Air Force</v>
          </cell>
          <cell r="F1961">
            <v>8</v>
          </cell>
          <cell r="G1961">
            <v>34622</v>
          </cell>
          <cell r="H1961" t="str">
            <v>C-20G</v>
          </cell>
          <cell r="I1961" t="str">
            <v>North America</v>
          </cell>
          <cell r="J1961" t="str">
            <v>USA</v>
          </cell>
          <cell r="K1961">
            <v>34150</v>
          </cell>
        </row>
        <row r="1962">
          <cell r="A1962" t="str">
            <v>In service</v>
          </cell>
          <cell r="B1962" t="str">
            <v>Gulfstream Aerospace Gulfstream IV</v>
          </cell>
          <cell r="C1962" t="str">
            <v>C-20G</v>
          </cell>
          <cell r="D1962">
            <v>1992</v>
          </cell>
          <cell r="E1962" t="str">
            <v>US Navy</v>
          </cell>
          <cell r="F1962">
            <v>10</v>
          </cell>
          <cell r="G1962">
            <v>34369</v>
          </cell>
          <cell r="H1962" t="str">
            <v>C-20G</v>
          </cell>
          <cell r="I1962" t="str">
            <v>North America</v>
          </cell>
          <cell r="J1962" t="str">
            <v>USA</v>
          </cell>
          <cell r="K1962">
            <v>33284</v>
          </cell>
        </row>
        <row r="1963">
          <cell r="A1963" t="str">
            <v>In service</v>
          </cell>
          <cell r="B1963" t="str">
            <v>Gulfstream Aerospace Gulfstream IV</v>
          </cell>
          <cell r="C1963" t="str">
            <v>C-20G</v>
          </cell>
          <cell r="D1963">
            <v>1992</v>
          </cell>
          <cell r="E1963" t="str">
            <v>US Navy</v>
          </cell>
          <cell r="F1963">
            <v>10</v>
          </cell>
          <cell r="G1963">
            <v>34515</v>
          </cell>
          <cell r="H1963" t="str">
            <v>C-20G</v>
          </cell>
          <cell r="I1963" t="str">
            <v>North America</v>
          </cell>
          <cell r="J1963" t="str">
            <v>USA</v>
          </cell>
          <cell r="K1963">
            <v>33284</v>
          </cell>
        </row>
        <row r="1964">
          <cell r="A1964" t="str">
            <v>In service</v>
          </cell>
          <cell r="B1964" t="str">
            <v>Gulfstream Aerospace Gulfstream IV</v>
          </cell>
          <cell r="C1964" t="str">
            <v>C-20G</v>
          </cell>
          <cell r="D1964">
            <v>1992</v>
          </cell>
          <cell r="E1964" t="str">
            <v>US Navy</v>
          </cell>
          <cell r="F1964">
            <v>10</v>
          </cell>
          <cell r="G1964">
            <v>34683</v>
          </cell>
          <cell r="H1964" t="str">
            <v>C-20G</v>
          </cell>
          <cell r="I1964" t="str">
            <v>North America</v>
          </cell>
          <cell r="J1964" t="str">
            <v>USA</v>
          </cell>
          <cell r="K1964">
            <v>33785</v>
          </cell>
        </row>
        <row r="1965">
          <cell r="A1965" t="str">
            <v>In service</v>
          </cell>
          <cell r="B1965" t="str">
            <v>Gulfstream Aerospace Gulfstream IV</v>
          </cell>
          <cell r="C1965" t="str">
            <v>C-20G</v>
          </cell>
          <cell r="D1965">
            <v>1992</v>
          </cell>
          <cell r="E1965" t="str">
            <v>US Marine Corps</v>
          </cell>
          <cell r="F1965">
            <v>10</v>
          </cell>
          <cell r="G1965">
            <v>34653</v>
          </cell>
          <cell r="H1965" t="str">
            <v>C-20G</v>
          </cell>
          <cell r="I1965" t="str">
            <v>North America</v>
          </cell>
          <cell r="J1965" t="str">
            <v>USA</v>
          </cell>
          <cell r="K1965">
            <v>33785</v>
          </cell>
        </row>
        <row r="1966">
          <cell r="A1966" t="str">
            <v>In service</v>
          </cell>
          <cell r="B1966" t="str">
            <v>Gulfstream Aerospace Gulfstream IV</v>
          </cell>
          <cell r="C1966" t="str">
            <v>C-20G</v>
          </cell>
          <cell r="D1966">
            <v>1992</v>
          </cell>
          <cell r="E1966" t="str">
            <v>US Marine Corps</v>
          </cell>
          <cell r="F1966">
            <v>10</v>
          </cell>
          <cell r="G1966">
            <v>34653</v>
          </cell>
          <cell r="H1966" t="str">
            <v>C-20G</v>
          </cell>
          <cell r="I1966" t="str">
            <v>North America</v>
          </cell>
          <cell r="J1966" t="str">
            <v>USA</v>
          </cell>
          <cell r="K1966">
            <v>33785</v>
          </cell>
        </row>
        <row r="1967">
          <cell r="A1967" t="str">
            <v>In service</v>
          </cell>
          <cell r="B1967" t="str">
            <v>Gulfstream Aerospace Gulfstream IV</v>
          </cell>
          <cell r="C1967" t="str">
            <v>C-20H</v>
          </cell>
          <cell r="D1967">
            <v>1995</v>
          </cell>
          <cell r="E1967" t="str">
            <v>US Air Force</v>
          </cell>
          <cell r="F1967">
            <v>7</v>
          </cell>
          <cell r="G1967">
            <v>35110</v>
          </cell>
          <cell r="H1967" t="str">
            <v>C-20H</v>
          </cell>
          <cell r="I1967" t="str">
            <v>North America</v>
          </cell>
          <cell r="J1967" t="str">
            <v>USA</v>
          </cell>
          <cell r="K1967">
            <v>33785</v>
          </cell>
        </row>
        <row r="1968">
          <cell r="A1968" t="str">
            <v>In service</v>
          </cell>
          <cell r="B1968" t="str">
            <v>Gulfstream Aerospace Gulfstream IV</v>
          </cell>
          <cell r="C1968" t="str">
            <v>S 102B</v>
          </cell>
          <cell r="D1968">
            <v>1993</v>
          </cell>
          <cell r="E1968" t="str">
            <v>Swedish Air Force</v>
          </cell>
          <cell r="F1968">
            <v>9</v>
          </cell>
          <cell r="G1968">
            <v>34935</v>
          </cell>
          <cell r="H1968" t="str">
            <v>S 102B</v>
          </cell>
          <cell r="I1968" t="str">
            <v>Europe</v>
          </cell>
          <cell r="J1968" t="str">
            <v>Sweden</v>
          </cell>
          <cell r="K1968">
            <v>33784</v>
          </cell>
        </row>
        <row r="1969">
          <cell r="A1969" t="str">
            <v>In service</v>
          </cell>
          <cell r="B1969" t="str">
            <v>Gulfstream Aerospace Gulfstream IV</v>
          </cell>
          <cell r="C1969" t="str">
            <v>S 102B</v>
          </cell>
          <cell r="D1969">
            <v>1993</v>
          </cell>
          <cell r="E1969" t="str">
            <v>Swedish Air Force</v>
          </cell>
          <cell r="F1969">
            <v>9</v>
          </cell>
          <cell r="G1969">
            <v>34987</v>
          </cell>
          <cell r="H1969" t="str">
            <v>S 102B</v>
          </cell>
          <cell r="I1969" t="str">
            <v>Europe</v>
          </cell>
          <cell r="J1969" t="str">
            <v>Sweden</v>
          </cell>
          <cell r="K1969">
            <v>33784</v>
          </cell>
        </row>
        <row r="1970">
          <cell r="A1970" t="str">
            <v>In service</v>
          </cell>
          <cell r="B1970" t="str">
            <v>Gulfstream Aerospace Gulfstream IV</v>
          </cell>
          <cell r="C1970" t="str">
            <v>SP</v>
          </cell>
          <cell r="D1970">
            <v>1991</v>
          </cell>
          <cell r="E1970" t="str">
            <v>Jetclub AG</v>
          </cell>
          <cell r="F1970">
            <v>11</v>
          </cell>
          <cell r="G1970">
            <v>34380</v>
          </cell>
          <cell r="H1970" t="str">
            <v>SP</v>
          </cell>
          <cell r="I1970" t="str">
            <v>Europe</v>
          </cell>
          <cell r="J1970" t="str">
            <v>Switzerland</v>
          </cell>
        </row>
        <row r="1971">
          <cell r="A1971" t="str">
            <v>In service</v>
          </cell>
          <cell r="B1971" t="str">
            <v>Gulfstream Aerospace Gulfstream IV</v>
          </cell>
          <cell r="C1971" t="str">
            <v>SP</v>
          </cell>
          <cell r="D1971">
            <v>1992</v>
          </cell>
          <cell r="E1971" t="str">
            <v>The Air Group Inc</v>
          </cell>
          <cell r="F1971">
            <v>10</v>
          </cell>
          <cell r="G1971">
            <v>33785</v>
          </cell>
          <cell r="H1971" t="str">
            <v>SP</v>
          </cell>
          <cell r="I1971" t="str">
            <v>North America</v>
          </cell>
          <cell r="J1971" t="str">
            <v>USA</v>
          </cell>
        </row>
        <row r="1972">
          <cell r="A1972" t="str">
            <v>In service</v>
          </cell>
          <cell r="B1972" t="str">
            <v>Gulfstream Aerospace Gulfstream IV</v>
          </cell>
          <cell r="C1972" t="str">
            <v>SP</v>
          </cell>
          <cell r="D1972">
            <v>1992</v>
          </cell>
          <cell r="E1972" t="str">
            <v>Zeno Air Inc</v>
          </cell>
          <cell r="F1972">
            <v>10</v>
          </cell>
          <cell r="G1972">
            <v>33907</v>
          </cell>
          <cell r="H1972" t="str">
            <v>SP</v>
          </cell>
          <cell r="I1972" t="str">
            <v>North America</v>
          </cell>
          <cell r="J1972" t="str">
            <v>USA</v>
          </cell>
          <cell r="K1972">
            <v>33419</v>
          </cell>
        </row>
        <row r="1973">
          <cell r="A1973" t="str">
            <v>In service</v>
          </cell>
          <cell r="B1973" t="str">
            <v>Gulfstream Aerospace Gulfstream IV</v>
          </cell>
          <cell r="C1973" t="str">
            <v>SP</v>
          </cell>
          <cell r="D1973">
            <v>1993</v>
          </cell>
          <cell r="E1973" t="str">
            <v>USA Video Distribution LLC &amp; Nineteen Forty CC Inc</v>
          </cell>
          <cell r="F1973">
            <v>9</v>
          </cell>
          <cell r="G1973">
            <v>34200</v>
          </cell>
          <cell r="H1973" t="str">
            <v>SP</v>
          </cell>
          <cell r="I1973" t="str">
            <v>North America</v>
          </cell>
          <cell r="J1973" t="str">
            <v>USA</v>
          </cell>
          <cell r="K1973">
            <v>33785</v>
          </cell>
        </row>
        <row r="1974">
          <cell r="A1974" t="str">
            <v>In service</v>
          </cell>
          <cell r="B1974" t="str">
            <v>Gulfstream Aerospace Gulfstream IV</v>
          </cell>
          <cell r="C1974" t="str">
            <v>SP</v>
          </cell>
          <cell r="D1974">
            <v>1993</v>
          </cell>
          <cell r="E1974" t="str">
            <v>Executive Jet Charter</v>
          </cell>
          <cell r="F1974">
            <v>9</v>
          </cell>
          <cell r="G1974">
            <v>34058</v>
          </cell>
          <cell r="H1974" t="str">
            <v>SP</v>
          </cell>
          <cell r="I1974" t="str">
            <v>North America</v>
          </cell>
          <cell r="J1974" t="str">
            <v>USA</v>
          </cell>
          <cell r="K1974">
            <v>33419</v>
          </cell>
        </row>
        <row r="1975">
          <cell r="A1975" t="str">
            <v>In service</v>
          </cell>
          <cell r="B1975" t="str">
            <v>Gulfstream Aerospace Gulfstream IV</v>
          </cell>
          <cell r="C1975" t="str">
            <v>SP</v>
          </cell>
          <cell r="D1975">
            <v>1993</v>
          </cell>
          <cell r="E1975" t="str">
            <v>Georgetown Interstate Aviation Inc</v>
          </cell>
          <cell r="F1975">
            <v>9</v>
          </cell>
          <cell r="G1975">
            <v>34096</v>
          </cell>
          <cell r="H1975" t="str">
            <v>SP</v>
          </cell>
          <cell r="I1975" t="str">
            <v>North America</v>
          </cell>
          <cell r="J1975" t="str">
            <v>USA</v>
          </cell>
          <cell r="K1975">
            <v>33419</v>
          </cell>
        </row>
        <row r="1976">
          <cell r="A1976" t="str">
            <v>In service</v>
          </cell>
          <cell r="B1976" t="str">
            <v>Gulfstream Aerospace Gulfstream IV</v>
          </cell>
          <cell r="C1976" t="str">
            <v>SP</v>
          </cell>
          <cell r="D1976">
            <v>1993</v>
          </cell>
          <cell r="E1976" t="str">
            <v>AON Service Corporation</v>
          </cell>
          <cell r="F1976">
            <v>9</v>
          </cell>
          <cell r="G1976">
            <v>34495</v>
          </cell>
          <cell r="H1976" t="str">
            <v>SP</v>
          </cell>
          <cell r="I1976" t="str">
            <v>North America</v>
          </cell>
          <cell r="J1976" t="str">
            <v>USA</v>
          </cell>
          <cell r="K1976">
            <v>33785</v>
          </cell>
        </row>
        <row r="1977">
          <cell r="A1977" t="str">
            <v>In service</v>
          </cell>
          <cell r="B1977" t="str">
            <v>Gulfstream Aerospace Gulfstream IV</v>
          </cell>
          <cell r="C1977" t="str">
            <v>SP</v>
          </cell>
          <cell r="D1977">
            <v>1993</v>
          </cell>
          <cell r="E1977" t="str">
            <v>CSC Transport Inc</v>
          </cell>
          <cell r="F1977">
            <v>9</v>
          </cell>
          <cell r="G1977">
            <v>34564</v>
          </cell>
          <cell r="H1977" t="str">
            <v>SP</v>
          </cell>
          <cell r="I1977" t="str">
            <v>North America</v>
          </cell>
          <cell r="J1977" t="str">
            <v>USA</v>
          </cell>
          <cell r="K1977">
            <v>33785</v>
          </cell>
        </row>
        <row r="1978">
          <cell r="A1978" t="str">
            <v>In service</v>
          </cell>
          <cell r="B1978" t="str">
            <v>Gulfstream Aerospace Gulfstream IV</v>
          </cell>
          <cell r="C1978" t="str">
            <v>SP</v>
          </cell>
          <cell r="D1978">
            <v>1993</v>
          </cell>
          <cell r="E1978" t="str">
            <v>Dacion Corp</v>
          </cell>
          <cell r="F1978">
            <v>9</v>
          </cell>
          <cell r="G1978">
            <v>34333</v>
          </cell>
          <cell r="H1978" t="str">
            <v>SP</v>
          </cell>
          <cell r="I1978" t="str">
            <v>North America</v>
          </cell>
          <cell r="J1978" t="str">
            <v>USA</v>
          </cell>
          <cell r="K1978">
            <v>33419</v>
          </cell>
        </row>
        <row r="1979">
          <cell r="A1979" t="str">
            <v>In service</v>
          </cell>
          <cell r="B1979" t="str">
            <v>Gulfstream Aerospace Gulfstream IV</v>
          </cell>
          <cell r="C1979" t="str">
            <v>SP</v>
          </cell>
          <cell r="D1979">
            <v>1993</v>
          </cell>
          <cell r="E1979" t="str">
            <v>KaiserAir Inc</v>
          </cell>
          <cell r="F1979">
            <v>9</v>
          </cell>
          <cell r="G1979">
            <v>34522</v>
          </cell>
          <cell r="H1979" t="str">
            <v>SP</v>
          </cell>
          <cell r="I1979" t="str">
            <v>North America</v>
          </cell>
          <cell r="J1979" t="str">
            <v>USA</v>
          </cell>
          <cell r="K1979">
            <v>33785</v>
          </cell>
        </row>
        <row r="1980">
          <cell r="A1980" t="str">
            <v>In service</v>
          </cell>
          <cell r="B1980" t="str">
            <v>Gulfstream Aerospace Gulfstream IV</v>
          </cell>
          <cell r="C1980" t="str">
            <v>SP</v>
          </cell>
          <cell r="D1980">
            <v>1994</v>
          </cell>
          <cell r="E1980" t="str">
            <v>Jet Aviation Business Jets</v>
          </cell>
          <cell r="F1980">
            <v>8</v>
          </cell>
          <cell r="G1980">
            <v>34590</v>
          </cell>
          <cell r="H1980" t="str">
            <v>SP</v>
          </cell>
          <cell r="I1980" t="str">
            <v>Europe</v>
          </cell>
          <cell r="J1980" t="str">
            <v>Switzerland</v>
          </cell>
          <cell r="K1980">
            <v>33785</v>
          </cell>
        </row>
        <row r="1981">
          <cell r="A1981" t="str">
            <v>In service</v>
          </cell>
          <cell r="B1981" t="str">
            <v>Gulfstream Aerospace Gulfstream IV</v>
          </cell>
          <cell r="C1981" t="str">
            <v>SP</v>
          </cell>
          <cell r="D1981">
            <v>1994</v>
          </cell>
          <cell r="E1981" t="str">
            <v>Sirio</v>
          </cell>
          <cell r="F1981">
            <v>8</v>
          </cell>
          <cell r="G1981">
            <v>34592</v>
          </cell>
          <cell r="H1981" t="str">
            <v>SP</v>
          </cell>
          <cell r="I1981" t="str">
            <v>Europe</v>
          </cell>
          <cell r="J1981" t="str">
            <v>Italy</v>
          </cell>
          <cell r="K1981">
            <v>34150</v>
          </cell>
        </row>
        <row r="1982">
          <cell r="A1982" t="str">
            <v>In service</v>
          </cell>
          <cell r="B1982" t="str">
            <v>Gulfstream Aerospace Gulfstream IV</v>
          </cell>
          <cell r="C1982" t="str">
            <v>SP</v>
          </cell>
          <cell r="D1982">
            <v>1994</v>
          </cell>
          <cell r="E1982" t="str">
            <v>Exxon Mobil Corp</v>
          </cell>
          <cell r="F1982">
            <v>8</v>
          </cell>
          <cell r="G1982">
            <v>34611</v>
          </cell>
          <cell r="H1982" t="str">
            <v>SP</v>
          </cell>
          <cell r="I1982" t="str">
            <v>North America</v>
          </cell>
          <cell r="J1982" t="str">
            <v>USA</v>
          </cell>
          <cell r="K1982">
            <v>33785</v>
          </cell>
        </row>
        <row r="1983">
          <cell r="A1983" t="str">
            <v>In service</v>
          </cell>
          <cell r="B1983" t="str">
            <v>Gulfstream Aerospace Gulfstream IV</v>
          </cell>
          <cell r="C1983" t="str">
            <v>SP</v>
          </cell>
          <cell r="D1983">
            <v>1994</v>
          </cell>
          <cell r="E1983" t="str">
            <v>Gannett Co Inc</v>
          </cell>
          <cell r="F1983">
            <v>8</v>
          </cell>
          <cell r="G1983">
            <v>34773</v>
          </cell>
          <cell r="H1983" t="str">
            <v>SP</v>
          </cell>
          <cell r="I1983" t="str">
            <v>North America</v>
          </cell>
          <cell r="J1983" t="str">
            <v>USA</v>
          </cell>
          <cell r="K1983">
            <v>34150</v>
          </cell>
        </row>
        <row r="1984">
          <cell r="A1984" t="str">
            <v>In service</v>
          </cell>
          <cell r="B1984" t="str">
            <v>Gulfstream Aerospace Gulfstream IV</v>
          </cell>
          <cell r="C1984" t="str">
            <v>SP</v>
          </cell>
          <cell r="D1984">
            <v>1994</v>
          </cell>
          <cell r="E1984" t="str">
            <v>Whirlpool Corp</v>
          </cell>
          <cell r="F1984">
            <v>8</v>
          </cell>
          <cell r="G1984">
            <v>34421</v>
          </cell>
          <cell r="H1984" t="str">
            <v>SP</v>
          </cell>
          <cell r="I1984" t="str">
            <v>North America</v>
          </cell>
          <cell r="J1984" t="str">
            <v>USA</v>
          </cell>
          <cell r="K1984">
            <v>33785</v>
          </cell>
        </row>
        <row r="1985">
          <cell r="A1985" t="str">
            <v>In service</v>
          </cell>
          <cell r="B1985" t="str">
            <v>Gulfstream Aerospace Gulfstream IV</v>
          </cell>
          <cell r="C1985" t="str">
            <v>SP</v>
          </cell>
          <cell r="D1985">
            <v>1994</v>
          </cell>
          <cell r="E1985" t="str">
            <v>Leucadia Aviation Inc</v>
          </cell>
          <cell r="F1985">
            <v>8</v>
          </cell>
          <cell r="G1985">
            <v>34764</v>
          </cell>
          <cell r="H1985" t="str">
            <v>SP</v>
          </cell>
          <cell r="I1985" t="str">
            <v>North America</v>
          </cell>
          <cell r="J1985" t="str">
            <v>USA</v>
          </cell>
          <cell r="K1985">
            <v>34515</v>
          </cell>
        </row>
        <row r="1986">
          <cell r="A1986" t="str">
            <v>In service</v>
          </cell>
          <cell r="B1986" t="str">
            <v>Gulfstream Aerospace Gulfstream IV</v>
          </cell>
          <cell r="C1986" t="str">
            <v>SP</v>
          </cell>
          <cell r="D1986">
            <v>1994</v>
          </cell>
          <cell r="E1986" t="str">
            <v>Hoescht Marion Roussel Inc</v>
          </cell>
          <cell r="F1986">
            <v>8</v>
          </cell>
          <cell r="G1986">
            <v>34653</v>
          </cell>
          <cell r="H1986" t="str">
            <v>SP</v>
          </cell>
          <cell r="I1986" t="str">
            <v>North America</v>
          </cell>
          <cell r="J1986" t="str">
            <v>USA</v>
          </cell>
          <cell r="K1986">
            <v>33785</v>
          </cell>
        </row>
        <row r="1987">
          <cell r="A1987" t="str">
            <v>In service</v>
          </cell>
          <cell r="B1987" t="str">
            <v>Gulfstream Aerospace Gulfstream IV</v>
          </cell>
          <cell r="C1987" t="str">
            <v>SP</v>
          </cell>
          <cell r="D1987">
            <v>1994</v>
          </cell>
          <cell r="E1987" t="str">
            <v>New Cingular Wireless Flight Operations LLC</v>
          </cell>
          <cell r="F1987">
            <v>8</v>
          </cell>
          <cell r="G1987">
            <v>34696</v>
          </cell>
          <cell r="H1987" t="str">
            <v>SP</v>
          </cell>
          <cell r="I1987" t="str">
            <v>North America</v>
          </cell>
          <cell r="J1987" t="str">
            <v>USA</v>
          </cell>
          <cell r="K1987">
            <v>33785</v>
          </cell>
        </row>
        <row r="1988">
          <cell r="A1988" t="str">
            <v>In service</v>
          </cell>
          <cell r="B1988" t="str">
            <v>Gulfstream Aerospace Gulfstream IV</v>
          </cell>
          <cell r="C1988" t="str">
            <v>SP</v>
          </cell>
          <cell r="D1988">
            <v>1994</v>
          </cell>
          <cell r="E1988" t="str">
            <v>Computer Associates International Inc</v>
          </cell>
          <cell r="F1988">
            <v>8</v>
          </cell>
          <cell r="G1988">
            <v>34782</v>
          </cell>
          <cell r="H1988" t="str">
            <v>SP</v>
          </cell>
          <cell r="I1988" t="str">
            <v>North America</v>
          </cell>
          <cell r="J1988" t="str">
            <v>USA</v>
          </cell>
          <cell r="K1988">
            <v>34150</v>
          </cell>
        </row>
        <row r="1989">
          <cell r="A1989" t="str">
            <v>In service</v>
          </cell>
          <cell r="B1989" t="str">
            <v>Gulfstream Aerospace Gulfstream IV</v>
          </cell>
          <cell r="C1989" t="str">
            <v>SP</v>
          </cell>
          <cell r="D1989">
            <v>1994</v>
          </cell>
          <cell r="E1989" t="str">
            <v>Brokerage &amp; Management Corp</v>
          </cell>
          <cell r="F1989">
            <v>8</v>
          </cell>
          <cell r="G1989">
            <v>34859</v>
          </cell>
          <cell r="H1989" t="str">
            <v>SP</v>
          </cell>
          <cell r="I1989" t="str">
            <v>North America</v>
          </cell>
          <cell r="J1989" t="str">
            <v>USA</v>
          </cell>
          <cell r="K1989">
            <v>34150</v>
          </cell>
        </row>
        <row r="1990">
          <cell r="A1990" t="str">
            <v>In service</v>
          </cell>
          <cell r="B1990" t="str">
            <v>Gulfstream Aerospace Gulfstream IV</v>
          </cell>
          <cell r="C1990" t="str">
            <v>SP</v>
          </cell>
          <cell r="D1990">
            <v>1995</v>
          </cell>
          <cell r="E1990" t="str">
            <v>Huizenga Holdings</v>
          </cell>
          <cell r="F1990">
            <v>7</v>
          </cell>
          <cell r="G1990">
            <v>35292</v>
          </cell>
          <cell r="H1990" t="str">
            <v>SP</v>
          </cell>
          <cell r="I1990" t="str">
            <v>North America</v>
          </cell>
          <cell r="J1990" t="str">
            <v>USA</v>
          </cell>
        </row>
        <row r="1991">
          <cell r="A1991" t="str">
            <v>In service</v>
          </cell>
          <cell r="B1991" t="str">
            <v>Gulfstream Aerospace Gulfstream IV</v>
          </cell>
          <cell r="C1991" t="str">
            <v>SP</v>
          </cell>
          <cell r="D1991">
            <v>1994</v>
          </cell>
          <cell r="E1991" t="str">
            <v>Japan Civil Aviation Bureau</v>
          </cell>
          <cell r="F1991">
            <v>8</v>
          </cell>
          <cell r="G1991">
            <v>35016</v>
          </cell>
          <cell r="H1991" t="str">
            <v>SP</v>
          </cell>
          <cell r="I1991" t="str">
            <v>Asia</v>
          </cell>
          <cell r="J1991" t="str">
            <v>Japan</v>
          </cell>
          <cell r="K1991">
            <v>34150</v>
          </cell>
        </row>
        <row r="1992">
          <cell r="A1992" t="str">
            <v>In service</v>
          </cell>
          <cell r="B1992" t="str">
            <v>Gulfstream Aerospace Gulfstream IV</v>
          </cell>
          <cell r="C1992" t="str">
            <v>SP</v>
          </cell>
          <cell r="D1992">
            <v>1994</v>
          </cell>
          <cell r="E1992" t="str">
            <v>Unocal</v>
          </cell>
          <cell r="F1992">
            <v>8</v>
          </cell>
          <cell r="G1992">
            <v>34829</v>
          </cell>
          <cell r="H1992" t="str">
            <v>SP</v>
          </cell>
          <cell r="I1992" t="str">
            <v>North America</v>
          </cell>
          <cell r="J1992" t="str">
            <v>USA</v>
          </cell>
          <cell r="K1992">
            <v>34515</v>
          </cell>
        </row>
        <row r="1993">
          <cell r="A1993" t="str">
            <v>In service</v>
          </cell>
          <cell r="B1993" t="str">
            <v>Gulfstream Aerospace Gulfstream IV</v>
          </cell>
          <cell r="C1993" t="str">
            <v>SP</v>
          </cell>
          <cell r="D1993">
            <v>1994</v>
          </cell>
          <cell r="E1993" t="str">
            <v>US Department of Commerce - NOAA</v>
          </cell>
          <cell r="F1993">
            <v>8</v>
          </cell>
          <cell r="G1993">
            <v>34682</v>
          </cell>
          <cell r="H1993" t="str">
            <v>SP</v>
          </cell>
          <cell r="I1993" t="str">
            <v>North America</v>
          </cell>
          <cell r="J1993" t="str">
            <v>USA</v>
          </cell>
          <cell r="K1993">
            <v>33785</v>
          </cell>
        </row>
        <row r="1994">
          <cell r="A1994" t="str">
            <v>In service</v>
          </cell>
          <cell r="B1994" t="str">
            <v>Gulfstream Aerospace Gulfstream IV</v>
          </cell>
          <cell r="C1994" t="str">
            <v>SP</v>
          </cell>
          <cell r="D1994">
            <v>1994</v>
          </cell>
          <cell r="E1994" t="str">
            <v>Petersen Aviation</v>
          </cell>
          <cell r="F1994">
            <v>8</v>
          </cell>
          <cell r="G1994">
            <v>34871</v>
          </cell>
          <cell r="H1994" t="str">
            <v>SP</v>
          </cell>
          <cell r="I1994" t="str">
            <v>North America</v>
          </cell>
          <cell r="J1994" t="str">
            <v>USA</v>
          </cell>
          <cell r="K1994">
            <v>34150</v>
          </cell>
        </row>
        <row r="1995">
          <cell r="A1995" t="str">
            <v>In service</v>
          </cell>
          <cell r="B1995" t="str">
            <v>Gulfstream Aerospace Gulfstream IV</v>
          </cell>
          <cell r="C1995" t="str">
            <v>SP</v>
          </cell>
          <cell r="D1995">
            <v>1994</v>
          </cell>
          <cell r="E1995" t="str">
            <v>Reebok International Ltd</v>
          </cell>
          <cell r="F1995">
            <v>8</v>
          </cell>
          <cell r="G1995">
            <v>34698</v>
          </cell>
          <cell r="H1995" t="str">
            <v>SP</v>
          </cell>
          <cell r="I1995" t="str">
            <v>North America</v>
          </cell>
          <cell r="J1995" t="str">
            <v>USA</v>
          </cell>
          <cell r="K1995">
            <v>33785</v>
          </cell>
        </row>
        <row r="1996">
          <cell r="A1996" t="str">
            <v>In service</v>
          </cell>
          <cell r="B1996" t="str">
            <v>Gulfstream Aerospace Gulfstream IV</v>
          </cell>
          <cell r="C1996" t="str">
            <v>SP</v>
          </cell>
          <cell r="D1996">
            <v>1994</v>
          </cell>
          <cell r="E1996" t="str">
            <v>The Laredo National Bank</v>
          </cell>
          <cell r="F1996">
            <v>8</v>
          </cell>
          <cell r="G1996">
            <v>34963</v>
          </cell>
          <cell r="H1996" t="str">
            <v>SP</v>
          </cell>
          <cell r="I1996" t="str">
            <v>North America</v>
          </cell>
          <cell r="J1996" t="str">
            <v>USA</v>
          </cell>
          <cell r="K1996">
            <v>34150</v>
          </cell>
        </row>
        <row r="1997">
          <cell r="A1997" t="str">
            <v>In service</v>
          </cell>
          <cell r="B1997" t="str">
            <v>Gulfstream Aerospace Gulfstream IV</v>
          </cell>
          <cell r="C1997" t="str">
            <v>SP</v>
          </cell>
          <cell r="D1997">
            <v>1994</v>
          </cell>
          <cell r="E1997" t="str">
            <v>Jet Flight Corp</v>
          </cell>
          <cell r="F1997">
            <v>8</v>
          </cell>
          <cell r="G1997">
            <v>35004</v>
          </cell>
          <cell r="H1997" t="str">
            <v>SP</v>
          </cell>
          <cell r="I1997" t="str">
            <v>North America</v>
          </cell>
          <cell r="J1997" t="str">
            <v>USA</v>
          </cell>
          <cell r="K1997">
            <v>34150</v>
          </cell>
        </row>
        <row r="1998">
          <cell r="A1998" t="str">
            <v>In service</v>
          </cell>
          <cell r="B1998" t="str">
            <v>Gulfstream Aerospace Gulfstream IV</v>
          </cell>
          <cell r="C1998" t="str">
            <v>SP</v>
          </cell>
          <cell r="D1998">
            <v>1994</v>
          </cell>
          <cell r="E1998" t="str">
            <v>Triarc Company</v>
          </cell>
          <cell r="F1998">
            <v>8</v>
          </cell>
          <cell r="G1998">
            <v>34972</v>
          </cell>
          <cell r="H1998" t="str">
            <v>SP</v>
          </cell>
          <cell r="I1998" t="str">
            <v>North America</v>
          </cell>
          <cell r="J1998" t="str">
            <v>USA</v>
          </cell>
          <cell r="K1998">
            <v>34150</v>
          </cell>
        </row>
        <row r="1999">
          <cell r="A1999" t="str">
            <v>In service</v>
          </cell>
          <cell r="B1999" t="str">
            <v>Gulfstream Aerospace Gulfstream IV</v>
          </cell>
          <cell r="C1999" t="str">
            <v>SP</v>
          </cell>
          <cell r="D1999">
            <v>1994</v>
          </cell>
          <cell r="E1999" t="str">
            <v>The Coca-Cola Co</v>
          </cell>
          <cell r="F1999">
            <v>8</v>
          </cell>
          <cell r="G1999">
            <v>34901</v>
          </cell>
          <cell r="H1999" t="str">
            <v>SP</v>
          </cell>
          <cell r="I1999" t="str">
            <v>North America</v>
          </cell>
          <cell r="J1999" t="str">
            <v>USA</v>
          </cell>
          <cell r="K1999">
            <v>34150</v>
          </cell>
        </row>
        <row r="2000">
          <cell r="A2000" t="str">
            <v>In service</v>
          </cell>
          <cell r="B2000" t="str">
            <v>Gulfstream Aerospace Gulfstream IV</v>
          </cell>
          <cell r="C2000" t="str">
            <v>SP</v>
          </cell>
          <cell r="D2000">
            <v>1995</v>
          </cell>
          <cell r="E2000" t="str">
            <v>JS Aviation LLC</v>
          </cell>
          <cell r="F2000">
            <v>7</v>
          </cell>
          <cell r="G2000">
            <v>34926</v>
          </cell>
          <cell r="H2000" t="str">
            <v>SP</v>
          </cell>
          <cell r="I2000" t="str">
            <v>North America</v>
          </cell>
          <cell r="J2000" t="str">
            <v>USA</v>
          </cell>
          <cell r="K2000">
            <v>34150</v>
          </cell>
        </row>
        <row r="2001">
          <cell r="A2001" t="str">
            <v>In service</v>
          </cell>
          <cell r="B2001" t="str">
            <v>Gulfstream Aerospace Gulfstream IV</v>
          </cell>
          <cell r="C2001" t="str">
            <v>SP</v>
          </cell>
          <cell r="D2001">
            <v>1994</v>
          </cell>
          <cell r="E2001" t="str">
            <v>Gulfstream Aerospace Corp</v>
          </cell>
          <cell r="F2001">
            <v>8</v>
          </cell>
          <cell r="G2001">
            <v>34729</v>
          </cell>
          <cell r="H2001" t="str">
            <v>SP</v>
          </cell>
          <cell r="I2001" t="str">
            <v>North America</v>
          </cell>
          <cell r="J2001" t="str">
            <v>USA</v>
          </cell>
          <cell r="K2001">
            <v>34150</v>
          </cell>
        </row>
        <row r="2002">
          <cell r="A2002" t="str">
            <v>In service</v>
          </cell>
          <cell r="B2002" t="str">
            <v>Gulfstream Aerospace Gulfstream IV</v>
          </cell>
          <cell r="C2002" t="str">
            <v>SP</v>
          </cell>
          <cell r="D2002">
            <v>1994</v>
          </cell>
          <cell r="E2002" t="str">
            <v>Pfizer Inc</v>
          </cell>
          <cell r="F2002">
            <v>8</v>
          </cell>
          <cell r="G2002">
            <v>34941</v>
          </cell>
          <cell r="H2002" t="str">
            <v>SP</v>
          </cell>
          <cell r="I2002" t="str">
            <v>North America</v>
          </cell>
          <cell r="J2002" t="str">
            <v>USA</v>
          </cell>
          <cell r="K2002">
            <v>34150</v>
          </cell>
        </row>
        <row r="2003">
          <cell r="A2003" t="str">
            <v>In service</v>
          </cell>
          <cell r="B2003" t="str">
            <v>Gulfstream Aerospace Gulfstream IV</v>
          </cell>
          <cell r="C2003" t="str">
            <v>SP</v>
          </cell>
          <cell r="D2003">
            <v>1995</v>
          </cell>
          <cell r="E2003" t="str">
            <v>E I DuPont de Nemours &amp; Co</v>
          </cell>
          <cell r="F2003">
            <v>7</v>
          </cell>
          <cell r="G2003">
            <v>34950</v>
          </cell>
          <cell r="H2003" t="str">
            <v>SP</v>
          </cell>
          <cell r="I2003" t="str">
            <v>North America</v>
          </cell>
          <cell r="J2003" t="str">
            <v>USA</v>
          </cell>
          <cell r="K2003">
            <v>34150</v>
          </cell>
        </row>
        <row r="2004">
          <cell r="A2004" t="str">
            <v>In service</v>
          </cell>
          <cell r="B2004" t="str">
            <v>Gulfstream Aerospace Gulfstream IV</v>
          </cell>
          <cell r="C2004" t="str">
            <v>SP</v>
          </cell>
          <cell r="D2004">
            <v>1995</v>
          </cell>
          <cell r="E2004" t="str">
            <v>The Proctor &amp; Gamble Co</v>
          </cell>
          <cell r="F2004">
            <v>7</v>
          </cell>
          <cell r="G2004">
            <v>34975</v>
          </cell>
          <cell r="H2004" t="str">
            <v>SP</v>
          </cell>
          <cell r="I2004" t="str">
            <v>North America</v>
          </cell>
          <cell r="J2004" t="str">
            <v>USA</v>
          </cell>
          <cell r="K2004">
            <v>34150</v>
          </cell>
        </row>
        <row r="2005">
          <cell r="A2005" t="str">
            <v>In service</v>
          </cell>
          <cell r="B2005" t="str">
            <v>Gulfstream Aerospace Gulfstream IV</v>
          </cell>
          <cell r="C2005" t="str">
            <v>SP</v>
          </cell>
          <cell r="D2005">
            <v>1995</v>
          </cell>
          <cell r="E2005" t="str">
            <v>The Proctor &amp; Gamble Co</v>
          </cell>
          <cell r="F2005">
            <v>7</v>
          </cell>
          <cell r="G2005">
            <v>34999</v>
          </cell>
          <cell r="H2005" t="str">
            <v>SP</v>
          </cell>
          <cell r="I2005" t="str">
            <v>North America</v>
          </cell>
          <cell r="J2005" t="str">
            <v>USA</v>
          </cell>
          <cell r="K2005">
            <v>34150</v>
          </cell>
        </row>
        <row r="2006">
          <cell r="A2006" t="str">
            <v>In service</v>
          </cell>
          <cell r="B2006" t="str">
            <v>Gulfstream Aerospace Gulfstream IV</v>
          </cell>
          <cell r="C2006" t="str">
            <v>SP</v>
          </cell>
          <cell r="D2006">
            <v>1995</v>
          </cell>
          <cell r="E2006" t="str">
            <v>P Dussman Inc</v>
          </cell>
          <cell r="F2006">
            <v>7</v>
          </cell>
          <cell r="G2006">
            <v>34758</v>
          </cell>
          <cell r="H2006" t="str">
            <v>SP</v>
          </cell>
          <cell r="I2006" t="str">
            <v>North America</v>
          </cell>
          <cell r="J2006" t="str">
            <v>USA</v>
          </cell>
          <cell r="K2006">
            <v>34150</v>
          </cell>
        </row>
        <row r="2007">
          <cell r="A2007" t="str">
            <v>In service</v>
          </cell>
          <cell r="B2007" t="str">
            <v>Gulfstream Aerospace Gulfstream IV</v>
          </cell>
          <cell r="C2007" t="str">
            <v>SP</v>
          </cell>
          <cell r="D2007">
            <v>1995</v>
          </cell>
          <cell r="E2007" t="str">
            <v>Netjets International</v>
          </cell>
          <cell r="F2007">
            <v>7</v>
          </cell>
          <cell r="G2007">
            <v>35039</v>
          </cell>
          <cell r="H2007" t="str">
            <v>SP</v>
          </cell>
          <cell r="I2007" t="str">
            <v>North America</v>
          </cell>
          <cell r="J2007" t="str">
            <v>USA</v>
          </cell>
          <cell r="K2007">
            <v>34716</v>
          </cell>
        </row>
        <row r="2008">
          <cell r="A2008" t="str">
            <v>In service</v>
          </cell>
          <cell r="B2008" t="str">
            <v>Gulfstream Aerospace Gulfstream IV</v>
          </cell>
          <cell r="C2008" t="str">
            <v>SP</v>
          </cell>
          <cell r="D2008">
            <v>1995</v>
          </cell>
          <cell r="E2008" t="str">
            <v>DSA Aviation LLC</v>
          </cell>
          <cell r="F2008">
            <v>7</v>
          </cell>
          <cell r="G2008">
            <v>34927</v>
          </cell>
          <cell r="H2008" t="str">
            <v>SP</v>
          </cell>
          <cell r="I2008" t="str">
            <v>North America</v>
          </cell>
          <cell r="J2008" t="str">
            <v>USA</v>
          </cell>
          <cell r="K2008">
            <v>34150</v>
          </cell>
        </row>
        <row r="2009">
          <cell r="A2009" t="str">
            <v>In service</v>
          </cell>
          <cell r="B2009" t="str">
            <v>Gulfstream Aerospace Gulfstream IV</v>
          </cell>
          <cell r="C2009" t="str">
            <v>SP</v>
          </cell>
          <cell r="D2009">
            <v>1995</v>
          </cell>
          <cell r="E2009" t="str">
            <v>Netjets International</v>
          </cell>
          <cell r="F2009">
            <v>7</v>
          </cell>
          <cell r="G2009">
            <v>35061</v>
          </cell>
          <cell r="H2009" t="str">
            <v>SP</v>
          </cell>
          <cell r="I2009" t="str">
            <v>North America</v>
          </cell>
          <cell r="J2009" t="str">
            <v>USA</v>
          </cell>
          <cell r="K2009">
            <v>34716</v>
          </cell>
        </row>
        <row r="2010">
          <cell r="A2010" t="str">
            <v>In service</v>
          </cell>
          <cell r="B2010" t="str">
            <v>Gulfstream Aerospace Gulfstream IV</v>
          </cell>
          <cell r="C2010" t="str">
            <v>SP</v>
          </cell>
          <cell r="D2010">
            <v>1995</v>
          </cell>
          <cell r="E2010" t="str">
            <v>Harpo Inc</v>
          </cell>
          <cell r="F2010">
            <v>7</v>
          </cell>
          <cell r="G2010">
            <v>35046</v>
          </cell>
          <cell r="H2010" t="str">
            <v>SP</v>
          </cell>
          <cell r="I2010" t="str">
            <v>North America</v>
          </cell>
          <cell r="J2010" t="str">
            <v>USA</v>
          </cell>
          <cell r="K2010">
            <v>34150</v>
          </cell>
        </row>
        <row r="2011">
          <cell r="A2011" t="str">
            <v>In service</v>
          </cell>
          <cell r="B2011" t="str">
            <v>Gulfstream Aerospace Gulfstream IV</v>
          </cell>
          <cell r="C2011" t="str">
            <v>SP</v>
          </cell>
          <cell r="D2011">
            <v>1995</v>
          </cell>
          <cell r="E2011" t="str">
            <v>Leucadia Aviation Inc</v>
          </cell>
          <cell r="F2011">
            <v>7</v>
          </cell>
          <cell r="G2011">
            <v>35046</v>
          </cell>
          <cell r="H2011" t="str">
            <v>SP</v>
          </cell>
          <cell r="I2011" t="str">
            <v>North America</v>
          </cell>
          <cell r="J2011" t="str">
            <v>USA</v>
          </cell>
          <cell r="K2011">
            <v>34895</v>
          </cell>
        </row>
        <row r="2012">
          <cell r="A2012" t="str">
            <v>In service</v>
          </cell>
          <cell r="B2012" t="str">
            <v>Gulfstream Aerospace Gulfstream IV</v>
          </cell>
          <cell r="C2012" t="str">
            <v>SP</v>
          </cell>
          <cell r="D2012">
            <v>1995</v>
          </cell>
          <cell r="E2012" t="str">
            <v>Peregrine Aviation LLC</v>
          </cell>
          <cell r="F2012">
            <v>7</v>
          </cell>
          <cell r="G2012">
            <v>35053</v>
          </cell>
          <cell r="H2012" t="str">
            <v>SP</v>
          </cell>
          <cell r="I2012" t="str">
            <v>North America</v>
          </cell>
          <cell r="J2012" t="str">
            <v>USA</v>
          </cell>
          <cell r="K2012">
            <v>34895</v>
          </cell>
        </row>
        <row r="2013">
          <cell r="A2013" t="str">
            <v>In service</v>
          </cell>
          <cell r="B2013" t="str">
            <v>Gulfstream Aerospace Gulfstream IV</v>
          </cell>
          <cell r="C2013" t="str">
            <v>SP</v>
          </cell>
          <cell r="D2013">
            <v>1995</v>
          </cell>
          <cell r="E2013" t="str">
            <v>Tenet Healthcare Corp</v>
          </cell>
          <cell r="F2013">
            <v>7</v>
          </cell>
          <cell r="G2013">
            <v>34871</v>
          </cell>
          <cell r="H2013" t="str">
            <v>SP</v>
          </cell>
          <cell r="I2013" t="str">
            <v>North America</v>
          </cell>
          <cell r="J2013" t="str">
            <v>USA</v>
          </cell>
          <cell r="K2013">
            <v>34515</v>
          </cell>
        </row>
        <row r="2014">
          <cell r="A2014" t="str">
            <v>In service</v>
          </cell>
          <cell r="B2014" t="str">
            <v>Gulfstream Aerospace Gulfstream IV</v>
          </cell>
          <cell r="C2014" t="str">
            <v>SP</v>
          </cell>
          <cell r="D2014">
            <v>1995</v>
          </cell>
          <cell r="E2014" t="str">
            <v>Executive Fliteways Inc</v>
          </cell>
          <cell r="F2014">
            <v>7</v>
          </cell>
          <cell r="G2014">
            <v>35053</v>
          </cell>
          <cell r="H2014" t="str">
            <v>SP</v>
          </cell>
          <cell r="I2014" t="str">
            <v>North America</v>
          </cell>
          <cell r="J2014" t="str">
            <v>USA</v>
          </cell>
          <cell r="K2014">
            <v>34515</v>
          </cell>
        </row>
        <row r="2015">
          <cell r="A2015" t="str">
            <v>In service</v>
          </cell>
          <cell r="B2015" t="str">
            <v>Gulfstream Aerospace Gulfstream IV</v>
          </cell>
          <cell r="C2015" t="str">
            <v>SP</v>
          </cell>
          <cell r="D2015">
            <v>1995</v>
          </cell>
          <cell r="E2015" t="str">
            <v>Jstar Corp</v>
          </cell>
          <cell r="F2015">
            <v>7</v>
          </cell>
          <cell r="G2015">
            <v>34942</v>
          </cell>
          <cell r="H2015" t="str">
            <v>SP</v>
          </cell>
          <cell r="I2015" t="str">
            <v>North America</v>
          </cell>
          <cell r="J2015" t="str">
            <v>USA</v>
          </cell>
          <cell r="K2015">
            <v>34515</v>
          </cell>
        </row>
        <row r="2016">
          <cell r="A2016" t="str">
            <v>In service</v>
          </cell>
          <cell r="B2016" t="str">
            <v>Gulfstream Aerospace Gulfstream IV</v>
          </cell>
          <cell r="C2016" t="str">
            <v>SP</v>
          </cell>
          <cell r="D2016">
            <v>1995</v>
          </cell>
          <cell r="E2016" t="str">
            <v>Berwind Corp</v>
          </cell>
          <cell r="F2016">
            <v>7</v>
          </cell>
          <cell r="G2016">
            <v>34935</v>
          </cell>
          <cell r="H2016" t="str">
            <v>SP</v>
          </cell>
          <cell r="I2016" t="str">
            <v>North America</v>
          </cell>
          <cell r="J2016" t="str">
            <v>USA</v>
          </cell>
          <cell r="K2016">
            <v>34515</v>
          </cell>
        </row>
        <row r="2017">
          <cell r="A2017" t="str">
            <v>In service</v>
          </cell>
          <cell r="B2017" t="str">
            <v>Gulfstream Aerospace Gulfstream IV</v>
          </cell>
          <cell r="C2017" t="str">
            <v>SP</v>
          </cell>
          <cell r="D2017">
            <v>1995</v>
          </cell>
          <cell r="E2017" t="str">
            <v>Swedish Air Force</v>
          </cell>
          <cell r="F2017">
            <v>7</v>
          </cell>
          <cell r="G2017">
            <v>35150</v>
          </cell>
          <cell r="H2017" t="str">
            <v>TP-102</v>
          </cell>
          <cell r="I2017" t="str">
            <v>Europe</v>
          </cell>
          <cell r="J2017" t="str">
            <v>Sweden</v>
          </cell>
          <cell r="K2017">
            <v>34515</v>
          </cell>
        </row>
        <row r="2018">
          <cell r="A2018" t="str">
            <v>In service</v>
          </cell>
          <cell r="B2018" t="str">
            <v>Gulfstream Aerospace Gulfstream IV</v>
          </cell>
          <cell r="C2018" t="str">
            <v>SP</v>
          </cell>
          <cell r="D2018">
            <v>1995</v>
          </cell>
          <cell r="E2018" t="str">
            <v>Netjets International</v>
          </cell>
          <cell r="F2018">
            <v>7</v>
          </cell>
          <cell r="G2018">
            <v>35149</v>
          </cell>
          <cell r="H2018" t="str">
            <v>SP</v>
          </cell>
          <cell r="I2018" t="str">
            <v>North America</v>
          </cell>
          <cell r="J2018" t="str">
            <v>USA</v>
          </cell>
          <cell r="K2018">
            <v>34716</v>
          </cell>
        </row>
        <row r="2019">
          <cell r="A2019" t="str">
            <v>In service</v>
          </cell>
          <cell r="B2019" t="str">
            <v>Gulfstream Aerospace Gulfstream IV</v>
          </cell>
          <cell r="C2019" t="str">
            <v>SP</v>
          </cell>
          <cell r="D2019">
            <v>1995</v>
          </cell>
          <cell r="E2019" t="str">
            <v>Citadel Investment Group LLC</v>
          </cell>
          <cell r="F2019">
            <v>7</v>
          </cell>
          <cell r="G2019">
            <v>35153</v>
          </cell>
          <cell r="H2019" t="str">
            <v>SP</v>
          </cell>
          <cell r="I2019" t="str">
            <v>North America</v>
          </cell>
          <cell r="J2019" t="str">
            <v>USA</v>
          </cell>
          <cell r="K2019">
            <v>34515</v>
          </cell>
        </row>
        <row r="2020">
          <cell r="A2020" t="str">
            <v>In service</v>
          </cell>
          <cell r="B2020" t="str">
            <v>Gulfstream Aerospace Gulfstream IV</v>
          </cell>
          <cell r="C2020" t="str">
            <v>SP</v>
          </cell>
          <cell r="D2020">
            <v>1996</v>
          </cell>
          <cell r="E2020" t="str">
            <v>American Home Products Inc</v>
          </cell>
          <cell r="F2020">
            <v>6</v>
          </cell>
          <cell r="G2020">
            <v>35200</v>
          </cell>
          <cell r="H2020" t="str">
            <v>SP</v>
          </cell>
          <cell r="I2020" t="str">
            <v>North America</v>
          </cell>
          <cell r="J2020" t="str">
            <v>USA</v>
          </cell>
          <cell r="K2020">
            <v>34880</v>
          </cell>
        </row>
        <row r="2021">
          <cell r="A2021" t="str">
            <v>In service</v>
          </cell>
          <cell r="B2021" t="str">
            <v>Gulfstream Aerospace Gulfstream IV</v>
          </cell>
          <cell r="C2021" t="str">
            <v>SP</v>
          </cell>
          <cell r="D2021">
            <v>1996</v>
          </cell>
          <cell r="E2021" t="str">
            <v>Lucent Technologies Inc</v>
          </cell>
          <cell r="F2021">
            <v>6</v>
          </cell>
          <cell r="G2021">
            <v>35200</v>
          </cell>
          <cell r="H2021" t="str">
            <v>SP</v>
          </cell>
          <cell r="I2021" t="str">
            <v>North America</v>
          </cell>
          <cell r="J2021" t="str">
            <v>USA</v>
          </cell>
          <cell r="K2021">
            <v>34515</v>
          </cell>
        </row>
        <row r="2022">
          <cell r="A2022" t="str">
            <v>In service</v>
          </cell>
          <cell r="B2022" t="str">
            <v>Gulfstream Aerospace Gulfstream IV</v>
          </cell>
          <cell r="C2022" t="str">
            <v>SP</v>
          </cell>
          <cell r="D2022">
            <v>1995</v>
          </cell>
          <cell r="E2022" t="str">
            <v>J C Penney Company Inc</v>
          </cell>
          <cell r="F2022">
            <v>7</v>
          </cell>
          <cell r="G2022">
            <v>35240</v>
          </cell>
          <cell r="H2022" t="str">
            <v>SP</v>
          </cell>
          <cell r="I2022" t="str">
            <v>North America</v>
          </cell>
          <cell r="J2022" t="str">
            <v>USA</v>
          </cell>
          <cell r="K2022">
            <v>34515</v>
          </cell>
        </row>
        <row r="2023">
          <cell r="A2023" t="str">
            <v>In service</v>
          </cell>
          <cell r="B2023" t="str">
            <v>Gulfstream Aerospace Gulfstream IV</v>
          </cell>
          <cell r="C2023" t="str">
            <v>SP</v>
          </cell>
          <cell r="D2023">
            <v>1995</v>
          </cell>
          <cell r="E2023" t="str">
            <v>Open Road Airways Inc</v>
          </cell>
          <cell r="F2023">
            <v>7</v>
          </cell>
          <cell r="G2023">
            <v>35051</v>
          </cell>
          <cell r="H2023" t="str">
            <v>SP</v>
          </cell>
          <cell r="I2023" t="str">
            <v>North America</v>
          </cell>
          <cell r="J2023" t="str">
            <v>USA</v>
          </cell>
          <cell r="K2023">
            <v>34503</v>
          </cell>
        </row>
        <row r="2024">
          <cell r="A2024" t="str">
            <v>In service</v>
          </cell>
          <cell r="B2024" t="str">
            <v>Gulfstream Aerospace Gulfstream IV</v>
          </cell>
          <cell r="C2024" t="str">
            <v>SP</v>
          </cell>
          <cell r="D2024">
            <v>1996</v>
          </cell>
          <cell r="E2024" t="str">
            <v>Netjets International</v>
          </cell>
          <cell r="F2024">
            <v>6</v>
          </cell>
          <cell r="G2024">
            <v>35237</v>
          </cell>
          <cell r="H2024" t="str">
            <v>SP</v>
          </cell>
          <cell r="I2024" t="str">
            <v>North America</v>
          </cell>
          <cell r="J2024" t="str">
            <v>USA</v>
          </cell>
          <cell r="K2024">
            <v>34716</v>
          </cell>
        </row>
        <row r="2025">
          <cell r="A2025" t="str">
            <v>In service</v>
          </cell>
          <cell r="B2025" t="str">
            <v>Gulfstream Aerospace Gulfstream IV</v>
          </cell>
          <cell r="C2025" t="str">
            <v>SP</v>
          </cell>
          <cell r="D2025">
            <v>1996</v>
          </cell>
          <cell r="E2025" t="str">
            <v>The Air Group Inc</v>
          </cell>
          <cell r="F2025">
            <v>6</v>
          </cell>
          <cell r="G2025">
            <v>35231</v>
          </cell>
          <cell r="H2025" t="str">
            <v>SP</v>
          </cell>
          <cell r="I2025" t="str">
            <v>North America</v>
          </cell>
          <cell r="J2025" t="str">
            <v>USA</v>
          </cell>
          <cell r="K2025">
            <v>34515</v>
          </cell>
        </row>
        <row r="2026">
          <cell r="A2026" t="str">
            <v>In service</v>
          </cell>
          <cell r="B2026" t="str">
            <v>Gulfstream Aerospace Gulfstream IV</v>
          </cell>
          <cell r="C2026" t="str">
            <v>SP</v>
          </cell>
          <cell r="D2026">
            <v>1996</v>
          </cell>
          <cell r="E2026" t="str">
            <v>Colleen Corp</v>
          </cell>
          <cell r="F2026">
            <v>6</v>
          </cell>
          <cell r="G2026">
            <v>35195</v>
          </cell>
          <cell r="H2026" t="str">
            <v>SP</v>
          </cell>
          <cell r="I2026" t="str">
            <v>North America</v>
          </cell>
          <cell r="J2026" t="str">
            <v>USA</v>
          </cell>
          <cell r="K2026">
            <v>34515</v>
          </cell>
        </row>
        <row r="2027">
          <cell r="A2027" t="str">
            <v>In service</v>
          </cell>
          <cell r="B2027" t="str">
            <v>Gulfstream Aerospace Gulfstream IV</v>
          </cell>
          <cell r="C2027" t="str">
            <v>SP</v>
          </cell>
          <cell r="D2027">
            <v>1996</v>
          </cell>
          <cell r="E2027" t="str">
            <v>ChevronTexaco Corp</v>
          </cell>
          <cell r="F2027">
            <v>6</v>
          </cell>
          <cell r="G2027">
            <v>35123</v>
          </cell>
          <cell r="H2027" t="str">
            <v>SP</v>
          </cell>
          <cell r="I2027" t="str">
            <v>North America</v>
          </cell>
          <cell r="J2027" t="str">
            <v>USA</v>
          </cell>
          <cell r="K2027">
            <v>34515</v>
          </cell>
        </row>
        <row r="2028">
          <cell r="A2028" t="str">
            <v>In service</v>
          </cell>
          <cell r="B2028" t="str">
            <v>Gulfstream Aerospace Gulfstream IV</v>
          </cell>
          <cell r="C2028" t="str">
            <v>SP</v>
          </cell>
          <cell r="D2028">
            <v>1996</v>
          </cell>
          <cell r="E2028" t="str">
            <v>Anadarko Petroleum Corp</v>
          </cell>
          <cell r="F2028">
            <v>6</v>
          </cell>
          <cell r="G2028">
            <v>35129</v>
          </cell>
          <cell r="H2028" t="str">
            <v>SP</v>
          </cell>
          <cell r="I2028" t="str">
            <v>North America</v>
          </cell>
          <cell r="J2028" t="str">
            <v>USA</v>
          </cell>
          <cell r="K2028">
            <v>34515</v>
          </cell>
        </row>
        <row r="2029">
          <cell r="A2029" t="str">
            <v>In service</v>
          </cell>
          <cell r="B2029" t="str">
            <v>Gulfstream Aerospace Gulfstream IV</v>
          </cell>
          <cell r="C2029" t="str">
            <v>SP</v>
          </cell>
          <cell r="D2029">
            <v>1996</v>
          </cell>
          <cell r="E2029" t="str">
            <v>General Dynamics Corp</v>
          </cell>
          <cell r="F2029">
            <v>6</v>
          </cell>
          <cell r="G2029">
            <v>35430</v>
          </cell>
          <cell r="H2029" t="str">
            <v>SP</v>
          </cell>
          <cell r="I2029" t="str">
            <v>North America</v>
          </cell>
          <cell r="J2029" t="str">
            <v>USA</v>
          </cell>
        </row>
        <row r="2030">
          <cell r="A2030" t="str">
            <v>In service</v>
          </cell>
          <cell r="B2030" t="str">
            <v>Gulfstream Aerospace Gulfstream IV</v>
          </cell>
          <cell r="C2030" t="str">
            <v>SP</v>
          </cell>
          <cell r="D2030">
            <v>1996</v>
          </cell>
          <cell r="E2030" t="str">
            <v>Netjets International</v>
          </cell>
          <cell r="F2030">
            <v>6</v>
          </cell>
          <cell r="G2030">
            <v>35277</v>
          </cell>
          <cell r="H2030" t="str">
            <v>SP</v>
          </cell>
          <cell r="I2030" t="str">
            <v>North America</v>
          </cell>
          <cell r="J2030" t="str">
            <v>USA</v>
          </cell>
          <cell r="K2030">
            <v>34716</v>
          </cell>
        </row>
        <row r="2031">
          <cell r="A2031" t="str">
            <v>In service</v>
          </cell>
          <cell r="B2031" t="str">
            <v>Gulfstream Aerospace Gulfstream IV</v>
          </cell>
          <cell r="C2031" t="str">
            <v>SP</v>
          </cell>
          <cell r="D2031">
            <v>1996</v>
          </cell>
          <cell r="E2031" t="str">
            <v>Government of Algeria</v>
          </cell>
          <cell r="F2031">
            <v>6</v>
          </cell>
          <cell r="G2031">
            <v>35353</v>
          </cell>
          <cell r="H2031" t="str">
            <v>SP</v>
          </cell>
          <cell r="I2031" t="str">
            <v>Africa</v>
          </cell>
          <cell r="J2031" t="str">
            <v>Algeria</v>
          </cell>
          <cell r="K2031">
            <v>35246</v>
          </cell>
        </row>
        <row r="2032">
          <cell r="A2032" t="str">
            <v>In service</v>
          </cell>
          <cell r="B2032" t="str">
            <v>Gulfstream Aerospace Gulfstream IV</v>
          </cell>
          <cell r="C2032" t="str">
            <v>SP</v>
          </cell>
          <cell r="D2032">
            <v>1996</v>
          </cell>
          <cell r="E2032" t="str">
            <v>MCI Transcom Corp</v>
          </cell>
          <cell r="F2032">
            <v>6</v>
          </cell>
          <cell r="G2032">
            <v>35328</v>
          </cell>
          <cell r="H2032" t="str">
            <v>SP</v>
          </cell>
          <cell r="I2032" t="str">
            <v>North America</v>
          </cell>
          <cell r="J2032" t="str">
            <v>USA</v>
          </cell>
          <cell r="K2032">
            <v>34515</v>
          </cell>
        </row>
        <row r="2033">
          <cell r="A2033" t="str">
            <v>In service</v>
          </cell>
          <cell r="B2033" t="str">
            <v>Gulfstream Aerospace Gulfstream IV</v>
          </cell>
          <cell r="C2033" t="str">
            <v>SP</v>
          </cell>
          <cell r="D2033">
            <v>1996</v>
          </cell>
          <cell r="E2033" t="str">
            <v>Bank of America NA</v>
          </cell>
          <cell r="F2033">
            <v>6</v>
          </cell>
          <cell r="G2033">
            <v>35366</v>
          </cell>
          <cell r="H2033" t="str">
            <v>SP</v>
          </cell>
          <cell r="I2033" t="str">
            <v>North America</v>
          </cell>
          <cell r="J2033" t="str">
            <v>USA</v>
          </cell>
          <cell r="K2033">
            <v>34515</v>
          </cell>
        </row>
        <row r="2034">
          <cell r="A2034" t="str">
            <v>In service</v>
          </cell>
          <cell r="B2034" t="str">
            <v>Gulfstream Aerospace Gulfstream IV</v>
          </cell>
          <cell r="C2034" t="str">
            <v>SP</v>
          </cell>
          <cell r="D2034">
            <v>1996</v>
          </cell>
          <cell r="E2034" t="str">
            <v>Government of Algeria</v>
          </cell>
          <cell r="F2034">
            <v>6</v>
          </cell>
          <cell r="G2034">
            <v>35384</v>
          </cell>
          <cell r="H2034" t="str">
            <v>SP</v>
          </cell>
          <cell r="I2034" t="str">
            <v>Africa</v>
          </cell>
          <cell r="J2034" t="str">
            <v>Algeria</v>
          </cell>
          <cell r="K2034">
            <v>35246</v>
          </cell>
        </row>
        <row r="2035">
          <cell r="A2035" t="str">
            <v>In service</v>
          </cell>
          <cell r="B2035" t="str">
            <v>Gulfstream Aerospace Gulfstream IV</v>
          </cell>
          <cell r="C2035" t="str">
            <v>SP</v>
          </cell>
          <cell r="D2035">
            <v>1996</v>
          </cell>
          <cell r="E2035" t="str">
            <v>GTE Service Corp</v>
          </cell>
          <cell r="F2035">
            <v>6</v>
          </cell>
          <cell r="G2035">
            <v>35381</v>
          </cell>
          <cell r="H2035" t="str">
            <v>SP</v>
          </cell>
          <cell r="I2035" t="str">
            <v>North America</v>
          </cell>
          <cell r="J2035" t="str">
            <v>USA</v>
          </cell>
          <cell r="K2035">
            <v>34515</v>
          </cell>
        </row>
        <row r="2036">
          <cell r="A2036" t="str">
            <v>In service</v>
          </cell>
          <cell r="B2036" t="str">
            <v>Gulfstream Aerospace Gulfstream IV</v>
          </cell>
          <cell r="C2036" t="str">
            <v>SP</v>
          </cell>
          <cell r="D2036">
            <v>1996</v>
          </cell>
          <cell r="E2036" t="str">
            <v>Netjets International</v>
          </cell>
          <cell r="F2036">
            <v>6</v>
          </cell>
          <cell r="G2036">
            <v>35383</v>
          </cell>
          <cell r="H2036" t="str">
            <v>SP</v>
          </cell>
          <cell r="I2036" t="str">
            <v>North America</v>
          </cell>
          <cell r="J2036" t="str">
            <v>USA</v>
          </cell>
          <cell r="K2036">
            <v>34716</v>
          </cell>
        </row>
        <row r="2037">
          <cell r="A2037" t="str">
            <v>In service</v>
          </cell>
          <cell r="B2037" t="str">
            <v>Gulfstream Aerospace Gulfstream IV</v>
          </cell>
          <cell r="C2037" t="str">
            <v>SP</v>
          </cell>
          <cell r="D2037">
            <v>1996</v>
          </cell>
          <cell r="E2037" t="str">
            <v>Mawarid Ltd</v>
          </cell>
          <cell r="F2037">
            <v>6</v>
          </cell>
          <cell r="G2037">
            <v>35384</v>
          </cell>
          <cell r="H2037" t="str">
            <v>SP</v>
          </cell>
          <cell r="I2037" t="str">
            <v>Middle East</v>
          </cell>
          <cell r="J2037" t="str">
            <v>Saudi Arabia</v>
          </cell>
          <cell r="K2037">
            <v>34880</v>
          </cell>
        </row>
        <row r="2038">
          <cell r="A2038" t="str">
            <v>In service</v>
          </cell>
          <cell r="B2038" t="str">
            <v>Gulfstream Aerospace Gulfstream IV</v>
          </cell>
          <cell r="C2038" t="str">
            <v>SP</v>
          </cell>
          <cell r="D2038">
            <v>1997</v>
          </cell>
          <cell r="E2038" t="str">
            <v>Netjets International</v>
          </cell>
          <cell r="F2038">
            <v>5</v>
          </cell>
          <cell r="G2038">
            <v>35446</v>
          </cell>
          <cell r="H2038" t="str">
            <v>SP</v>
          </cell>
          <cell r="I2038" t="str">
            <v>North America</v>
          </cell>
          <cell r="J2038" t="str">
            <v>USA</v>
          </cell>
          <cell r="K2038">
            <v>34716</v>
          </cell>
        </row>
        <row r="2039">
          <cell r="A2039" t="str">
            <v>In service</v>
          </cell>
          <cell r="B2039" t="str">
            <v>Gulfstream Aerospace Gulfstream IV</v>
          </cell>
          <cell r="C2039" t="str">
            <v>SP</v>
          </cell>
          <cell r="D2039">
            <v>1996</v>
          </cell>
          <cell r="E2039" t="str">
            <v>Shoreline Aviation Inc</v>
          </cell>
          <cell r="F2039">
            <v>6</v>
          </cell>
          <cell r="G2039">
            <v>35282</v>
          </cell>
          <cell r="H2039" t="str">
            <v>SP</v>
          </cell>
          <cell r="I2039" t="str">
            <v>North America</v>
          </cell>
          <cell r="J2039" t="str">
            <v>USA</v>
          </cell>
          <cell r="K2039">
            <v>34515</v>
          </cell>
        </row>
        <row r="2040">
          <cell r="A2040" t="str">
            <v>In service</v>
          </cell>
          <cell r="B2040" t="str">
            <v>Gulfstream Aerospace Gulfstream IV</v>
          </cell>
          <cell r="C2040" t="str">
            <v>SP</v>
          </cell>
          <cell r="D2040">
            <v>1996</v>
          </cell>
          <cell r="E2040" t="str">
            <v>Aguilla Del Sur SA</v>
          </cell>
          <cell r="F2040">
            <v>6</v>
          </cell>
          <cell r="G2040">
            <v>35476</v>
          </cell>
          <cell r="H2040" t="str">
            <v>SP</v>
          </cell>
          <cell r="I2040" t="str">
            <v>Latin America and Caribbean</v>
          </cell>
          <cell r="J2040" t="str">
            <v>Argentina</v>
          </cell>
          <cell r="K2040">
            <v>35246</v>
          </cell>
        </row>
        <row r="2041">
          <cell r="A2041" t="str">
            <v>In service</v>
          </cell>
          <cell r="B2041" t="str">
            <v>Gulfstream Aerospace Gulfstream IV</v>
          </cell>
          <cell r="C2041" t="str">
            <v>SP</v>
          </cell>
          <cell r="D2041">
            <v>1996</v>
          </cell>
          <cell r="E2041" t="str">
            <v>Swiflite Aircraft Corp</v>
          </cell>
          <cell r="F2041">
            <v>6</v>
          </cell>
          <cell r="G2041">
            <v>35480</v>
          </cell>
          <cell r="H2041" t="str">
            <v>SP</v>
          </cell>
          <cell r="I2041" t="str">
            <v>North America</v>
          </cell>
          <cell r="J2041" t="str">
            <v>USA</v>
          </cell>
          <cell r="K2041">
            <v>35246</v>
          </cell>
        </row>
        <row r="2042">
          <cell r="A2042" t="str">
            <v>In service</v>
          </cell>
          <cell r="B2042" t="str">
            <v>Gulfstream Aerospace Gulfstream IV</v>
          </cell>
          <cell r="C2042" t="str">
            <v>SP</v>
          </cell>
          <cell r="D2042">
            <v>1997</v>
          </cell>
          <cell r="E2042" t="str">
            <v>Netjets International</v>
          </cell>
          <cell r="F2042">
            <v>5</v>
          </cell>
          <cell r="G2042">
            <v>35515</v>
          </cell>
          <cell r="H2042" t="str">
            <v>SP</v>
          </cell>
          <cell r="I2042" t="str">
            <v>North America</v>
          </cell>
          <cell r="J2042" t="str">
            <v>USA</v>
          </cell>
          <cell r="K2042">
            <v>35311</v>
          </cell>
        </row>
        <row r="2043">
          <cell r="A2043" t="str">
            <v>In service</v>
          </cell>
          <cell r="B2043" t="str">
            <v>Gulfstream Aerospace Gulfstream IV</v>
          </cell>
          <cell r="C2043" t="str">
            <v>SP</v>
          </cell>
          <cell r="D2043">
            <v>1996</v>
          </cell>
          <cell r="E2043" t="str">
            <v>Aventis Pharmaceuticals Inc</v>
          </cell>
          <cell r="F2043">
            <v>6</v>
          </cell>
          <cell r="G2043">
            <v>35506</v>
          </cell>
          <cell r="H2043" t="str">
            <v>SP</v>
          </cell>
          <cell r="I2043" t="str">
            <v>North America</v>
          </cell>
          <cell r="J2043" t="str">
            <v>USA</v>
          </cell>
          <cell r="K2043">
            <v>35246</v>
          </cell>
        </row>
        <row r="2044">
          <cell r="A2044" t="str">
            <v>In service</v>
          </cell>
          <cell r="B2044" t="str">
            <v>Gulfstream Aerospace Gulfstream IV</v>
          </cell>
          <cell r="C2044" t="str">
            <v>SP</v>
          </cell>
          <cell r="D2044">
            <v>1997</v>
          </cell>
          <cell r="E2044" t="str">
            <v>American Express</v>
          </cell>
          <cell r="F2044">
            <v>5</v>
          </cell>
          <cell r="G2044">
            <v>35598</v>
          </cell>
          <cell r="H2044" t="str">
            <v>SP</v>
          </cell>
          <cell r="I2044" t="str">
            <v>North America</v>
          </cell>
          <cell r="J2044" t="str">
            <v>USA</v>
          </cell>
          <cell r="K2044">
            <v>35414</v>
          </cell>
        </row>
        <row r="2045">
          <cell r="A2045" t="str">
            <v>In service</v>
          </cell>
          <cell r="B2045" t="str">
            <v>Gulfstream Aerospace Gulfstream IV</v>
          </cell>
          <cell r="C2045" t="str">
            <v>SP</v>
          </cell>
          <cell r="D2045">
            <v>1997</v>
          </cell>
          <cell r="E2045" t="str">
            <v>American Express</v>
          </cell>
          <cell r="F2045">
            <v>5</v>
          </cell>
          <cell r="G2045">
            <v>35611</v>
          </cell>
          <cell r="H2045" t="str">
            <v>SP</v>
          </cell>
          <cell r="I2045" t="str">
            <v>North America</v>
          </cell>
          <cell r="J2045" t="str">
            <v>USA</v>
          </cell>
          <cell r="K2045">
            <v>35414</v>
          </cell>
        </row>
        <row r="2046">
          <cell r="A2046" t="str">
            <v>In service</v>
          </cell>
          <cell r="B2046" t="str">
            <v>Gulfstream Aerospace Gulfstream IV</v>
          </cell>
          <cell r="C2046" t="str">
            <v>SP</v>
          </cell>
          <cell r="D2046">
            <v>1997</v>
          </cell>
          <cell r="E2046" t="str">
            <v>Netjets International</v>
          </cell>
          <cell r="F2046">
            <v>5</v>
          </cell>
          <cell r="G2046">
            <v>35605</v>
          </cell>
          <cell r="H2046" t="str">
            <v>SP</v>
          </cell>
          <cell r="I2046" t="str">
            <v>North America</v>
          </cell>
          <cell r="J2046" t="str">
            <v>USA</v>
          </cell>
          <cell r="K2046">
            <v>35311</v>
          </cell>
        </row>
        <row r="2047">
          <cell r="A2047" t="str">
            <v>In service</v>
          </cell>
          <cell r="B2047" t="str">
            <v>Gulfstream Aerospace Gulfstream IV</v>
          </cell>
          <cell r="C2047" t="str">
            <v>SP</v>
          </cell>
          <cell r="D2047">
            <v>1997</v>
          </cell>
          <cell r="E2047" t="str">
            <v>Sprint-United Management Co</v>
          </cell>
          <cell r="F2047">
            <v>5</v>
          </cell>
          <cell r="G2047">
            <v>35604</v>
          </cell>
          <cell r="H2047" t="str">
            <v>SP</v>
          </cell>
          <cell r="I2047" t="str">
            <v>North America</v>
          </cell>
          <cell r="J2047" t="str">
            <v>USA</v>
          </cell>
          <cell r="K2047">
            <v>35414</v>
          </cell>
        </row>
        <row r="2048">
          <cell r="A2048" t="str">
            <v>In service</v>
          </cell>
          <cell r="B2048" t="str">
            <v>Gulfstream Aerospace Gulfstream IV</v>
          </cell>
          <cell r="C2048" t="str">
            <v>SP</v>
          </cell>
          <cell r="D2048">
            <v>1997</v>
          </cell>
          <cell r="E2048" t="str">
            <v>New World Jet Corp</v>
          </cell>
          <cell r="F2048">
            <v>5</v>
          </cell>
          <cell r="G2048">
            <v>35692</v>
          </cell>
          <cell r="H2048" t="str">
            <v>SP</v>
          </cell>
          <cell r="I2048" t="str">
            <v>North America</v>
          </cell>
          <cell r="J2048" t="str">
            <v>USA</v>
          </cell>
          <cell r="K2048">
            <v>34880</v>
          </cell>
        </row>
        <row r="2049">
          <cell r="A2049" t="str">
            <v>In service</v>
          </cell>
          <cell r="B2049" t="str">
            <v>Gulfstream Aerospace Gulfstream IV</v>
          </cell>
          <cell r="C2049" t="str">
            <v>SP</v>
          </cell>
          <cell r="D2049">
            <v>1997</v>
          </cell>
          <cell r="E2049" t="str">
            <v>American Express</v>
          </cell>
          <cell r="F2049">
            <v>5</v>
          </cell>
          <cell r="G2049">
            <v>35644</v>
          </cell>
          <cell r="H2049" t="str">
            <v>SP</v>
          </cell>
          <cell r="I2049" t="str">
            <v>North America</v>
          </cell>
          <cell r="J2049" t="str">
            <v>USA</v>
          </cell>
          <cell r="K2049">
            <v>35414</v>
          </cell>
        </row>
        <row r="2050">
          <cell r="A2050" t="str">
            <v>In service</v>
          </cell>
          <cell r="B2050" t="str">
            <v>Gulfstream Aerospace Gulfstream IV</v>
          </cell>
          <cell r="C2050" t="str">
            <v>SP</v>
          </cell>
          <cell r="D2050">
            <v>1997</v>
          </cell>
          <cell r="E2050" t="str">
            <v>Netjets International</v>
          </cell>
          <cell r="F2050">
            <v>5</v>
          </cell>
          <cell r="G2050">
            <v>35698</v>
          </cell>
          <cell r="H2050" t="str">
            <v>SP</v>
          </cell>
          <cell r="I2050" t="str">
            <v>North America</v>
          </cell>
          <cell r="J2050" t="str">
            <v>USA</v>
          </cell>
          <cell r="K2050">
            <v>35311</v>
          </cell>
        </row>
        <row r="2051">
          <cell r="A2051" t="str">
            <v>In service</v>
          </cell>
          <cell r="B2051" t="str">
            <v>Gulfstream Aerospace Gulfstream IV</v>
          </cell>
          <cell r="C2051" t="str">
            <v>SP</v>
          </cell>
          <cell r="D2051">
            <v>1997</v>
          </cell>
          <cell r="E2051" t="str">
            <v>ConAgra Foods Inc</v>
          </cell>
          <cell r="F2051">
            <v>5</v>
          </cell>
          <cell r="G2051">
            <v>35650</v>
          </cell>
          <cell r="H2051" t="str">
            <v>SP</v>
          </cell>
          <cell r="I2051" t="str">
            <v>North America</v>
          </cell>
          <cell r="J2051" t="str">
            <v>USA</v>
          </cell>
          <cell r="K2051">
            <v>35246</v>
          </cell>
        </row>
        <row r="2052">
          <cell r="A2052" t="str">
            <v>In service</v>
          </cell>
          <cell r="B2052" t="str">
            <v>Gulfstream Aerospace Gulfstream IV</v>
          </cell>
          <cell r="C2052" t="str">
            <v>SP</v>
          </cell>
          <cell r="D2052">
            <v>1997</v>
          </cell>
          <cell r="E2052" t="str">
            <v>Owens-Illinois Inc</v>
          </cell>
          <cell r="F2052">
            <v>5</v>
          </cell>
          <cell r="G2052">
            <v>35794</v>
          </cell>
          <cell r="H2052" t="str">
            <v>SP</v>
          </cell>
          <cell r="I2052" t="str">
            <v>North America</v>
          </cell>
          <cell r="J2052" t="str">
            <v>USA</v>
          </cell>
          <cell r="K2052">
            <v>35246</v>
          </cell>
        </row>
        <row r="2053">
          <cell r="A2053" t="str">
            <v>In service</v>
          </cell>
          <cell r="B2053" t="str">
            <v>Gulfstream Aerospace Gulfstream IV</v>
          </cell>
          <cell r="C2053" t="str">
            <v>SP</v>
          </cell>
          <cell r="D2053">
            <v>1997</v>
          </cell>
          <cell r="E2053" t="str">
            <v>Netjets International</v>
          </cell>
          <cell r="F2053">
            <v>5</v>
          </cell>
          <cell r="G2053">
            <v>35782</v>
          </cell>
          <cell r="H2053" t="str">
            <v>SP</v>
          </cell>
          <cell r="I2053" t="str">
            <v>North America</v>
          </cell>
          <cell r="J2053" t="str">
            <v>USA</v>
          </cell>
          <cell r="K2053">
            <v>35311</v>
          </cell>
        </row>
        <row r="2054">
          <cell r="A2054" t="str">
            <v>In service</v>
          </cell>
          <cell r="B2054" t="str">
            <v>Gulfstream Aerospace Gulfstream IV</v>
          </cell>
          <cell r="C2054" t="str">
            <v>SP</v>
          </cell>
          <cell r="D2054">
            <v>1997</v>
          </cell>
          <cell r="E2054" t="str">
            <v>Jet Club Ltd Bermuda</v>
          </cell>
          <cell r="F2054">
            <v>5</v>
          </cell>
          <cell r="G2054">
            <v>35832</v>
          </cell>
          <cell r="H2054" t="str">
            <v>SP</v>
          </cell>
          <cell r="I2054" t="str">
            <v>Latin America and Caribbean</v>
          </cell>
          <cell r="J2054" t="str">
            <v>Bermuda</v>
          </cell>
          <cell r="K2054">
            <v>35246</v>
          </cell>
        </row>
        <row r="2055">
          <cell r="A2055" t="str">
            <v>In service</v>
          </cell>
          <cell r="B2055" t="str">
            <v>Gulfstream Aerospace Gulfstream IV</v>
          </cell>
          <cell r="C2055" t="str">
            <v>SP</v>
          </cell>
          <cell r="D2055">
            <v>1997</v>
          </cell>
          <cell r="E2055" t="str">
            <v>Lucent Technologies Inc</v>
          </cell>
          <cell r="F2055">
            <v>5</v>
          </cell>
          <cell r="G2055">
            <v>35807</v>
          </cell>
          <cell r="H2055" t="str">
            <v>SP</v>
          </cell>
          <cell r="I2055" t="str">
            <v>North America</v>
          </cell>
          <cell r="J2055" t="str">
            <v>USA</v>
          </cell>
          <cell r="K2055">
            <v>35246</v>
          </cell>
        </row>
        <row r="2056">
          <cell r="A2056" t="str">
            <v>In service</v>
          </cell>
          <cell r="B2056" t="str">
            <v>Gulfstream Aerospace Gulfstream IV</v>
          </cell>
          <cell r="C2056" t="str">
            <v>SP</v>
          </cell>
          <cell r="D2056">
            <v>1997</v>
          </cell>
          <cell r="E2056" t="str">
            <v>United States Automobile Assoc</v>
          </cell>
          <cell r="F2056">
            <v>5</v>
          </cell>
          <cell r="G2056">
            <v>35793</v>
          </cell>
          <cell r="H2056" t="str">
            <v>SP</v>
          </cell>
          <cell r="I2056" t="str">
            <v>North America</v>
          </cell>
          <cell r="J2056" t="str">
            <v>USA</v>
          </cell>
          <cell r="K2056">
            <v>35246</v>
          </cell>
        </row>
        <row r="2057">
          <cell r="A2057" t="str">
            <v>In service</v>
          </cell>
          <cell r="B2057" t="str">
            <v>Gulfstream Aerospace Gulfstream IV</v>
          </cell>
          <cell r="C2057" t="str">
            <v>SP</v>
          </cell>
          <cell r="D2057">
            <v>1997</v>
          </cell>
          <cell r="E2057" t="str">
            <v>Oaktree Capital Management Inc</v>
          </cell>
          <cell r="F2057">
            <v>5</v>
          </cell>
          <cell r="G2057">
            <v>35783</v>
          </cell>
          <cell r="H2057" t="str">
            <v>SP</v>
          </cell>
          <cell r="I2057" t="str">
            <v>North America</v>
          </cell>
          <cell r="J2057" t="str">
            <v>USA</v>
          </cell>
          <cell r="K2057">
            <v>35246</v>
          </cell>
        </row>
        <row r="2058">
          <cell r="A2058" t="str">
            <v>In service</v>
          </cell>
          <cell r="B2058" t="str">
            <v>Gulfstream Aerospace Gulfstream IV</v>
          </cell>
          <cell r="C2058" t="str">
            <v>SP</v>
          </cell>
          <cell r="D2058">
            <v>1997</v>
          </cell>
          <cell r="E2058" t="str">
            <v>Netjets International</v>
          </cell>
          <cell r="F2058">
            <v>5</v>
          </cell>
          <cell r="G2058">
            <v>35794</v>
          </cell>
          <cell r="H2058" t="str">
            <v>SP</v>
          </cell>
          <cell r="I2058" t="str">
            <v>North America</v>
          </cell>
          <cell r="J2058" t="str">
            <v>USA</v>
          </cell>
          <cell r="K2058">
            <v>35311</v>
          </cell>
        </row>
        <row r="2059">
          <cell r="A2059" t="str">
            <v>In service</v>
          </cell>
          <cell r="B2059" t="str">
            <v>Gulfstream Aerospace Gulfstream IV</v>
          </cell>
          <cell r="C2059" t="str">
            <v>SP</v>
          </cell>
          <cell r="D2059">
            <v>1997</v>
          </cell>
          <cell r="E2059" t="str">
            <v>LKM Inc &amp; Eeyore Aviation LLC</v>
          </cell>
          <cell r="F2059">
            <v>5</v>
          </cell>
          <cell r="G2059">
            <v>35821</v>
          </cell>
          <cell r="H2059" t="str">
            <v>SP</v>
          </cell>
          <cell r="I2059" t="str">
            <v>North America</v>
          </cell>
          <cell r="J2059" t="str">
            <v>USA</v>
          </cell>
          <cell r="K2059">
            <v>35246</v>
          </cell>
        </row>
        <row r="2060">
          <cell r="A2060" t="str">
            <v>In service</v>
          </cell>
          <cell r="B2060" t="str">
            <v>Gulfstream Aerospace Gulfstream IV</v>
          </cell>
          <cell r="C2060" t="str">
            <v>SP</v>
          </cell>
          <cell r="D2060">
            <v>1998</v>
          </cell>
          <cell r="E2060" t="str">
            <v>Chevron USA Inc</v>
          </cell>
          <cell r="F2060">
            <v>4</v>
          </cell>
          <cell r="G2060">
            <v>35991</v>
          </cell>
          <cell r="H2060" t="str">
            <v>SP</v>
          </cell>
          <cell r="I2060" t="str">
            <v>North America</v>
          </cell>
          <cell r="J2060" t="str">
            <v>USA</v>
          </cell>
          <cell r="K2060">
            <v>35246</v>
          </cell>
        </row>
        <row r="2061">
          <cell r="A2061" t="str">
            <v>In service</v>
          </cell>
          <cell r="B2061" t="str">
            <v>Gulfstream Aerospace Gulfstream IV</v>
          </cell>
          <cell r="C2061" t="str">
            <v>SP</v>
          </cell>
          <cell r="D2061">
            <v>1998</v>
          </cell>
          <cell r="E2061" t="str">
            <v>Symax Aviation LLC</v>
          </cell>
          <cell r="F2061">
            <v>4</v>
          </cell>
          <cell r="G2061">
            <v>35885</v>
          </cell>
          <cell r="H2061" t="str">
            <v>SP</v>
          </cell>
          <cell r="I2061" t="str">
            <v>North America</v>
          </cell>
          <cell r="J2061" t="str">
            <v>USA</v>
          </cell>
          <cell r="K2061">
            <v>35246</v>
          </cell>
        </row>
        <row r="2062">
          <cell r="A2062" t="str">
            <v>In service</v>
          </cell>
          <cell r="B2062" t="str">
            <v>Gulfstream Aerospace Gulfstream IV</v>
          </cell>
          <cell r="C2062" t="str">
            <v>SP</v>
          </cell>
          <cell r="D2062">
            <v>1998</v>
          </cell>
          <cell r="E2062" t="str">
            <v>Netjets International</v>
          </cell>
          <cell r="F2062">
            <v>4</v>
          </cell>
          <cell r="G2062">
            <v>35908</v>
          </cell>
          <cell r="H2062" t="str">
            <v>SP</v>
          </cell>
          <cell r="I2062" t="str">
            <v>North America</v>
          </cell>
          <cell r="J2062" t="str">
            <v>USA</v>
          </cell>
          <cell r="K2062">
            <v>35311</v>
          </cell>
        </row>
        <row r="2063">
          <cell r="A2063" t="str">
            <v>In service</v>
          </cell>
          <cell r="B2063" t="str">
            <v>Gulfstream Aerospace Gulfstream IV</v>
          </cell>
          <cell r="C2063" t="str">
            <v>SP</v>
          </cell>
          <cell r="D2063">
            <v>1998</v>
          </cell>
          <cell r="E2063" t="str">
            <v>New World Jet Corp</v>
          </cell>
          <cell r="F2063">
            <v>4</v>
          </cell>
          <cell r="G2063">
            <v>35989</v>
          </cell>
          <cell r="H2063" t="str">
            <v>SP</v>
          </cell>
          <cell r="I2063" t="str">
            <v>North America</v>
          </cell>
          <cell r="J2063" t="str">
            <v>USA</v>
          </cell>
          <cell r="K2063">
            <v>35246</v>
          </cell>
        </row>
        <row r="2064">
          <cell r="A2064" t="str">
            <v>In service</v>
          </cell>
          <cell r="B2064" t="str">
            <v>Gulfstream Aerospace Gulfstream IV</v>
          </cell>
          <cell r="C2064" t="str">
            <v>SP</v>
          </cell>
          <cell r="D2064">
            <v>1998</v>
          </cell>
          <cell r="E2064" t="str">
            <v>Netjets International</v>
          </cell>
          <cell r="F2064">
            <v>4</v>
          </cell>
          <cell r="G2064">
            <v>35964</v>
          </cell>
          <cell r="H2064" t="str">
            <v>SP</v>
          </cell>
          <cell r="I2064" t="str">
            <v>North America</v>
          </cell>
          <cell r="J2064" t="str">
            <v>USA</v>
          </cell>
          <cell r="K2064">
            <v>35311</v>
          </cell>
        </row>
        <row r="2065">
          <cell r="A2065" t="str">
            <v>In service</v>
          </cell>
          <cell r="B2065" t="str">
            <v>Gulfstream Aerospace Gulfstream IV</v>
          </cell>
          <cell r="C2065" t="str">
            <v>SP</v>
          </cell>
          <cell r="D2065">
            <v>1998</v>
          </cell>
          <cell r="E2065" t="str">
            <v>Xamex Investments Inc</v>
          </cell>
          <cell r="F2065">
            <v>4</v>
          </cell>
          <cell r="G2065">
            <v>35944</v>
          </cell>
          <cell r="H2065" t="str">
            <v>SP</v>
          </cell>
          <cell r="I2065" t="str">
            <v>North America</v>
          </cell>
          <cell r="J2065" t="str">
            <v>USA</v>
          </cell>
          <cell r="K2065">
            <v>35246</v>
          </cell>
        </row>
        <row r="2066">
          <cell r="A2066" t="str">
            <v>In service</v>
          </cell>
          <cell r="B2066" t="str">
            <v>Gulfstream Aerospace Gulfstream IV</v>
          </cell>
          <cell r="C2066" t="str">
            <v>SP</v>
          </cell>
          <cell r="D2066">
            <v>1998</v>
          </cell>
          <cell r="E2066" t="str">
            <v>Netjets International</v>
          </cell>
          <cell r="F2066">
            <v>4</v>
          </cell>
          <cell r="G2066">
            <v>36013</v>
          </cell>
          <cell r="H2066" t="str">
            <v>SP</v>
          </cell>
          <cell r="I2066" t="str">
            <v>North America</v>
          </cell>
          <cell r="J2066" t="str">
            <v>USA</v>
          </cell>
          <cell r="K2066">
            <v>35311</v>
          </cell>
        </row>
        <row r="2067">
          <cell r="A2067" t="str">
            <v>In service</v>
          </cell>
          <cell r="B2067" t="str">
            <v>Gulfstream Aerospace Gulfstream IV</v>
          </cell>
          <cell r="C2067" t="str">
            <v>SP</v>
          </cell>
          <cell r="D2067">
            <v>1997</v>
          </cell>
          <cell r="E2067" t="str">
            <v>Aeropuerto Argentina 200</v>
          </cell>
          <cell r="F2067">
            <v>5</v>
          </cell>
          <cell r="G2067">
            <v>35794</v>
          </cell>
          <cell r="H2067" t="str">
            <v>SP</v>
          </cell>
          <cell r="I2067" t="str">
            <v>Latin America and Caribbean</v>
          </cell>
          <cell r="J2067" t="str">
            <v>Argentina</v>
          </cell>
          <cell r="K2067">
            <v>35611</v>
          </cell>
        </row>
        <row r="2068">
          <cell r="A2068" t="str">
            <v>In service</v>
          </cell>
          <cell r="B2068" t="str">
            <v>Gulfstream Aerospace Gulfstream IV</v>
          </cell>
          <cell r="C2068" t="str">
            <v>SP</v>
          </cell>
          <cell r="D2068">
            <v>1998</v>
          </cell>
          <cell r="E2068" t="str">
            <v>Government of Gabon</v>
          </cell>
          <cell r="F2068">
            <v>4</v>
          </cell>
          <cell r="G2068">
            <v>36114</v>
          </cell>
          <cell r="H2068" t="str">
            <v>SP</v>
          </cell>
          <cell r="I2068" t="str">
            <v>Africa</v>
          </cell>
          <cell r="J2068" t="str">
            <v>Gabon</v>
          </cell>
          <cell r="K2068">
            <v>35976</v>
          </cell>
        </row>
        <row r="2069">
          <cell r="A2069" t="str">
            <v>In service</v>
          </cell>
          <cell r="B2069" t="str">
            <v>Gulfstream Aerospace Gulfstream IV</v>
          </cell>
          <cell r="C2069" t="str">
            <v>SP</v>
          </cell>
          <cell r="D2069">
            <v>1998</v>
          </cell>
          <cell r="E2069" t="str">
            <v>Netjets International</v>
          </cell>
          <cell r="F2069">
            <v>4</v>
          </cell>
          <cell r="G2069">
            <v>36056</v>
          </cell>
          <cell r="H2069" t="str">
            <v>SP</v>
          </cell>
          <cell r="I2069" t="str">
            <v>North America</v>
          </cell>
          <cell r="J2069" t="str">
            <v>USA</v>
          </cell>
          <cell r="K2069">
            <v>35311</v>
          </cell>
        </row>
        <row r="2070">
          <cell r="A2070" t="str">
            <v>In service</v>
          </cell>
          <cell r="B2070" t="str">
            <v>Gulfstream Aerospace Gulfstream IV</v>
          </cell>
          <cell r="C2070" t="str">
            <v>SP</v>
          </cell>
          <cell r="D2070">
            <v>1998</v>
          </cell>
          <cell r="E2070" t="str">
            <v>Government of Egypt</v>
          </cell>
          <cell r="F2070">
            <v>4</v>
          </cell>
          <cell r="G2070">
            <v>36114</v>
          </cell>
          <cell r="H2070" t="str">
            <v>SP</v>
          </cell>
          <cell r="I2070" t="str">
            <v>Africa</v>
          </cell>
          <cell r="J2070" t="str">
            <v>Egypt</v>
          </cell>
          <cell r="K2070">
            <v>35976</v>
          </cell>
        </row>
        <row r="2071">
          <cell r="A2071" t="str">
            <v>In service</v>
          </cell>
          <cell r="B2071" t="str">
            <v>Gulfstream Aerospace Gulfstream IV</v>
          </cell>
          <cell r="C2071" t="str">
            <v>SP</v>
          </cell>
          <cell r="D2071">
            <v>1998</v>
          </cell>
          <cell r="E2071" t="str">
            <v>Johnson &amp; Johnson</v>
          </cell>
          <cell r="F2071">
            <v>4</v>
          </cell>
          <cell r="G2071">
            <v>36080</v>
          </cell>
          <cell r="H2071" t="str">
            <v>SP</v>
          </cell>
          <cell r="I2071" t="str">
            <v>North America</v>
          </cell>
          <cell r="J2071" t="str">
            <v>USA</v>
          </cell>
          <cell r="K2071">
            <v>35611</v>
          </cell>
        </row>
        <row r="2072">
          <cell r="A2072" t="str">
            <v>In service</v>
          </cell>
          <cell r="B2072" t="str">
            <v>Gulfstream Aerospace Gulfstream IV</v>
          </cell>
          <cell r="C2072" t="str">
            <v>SP</v>
          </cell>
          <cell r="D2072">
            <v>1998</v>
          </cell>
          <cell r="E2072" t="str">
            <v>General Dynamics Corp</v>
          </cell>
          <cell r="F2072">
            <v>4</v>
          </cell>
          <cell r="G2072">
            <v>36133</v>
          </cell>
          <cell r="H2072" t="str">
            <v>SP</v>
          </cell>
          <cell r="I2072" t="str">
            <v>North America</v>
          </cell>
          <cell r="J2072" t="str">
            <v>USA</v>
          </cell>
          <cell r="K2072">
            <v>35611</v>
          </cell>
        </row>
        <row r="2073">
          <cell r="A2073" t="str">
            <v>In service</v>
          </cell>
          <cell r="B2073" t="str">
            <v>Gulfstream Aerospace Gulfstream IV</v>
          </cell>
          <cell r="C2073" t="str">
            <v>SP</v>
          </cell>
          <cell r="D2073">
            <v>1998</v>
          </cell>
          <cell r="E2073" t="str">
            <v>Government of Egypt</v>
          </cell>
          <cell r="F2073">
            <v>4</v>
          </cell>
          <cell r="G2073">
            <v>36144</v>
          </cell>
          <cell r="H2073" t="str">
            <v>SP</v>
          </cell>
          <cell r="I2073" t="str">
            <v>Africa</v>
          </cell>
          <cell r="J2073" t="str">
            <v>Egypt</v>
          </cell>
          <cell r="K2073">
            <v>35976</v>
          </cell>
        </row>
        <row r="2074">
          <cell r="A2074" t="str">
            <v>In service</v>
          </cell>
          <cell r="B2074" t="str">
            <v>Gulfstream Aerospace Gulfstream IV</v>
          </cell>
          <cell r="C2074" t="str">
            <v>SP</v>
          </cell>
          <cell r="D2074">
            <v>1998</v>
          </cell>
          <cell r="E2074" t="str">
            <v>Johnson &amp; Johnson</v>
          </cell>
          <cell r="F2074">
            <v>4</v>
          </cell>
          <cell r="G2074">
            <v>36123</v>
          </cell>
          <cell r="H2074" t="str">
            <v>SP</v>
          </cell>
          <cell r="I2074" t="str">
            <v>North America</v>
          </cell>
          <cell r="J2074" t="str">
            <v>USA</v>
          </cell>
          <cell r="K2074">
            <v>35611</v>
          </cell>
        </row>
        <row r="2075">
          <cell r="A2075" t="str">
            <v>In service</v>
          </cell>
          <cell r="B2075" t="str">
            <v>Gulfstream Aerospace Gulfstream IV</v>
          </cell>
          <cell r="C2075" t="str">
            <v>SP</v>
          </cell>
          <cell r="D2075">
            <v>1998</v>
          </cell>
          <cell r="E2075" t="str">
            <v>Netjets International</v>
          </cell>
          <cell r="F2075">
            <v>4</v>
          </cell>
          <cell r="G2075">
            <v>36123</v>
          </cell>
          <cell r="H2075" t="str">
            <v>SP</v>
          </cell>
          <cell r="I2075" t="str">
            <v>North America</v>
          </cell>
          <cell r="J2075" t="str">
            <v>USA</v>
          </cell>
          <cell r="K2075">
            <v>35521</v>
          </cell>
        </row>
        <row r="2076">
          <cell r="A2076" t="str">
            <v>In service</v>
          </cell>
          <cell r="B2076" t="str">
            <v>Gulfstream Aerospace Gulfstream IV</v>
          </cell>
          <cell r="C2076" t="str">
            <v>SP</v>
          </cell>
          <cell r="D2076">
            <v>1998</v>
          </cell>
          <cell r="E2076" t="str">
            <v>Astor Street Asset Management Inc</v>
          </cell>
          <cell r="F2076">
            <v>4</v>
          </cell>
          <cell r="G2076">
            <v>36151</v>
          </cell>
          <cell r="H2076" t="str">
            <v>SP</v>
          </cell>
          <cell r="I2076" t="str">
            <v>North America</v>
          </cell>
          <cell r="J2076" t="str">
            <v>USA</v>
          </cell>
          <cell r="K2076">
            <v>35611</v>
          </cell>
        </row>
        <row r="2077">
          <cell r="A2077" t="str">
            <v>In service</v>
          </cell>
          <cell r="B2077" t="str">
            <v>Gulfstream Aerospace Gulfstream IV</v>
          </cell>
          <cell r="C2077" t="str">
            <v>SP</v>
          </cell>
          <cell r="D2077">
            <v>1998</v>
          </cell>
          <cell r="E2077" t="str">
            <v>Pfizer Inc</v>
          </cell>
          <cell r="F2077">
            <v>4</v>
          </cell>
          <cell r="G2077">
            <v>36339</v>
          </cell>
          <cell r="H2077" t="str">
            <v>SP</v>
          </cell>
          <cell r="I2077" t="str">
            <v>North America</v>
          </cell>
          <cell r="J2077" t="str">
            <v>USA</v>
          </cell>
          <cell r="K2077">
            <v>35976</v>
          </cell>
        </row>
        <row r="2078">
          <cell r="A2078" t="str">
            <v>In service</v>
          </cell>
          <cell r="B2078" t="str">
            <v>Gulfstream Aerospace Gulfstream IV</v>
          </cell>
          <cell r="C2078" t="str">
            <v>SP</v>
          </cell>
          <cell r="D2078">
            <v>1999</v>
          </cell>
          <cell r="E2078" t="str">
            <v>Michael J Kittredge</v>
          </cell>
          <cell r="F2078">
            <v>3</v>
          </cell>
          <cell r="G2078">
            <v>36215</v>
          </cell>
          <cell r="H2078" t="str">
            <v>SP</v>
          </cell>
          <cell r="I2078" t="str">
            <v>North America</v>
          </cell>
          <cell r="J2078" t="str">
            <v>USA</v>
          </cell>
          <cell r="K2078">
            <v>35611</v>
          </cell>
        </row>
        <row r="2079">
          <cell r="A2079" t="str">
            <v>In service</v>
          </cell>
          <cell r="B2079" t="str">
            <v>Gulfstream Aerospace Gulfstream IV</v>
          </cell>
          <cell r="C2079" t="str">
            <v>SP</v>
          </cell>
          <cell r="D2079">
            <v>1999</v>
          </cell>
          <cell r="E2079" t="str">
            <v>LHF Holdings LLC</v>
          </cell>
          <cell r="F2079">
            <v>3</v>
          </cell>
          <cell r="G2079">
            <v>36210</v>
          </cell>
          <cell r="H2079" t="str">
            <v>SP</v>
          </cell>
          <cell r="I2079" t="str">
            <v>North America</v>
          </cell>
          <cell r="J2079" t="str">
            <v>USA</v>
          </cell>
          <cell r="K2079">
            <v>35611</v>
          </cell>
        </row>
        <row r="2080">
          <cell r="A2080" t="str">
            <v>In service</v>
          </cell>
          <cell r="B2080" t="str">
            <v>Gulfstream Aerospace Gulfstream IV</v>
          </cell>
          <cell r="C2080" t="str">
            <v>SP</v>
          </cell>
          <cell r="D2080">
            <v>1998</v>
          </cell>
          <cell r="E2080" t="str">
            <v>TAL Leasing Co LLC</v>
          </cell>
          <cell r="F2080">
            <v>4</v>
          </cell>
          <cell r="G2080">
            <v>36158</v>
          </cell>
          <cell r="H2080" t="str">
            <v>SP</v>
          </cell>
          <cell r="I2080" t="str">
            <v>North America</v>
          </cell>
          <cell r="J2080" t="str">
            <v>USA</v>
          </cell>
          <cell r="K2080">
            <v>35611</v>
          </cell>
        </row>
        <row r="2081">
          <cell r="A2081" t="str">
            <v>In service</v>
          </cell>
          <cell r="B2081" t="str">
            <v>Gulfstream Aerospace Gulfstream IV</v>
          </cell>
          <cell r="C2081" t="str">
            <v>SP</v>
          </cell>
          <cell r="D2081">
            <v>1999</v>
          </cell>
          <cell r="E2081" t="str">
            <v>Abbott Laboratories Inc</v>
          </cell>
          <cell r="F2081">
            <v>3</v>
          </cell>
          <cell r="G2081">
            <v>36221</v>
          </cell>
          <cell r="H2081" t="str">
            <v>SP</v>
          </cell>
          <cell r="I2081" t="str">
            <v>North America</v>
          </cell>
          <cell r="J2081" t="str">
            <v>USA</v>
          </cell>
          <cell r="K2081">
            <v>35611</v>
          </cell>
        </row>
        <row r="2082">
          <cell r="A2082" t="str">
            <v>In service</v>
          </cell>
          <cell r="B2082" t="str">
            <v>Gulfstream Aerospace Gulfstream IV</v>
          </cell>
          <cell r="C2082" t="str">
            <v>SP</v>
          </cell>
          <cell r="D2082">
            <v>1998</v>
          </cell>
          <cell r="E2082" t="str">
            <v>Netjets International</v>
          </cell>
          <cell r="F2082">
            <v>4</v>
          </cell>
          <cell r="G2082">
            <v>36152</v>
          </cell>
          <cell r="H2082" t="str">
            <v>SP</v>
          </cell>
          <cell r="I2082" t="str">
            <v>North America</v>
          </cell>
          <cell r="J2082" t="str">
            <v>USA</v>
          </cell>
          <cell r="K2082">
            <v>35521</v>
          </cell>
        </row>
        <row r="2083">
          <cell r="A2083" t="str">
            <v>In service</v>
          </cell>
          <cell r="B2083" t="str">
            <v>Gulfstream Aerospace Gulfstream IV</v>
          </cell>
          <cell r="C2083" t="str">
            <v>SP</v>
          </cell>
          <cell r="D2083">
            <v>1998</v>
          </cell>
          <cell r="E2083" t="str">
            <v>Avjet Corp</v>
          </cell>
          <cell r="F2083">
            <v>4</v>
          </cell>
          <cell r="G2083">
            <v>36000</v>
          </cell>
          <cell r="H2083" t="str">
            <v>SP</v>
          </cell>
          <cell r="I2083" t="str">
            <v>North America</v>
          </cell>
          <cell r="J2083" t="str">
            <v>USA</v>
          </cell>
          <cell r="K2083">
            <v>35611</v>
          </cell>
        </row>
        <row r="2084">
          <cell r="A2084" t="str">
            <v>In service</v>
          </cell>
          <cell r="B2084" t="str">
            <v>Gulfstream Aerospace Gulfstream IV</v>
          </cell>
          <cell r="C2084" t="str">
            <v>SP</v>
          </cell>
          <cell r="D2084">
            <v>1999</v>
          </cell>
          <cell r="E2084" t="str">
            <v>SS Platinum Limited Liabilty Co</v>
          </cell>
          <cell r="F2084">
            <v>3</v>
          </cell>
          <cell r="G2084">
            <v>36339</v>
          </cell>
          <cell r="H2084" t="str">
            <v>SP</v>
          </cell>
          <cell r="I2084" t="str">
            <v>North America</v>
          </cell>
          <cell r="J2084" t="str">
            <v>USA</v>
          </cell>
          <cell r="K2084">
            <v>35611</v>
          </cell>
        </row>
        <row r="2085">
          <cell r="A2085" t="str">
            <v>In service</v>
          </cell>
          <cell r="B2085" t="str">
            <v>Gulfstream Aerospace Gulfstream IV</v>
          </cell>
          <cell r="C2085" t="str">
            <v>SP</v>
          </cell>
          <cell r="D2085">
            <v>1999</v>
          </cell>
          <cell r="E2085" t="str">
            <v>Eighteen LLC</v>
          </cell>
          <cell r="F2085">
            <v>3</v>
          </cell>
          <cell r="G2085">
            <v>36390</v>
          </cell>
          <cell r="H2085" t="str">
            <v>SP</v>
          </cell>
          <cell r="I2085" t="str">
            <v>Latin America and Caribbean</v>
          </cell>
          <cell r="J2085" t="str">
            <v>Bermuda</v>
          </cell>
          <cell r="K2085">
            <v>35611</v>
          </cell>
        </row>
        <row r="2086">
          <cell r="A2086" t="str">
            <v>In service</v>
          </cell>
          <cell r="B2086" t="str">
            <v>Gulfstream Aerospace Gulfstream IV</v>
          </cell>
          <cell r="C2086" t="str">
            <v>SP</v>
          </cell>
          <cell r="D2086">
            <v>1999</v>
          </cell>
          <cell r="E2086" t="str">
            <v>Seminole Tribe of Florida</v>
          </cell>
          <cell r="F2086">
            <v>3</v>
          </cell>
          <cell r="G2086">
            <v>36342</v>
          </cell>
          <cell r="H2086" t="str">
            <v>SP</v>
          </cell>
          <cell r="I2086" t="str">
            <v>North America</v>
          </cell>
          <cell r="J2086" t="str">
            <v>USA</v>
          </cell>
          <cell r="K2086">
            <v>35976</v>
          </cell>
        </row>
        <row r="2087">
          <cell r="A2087" t="str">
            <v>In service</v>
          </cell>
          <cell r="B2087" t="str">
            <v>Gulfstream Aerospace Gulfstream IV</v>
          </cell>
          <cell r="C2087" t="str">
            <v>SP</v>
          </cell>
          <cell r="D2087">
            <v>1998</v>
          </cell>
          <cell r="E2087" t="str">
            <v>Andalex Resources</v>
          </cell>
          <cell r="F2087">
            <v>4</v>
          </cell>
          <cell r="G2087">
            <v>36048</v>
          </cell>
          <cell r="H2087" t="str">
            <v>SP</v>
          </cell>
          <cell r="I2087" t="str">
            <v>North America</v>
          </cell>
          <cell r="J2087" t="str">
            <v>USA</v>
          </cell>
          <cell r="K2087">
            <v>35611</v>
          </cell>
        </row>
        <row r="2088">
          <cell r="A2088" t="str">
            <v>In service</v>
          </cell>
          <cell r="B2088" t="str">
            <v>Gulfstream Aerospace Gulfstream IV</v>
          </cell>
          <cell r="C2088" t="str">
            <v>SP</v>
          </cell>
          <cell r="D2088">
            <v>1998</v>
          </cell>
          <cell r="E2088" t="str">
            <v>Coanda Inc</v>
          </cell>
          <cell r="F2088">
            <v>4</v>
          </cell>
          <cell r="G2088">
            <v>36073</v>
          </cell>
          <cell r="H2088" t="str">
            <v>SP</v>
          </cell>
          <cell r="I2088" t="str">
            <v>North America</v>
          </cell>
          <cell r="J2088" t="str">
            <v>USA</v>
          </cell>
          <cell r="K2088">
            <v>35611</v>
          </cell>
        </row>
        <row r="2089">
          <cell r="A2089" t="str">
            <v>In service</v>
          </cell>
          <cell r="B2089" t="str">
            <v>Gulfstream Aerospace Gulfstream IV</v>
          </cell>
          <cell r="C2089" t="str">
            <v>SP</v>
          </cell>
          <cell r="D2089">
            <v>1999</v>
          </cell>
          <cell r="E2089" t="str">
            <v>United States Steel Corp</v>
          </cell>
          <cell r="F2089">
            <v>3</v>
          </cell>
          <cell r="G2089">
            <v>36495</v>
          </cell>
          <cell r="H2089" t="str">
            <v>SP</v>
          </cell>
          <cell r="I2089" t="str">
            <v>North America</v>
          </cell>
          <cell r="J2089" t="str">
            <v>USA</v>
          </cell>
          <cell r="K2089">
            <v>35976</v>
          </cell>
        </row>
        <row r="2090">
          <cell r="A2090" t="str">
            <v>In service</v>
          </cell>
          <cell r="B2090" t="str">
            <v>Gulfstream Aerospace Gulfstream IV</v>
          </cell>
          <cell r="C2090" t="str">
            <v>SP</v>
          </cell>
          <cell r="D2090">
            <v>1999</v>
          </cell>
          <cell r="E2090" t="str">
            <v>OM Group Inc</v>
          </cell>
          <cell r="F2090">
            <v>3</v>
          </cell>
          <cell r="G2090">
            <v>36461</v>
          </cell>
          <cell r="H2090" t="str">
            <v>SP</v>
          </cell>
          <cell r="I2090" t="str">
            <v>North America</v>
          </cell>
          <cell r="J2090" t="str">
            <v>USA</v>
          </cell>
          <cell r="K2090">
            <v>35869</v>
          </cell>
        </row>
        <row r="2091">
          <cell r="A2091" t="str">
            <v>In service</v>
          </cell>
          <cell r="B2091" t="str">
            <v>Gulfstream Aerospace Gulfstream IV</v>
          </cell>
          <cell r="C2091" t="str">
            <v>SP</v>
          </cell>
          <cell r="D2091">
            <v>1998</v>
          </cell>
          <cell r="E2091" t="str">
            <v>Unisys Corp</v>
          </cell>
          <cell r="F2091">
            <v>4</v>
          </cell>
          <cell r="G2091">
            <v>36144</v>
          </cell>
          <cell r="H2091" t="str">
            <v>SP</v>
          </cell>
          <cell r="I2091" t="str">
            <v>North America</v>
          </cell>
          <cell r="J2091" t="str">
            <v>USA</v>
          </cell>
          <cell r="K2091">
            <v>35611</v>
          </cell>
        </row>
        <row r="2092">
          <cell r="A2092" t="str">
            <v>In service</v>
          </cell>
          <cell r="B2092" t="str">
            <v>Gulfstream Aerospace Gulfstream IV</v>
          </cell>
          <cell r="C2092" t="str">
            <v>SP</v>
          </cell>
          <cell r="D2092">
            <v>1999</v>
          </cell>
          <cell r="E2092" t="str">
            <v>Netjets International</v>
          </cell>
          <cell r="F2092">
            <v>3</v>
          </cell>
          <cell r="G2092">
            <v>36299</v>
          </cell>
          <cell r="H2092" t="str">
            <v>SP</v>
          </cell>
          <cell r="I2092" t="str">
            <v>North America</v>
          </cell>
          <cell r="J2092" t="str">
            <v>USA</v>
          </cell>
          <cell r="K2092">
            <v>35521</v>
          </cell>
        </row>
        <row r="2093">
          <cell r="A2093" t="str">
            <v>In service</v>
          </cell>
          <cell r="B2093" t="str">
            <v>Gulfstream Aerospace Gulfstream IV</v>
          </cell>
          <cell r="C2093" t="str">
            <v>SP</v>
          </cell>
          <cell r="D2093">
            <v>1999</v>
          </cell>
          <cell r="E2093" t="str">
            <v>Netjets International</v>
          </cell>
          <cell r="F2093">
            <v>3</v>
          </cell>
          <cell r="G2093">
            <v>36249</v>
          </cell>
          <cell r="H2093" t="str">
            <v>SP</v>
          </cell>
          <cell r="I2093" t="str">
            <v>North America</v>
          </cell>
          <cell r="J2093" t="str">
            <v>USA</v>
          </cell>
          <cell r="K2093">
            <v>35521</v>
          </cell>
        </row>
        <row r="2094">
          <cell r="A2094" t="str">
            <v>In service</v>
          </cell>
          <cell r="B2094" t="str">
            <v>Gulfstream Aerospace Gulfstream IV</v>
          </cell>
          <cell r="C2094" t="str">
            <v>SP</v>
          </cell>
          <cell r="D2094">
            <v>1999</v>
          </cell>
          <cell r="E2094" t="str">
            <v>Government of Bahrain</v>
          </cell>
          <cell r="F2094">
            <v>3</v>
          </cell>
          <cell r="G2094">
            <v>36364</v>
          </cell>
          <cell r="H2094" t="str">
            <v>SP</v>
          </cell>
          <cell r="I2094" t="str">
            <v>Middle East</v>
          </cell>
          <cell r="J2094" t="str">
            <v>Bahrain</v>
          </cell>
          <cell r="K2094">
            <v>35976</v>
          </cell>
        </row>
        <row r="2095">
          <cell r="A2095" t="str">
            <v>In service</v>
          </cell>
          <cell r="B2095" t="str">
            <v>Gulfstream Aerospace Gulfstream IV</v>
          </cell>
          <cell r="C2095" t="str">
            <v>SP</v>
          </cell>
          <cell r="D2095">
            <v>1998</v>
          </cell>
          <cell r="E2095" t="str">
            <v>Recovery Services International Inc</v>
          </cell>
          <cell r="F2095">
            <v>4</v>
          </cell>
          <cell r="G2095">
            <v>36139</v>
          </cell>
          <cell r="H2095" t="str">
            <v>SP</v>
          </cell>
          <cell r="I2095" t="str">
            <v>North America</v>
          </cell>
          <cell r="J2095" t="str">
            <v>USA</v>
          </cell>
          <cell r="K2095">
            <v>35611</v>
          </cell>
        </row>
        <row r="2096">
          <cell r="A2096" t="str">
            <v>In service</v>
          </cell>
          <cell r="B2096" t="str">
            <v>Gulfstream Aerospace Gulfstream IV</v>
          </cell>
          <cell r="C2096" t="str">
            <v>SP</v>
          </cell>
          <cell r="D2096">
            <v>1998</v>
          </cell>
          <cell r="E2096" t="str">
            <v>Duchossois Industries Inc</v>
          </cell>
          <cell r="F2096">
            <v>4</v>
          </cell>
          <cell r="G2096">
            <v>36192</v>
          </cell>
          <cell r="H2096" t="str">
            <v>SP</v>
          </cell>
          <cell r="I2096" t="str">
            <v>North America</v>
          </cell>
          <cell r="J2096" t="str">
            <v>USA</v>
          </cell>
          <cell r="K2096">
            <v>35976</v>
          </cell>
        </row>
        <row r="2097">
          <cell r="A2097" t="str">
            <v>In service</v>
          </cell>
          <cell r="B2097" t="str">
            <v>Gulfstream Aerospace Gulfstream IV</v>
          </cell>
          <cell r="C2097" t="str">
            <v>SP</v>
          </cell>
          <cell r="D2097">
            <v>1999</v>
          </cell>
          <cell r="E2097" t="str">
            <v>Dominion Resources Inc</v>
          </cell>
          <cell r="F2097">
            <v>3</v>
          </cell>
          <cell r="G2097">
            <v>36388</v>
          </cell>
          <cell r="H2097" t="str">
            <v>SP</v>
          </cell>
          <cell r="I2097" t="str">
            <v>North America</v>
          </cell>
          <cell r="J2097" t="str">
            <v>USA</v>
          </cell>
          <cell r="K2097">
            <v>35976</v>
          </cell>
        </row>
        <row r="2098">
          <cell r="A2098" t="str">
            <v>In service</v>
          </cell>
          <cell r="B2098" t="str">
            <v>Gulfstream Aerospace Gulfstream IV</v>
          </cell>
          <cell r="C2098" t="str">
            <v>SP</v>
          </cell>
          <cell r="D2098">
            <v>1999</v>
          </cell>
          <cell r="E2098" t="str">
            <v>K Services Inc</v>
          </cell>
          <cell r="F2098">
            <v>3</v>
          </cell>
          <cell r="G2098">
            <v>36524</v>
          </cell>
          <cell r="H2098" t="str">
            <v>SP</v>
          </cell>
          <cell r="I2098" t="str">
            <v>North America</v>
          </cell>
          <cell r="J2098" t="str">
            <v>USA</v>
          </cell>
          <cell r="K2098">
            <v>35976</v>
          </cell>
        </row>
        <row r="2099">
          <cell r="A2099" t="str">
            <v>In service</v>
          </cell>
          <cell r="B2099" t="str">
            <v>Gulfstream Aerospace Gulfstream IV</v>
          </cell>
          <cell r="C2099" t="str">
            <v>SP</v>
          </cell>
          <cell r="D2099">
            <v>1999</v>
          </cell>
          <cell r="E2099" t="str">
            <v>Chevron USA Inc</v>
          </cell>
          <cell r="F2099">
            <v>3</v>
          </cell>
          <cell r="G2099">
            <v>36516</v>
          </cell>
          <cell r="H2099" t="str">
            <v>SP</v>
          </cell>
          <cell r="I2099" t="str">
            <v>North America</v>
          </cell>
          <cell r="J2099" t="str">
            <v>USA</v>
          </cell>
          <cell r="K2099">
            <v>35246</v>
          </cell>
        </row>
        <row r="2100">
          <cell r="A2100" t="str">
            <v>In service</v>
          </cell>
          <cell r="B2100" t="str">
            <v>Gulfstream Aerospace Gulfstream IV</v>
          </cell>
          <cell r="C2100" t="str">
            <v>SP</v>
          </cell>
          <cell r="D2100">
            <v>1999</v>
          </cell>
          <cell r="E2100" t="str">
            <v>Netjets International</v>
          </cell>
          <cell r="F2100">
            <v>3</v>
          </cell>
          <cell r="G2100">
            <v>36333</v>
          </cell>
          <cell r="H2100" t="str">
            <v>SP</v>
          </cell>
          <cell r="I2100" t="str">
            <v>North America</v>
          </cell>
          <cell r="J2100" t="str">
            <v>USA</v>
          </cell>
          <cell r="K2100">
            <v>35521</v>
          </cell>
        </row>
        <row r="2101">
          <cell r="A2101" t="str">
            <v>In service</v>
          </cell>
          <cell r="B2101" t="str">
            <v>Gulfstream Aerospace Gulfstream IV</v>
          </cell>
          <cell r="C2101" t="str">
            <v>SP</v>
          </cell>
          <cell r="D2101">
            <v>1999</v>
          </cell>
          <cell r="E2101" t="str">
            <v>Campbell Sales Co</v>
          </cell>
          <cell r="F2101">
            <v>3</v>
          </cell>
          <cell r="G2101">
            <v>36364</v>
          </cell>
          <cell r="H2101" t="str">
            <v>SP</v>
          </cell>
          <cell r="I2101" t="str">
            <v>North America</v>
          </cell>
          <cell r="J2101" t="str">
            <v>USA</v>
          </cell>
          <cell r="K2101">
            <v>35976</v>
          </cell>
        </row>
        <row r="2102">
          <cell r="A2102" t="str">
            <v>In service</v>
          </cell>
          <cell r="B2102" t="str">
            <v>Gulfstream Aerospace Gulfstream IV</v>
          </cell>
          <cell r="C2102" t="str">
            <v>SP</v>
          </cell>
          <cell r="D2102">
            <v>2000</v>
          </cell>
          <cell r="E2102" t="str">
            <v>Deerport Aviation Corp</v>
          </cell>
          <cell r="F2102">
            <v>2</v>
          </cell>
          <cell r="G2102">
            <v>36643</v>
          </cell>
          <cell r="H2102" t="str">
            <v>SP</v>
          </cell>
          <cell r="I2102" t="str">
            <v>North America</v>
          </cell>
          <cell r="J2102" t="str">
            <v>USA</v>
          </cell>
          <cell r="K2102">
            <v>35976</v>
          </cell>
        </row>
        <row r="2103">
          <cell r="A2103" t="str">
            <v>In service</v>
          </cell>
          <cell r="B2103" t="str">
            <v>Gulfstream Aerospace Gulfstream IV</v>
          </cell>
          <cell r="C2103" t="str">
            <v>SP</v>
          </cell>
          <cell r="D2103">
            <v>1999</v>
          </cell>
          <cell r="E2103" t="str">
            <v>Centex Service Co</v>
          </cell>
          <cell r="F2103">
            <v>3</v>
          </cell>
          <cell r="G2103">
            <v>36370</v>
          </cell>
          <cell r="H2103" t="str">
            <v>SP</v>
          </cell>
          <cell r="I2103" t="str">
            <v>North America</v>
          </cell>
          <cell r="J2103" t="str">
            <v>USA</v>
          </cell>
          <cell r="K2103">
            <v>35521</v>
          </cell>
        </row>
        <row r="2104">
          <cell r="A2104" t="str">
            <v>In service</v>
          </cell>
          <cell r="B2104" t="str">
            <v>Gulfstream Aerospace Gulfstream IV</v>
          </cell>
          <cell r="C2104" t="str">
            <v>SP</v>
          </cell>
          <cell r="D2104">
            <v>2000</v>
          </cell>
          <cell r="E2104" t="str">
            <v>Spectacor Inc &amp; Kalco Corp</v>
          </cell>
          <cell r="F2104">
            <v>2</v>
          </cell>
          <cell r="G2104">
            <v>36615</v>
          </cell>
          <cell r="H2104" t="str">
            <v>SP</v>
          </cell>
          <cell r="I2104" t="str">
            <v>North America</v>
          </cell>
          <cell r="J2104" t="str">
            <v>USA</v>
          </cell>
          <cell r="K2104">
            <v>36053</v>
          </cell>
        </row>
        <row r="2105">
          <cell r="A2105" t="str">
            <v>In service</v>
          </cell>
          <cell r="B2105" t="str">
            <v>Gulfstream Aerospace Gulfstream IV</v>
          </cell>
          <cell r="C2105" t="str">
            <v>SP</v>
          </cell>
          <cell r="D2105">
            <v>2000</v>
          </cell>
          <cell r="E2105" t="str">
            <v>Saudi Aeromedical Evacuation</v>
          </cell>
          <cell r="F2105">
            <v>2</v>
          </cell>
          <cell r="G2105">
            <v>36666</v>
          </cell>
          <cell r="H2105" t="str">
            <v>SP</v>
          </cell>
          <cell r="I2105" t="str">
            <v>Middle East</v>
          </cell>
          <cell r="J2105" t="str">
            <v>Saudi Arabia</v>
          </cell>
          <cell r="K2105">
            <v>36341</v>
          </cell>
        </row>
        <row r="2106">
          <cell r="A2106" t="str">
            <v>In service</v>
          </cell>
          <cell r="B2106" t="str">
            <v>Gulfstream Aerospace Gulfstream IV</v>
          </cell>
          <cell r="C2106" t="str">
            <v>SP</v>
          </cell>
          <cell r="D2106">
            <v>1999</v>
          </cell>
          <cell r="E2106" t="str">
            <v>Bristol-Myers Squibb Company</v>
          </cell>
          <cell r="F2106">
            <v>3</v>
          </cell>
          <cell r="G2106">
            <v>36455</v>
          </cell>
          <cell r="H2106" t="str">
            <v>SP</v>
          </cell>
          <cell r="I2106" t="str">
            <v>North America</v>
          </cell>
          <cell r="J2106" t="str">
            <v>USA</v>
          </cell>
          <cell r="K2106">
            <v>35976</v>
          </cell>
        </row>
        <row r="2107">
          <cell r="A2107" t="str">
            <v>In service</v>
          </cell>
          <cell r="B2107" t="str">
            <v>Gulfstream Aerospace Gulfstream IV</v>
          </cell>
          <cell r="C2107" t="str">
            <v>SP</v>
          </cell>
          <cell r="D2107">
            <v>1999</v>
          </cell>
          <cell r="E2107" t="str">
            <v>Premiere Radio Networks</v>
          </cell>
          <cell r="F2107">
            <v>3</v>
          </cell>
          <cell r="G2107">
            <v>36523</v>
          </cell>
          <cell r="H2107" t="str">
            <v>SP</v>
          </cell>
          <cell r="I2107" t="str">
            <v>North America</v>
          </cell>
          <cell r="J2107" t="str">
            <v>USA</v>
          </cell>
          <cell r="K2107">
            <v>35869</v>
          </cell>
        </row>
        <row r="2108">
          <cell r="A2108" t="str">
            <v>In service</v>
          </cell>
          <cell r="B2108" t="str">
            <v>Gulfstream Aerospace Gulfstream IV</v>
          </cell>
          <cell r="C2108" t="str">
            <v>SP</v>
          </cell>
          <cell r="D2108">
            <v>2000</v>
          </cell>
          <cell r="E2108" t="str">
            <v>McDonalds Corp</v>
          </cell>
          <cell r="F2108">
            <v>2</v>
          </cell>
          <cell r="G2108">
            <v>36685</v>
          </cell>
          <cell r="H2108" t="str">
            <v>SP</v>
          </cell>
          <cell r="I2108" t="str">
            <v>North America</v>
          </cell>
          <cell r="J2108" t="str">
            <v>USA</v>
          </cell>
          <cell r="K2108">
            <v>35611</v>
          </cell>
        </row>
        <row r="2109">
          <cell r="A2109" t="str">
            <v>In service</v>
          </cell>
          <cell r="B2109" t="str">
            <v>Gulfstream Aerospace Gulfstream IV</v>
          </cell>
          <cell r="C2109" t="str">
            <v>SP</v>
          </cell>
          <cell r="D2109">
            <v>1999</v>
          </cell>
          <cell r="E2109" t="str">
            <v>Aviation Enterprises Inc</v>
          </cell>
          <cell r="F2109">
            <v>3</v>
          </cell>
          <cell r="G2109">
            <v>36416</v>
          </cell>
          <cell r="H2109" t="str">
            <v>SP</v>
          </cell>
          <cell r="I2109" t="str">
            <v>North America</v>
          </cell>
          <cell r="J2109" t="str">
            <v>USA</v>
          </cell>
          <cell r="K2109">
            <v>35521</v>
          </cell>
        </row>
        <row r="2110">
          <cell r="A2110" t="str">
            <v>In service</v>
          </cell>
          <cell r="B2110" t="str">
            <v>Gulfstream Aerospace Gulfstream IV</v>
          </cell>
          <cell r="C2110" t="str">
            <v>SP</v>
          </cell>
          <cell r="D2110">
            <v>1999</v>
          </cell>
          <cell r="E2110" t="str">
            <v>Skyaire Inc</v>
          </cell>
          <cell r="F2110">
            <v>3</v>
          </cell>
          <cell r="G2110">
            <v>36279</v>
          </cell>
          <cell r="H2110" t="str">
            <v>SP</v>
          </cell>
          <cell r="I2110" t="str">
            <v>North America</v>
          </cell>
          <cell r="J2110" t="str">
            <v>USA</v>
          </cell>
          <cell r="K2110">
            <v>35976</v>
          </cell>
        </row>
        <row r="2111">
          <cell r="A2111" t="str">
            <v>In service</v>
          </cell>
          <cell r="B2111" t="str">
            <v>Gulfstream Aerospace Gulfstream IV</v>
          </cell>
          <cell r="C2111" t="str">
            <v>SP</v>
          </cell>
          <cell r="D2111">
            <v>1999</v>
          </cell>
          <cell r="E2111" t="str">
            <v>TAG Aviation USA</v>
          </cell>
          <cell r="F2111">
            <v>3</v>
          </cell>
          <cell r="G2111">
            <v>36631</v>
          </cell>
          <cell r="H2111" t="str">
            <v>SP</v>
          </cell>
          <cell r="I2111" t="str">
            <v>North America</v>
          </cell>
          <cell r="J2111" t="str">
            <v>USA</v>
          </cell>
          <cell r="K2111">
            <v>35976</v>
          </cell>
        </row>
        <row r="2112">
          <cell r="A2112" t="str">
            <v>In service</v>
          </cell>
          <cell r="B2112" t="str">
            <v>Gulfstream Aerospace Gulfstream IV</v>
          </cell>
          <cell r="C2112" t="str">
            <v>SP</v>
          </cell>
          <cell r="D2112">
            <v>1999</v>
          </cell>
          <cell r="E2112" t="str">
            <v>Netjets International</v>
          </cell>
          <cell r="F2112">
            <v>3</v>
          </cell>
          <cell r="G2112">
            <v>36452</v>
          </cell>
          <cell r="H2112" t="str">
            <v>SP</v>
          </cell>
          <cell r="I2112" t="str">
            <v>North America</v>
          </cell>
          <cell r="J2112" t="str">
            <v>USA</v>
          </cell>
          <cell r="K2112">
            <v>35521</v>
          </cell>
        </row>
        <row r="2113">
          <cell r="A2113" t="str">
            <v>In service</v>
          </cell>
          <cell r="B2113" t="str">
            <v>Gulfstream Aerospace Gulfstream IV</v>
          </cell>
          <cell r="C2113" t="str">
            <v>SP</v>
          </cell>
          <cell r="D2113">
            <v>1999</v>
          </cell>
          <cell r="E2113" t="str">
            <v>Platinum Equity LLC</v>
          </cell>
          <cell r="F2113">
            <v>3</v>
          </cell>
          <cell r="G2113">
            <v>36314</v>
          </cell>
          <cell r="H2113" t="str">
            <v>SP</v>
          </cell>
          <cell r="I2113" t="str">
            <v>North America</v>
          </cell>
          <cell r="J2113" t="str">
            <v>USA</v>
          </cell>
          <cell r="K2113">
            <v>35611</v>
          </cell>
        </row>
        <row r="2114">
          <cell r="A2114" t="str">
            <v>In service</v>
          </cell>
          <cell r="B2114" t="str">
            <v>Gulfstream Aerospace Gulfstream IV</v>
          </cell>
          <cell r="C2114" t="str">
            <v>SP</v>
          </cell>
          <cell r="D2114">
            <v>2000</v>
          </cell>
          <cell r="E2114" t="str">
            <v>The Proctor &amp; Gamble Co</v>
          </cell>
          <cell r="F2114">
            <v>2</v>
          </cell>
          <cell r="G2114">
            <v>36648</v>
          </cell>
          <cell r="H2114" t="str">
            <v>SP</v>
          </cell>
          <cell r="I2114" t="str">
            <v>North America</v>
          </cell>
          <cell r="J2114" t="str">
            <v>USA</v>
          </cell>
          <cell r="K2114">
            <v>36341</v>
          </cell>
        </row>
        <row r="2115">
          <cell r="A2115" t="str">
            <v>In service</v>
          </cell>
          <cell r="B2115" t="str">
            <v>Gulfstream Aerospace Gulfstream IV</v>
          </cell>
          <cell r="C2115" t="str">
            <v>SP</v>
          </cell>
          <cell r="D2115">
            <v>1999</v>
          </cell>
          <cell r="E2115" t="str">
            <v>KB Home</v>
          </cell>
          <cell r="F2115">
            <v>3</v>
          </cell>
          <cell r="G2115">
            <v>36524</v>
          </cell>
          <cell r="H2115" t="str">
            <v>SP</v>
          </cell>
          <cell r="I2115" t="str">
            <v>North America</v>
          </cell>
          <cell r="J2115" t="str">
            <v>USA</v>
          </cell>
          <cell r="K2115">
            <v>36045</v>
          </cell>
        </row>
        <row r="2116">
          <cell r="A2116" t="str">
            <v>In service</v>
          </cell>
          <cell r="B2116" t="str">
            <v>Gulfstream Aerospace Gulfstream IV</v>
          </cell>
          <cell r="C2116" t="str">
            <v>SP</v>
          </cell>
          <cell r="D2116">
            <v>1999</v>
          </cell>
          <cell r="E2116" t="str">
            <v>New World Jet Corp</v>
          </cell>
          <cell r="F2116">
            <v>3</v>
          </cell>
          <cell r="G2116">
            <v>36572</v>
          </cell>
          <cell r="H2116" t="str">
            <v>SP</v>
          </cell>
          <cell r="I2116" t="str">
            <v>North America</v>
          </cell>
          <cell r="J2116" t="str">
            <v>USA</v>
          </cell>
          <cell r="K2116">
            <v>35976</v>
          </cell>
        </row>
        <row r="2117">
          <cell r="A2117" t="str">
            <v>In service</v>
          </cell>
          <cell r="B2117" t="str">
            <v>Gulfstream Aerospace Gulfstream IV</v>
          </cell>
          <cell r="C2117" t="str">
            <v>SP</v>
          </cell>
          <cell r="D2117">
            <v>1999</v>
          </cell>
          <cell r="E2117" t="str">
            <v>Netjets International</v>
          </cell>
          <cell r="F2117">
            <v>3</v>
          </cell>
          <cell r="G2117">
            <v>36486</v>
          </cell>
          <cell r="H2117" t="str">
            <v>SP</v>
          </cell>
          <cell r="I2117" t="str">
            <v>North America</v>
          </cell>
          <cell r="J2117" t="str">
            <v>USA</v>
          </cell>
          <cell r="K2117">
            <v>35521</v>
          </cell>
        </row>
        <row r="2118">
          <cell r="A2118" t="str">
            <v>In service</v>
          </cell>
          <cell r="B2118" t="str">
            <v>Gulfstream Aerospace Gulfstream IV</v>
          </cell>
          <cell r="C2118" t="str">
            <v>SP</v>
          </cell>
          <cell r="D2118">
            <v>2000</v>
          </cell>
          <cell r="E2118" t="str">
            <v>The Proctor &amp; Gamble Co</v>
          </cell>
          <cell r="F2118">
            <v>2</v>
          </cell>
          <cell r="G2118">
            <v>36668</v>
          </cell>
          <cell r="H2118" t="str">
            <v>SP</v>
          </cell>
          <cell r="I2118" t="str">
            <v>North America</v>
          </cell>
          <cell r="J2118" t="str">
            <v>USA</v>
          </cell>
          <cell r="K2118">
            <v>36341</v>
          </cell>
        </row>
        <row r="2119">
          <cell r="A2119" t="str">
            <v>In service</v>
          </cell>
          <cell r="B2119" t="str">
            <v>Gulfstream Aerospace Gulfstream IV</v>
          </cell>
          <cell r="C2119" t="str">
            <v>SP</v>
          </cell>
          <cell r="D2119">
            <v>1999</v>
          </cell>
          <cell r="E2119" t="str">
            <v>Penske Jet Inc</v>
          </cell>
          <cell r="F2119">
            <v>3</v>
          </cell>
          <cell r="G2119">
            <v>36430</v>
          </cell>
          <cell r="H2119" t="str">
            <v>SP</v>
          </cell>
          <cell r="I2119" t="str">
            <v>North America</v>
          </cell>
          <cell r="J2119" t="str">
            <v>USA</v>
          </cell>
          <cell r="K2119">
            <v>35976</v>
          </cell>
        </row>
        <row r="2120">
          <cell r="A2120" t="str">
            <v>In service</v>
          </cell>
          <cell r="B2120" t="str">
            <v>Gulfstream Aerospace Gulfstream IV</v>
          </cell>
          <cell r="C2120" t="str">
            <v>SP</v>
          </cell>
          <cell r="D2120">
            <v>1999</v>
          </cell>
          <cell r="E2120" t="str">
            <v>Netjets International</v>
          </cell>
          <cell r="F2120">
            <v>3</v>
          </cell>
          <cell r="G2120">
            <v>36516</v>
          </cell>
          <cell r="H2120" t="str">
            <v>SP</v>
          </cell>
          <cell r="I2120" t="str">
            <v>North America</v>
          </cell>
          <cell r="J2120" t="str">
            <v>USA</v>
          </cell>
          <cell r="K2120">
            <v>35521</v>
          </cell>
        </row>
        <row r="2121">
          <cell r="A2121" t="str">
            <v>In service</v>
          </cell>
          <cell r="B2121" t="str">
            <v>Gulfstream Aerospace Gulfstream IV</v>
          </cell>
          <cell r="C2121" t="str">
            <v>SP</v>
          </cell>
          <cell r="D2121">
            <v>2000</v>
          </cell>
          <cell r="E2121" t="str">
            <v>Palmarina Investments</v>
          </cell>
          <cell r="F2121">
            <v>2</v>
          </cell>
          <cell r="G2121">
            <v>36790</v>
          </cell>
          <cell r="H2121" t="str">
            <v>SP</v>
          </cell>
          <cell r="I2121" t="str">
            <v>Latin America and Caribbean</v>
          </cell>
          <cell r="J2121" t="str">
            <v>Bermuda</v>
          </cell>
          <cell r="K2121">
            <v>35976</v>
          </cell>
        </row>
        <row r="2122">
          <cell r="A2122" t="str">
            <v>In service</v>
          </cell>
          <cell r="B2122" t="str">
            <v>Gulfstream Aerospace Gulfstream IV</v>
          </cell>
          <cell r="C2122" t="str">
            <v>SP</v>
          </cell>
          <cell r="D2122">
            <v>2000</v>
          </cell>
          <cell r="E2122" t="str">
            <v>Friedkin Aviation/Gulf States Toyota/Friedkin Co</v>
          </cell>
          <cell r="F2122">
            <v>2</v>
          </cell>
          <cell r="G2122">
            <v>36630</v>
          </cell>
          <cell r="H2122" t="str">
            <v>SP</v>
          </cell>
          <cell r="I2122" t="str">
            <v>North America</v>
          </cell>
          <cell r="J2122" t="str">
            <v>USA</v>
          </cell>
          <cell r="K2122">
            <v>35611</v>
          </cell>
        </row>
        <row r="2123">
          <cell r="A2123" t="str">
            <v>In service</v>
          </cell>
          <cell r="B2123" t="str">
            <v>Gulfstream Aerospace Gulfstream IV</v>
          </cell>
          <cell r="C2123" t="str">
            <v>SP</v>
          </cell>
          <cell r="D2123">
            <v>2000</v>
          </cell>
          <cell r="E2123" t="str">
            <v>Honeywell Inc</v>
          </cell>
          <cell r="F2123">
            <v>2</v>
          </cell>
          <cell r="G2123">
            <v>36594</v>
          </cell>
          <cell r="H2123" t="str">
            <v>SP</v>
          </cell>
          <cell r="I2123" t="str">
            <v>North America</v>
          </cell>
          <cell r="J2123" t="str">
            <v>USA</v>
          </cell>
          <cell r="K2123">
            <v>35976</v>
          </cell>
        </row>
        <row r="2124">
          <cell r="A2124" t="str">
            <v>In service</v>
          </cell>
          <cell r="B2124" t="str">
            <v>Gulfstream Aerospace Gulfstream IV</v>
          </cell>
          <cell r="C2124" t="str">
            <v>SP</v>
          </cell>
          <cell r="D2124">
            <v>2000</v>
          </cell>
          <cell r="E2124" t="str">
            <v>Apache Aviation Inc</v>
          </cell>
          <cell r="F2124">
            <v>2</v>
          </cell>
          <cell r="G2124">
            <v>36707</v>
          </cell>
          <cell r="H2124" t="str">
            <v>SP</v>
          </cell>
          <cell r="I2124" t="str">
            <v>North America</v>
          </cell>
          <cell r="J2124" t="str">
            <v>USA</v>
          </cell>
          <cell r="K2124">
            <v>36341</v>
          </cell>
        </row>
        <row r="2125">
          <cell r="A2125" t="str">
            <v>In service</v>
          </cell>
          <cell r="B2125" t="str">
            <v>Gulfstream Aerospace Gulfstream IV</v>
          </cell>
          <cell r="C2125" t="str">
            <v>SP</v>
          </cell>
          <cell r="D2125">
            <v>1999</v>
          </cell>
          <cell r="E2125" t="str">
            <v>Vivendi Universal</v>
          </cell>
          <cell r="F2125">
            <v>3</v>
          </cell>
          <cell r="G2125">
            <v>36433</v>
          </cell>
          <cell r="H2125" t="str">
            <v>SP</v>
          </cell>
          <cell r="I2125" t="str">
            <v>North America</v>
          </cell>
          <cell r="J2125" t="str">
            <v>USA</v>
          </cell>
          <cell r="K2125">
            <v>35976</v>
          </cell>
        </row>
        <row r="2126">
          <cell r="A2126" t="str">
            <v>In service</v>
          </cell>
          <cell r="B2126" t="str">
            <v>Gulfstream Aerospace Gulfstream IV</v>
          </cell>
          <cell r="C2126" t="str">
            <v>SP</v>
          </cell>
          <cell r="D2126">
            <v>2000</v>
          </cell>
          <cell r="E2126" t="str">
            <v>Netjets International</v>
          </cell>
          <cell r="F2126">
            <v>2</v>
          </cell>
          <cell r="G2126">
            <v>36580</v>
          </cell>
          <cell r="H2126" t="str">
            <v>SP</v>
          </cell>
          <cell r="I2126" t="str">
            <v>North America</v>
          </cell>
          <cell r="J2126" t="str">
            <v>USA</v>
          </cell>
          <cell r="K2126">
            <v>35521</v>
          </cell>
        </row>
        <row r="2127">
          <cell r="A2127" t="str">
            <v>In service</v>
          </cell>
          <cell r="B2127" t="str">
            <v>Gulfstream Aerospace Gulfstream IV</v>
          </cell>
          <cell r="C2127" t="str">
            <v>SP</v>
          </cell>
          <cell r="D2127">
            <v>2000</v>
          </cell>
          <cell r="E2127" t="str">
            <v>John M Moores</v>
          </cell>
          <cell r="F2127">
            <v>2</v>
          </cell>
          <cell r="G2127">
            <v>36649</v>
          </cell>
          <cell r="H2127" t="str">
            <v>SP</v>
          </cell>
          <cell r="I2127" t="str">
            <v>North America</v>
          </cell>
          <cell r="J2127" t="str">
            <v>USA</v>
          </cell>
          <cell r="K2127">
            <v>35976</v>
          </cell>
        </row>
        <row r="2128">
          <cell r="A2128" t="str">
            <v>In service</v>
          </cell>
          <cell r="B2128" t="str">
            <v>Gulfstream Aerospace Gulfstream IV</v>
          </cell>
          <cell r="C2128" t="str">
            <v>SP</v>
          </cell>
          <cell r="D2128">
            <v>1999</v>
          </cell>
          <cell r="E2128" t="str">
            <v>Gulfstream Aerospace Corp</v>
          </cell>
          <cell r="F2128">
            <v>3</v>
          </cell>
          <cell r="G2128">
            <v>36705</v>
          </cell>
          <cell r="H2128" t="str">
            <v>SP</v>
          </cell>
          <cell r="I2128" t="str">
            <v>North America</v>
          </cell>
          <cell r="J2128" t="str">
            <v>USA</v>
          </cell>
          <cell r="K2128">
            <v>35976</v>
          </cell>
        </row>
        <row r="2129">
          <cell r="A2129" t="str">
            <v>In service</v>
          </cell>
          <cell r="B2129" t="str">
            <v>Gulfstream Aerospace Gulfstream IV</v>
          </cell>
          <cell r="C2129" t="str">
            <v>SP</v>
          </cell>
          <cell r="D2129">
            <v>2000</v>
          </cell>
          <cell r="E2129" t="str">
            <v>Netjets International</v>
          </cell>
          <cell r="F2129">
            <v>2</v>
          </cell>
          <cell r="G2129">
            <v>36613</v>
          </cell>
          <cell r="H2129" t="str">
            <v>SP</v>
          </cell>
          <cell r="I2129" t="str">
            <v>North America</v>
          </cell>
          <cell r="J2129" t="str">
            <v>USA</v>
          </cell>
          <cell r="K2129">
            <v>36045</v>
          </cell>
        </row>
        <row r="2130">
          <cell r="A2130" t="str">
            <v>In service</v>
          </cell>
          <cell r="B2130" t="str">
            <v>Gulfstream Aerospace Gulfstream IV</v>
          </cell>
          <cell r="C2130" t="str">
            <v>SP</v>
          </cell>
          <cell r="D2130">
            <v>2000</v>
          </cell>
          <cell r="E2130" t="str">
            <v>United Air Group LLC</v>
          </cell>
          <cell r="F2130">
            <v>2</v>
          </cell>
          <cell r="G2130">
            <v>36706</v>
          </cell>
          <cell r="H2130" t="str">
            <v>SP</v>
          </cell>
          <cell r="I2130" t="str">
            <v>North America</v>
          </cell>
          <cell r="J2130" t="str">
            <v>USA</v>
          </cell>
          <cell r="K2130">
            <v>36341</v>
          </cell>
        </row>
        <row r="2131">
          <cell r="A2131" t="str">
            <v>In service</v>
          </cell>
          <cell r="B2131" t="str">
            <v>Gulfstream Aerospace Gulfstream IV</v>
          </cell>
          <cell r="C2131" t="str">
            <v>SP</v>
          </cell>
          <cell r="D2131">
            <v>2000</v>
          </cell>
          <cell r="E2131" t="str">
            <v>PPG Industries Inc</v>
          </cell>
          <cell r="F2131">
            <v>2</v>
          </cell>
          <cell r="G2131">
            <v>36706</v>
          </cell>
          <cell r="H2131" t="str">
            <v>SP</v>
          </cell>
          <cell r="I2131" t="str">
            <v>North America</v>
          </cell>
          <cell r="J2131" t="str">
            <v>USA</v>
          </cell>
          <cell r="K2131">
            <v>36341</v>
          </cell>
        </row>
        <row r="2132">
          <cell r="A2132" t="str">
            <v>In service</v>
          </cell>
          <cell r="B2132" t="str">
            <v>Gulfstream Aerospace Gulfstream IV</v>
          </cell>
          <cell r="C2132" t="str">
            <v>SP</v>
          </cell>
          <cell r="D2132">
            <v>2000</v>
          </cell>
          <cell r="E2132" t="str">
            <v>Netjets International</v>
          </cell>
          <cell r="F2132">
            <v>2</v>
          </cell>
          <cell r="G2132">
            <v>36644</v>
          </cell>
          <cell r="H2132" t="str">
            <v>SP</v>
          </cell>
          <cell r="I2132" t="str">
            <v>North America</v>
          </cell>
          <cell r="J2132" t="str">
            <v>USA</v>
          </cell>
          <cell r="K2132">
            <v>36045</v>
          </cell>
        </row>
        <row r="2133">
          <cell r="A2133" t="str">
            <v>In service</v>
          </cell>
          <cell r="B2133" t="str">
            <v>Gulfstream Aerospace Gulfstream IV</v>
          </cell>
          <cell r="C2133" t="str">
            <v>SP</v>
          </cell>
          <cell r="D2133">
            <v>1999</v>
          </cell>
          <cell r="E2133" t="str">
            <v>Frontliner Inc</v>
          </cell>
          <cell r="F2133">
            <v>3</v>
          </cell>
          <cell r="G2133">
            <v>36497</v>
          </cell>
          <cell r="H2133" t="str">
            <v>SP</v>
          </cell>
          <cell r="I2133" t="str">
            <v>North America</v>
          </cell>
          <cell r="J2133" t="str">
            <v>USA</v>
          </cell>
          <cell r="K2133">
            <v>35976</v>
          </cell>
        </row>
        <row r="2134">
          <cell r="A2134" t="str">
            <v>In service</v>
          </cell>
          <cell r="B2134" t="str">
            <v>Gulfstream Aerospace Gulfstream IV</v>
          </cell>
          <cell r="C2134" t="str">
            <v>SP</v>
          </cell>
          <cell r="D2134">
            <v>2000</v>
          </cell>
          <cell r="E2134" t="str">
            <v>High Tech Aircraft Corp</v>
          </cell>
          <cell r="F2134">
            <v>2</v>
          </cell>
          <cell r="G2134">
            <v>36825</v>
          </cell>
          <cell r="H2134" t="str">
            <v>SP</v>
          </cell>
          <cell r="I2134" t="str">
            <v>North America</v>
          </cell>
          <cell r="J2134" t="str">
            <v>USA</v>
          </cell>
          <cell r="K2134">
            <v>36341</v>
          </cell>
        </row>
        <row r="2135">
          <cell r="A2135" t="str">
            <v>In service</v>
          </cell>
          <cell r="B2135" t="str">
            <v>Gulfstream Aerospace Gulfstream IV</v>
          </cell>
          <cell r="C2135" t="str">
            <v>SP</v>
          </cell>
          <cell r="D2135">
            <v>2000</v>
          </cell>
          <cell r="E2135" t="str">
            <v>Harmony Management Inc</v>
          </cell>
          <cell r="F2135">
            <v>2</v>
          </cell>
          <cell r="G2135">
            <v>36768</v>
          </cell>
          <cell r="H2135" t="str">
            <v>SP</v>
          </cell>
          <cell r="I2135" t="str">
            <v>North America</v>
          </cell>
          <cell r="J2135" t="str">
            <v>USA</v>
          </cell>
          <cell r="K2135">
            <v>36341</v>
          </cell>
        </row>
        <row r="2136">
          <cell r="A2136" t="str">
            <v>In service</v>
          </cell>
          <cell r="B2136" t="str">
            <v>Gulfstream Aerospace Gulfstream IV</v>
          </cell>
          <cell r="C2136" t="str">
            <v>SP</v>
          </cell>
          <cell r="D2136">
            <v>2000</v>
          </cell>
          <cell r="E2136" t="str">
            <v>Alcoa Aircraft Operations</v>
          </cell>
          <cell r="F2136">
            <v>2</v>
          </cell>
          <cell r="G2136">
            <v>36769</v>
          </cell>
          <cell r="H2136" t="str">
            <v>SP</v>
          </cell>
          <cell r="I2136" t="str">
            <v>North America</v>
          </cell>
          <cell r="J2136" t="str">
            <v>USA</v>
          </cell>
          <cell r="K2136">
            <v>36341</v>
          </cell>
        </row>
        <row r="2137">
          <cell r="A2137" t="str">
            <v>In service</v>
          </cell>
          <cell r="B2137" t="str">
            <v>Gulfstream Aerospace Gulfstream IV</v>
          </cell>
          <cell r="C2137" t="str">
            <v>SP</v>
          </cell>
          <cell r="D2137">
            <v>2000</v>
          </cell>
          <cell r="E2137" t="str">
            <v>S &amp; H Automotive Products Inc</v>
          </cell>
          <cell r="F2137">
            <v>2</v>
          </cell>
          <cell r="G2137">
            <v>36725</v>
          </cell>
          <cell r="H2137" t="str">
            <v>SP</v>
          </cell>
          <cell r="I2137" t="str">
            <v>North America</v>
          </cell>
          <cell r="J2137" t="str">
            <v>USA</v>
          </cell>
          <cell r="K2137">
            <v>36341</v>
          </cell>
        </row>
        <row r="2138">
          <cell r="A2138" t="str">
            <v>In service</v>
          </cell>
          <cell r="B2138" t="str">
            <v>Gulfstream Aerospace Gulfstream IV</v>
          </cell>
          <cell r="C2138" t="str">
            <v>SP</v>
          </cell>
          <cell r="D2138">
            <v>2000</v>
          </cell>
          <cell r="E2138" t="str">
            <v>Netjets International</v>
          </cell>
          <cell r="F2138">
            <v>2</v>
          </cell>
          <cell r="G2138">
            <v>36699</v>
          </cell>
          <cell r="H2138" t="str">
            <v>SP</v>
          </cell>
          <cell r="I2138" t="str">
            <v>North America</v>
          </cell>
          <cell r="J2138" t="str">
            <v>USA</v>
          </cell>
          <cell r="K2138">
            <v>36045</v>
          </cell>
        </row>
        <row r="2139">
          <cell r="A2139" t="str">
            <v>In service</v>
          </cell>
          <cell r="B2139" t="str">
            <v>Gulfstream Aerospace Gulfstream IV</v>
          </cell>
          <cell r="C2139" t="str">
            <v>SP</v>
          </cell>
          <cell r="D2139">
            <v>2000</v>
          </cell>
          <cell r="E2139" t="str">
            <v>Rim Air LLC</v>
          </cell>
          <cell r="F2139">
            <v>2</v>
          </cell>
          <cell r="G2139">
            <v>36843</v>
          </cell>
          <cell r="H2139" t="str">
            <v>SP</v>
          </cell>
          <cell r="I2139" t="str">
            <v>North America</v>
          </cell>
          <cell r="J2139" t="str">
            <v>USA</v>
          </cell>
          <cell r="K2139">
            <v>36045</v>
          </cell>
        </row>
        <row r="2140">
          <cell r="A2140" t="str">
            <v>In service</v>
          </cell>
          <cell r="B2140" t="str">
            <v>Gulfstream Aerospace Gulfstream IV</v>
          </cell>
          <cell r="C2140" t="str">
            <v>SP</v>
          </cell>
          <cell r="D2140">
            <v>2000</v>
          </cell>
          <cell r="E2140" t="str">
            <v>Masanori Honjo &amp; Teruko Honjo</v>
          </cell>
          <cell r="F2140">
            <v>2</v>
          </cell>
          <cell r="G2140">
            <v>36797</v>
          </cell>
          <cell r="H2140" t="str">
            <v>SP</v>
          </cell>
          <cell r="I2140" t="str">
            <v>North America</v>
          </cell>
          <cell r="J2140" t="str">
            <v>USA</v>
          </cell>
          <cell r="K2140">
            <v>36045</v>
          </cell>
        </row>
        <row r="2141">
          <cell r="A2141" t="str">
            <v>In service</v>
          </cell>
          <cell r="B2141" t="str">
            <v>Gulfstream Aerospace Gulfstream IV</v>
          </cell>
          <cell r="C2141" t="str">
            <v>SP</v>
          </cell>
          <cell r="D2141">
            <v>2000</v>
          </cell>
          <cell r="E2141" t="str">
            <v>Limited Service Corp</v>
          </cell>
          <cell r="F2141">
            <v>2</v>
          </cell>
          <cell r="G2141">
            <v>36889</v>
          </cell>
          <cell r="H2141" t="str">
            <v>SP</v>
          </cell>
          <cell r="I2141" t="str">
            <v>North America</v>
          </cell>
          <cell r="J2141" t="str">
            <v>USA</v>
          </cell>
          <cell r="K2141">
            <v>36341</v>
          </cell>
        </row>
        <row r="2142">
          <cell r="A2142" t="str">
            <v>In service</v>
          </cell>
          <cell r="B2142" t="str">
            <v>Gulfstream Aerospace Gulfstream IV</v>
          </cell>
          <cell r="C2142" t="str">
            <v>SP</v>
          </cell>
          <cell r="D2142">
            <v>2000</v>
          </cell>
          <cell r="E2142" t="str">
            <v>Altria Corporate Services Inc</v>
          </cell>
          <cell r="F2142">
            <v>2</v>
          </cell>
          <cell r="G2142">
            <v>36790</v>
          </cell>
          <cell r="H2142" t="str">
            <v>SP</v>
          </cell>
          <cell r="I2142" t="str">
            <v>North America</v>
          </cell>
          <cell r="J2142" t="str">
            <v>USA</v>
          </cell>
          <cell r="K2142">
            <v>36045</v>
          </cell>
        </row>
        <row r="2143">
          <cell r="A2143" t="str">
            <v>In service</v>
          </cell>
          <cell r="B2143" t="str">
            <v>Gulfstream Aerospace Gulfstream IV</v>
          </cell>
          <cell r="C2143" t="str">
            <v>SP</v>
          </cell>
          <cell r="D2143">
            <v>2000</v>
          </cell>
          <cell r="E2143" t="str">
            <v>Netjets International</v>
          </cell>
          <cell r="F2143">
            <v>2</v>
          </cell>
          <cell r="G2143">
            <v>36733</v>
          </cell>
          <cell r="H2143" t="str">
            <v>SP</v>
          </cell>
          <cell r="I2143" t="str">
            <v>North America</v>
          </cell>
          <cell r="J2143" t="str">
            <v>USA</v>
          </cell>
          <cell r="K2143">
            <v>36087</v>
          </cell>
        </row>
        <row r="2144">
          <cell r="A2144" t="str">
            <v>In service</v>
          </cell>
          <cell r="B2144" t="str">
            <v>Gulfstream Aerospace Gulfstream IV</v>
          </cell>
          <cell r="C2144" t="str">
            <v>SP</v>
          </cell>
          <cell r="D2144">
            <v>2000</v>
          </cell>
          <cell r="E2144" t="str">
            <v>H&amp;S Air I LLC</v>
          </cell>
          <cell r="F2144">
            <v>2</v>
          </cell>
          <cell r="G2144">
            <v>36880</v>
          </cell>
          <cell r="H2144" t="str">
            <v>SP</v>
          </cell>
          <cell r="I2144" t="str">
            <v>North America</v>
          </cell>
          <cell r="J2144" t="str">
            <v>USA</v>
          </cell>
          <cell r="K2144">
            <v>35976</v>
          </cell>
        </row>
        <row r="2145">
          <cell r="A2145" t="str">
            <v>In service</v>
          </cell>
          <cell r="B2145" t="str">
            <v>Gulfstream Aerospace Gulfstream IV</v>
          </cell>
          <cell r="C2145" t="str">
            <v>SP</v>
          </cell>
          <cell r="D2145">
            <v>2000</v>
          </cell>
          <cell r="E2145" t="str">
            <v>Bright Flight Inc</v>
          </cell>
          <cell r="F2145">
            <v>2</v>
          </cell>
          <cell r="G2145">
            <v>36829</v>
          </cell>
          <cell r="H2145" t="str">
            <v>SP</v>
          </cell>
          <cell r="I2145" t="str">
            <v>North America</v>
          </cell>
          <cell r="J2145" t="str">
            <v>USA</v>
          </cell>
          <cell r="K2145">
            <v>35976</v>
          </cell>
        </row>
        <row r="2146">
          <cell r="A2146" t="str">
            <v>In service</v>
          </cell>
          <cell r="B2146" t="str">
            <v>Gulfstream Aerospace Gulfstream IV</v>
          </cell>
          <cell r="C2146" t="str">
            <v>SP</v>
          </cell>
          <cell r="D2146">
            <v>2000</v>
          </cell>
          <cell r="E2146" t="str">
            <v>New World Jet Corp</v>
          </cell>
          <cell r="F2146">
            <v>2</v>
          </cell>
          <cell r="G2146">
            <v>36840</v>
          </cell>
          <cell r="H2146" t="str">
            <v>SP</v>
          </cell>
          <cell r="I2146" t="str">
            <v>North America</v>
          </cell>
          <cell r="J2146" t="str">
            <v>USA</v>
          </cell>
          <cell r="K2146">
            <v>35976</v>
          </cell>
        </row>
        <row r="2147">
          <cell r="A2147" t="str">
            <v>In service</v>
          </cell>
          <cell r="B2147" t="str">
            <v>Gulfstream Aerospace Gulfstream IV</v>
          </cell>
          <cell r="C2147" t="str">
            <v>SP</v>
          </cell>
          <cell r="D2147">
            <v>2000</v>
          </cell>
          <cell r="E2147" t="str">
            <v>Netjets International</v>
          </cell>
          <cell r="F2147">
            <v>2</v>
          </cell>
          <cell r="G2147">
            <v>36839</v>
          </cell>
          <cell r="H2147" t="str">
            <v>SP</v>
          </cell>
          <cell r="I2147" t="str">
            <v>North America</v>
          </cell>
          <cell r="J2147" t="str">
            <v>USA</v>
          </cell>
          <cell r="K2147">
            <v>36087</v>
          </cell>
        </row>
        <row r="2148">
          <cell r="A2148" t="str">
            <v>In service</v>
          </cell>
          <cell r="B2148" t="str">
            <v>Gulfstream Aerospace Gulfstream IV</v>
          </cell>
          <cell r="C2148" t="str">
            <v>SP</v>
          </cell>
          <cell r="D2148">
            <v>2000</v>
          </cell>
          <cell r="E2148" t="str">
            <v>Netjets International</v>
          </cell>
          <cell r="F2148">
            <v>2</v>
          </cell>
          <cell r="G2148">
            <v>36780</v>
          </cell>
          <cell r="H2148" t="str">
            <v>SP</v>
          </cell>
          <cell r="I2148" t="str">
            <v>North America</v>
          </cell>
          <cell r="J2148" t="str">
            <v>USA</v>
          </cell>
          <cell r="K2148">
            <v>36087</v>
          </cell>
        </row>
        <row r="2149">
          <cell r="A2149" t="str">
            <v>In service</v>
          </cell>
          <cell r="B2149" t="str">
            <v>Gulfstream Aerospace Gulfstream IV</v>
          </cell>
          <cell r="C2149" t="str">
            <v>SP</v>
          </cell>
          <cell r="D2149">
            <v>2000</v>
          </cell>
          <cell r="E2149" t="str">
            <v>EMC Corp</v>
          </cell>
          <cell r="F2149">
            <v>2</v>
          </cell>
          <cell r="G2149">
            <v>36838</v>
          </cell>
          <cell r="H2149" t="str">
            <v>SP</v>
          </cell>
          <cell r="I2149" t="str">
            <v>North America</v>
          </cell>
          <cell r="J2149" t="str">
            <v>USA</v>
          </cell>
          <cell r="K2149">
            <v>36341</v>
          </cell>
        </row>
        <row r="2150">
          <cell r="A2150" t="str">
            <v>In service</v>
          </cell>
          <cell r="B2150" t="str">
            <v>Gulfstream Aerospace Gulfstream IV</v>
          </cell>
          <cell r="C2150" t="str">
            <v>SP</v>
          </cell>
          <cell r="D2150">
            <v>2000</v>
          </cell>
          <cell r="E2150" t="str">
            <v>Taubman Enterprises Inc</v>
          </cell>
          <cell r="F2150">
            <v>2</v>
          </cell>
          <cell r="G2150">
            <v>36864</v>
          </cell>
          <cell r="H2150" t="str">
            <v>SP</v>
          </cell>
          <cell r="I2150" t="str">
            <v>North America</v>
          </cell>
          <cell r="J2150" t="str">
            <v>USA</v>
          </cell>
          <cell r="K2150">
            <v>35976</v>
          </cell>
        </row>
        <row r="2151">
          <cell r="A2151" t="str">
            <v>In service</v>
          </cell>
          <cell r="B2151" t="str">
            <v>Gulfstream Aerospace Gulfstream IV</v>
          </cell>
          <cell r="C2151" t="str">
            <v>SP</v>
          </cell>
          <cell r="D2151">
            <v>2000</v>
          </cell>
          <cell r="E2151" t="str">
            <v>Snowbird Aviation LLC</v>
          </cell>
          <cell r="F2151">
            <v>2</v>
          </cell>
          <cell r="G2151">
            <v>36669</v>
          </cell>
          <cell r="H2151" t="str">
            <v>SP</v>
          </cell>
          <cell r="I2151" t="str">
            <v>North America</v>
          </cell>
          <cell r="J2151" t="str">
            <v>USA</v>
          </cell>
          <cell r="K2151">
            <v>36341</v>
          </cell>
        </row>
        <row r="2152">
          <cell r="A2152" t="str">
            <v>In service</v>
          </cell>
          <cell r="B2152" t="str">
            <v>Gulfstream Aerospace Gulfstream IV</v>
          </cell>
          <cell r="C2152" t="str">
            <v>SP</v>
          </cell>
          <cell r="D2152">
            <v>2000</v>
          </cell>
          <cell r="E2152" t="str">
            <v>Limited Service Corp</v>
          </cell>
          <cell r="F2152">
            <v>2</v>
          </cell>
          <cell r="G2152">
            <v>36914</v>
          </cell>
          <cell r="H2152" t="str">
            <v>SP</v>
          </cell>
          <cell r="I2152" t="str">
            <v>North America</v>
          </cell>
          <cell r="J2152" t="str">
            <v>USA</v>
          </cell>
          <cell r="K2152">
            <v>36341</v>
          </cell>
        </row>
        <row r="2153">
          <cell r="A2153" t="str">
            <v>In service</v>
          </cell>
          <cell r="B2153" t="str">
            <v>Gulfstream Aerospace Gulfstream IV</v>
          </cell>
          <cell r="C2153" t="str">
            <v>SP</v>
          </cell>
          <cell r="D2153">
            <v>2000</v>
          </cell>
          <cell r="E2153" t="str">
            <v>Government of Uganda</v>
          </cell>
          <cell r="F2153">
            <v>2</v>
          </cell>
          <cell r="G2153">
            <v>36878</v>
          </cell>
          <cell r="H2153" t="str">
            <v>SP</v>
          </cell>
          <cell r="I2153" t="str">
            <v>Africa</v>
          </cell>
          <cell r="J2153" t="str">
            <v>Uganda</v>
          </cell>
          <cell r="K2153">
            <v>36707</v>
          </cell>
        </row>
        <row r="2154">
          <cell r="A2154" t="str">
            <v>In service</v>
          </cell>
          <cell r="B2154" t="str">
            <v>Gulfstream Aerospace Gulfstream IV</v>
          </cell>
          <cell r="C2154" t="str">
            <v>SP</v>
          </cell>
          <cell r="D2154">
            <v>2000</v>
          </cell>
          <cell r="E2154" t="str">
            <v>N811BP Inc</v>
          </cell>
          <cell r="F2154">
            <v>2</v>
          </cell>
          <cell r="G2154">
            <v>36962</v>
          </cell>
          <cell r="H2154" t="str">
            <v>SP</v>
          </cell>
          <cell r="I2154" t="str">
            <v>North America</v>
          </cell>
          <cell r="J2154" t="str">
            <v>USA</v>
          </cell>
          <cell r="K2154">
            <v>36341</v>
          </cell>
        </row>
        <row r="2155">
          <cell r="A2155" t="str">
            <v>In service</v>
          </cell>
          <cell r="B2155" t="str">
            <v>Gulfstream Aerospace Gulfstream IV</v>
          </cell>
          <cell r="C2155" t="str">
            <v>SP</v>
          </cell>
          <cell r="D2155">
            <v>2000</v>
          </cell>
          <cell r="E2155" t="str">
            <v>General Electric Credit Corp of Tennessee</v>
          </cell>
          <cell r="F2155">
            <v>2</v>
          </cell>
          <cell r="G2155">
            <v>36881</v>
          </cell>
          <cell r="H2155" t="str">
            <v>SP</v>
          </cell>
          <cell r="I2155" t="str">
            <v>North America</v>
          </cell>
          <cell r="J2155" t="str">
            <v>USA</v>
          </cell>
          <cell r="K2155">
            <v>36341</v>
          </cell>
        </row>
        <row r="2156">
          <cell r="A2156" t="str">
            <v>In service</v>
          </cell>
          <cell r="B2156" t="str">
            <v>Gulfstream Aerospace Gulfstream IV</v>
          </cell>
          <cell r="C2156" t="str">
            <v>SP</v>
          </cell>
          <cell r="D2156">
            <v>2000</v>
          </cell>
          <cell r="E2156" t="str">
            <v>W A Reaud</v>
          </cell>
          <cell r="F2156">
            <v>2</v>
          </cell>
          <cell r="G2156">
            <v>36922</v>
          </cell>
          <cell r="H2156" t="str">
            <v>SP</v>
          </cell>
          <cell r="I2156" t="str">
            <v>North America</v>
          </cell>
          <cell r="J2156" t="str">
            <v>USA</v>
          </cell>
          <cell r="K2156">
            <v>36707</v>
          </cell>
        </row>
        <row r="2157">
          <cell r="A2157" t="str">
            <v>In service</v>
          </cell>
          <cell r="B2157" t="str">
            <v>Gulfstream Aerospace Gulfstream IV</v>
          </cell>
          <cell r="C2157" t="str">
            <v>SP</v>
          </cell>
          <cell r="D2157">
            <v>2000</v>
          </cell>
          <cell r="E2157" t="str">
            <v>Chiricahua Properties LLC</v>
          </cell>
          <cell r="F2157">
            <v>2</v>
          </cell>
          <cell r="G2157">
            <v>36732</v>
          </cell>
          <cell r="H2157" t="str">
            <v>SP</v>
          </cell>
          <cell r="I2157" t="str">
            <v>North America</v>
          </cell>
          <cell r="J2157" t="str">
            <v>USA</v>
          </cell>
          <cell r="K2157">
            <v>36045</v>
          </cell>
        </row>
        <row r="2158">
          <cell r="A2158" t="str">
            <v>In service</v>
          </cell>
          <cell r="B2158" t="str">
            <v>Gulfstream Aerospace Gulfstream IV</v>
          </cell>
          <cell r="C2158" t="str">
            <v>SP</v>
          </cell>
          <cell r="D2158">
            <v>2001</v>
          </cell>
          <cell r="E2158" t="str">
            <v>Government of Algeria</v>
          </cell>
          <cell r="F2158">
            <v>1</v>
          </cell>
          <cell r="G2158">
            <v>37001</v>
          </cell>
          <cell r="H2158" t="str">
            <v>SP</v>
          </cell>
          <cell r="I2158" t="str">
            <v>Africa</v>
          </cell>
          <cell r="J2158" t="str">
            <v>Algeria</v>
          </cell>
          <cell r="K2158">
            <v>36341</v>
          </cell>
        </row>
        <row r="2159">
          <cell r="A2159" t="str">
            <v>In service</v>
          </cell>
          <cell r="B2159" t="str">
            <v>Gulfstream Aerospace Gulfstream IV</v>
          </cell>
          <cell r="C2159" t="str">
            <v>SP</v>
          </cell>
          <cell r="D2159">
            <v>2001</v>
          </cell>
          <cell r="E2159" t="str">
            <v>Jetclub AG</v>
          </cell>
          <cell r="F2159">
            <v>1</v>
          </cell>
          <cell r="G2159">
            <v>36987</v>
          </cell>
          <cell r="H2159" t="str">
            <v>SP</v>
          </cell>
          <cell r="I2159" t="str">
            <v>Europe</v>
          </cell>
          <cell r="J2159" t="str">
            <v>Switzerland</v>
          </cell>
          <cell r="K2159">
            <v>36707</v>
          </cell>
        </row>
        <row r="2160">
          <cell r="A2160" t="str">
            <v>In service</v>
          </cell>
          <cell r="B2160" t="str">
            <v>Gulfstream Aerospace Gulfstream IV</v>
          </cell>
          <cell r="C2160" t="str">
            <v>SP</v>
          </cell>
          <cell r="D2160">
            <v>2000</v>
          </cell>
          <cell r="E2160" t="str">
            <v>JJSA Aviation LLC</v>
          </cell>
          <cell r="F2160">
            <v>2</v>
          </cell>
          <cell r="G2160">
            <v>36763</v>
          </cell>
          <cell r="H2160" t="str">
            <v>SP</v>
          </cell>
          <cell r="I2160" t="str">
            <v>North America</v>
          </cell>
          <cell r="J2160" t="str">
            <v>USA</v>
          </cell>
          <cell r="K2160">
            <v>35976</v>
          </cell>
        </row>
        <row r="2161">
          <cell r="A2161" t="str">
            <v>In service</v>
          </cell>
          <cell r="B2161" t="str">
            <v>Gulfstream Aerospace Gulfstream IV</v>
          </cell>
          <cell r="C2161" t="str">
            <v>SP</v>
          </cell>
          <cell r="D2161">
            <v>2001</v>
          </cell>
          <cell r="E2161" t="str">
            <v>Government of Algeria</v>
          </cell>
          <cell r="F2161">
            <v>1</v>
          </cell>
          <cell r="G2161">
            <v>37132</v>
          </cell>
          <cell r="H2161" t="str">
            <v>SP</v>
          </cell>
          <cell r="I2161" t="str">
            <v>Africa</v>
          </cell>
          <cell r="J2161" t="str">
            <v>Algeria</v>
          </cell>
          <cell r="K2161">
            <v>36341</v>
          </cell>
        </row>
        <row r="2162">
          <cell r="A2162" t="str">
            <v>In service</v>
          </cell>
          <cell r="B2162" t="str">
            <v>Gulfstream Aerospace Gulfstream IV</v>
          </cell>
          <cell r="C2162" t="str">
            <v>SP</v>
          </cell>
          <cell r="D2162">
            <v>2000</v>
          </cell>
          <cell r="E2162" t="str">
            <v>GEP I LLC</v>
          </cell>
          <cell r="F2162">
            <v>2</v>
          </cell>
          <cell r="G2162">
            <v>37021</v>
          </cell>
          <cell r="H2162" t="str">
            <v>SP</v>
          </cell>
          <cell r="I2162" t="str">
            <v>North America</v>
          </cell>
          <cell r="J2162" t="str">
            <v>USA</v>
          </cell>
          <cell r="K2162">
            <v>36341</v>
          </cell>
        </row>
        <row r="2163">
          <cell r="A2163" t="str">
            <v>In service</v>
          </cell>
          <cell r="B2163" t="str">
            <v>Gulfstream Aerospace Gulfstream IV</v>
          </cell>
          <cell r="C2163" t="str">
            <v>SP</v>
          </cell>
          <cell r="D2163">
            <v>2000</v>
          </cell>
          <cell r="E2163" t="str">
            <v>Airstar Corp</v>
          </cell>
          <cell r="F2163">
            <v>2</v>
          </cell>
          <cell r="G2163">
            <v>36798</v>
          </cell>
          <cell r="H2163" t="str">
            <v>SP</v>
          </cell>
          <cell r="I2163" t="str">
            <v>North America</v>
          </cell>
          <cell r="J2163" t="str">
            <v>USA</v>
          </cell>
          <cell r="K2163">
            <v>36341</v>
          </cell>
        </row>
        <row r="2164">
          <cell r="A2164" t="str">
            <v>In service</v>
          </cell>
          <cell r="B2164" t="str">
            <v>Gulfstream Aerospace Gulfstream IV</v>
          </cell>
          <cell r="C2164" t="str">
            <v>SP</v>
          </cell>
          <cell r="D2164">
            <v>2000</v>
          </cell>
          <cell r="E2164" t="str">
            <v>Government of Egypt</v>
          </cell>
          <cell r="F2164">
            <v>2</v>
          </cell>
          <cell r="G2164">
            <v>37081</v>
          </cell>
          <cell r="H2164" t="str">
            <v>SP</v>
          </cell>
          <cell r="I2164" t="str">
            <v>Africa</v>
          </cell>
          <cell r="J2164" t="str">
            <v>Egypt</v>
          </cell>
          <cell r="K2164">
            <v>36564</v>
          </cell>
        </row>
        <row r="2165">
          <cell r="A2165" t="str">
            <v>In service</v>
          </cell>
          <cell r="B2165" t="str">
            <v>Gulfstream Aerospace Gulfstream IV</v>
          </cell>
          <cell r="C2165" t="str">
            <v>SP</v>
          </cell>
          <cell r="D2165">
            <v>2001</v>
          </cell>
          <cell r="E2165" t="str">
            <v>Aeromundo Ejecutivo SA de CV</v>
          </cell>
          <cell r="F2165">
            <v>1</v>
          </cell>
          <cell r="G2165">
            <v>37061</v>
          </cell>
          <cell r="H2165" t="str">
            <v>SP</v>
          </cell>
          <cell r="I2165" t="str">
            <v>Latin America and Caribbean</v>
          </cell>
          <cell r="J2165" t="str">
            <v>Mexico</v>
          </cell>
          <cell r="K2165">
            <v>36341</v>
          </cell>
        </row>
        <row r="2166">
          <cell r="A2166" t="str">
            <v>In service</v>
          </cell>
          <cell r="B2166" t="str">
            <v>Gulfstream Aerospace Gulfstream IV</v>
          </cell>
          <cell r="C2166" t="str">
            <v>SP</v>
          </cell>
          <cell r="D2166">
            <v>2000</v>
          </cell>
          <cell r="E2166" t="str">
            <v>Netjets International</v>
          </cell>
          <cell r="F2166">
            <v>2</v>
          </cell>
          <cell r="G2166">
            <v>36980</v>
          </cell>
          <cell r="H2166" t="str">
            <v>SP</v>
          </cell>
          <cell r="I2166" t="str">
            <v>North America</v>
          </cell>
          <cell r="J2166" t="str">
            <v>USA</v>
          </cell>
          <cell r="K2166">
            <v>36087</v>
          </cell>
        </row>
        <row r="2167">
          <cell r="A2167" t="str">
            <v>In service</v>
          </cell>
          <cell r="B2167" t="str">
            <v>Gulfstream Aerospace Gulfstream IV</v>
          </cell>
          <cell r="C2167" t="str">
            <v>SP</v>
          </cell>
          <cell r="D2167">
            <v>2001</v>
          </cell>
          <cell r="E2167" t="str">
            <v>Government of Egypt</v>
          </cell>
          <cell r="F2167">
            <v>1</v>
          </cell>
          <cell r="G2167">
            <v>37198</v>
          </cell>
          <cell r="H2167" t="str">
            <v>SP</v>
          </cell>
          <cell r="I2167" t="str">
            <v>Africa</v>
          </cell>
          <cell r="J2167" t="str">
            <v>Egypt</v>
          </cell>
          <cell r="K2167">
            <v>36564</v>
          </cell>
        </row>
        <row r="2168">
          <cell r="A2168" t="str">
            <v>In service</v>
          </cell>
          <cell r="B2168" t="str">
            <v>Gulfstream Aerospace Gulfstream IV</v>
          </cell>
          <cell r="C2168" t="str">
            <v>SP</v>
          </cell>
          <cell r="D2168">
            <v>2000</v>
          </cell>
          <cell r="E2168" t="str">
            <v>ConocoPhillips Co</v>
          </cell>
          <cell r="F2168">
            <v>2</v>
          </cell>
          <cell r="G2168">
            <v>36860</v>
          </cell>
          <cell r="H2168" t="str">
            <v>SP</v>
          </cell>
          <cell r="I2168" t="str">
            <v>North America</v>
          </cell>
          <cell r="J2168" t="str">
            <v>USA</v>
          </cell>
          <cell r="K2168">
            <v>36341</v>
          </cell>
        </row>
        <row r="2169">
          <cell r="A2169" t="str">
            <v>In service</v>
          </cell>
          <cell r="B2169" t="str">
            <v>Gulfstream Aerospace Gulfstream IV</v>
          </cell>
          <cell r="C2169" t="str">
            <v>SP</v>
          </cell>
          <cell r="D2169">
            <v>2001</v>
          </cell>
          <cell r="E2169" t="str">
            <v>Kohler &amp; Co</v>
          </cell>
          <cell r="F2169">
            <v>1</v>
          </cell>
          <cell r="G2169">
            <v>37067</v>
          </cell>
          <cell r="H2169" t="str">
            <v>SP</v>
          </cell>
          <cell r="I2169" t="str">
            <v>North America</v>
          </cell>
          <cell r="J2169" t="str">
            <v>USA</v>
          </cell>
          <cell r="K2169">
            <v>36341</v>
          </cell>
        </row>
        <row r="2170">
          <cell r="A2170" t="str">
            <v>In service</v>
          </cell>
          <cell r="B2170" t="str">
            <v>Gulfstream Aerospace Gulfstream IV</v>
          </cell>
          <cell r="C2170" t="str">
            <v>SP</v>
          </cell>
          <cell r="D2170">
            <v>2001</v>
          </cell>
          <cell r="E2170" t="str">
            <v>Bandwidth LLC</v>
          </cell>
          <cell r="F2170">
            <v>1</v>
          </cell>
          <cell r="G2170">
            <v>37071</v>
          </cell>
          <cell r="H2170" t="str">
            <v>SP</v>
          </cell>
          <cell r="I2170" t="str">
            <v>North America</v>
          </cell>
          <cell r="J2170" t="str">
            <v>USA</v>
          </cell>
          <cell r="K2170">
            <v>36341</v>
          </cell>
        </row>
        <row r="2171">
          <cell r="A2171" t="str">
            <v>In service</v>
          </cell>
          <cell r="B2171" t="str">
            <v>Gulfstream Aerospace Gulfstream IV</v>
          </cell>
          <cell r="C2171" t="str">
            <v>SP</v>
          </cell>
          <cell r="D2171">
            <v>2000</v>
          </cell>
          <cell r="E2171" t="str">
            <v>Cape Clear LLC</v>
          </cell>
          <cell r="F2171">
            <v>2</v>
          </cell>
          <cell r="G2171">
            <v>36867</v>
          </cell>
          <cell r="H2171" t="str">
            <v>SP</v>
          </cell>
          <cell r="I2171" t="str">
            <v>North America</v>
          </cell>
          <cell r="J2171" t="str">
            <v>USA</v>
          </cell>
          <cell r="K2171">
            <v>36341</v>
          </cell>
        </row>
        <row r="2172">
          <cell r="A2172" t="str">
            <v>In service</v>
          </cell>
          <cell r="B2172" t="str">
            <v>Gulfstream Aerospace Gulfstream IV</v>
          </cell>
          <cell r="C2172" t="str">
            <v>SP</v>
          </cell>
          <cell r="D2172">
            <v>2001</v>
          </cell>
          <cell r="E2172" t="str">
            <v>Hagadone Aviation LLC</v>
          </cell>
          <cell r="F2172">
            <v>1</v>
          </cell>
          <cell r="G2172">
            <v>37098</v>
          </cell>
          <cell r="H2172" t="str">
            <v>SP</v>
          </cell>
          <cell r="I2172" t="str">
            <v>North America</v>
          </cell>
          <cell r="J2172" t="str">
            <v>USA</v>
          </cell>
          <cell r="K2172">
            <v>36341</v>
          </cell>
        </row>
        <row r="2173">
          <cell r="A2173" t="str">
            <v>In service</v>
          </cell>
          <cell r="B2173" t="str">
            <v>Gulfstream Aerospace Gulfstream IV</v>
          </cell>
          <cell r="C2173" t="str">
            <v>SP</v>
          </cell>
          <cell r="D2173">
            <v>2001</v>
          </cell>
          <cell r="E2173" t="str">
            <v>Flightworks</v>
          </cell>
          <cell r="F2173">
            <v>1</v>
          </cell>
          <cell r="G2173">
            <v>37168</v>
          </cell>
          <cell r="H2173" t="str">
            <v>SP</v>
          </cell>
          <cell r="I2173" t="str">
            <v>North America</v>
          </cell>
          <cell r="J2173" t="str">
            <v>USA</v>
          </cell>
          <cell r="K2173">
            <v>36341</v>
          </cell>
        </row>
        <row r="2174">
          <cell r="A2174" t="str">
            <v>In service</v>
          </cell>
          <cell r="B2174" t="str">
            <v>Gulfstream Aerospace Gulfstream IV</v>
          </cell>
          <cell r="C2174" t="str">
            <v>SP</v>
          </cell>
          <cell r="D2174">
            <v>2000</v>
          </cell>
          <cell r="E2174" t="str">
            <v>ConocoPhillips Co</v>
          </cell>
          <cell r="F2174">
            <v>2</v>
          </cell>
          <cell r="G2174">
            <v>36887</v>
          </cell>
          <cell r="H2174" t="str">
            <v>SP</v>
          </cell>
          <cell r="I2174" t="str">
            <v>North America</v>
          </cell>
          <cell r="J2174" t="str">
            <v>USA</v>
          </cell>
          <cell r="K2174">
            <v>36341</v>
          </cell>
        </row>
        <row r="2175">
          <cell r="A2175" t="str">
            <v>In service</v>
          </cell>
          <cell r="B2175" t="str">
            <v>Gulfstream Aerospace Gulfstream IV</v>
          </cell>
          <cell r="C2175" t="str">
            <v>SP</v>
          </cell>
          <cell r="D2175">
            <v>2001</v>
          </cell>
          <cell r="E2175" t="str">
            <v>Guidant Corp</v>
          </cell>
          <cell r="F2175">
            <v>1</v>
          </cell>
          <cell r="G2175">
            <v>37203</v>
          </cell>
          <cell r="H2175" t="str">
            <v>SP</v>
          </cell>
          <cell r="I2175" t="str">
            <v>North America</v>
          </cell>
          <cell r="J2175" t="str">
            <v>USA</v>
          </cell>
          <cell r="K2175">
            <v>36809</v>
          </cell>
        </row>
        <row r="2176">
          <cell r="A2176" t="str">
            <v>In service</v>
          </cell>
          <cell r="B2176" t="str">
            <v>Gulfstream Aerospace Gulfstream IV</v>
          </cell>
          <cell r="C2176" t="str">
            <v>SP</v>
          </cell>
          <cell r="D2176">
            <v>2001</v>
          </cell>
          <cell r="E2176" t="str">
            <v>Netjets International</v>
          </cell>
          <cell r="F2176">
            <v>1</v>
          </cell>
          <cell r="G2176">
            <v>37069</v>
          </cell>
          <cell r="H2176" t="str">
            <v>SP</v>
          </cell>
          <cell r="I2176" t="str">
            <v>North America</v>
          </cell>
          <cell r="J2176" t="str">
            <v>USA</v>
          </cell>
          <cell r="K2176">
            <v>36087</v>
          </cell>
        </row>
        <row r="2177">
          <cell r="A2177" t="str">
            <v>In service</v>
          </cell>
          <cell r="B2177" t="str">
            <v>Gulfstream Aerospace Gulfstream IV</v>
          </cell>
          <cell r="C2177" t="str">
            <v>SP</v>
          </cell>
          <cell r="D2177">
            <v>2001</v>
          </cell>
          <cell r="E2177" t="str">
            <v>NAS Financial Corp</v>
          </cell>
          <cell r="F2177">
            <v>1</v>
          </cell>
          <cell r="G2177">
            <v>37246</v>
          </cell>
          <cell r="H2177" t="str">
            <v>SP</v>
          </cell>
          <cell r="I2177" t="str">
            <v>North America</v>
          </cell>
          <cell r="J2177" t="str">
            <v>USA</v>
          </cell>
          <cell r="K2177">
            <v>36341</v>
          </cell>
        </row>
        <row r="2178">
          <cell r="A2178" t="str">
            <v>In service</v>
          </cell>
          <cell r="B2178" t="str">
            <v>Gulfstream Aerospace Gulfstream IV</v>
          </cell>
          <cell r="C2178" t="str">
            <v>SP</v>
          </cell>
          <cell r="D2178">
            <v>2001</v>
          </cell>
          <cell r="E2178" t="str">
            <v>Cape Clear LLC</v>
          </cell>
          <cell r="F2178">
            <v>1</v>
          </cell>
          <cell r="G2178">
            <v>36931</v>
          </cell>
          <cell r="H2178" t="str">
            <v>SP</v>
          </cell>
          <cell r="I2178" t="str">
            <v>North America</v>
          </cell>
          <cell r="J2178" t="str">
            <v>USA</v>
          </cell>
          <cell r="K2178">
            <v>36707</v>
          </cell>
        </row>
        <row r="2179">
          <cell r="A2179" t="str">
            <v>In service</v>
          </cell>
          <cell r="B2179" t="str">
            <v>Gulfstream Aerospace Gulfstream IV</v>
          </cell>
          <cell r="C2179" t="str">
            <v>SP</v>
          </cell>
          <cell r="D2179">
            <v>2001</v>
          </cell>
          <cell r="E2179" t="str">
            <v>E I DuPont de Nemours &amp; Co</v>
          </cell>
          <cell r="F2179">
            <v>1</v>
          </cell>
          <cell r="G2179">
            <v>37204</v>
          </cell>
          <cell r="H2179" t="str">
            <v>SP</v>
          </cell>
          <cell r="I2179" t="str">
            <v>North America</v>
          </cell>
          <cell r="J2179" t="str">
            <v>USA</v>
          </cell>
          <cell r="K2179">
            <v>36341</v>
          </cell>
        </row>
        <row r="2180">
          <cell r="A2180" t="str">
            <v>In service</v>
          </cell>
          <cell r="B2180" t="str">
            <v>Gulfstream Aerospace Gulfstream IV</v>
          </cell>
          <cell r="C2180" t="str">
            <v>SP</v>
          </cell>
          <cell r="D2180">
            <v>2001</v>
          </cell>
          <cell r="E2180" t="str">
            <v>Consortium of AOL Time Warner Companies</v>
          </cell>
          <cell r="F2180">
            <v>1</v>
          </cell>
          <cell r="G2180">
            <v>37162</v>
          </cell>
          <cell r="H2180" t="str">
            <v>SP</v>
          </cell>
          <cell r="I2180" t="str">
            <v>North America</v>
          </cell>
          <cell r="J2180" t="str">
            <v>USA</v>
          </cell>
          <cell r="K2180">
            <v>36341</v>
          </cell>
        </row>
        <row r="2181">
          <cell r="A2181" t="str">
            <v>In service</v>
          </cell>
          <cell r="B2181" t="str">
            <v>Gulfstream Aerospace Gulfstream IV</v>
          </cell>
          <cell r="C2181" t="str">
            <v>SP</v>
          </cell>
          <cell r="D2181">
            <v>2001</v>
          </cell>
          <cell r="E2181" t="str">
            <v>L&amp;L II Leasing LLC</v>
          </cell>
          <cell r="F2181">
            <v>1</v>
          </cell>
          <cell r="G2181">
            <v>37183</v>
          </cell>
          <cell r="H2181" t="str">
            <v>SP</v>
          </cell>
          <cell r="I2181" t="str">
            <v>North America</v>
          </cell>
          <cell r="J2181" t="str">
            <v>USA</v>
          </cell>
          <cell r="K2181">
            <v>36341</v>
          </cell>
        </row>
        <row r="2182">
          <cell r="A2182" t="str">
            <v>In service</v>
          </cell>
          <cell r="B2182" t="str">
            <v>Gulfstream Aerospace Gulfstream IV</v>
          </cell>
          <cell r="C2182" t="str">
            <v>SP</v>
          </cell>
          <cell r="D2182">
            <v>2001</v>
          </cell>
          <cell r="E2182" t="str">
            <v>L&amp;L Leasing III LLC</v>
          </cell>
          <cell r="F2182">
            <v>1</v>
          </cell>
          <cell r="G2182">
            <v>37246</v>
          </cell>
          <cell r="H2182" t="str">
            <v>SP</v>
          </cell>
          <cell r="I2182" t="str">
            <v>North America</v>
          </cell>
          <cell r="J2182" t="str">
            <v>USA</v>
          </cell>
          <cell r="K2182">
            <v>36341</v>
          </cell>
        </row>
        <row r="2183">
          <cell r="A2183" t="str">
            <v>In service</v>
          </cell>
          <cell r="B2183" t="str">
            <v>Gulfstream Aerospace Gulfstream IV</v>
          </cell>
          <cell r="C2183" t="str">
            <v>SP</v>
          </cell>
          <cell r="D2183">
            <v>2001</v>
          </cell>
          <cell r="E2183" t="str">
            <v>HGA LLC</v>
          </cell>
          <cell r="F2183">
            <v>1</v>
          </cell>
          <cell r="G2183">
            <v>37183</v>
          </cell>
          <cell r="H2183" t="str">
            <v>SP</v>
          </cell>
          <cell r="I2183" t="str">
            <v>North America</v>
          </cell>
          <cell r="J2183" t="str">
            <v>USA</v>
          </cell>
          <cell r="K2183">
            <v>36341</v>
          </cell>
        </row>
        <row r="2184">
          <cell r="A2184" t="str">
            <v>In service</v>
          </cell>
          <cell r="B2184" t="str">
            <v>Gulfstream Aerospace Gulfstream IV</v>
          </cell>
          <cell r="C2184" t="str">
            <v>SP</v>
          </cell>
          <cell r="D2184">
            <v>2001</v>
          </cell>
          <cell r="E2184" t="str">
            <v>Central Management Services LLC</v>
          </cell>
          <cell r="F2184">
            <v>1</v>
          </cell>
          <cell r="G2184">
            <v>37224</v>
          </cell>
          <cell r="H2184" t="str">
            <v>SP</v>
          </cell>
          <cell r="I2184" t="str">
            <v>North America</v>
          </cell>
          <cell r="J2184" t="str">
            <v>USA</v>
          </cell>
          <cell r="K2184">
            <v>36341</v>
          </cell>
        </row>
        <row r="2185">
          <cell r="A2185" t="str">
            <v>In service</v>
          </cell>
          <cell r="B2185" t="str">
            <v>Gulfstream Aerospace Gulfstream IV</v>
          </cell>
          <cell r="C2185" t="str">
            <v>SP</v>
          </cell>
          <cell r="D2185">
            <v>2001</v>
          </cell>
          <cell r="E2185" t="str">
            <v>Netjets International</v>
          </cell>
          <cell r="F2185">
            <v>1</v>
          </cell>
          <cell r="G2185">
            <v>37162</v>
          </cell>
          <cell r="H2185" t="str">
            <v>SP</v>
          </cell>
          <cell r="I2185" t="str">
            <v>North America</v>
          </cell>
          <cell r="J2185" t="str">
            <v>USA</v>
          </cell>
          <cell r="K2185">
            <v>36087</v>
          </cell>
        </row>
        <row r="2186">
          <cell r="A2186" t="str">
            <v>In service</v>
          </cell>
          <cell r="B2186" t="str">
            <v>Gulfstream Aerospace Gulfstream IV</v>
          </cell>
          <cell r="C2186" t="str">
            <v>SP</v>
          </cell>
          <cell r="D2186">
            <v>2001</v>
          </cell>
          <cell r="E2186" t="str">
            <v>MBNA America Bank NA</v>
          </cell>
          <cell r="F2186">
            <v>1</v>
          </cell>
          <cell r="G2186">
            <v>37245</v>
          </cell>
          <cell r="H2186" t="str">
            <v>SP</v>
          </cell>
          <cell r="I2186" t="str">
            <v>North America</v>
          </cell>
          <cell r="J2186" t="str">
            <v>USA</v>
          </cell>
          <cell r="K2186">
            <v>36341</v>
          </cell>
        </row>
        <row r="2187">
          <cell r="A2187" t="str">
            <v>In service</v>
          </cell>
          <cell r="B2187" t="str">
            <v>Gulfstream Aerospace Gulfstream IV</v>
          </cell>
          <cell r="C2187" t="str">
            <v>SP</v>
          </cell>
          <cell r="D2187">
            <v>2001</v>
          </cell>
          <cell r="E2187" t="str">
            <v>ConocoPhillips Co</v>
          </cell>
          <cell r="F2187">
            <v>1</v>
          </cell>
          <cell r="G2187">
            <v>37022</v>
          </cell>
          <cell r="H2187" t="str">
            <v>SP</v>
          </cell>
          <cell r="I2187" t="str">
            <v>North America</v>
          </cell>
          <cell r="J2187" t="str">
            <v>USA</v>
          </cell>
          <cell r="K2187">
            <v>36341</v>
          </cell>
        </row>
        <row r="2188">
          <cell r="A2188" t="str">
            <v>In service</v>
          </cell>
          <cell r="B2188" t="str">
            <v>Gulfstream Aerospace Gulfstream IV</v>
          </cell>
          <cell r="C2188" t="str">
            <v>SP</v>
          </cell>
          <cell r="D2188">
            <v>2001</v>
          </cell>
          <cell r="E2188" t="str">
            <v>Executive Fliteways Inc</v>
          </cell>
          <cell r="F2188">
            <v>1</v>
          </cell>
          <cell r="G2188">
            <v>37253</v>
          </cell>
          <cell r="H2188" t="str">
            <v>SP</v>
          </cell>
          <cell r="I2188" t="str">
            <v>North America</v>
          </cell>
          <cell r="J2188" t="str">
            <v>USA</v>
          </cell>
          <cell r="K2188">
            <v>36341</v>
          </cell>
        </row>
        <row r="2189">
          <cell r="A2189" t="str">
            <v>In service</v>
          </cell>
          <cell r="B2189" t="str">
            <v>Gulfstream Aerospace Gulfstream IV</v>
          </cell>
          <cell r="C2189" t="str">
            <v>SP</v>
          </cell>
          <cell r="D2189">
            <v>2001</v>
          </cell>
          <cell r="E2189" t="str">
            <v>Limited Service Corp</v>
          </cell>
          <cell r="F2189">
            <v>1</v>
          </cell>
          <cell r="G2189">
            <v>37315</v>
          </cell>
          <cell r="H2189" t="str">
            <v>SP</v>
          </cell>
          <cell r="I2189" t="str">
            <v>North America</v>
          </cell>
          <cell r="J2189" t="str">
            <v>USA</v>
          </cell>
          <cell r="K2189">
            <v>36341</v>
          </cell>
        </row>
        <row r="2190">
          <cell r="A2190" t="str">
            <v>In service</v>
          </cell>
          <cell r="B2190" t="str">
            <v>Gulfstream Aerospace Gulfstream IV</v>
          </cell>
          <cell r="C2190" t="str">
            <v>SP</v>
          </cell>
          <cell r="D2190">
            <v>2001</v>
          </cell>
          <cell r="E2190" t="str">
            <v>ConocoPhillips Co</v>
          </cell>
          <cell r="F2190">
            <v>1</v>
          </cell>
          <cell r="G2190">
            <v>37046</v>
          </cell>
          <cell r="H2190" t="str">
            <v>SP</v>
          </cell>
          <cell r="I2190" t="str">
            <v>North America</v>
          </cell>
          <cell r="J2190" t="str">
            <v>USA</v>
          </cell>
          <cell r="K2190">
            <v>36707</v>
          </cell>
        </row>
        <row r="2191">
          <cell r="A2191" t="str">
            <v>In service</v>
          </cell>
          <cell r="B2191" t="str">
            <v>Gulfstream Aerospace Gulfstream IV</v>
          </cell>
          <cell r="C2191" t="str">
            <v>SP</v>
          </cell>
          <cell r="D2191">
            <v>2001</v>
          </cell>
          <cell r="E2191" t="str">
            <v>Cordelia Scaife May</v>
          </cell>
          <cell r="F2191">
            <v>1</v>
          </cell>
          <cell r="G2191">
            <v>37253</v>
          </cell>
          <cell r="H2191" t="str">
            <v>SP</v>
          </cell>
          <cell r="I2191" t="str">
            <v>North America</v>
          </cell>
          <cell r="J2191" t="str">
            <v>USA</v>
          </cell>
          <cell r="K2191">
            <v>36341</v>
          </cell>
        </row>
        <row r="2192">
          <cell r="A2192" t="str">
            <v>In service</v>
          </cell>
          <cell r="B2192" t="str">
            <v>Gulfstream Aerospace Gulfstream IV</v>
          </cell>
          <cell r="C2192" t="str">
            <v>SP</v>
          </cell>
          <cell r="D2192">
            <v>2001</v>
          </cell>
          <cell r="E2192" t="str">
            <v>Altria Corporate Services Inc</v>
          </cell>
          <cell r="F2192">
            <v>1</v>
          </cell>
          <cell r="G2192">
            <v>37287</v>
          </cell>
          <cell r="H2192" t="str">
            <v>SP</v>
          </cell>
          <cell r="I2192" t="str">
            <v>North America</v>
          </cell>
          <cell r="J2192" t="str">
            <v>USA</v>
          </cell>
          <cell r="K2192">
            <v>36341</v>
          </cell>
        </row>
        <row r="2193">
          <cell r="A2193" t="str">
            <v>In service</v>
          </cell>
          <cell r="B2193" t="str">
            <v>Gulfstream Aerospace Gulfstream IV</v>
          </cell>
          <cell r="C2193" t="str">
            <v>SP</v>
          </cell>
          <cell r="D2193">
            <v>2001</v>
          </cell>
          <cell r="E2193" t="str">
            <v>Quad/Air Inc</v>
          </cell>
          <cell r="F2193">
            <v>1</v>
          </cell>
          <cell r="G2193">
            <v>37246</v>
          </cell>
          <cell r="H2193" t="str">
            <v>SP</v>
          </cell>
          <cell r="I2193" t="str">
            <v>North America</v>
          </cell>
          <cell r="J2193" t="str">
            <v>USA</v>
          </cell>
          <cell r="K2193">
            <v>36341</v>
          </cell>
        </row>
        <row r="2194">
          <cell r="A2194" t="str">
            <v>In service</v>
          </cell>
          <cell r="B2194" t="str">
            <v>Gulfstream Aerospace Gulfstream IV</v>
          </cell>
          <cell r="C2194" t="str">
            <v>SP</v>
          </cell>
          <cell r="D2194">
            <v>2001</v>
          </cell>
          <cell r="E2194" t="str">
            <v>Netjets International</v>
          </cell>
          <cell r="F2194">
            <v>1</v>
          </cell>
          <cell r="G2194">
            <v>37271</v>
          </cell>
          <cell r="H2194" t="str">
            <v>SP</v>
          </cell>
          <cell r="I2194" t="str">
            <v>North America</v>
          </cell>
          <cell r="J2194" t="str">
            <v>USA</v>
          </cell>
          <cell r="K2194">
            <v>36087</v>
          </cell>
        </row>
        <row r="2195">
          <cell r="A2195" t="str">
            <v>In service</v>
          </cell>
          <cell r="B2195" t="str">
            <v>Gulfstream Aerospace Gulfstream IV</v>
          </cell>
          <cell r="C2195" t="str">
            <v>SP</v>
          </cell>
          <cell r="D2195">
            <v>2001</v>
          </cell>
          <cell r="E2195" t="str">
            <v>AMFM Air Services Inc</v>
          </cell>
          <cell r="F2195">
            <v>1</v>
          </cell>
          <cell r="G2195">
            <v>37258</v>
          </cell>
          <cell r="H2195" t="str">
            <v>SP</v>
          </cell>
          <cell r="I2195" t="str">
            <v>North America</v>
          </cell>
          <cell r="J2195" t="str">
            <v>USA</v>
          </cell>
          <cell r="K2195">
            <v>36341</v>
          </cell>
        </row>
        <row r="2196">
          <cell r="A2196" t="str">
            <v>In service</v>
          </cell>
          <cell r="B2196" t="str">
            <v>Gulfstream Aerospace Gulfstream IV</v>
          </cell>
          <cell r="C2196" t="str">
            <v>SP</v>
          </cell>
          <cell r="D2196">
            <v>2001</v>
          </cell>
          <cell r="E2196" t="str">
            <v>AMB Group LLC</v>
          </cell>
          <cell r="F2196">
            <v>1</v>
          </cell>
          <cell r="G2196">
            <v>37253</v>
          </cell>
          <cell r="H2196" t="str">
            <v>SP</v>
          </cell>
          <cell r="I2196" t="str">
            <v>North America</v>
          </cell>
          <cell r="J2196" t="str">
            <v>USA</v>
          </cell>
          <cell r="K2196">
            <v>36341</v>
          </cell>
        </row>
        <row r="2197">
          <cell r="A2197" t="str">
            <v>In service</v>
          </cell>
          <cell r="B2197" t="str">
            <v>Gulfstream Aerospace Gulfstream IV</v>
          </cell>
          <cell r="C2197" t="str">
            <v>SP</v>
          </cell>
          <cell r="D2197">
            <v>2001</v>
          </cell>
          <cell r="E2197" t="str">
            <v>Skybird Aviation</v>
          </cell>
          <cell r="F2197">
            <v>1</v>
          </cell>
          <cell r="G2197">
            <v>37344</v>
          </cell>
          <cell r="H2197" t="str">
            <v>SP</v>
          </cell>
          <cell r="I2197" t="str">
            <v>North America</v>
          </cell>
          <cell r="J2197" t="str">
            <v>USA</v>
          </cell>
          <cell r="K2197">
            <v>36341</v>
          </cell>
        </row>
        <row r="2198">
          <cell r="A2198" t="str">
            <v>In service</v>
          </cell>
          <cell r="B2198" t="str">
            <v>Gulfstream Aerospace Gulfstream IV</v>
          </cell>
          <cell r="C2198" t="str">
            <v>SP</v>
          </cell>
          <cell r="D2198">
            <v>2002</v>
          </cell>
          <cell r="E2198" t="str">
            <v>The Kirchman Corp</v>
          </cell>
          <cell r="F2198">
            <v>0</v>
          </cell>
          <cell r="G2198">
            <v>37314</v>
          </cell>
          <cell r="H2198" t="str">
            <v>SP</v>
          </cell>
          <cell r="I2198" t="str">
            <v>North America</v>
          </cell>
          <cell r="J2198" t="str">
            <v>USA</v>
          </cell>
          <cell r="K2198">
            <v>36341</v>
          </cell>
        </row>
        <row r="2199">
          <cell r="A2199" t="str">
            <v>In service</v>
          </cell>
          <cell r="B2199" t="str">
            <v>Gulfstream Aerospace Gulfstream IV</v>
          </cell>
          <cell r="C2199" t="str">
            <v>SP</v>
          </cell>
          <cell r="D2199">
            <v>2002</v>
          </cell>
          <cell r="E2199" t="str">
            <v>Windrose Air Jetcharter</v>
          </cell>
          <cell r="F2199">
            <v>0</v>
          </cell>
          <cell r="G2199">
            <v>37407</v>
          </cell>
          <cell r="H2199" t="str">
            <v>SP</v>
          </cell>
          <cell r="I2199" t="str">
            <v>Europe</v>
          </cell>
          <cell r="J2199" t="str">
            <v>Germany</v>
          </cell>
          <cell r="K2199">
            <v>36341</v>
          </cell>
        </row>
        <row r="2200">
          <cell r="A2200" t="str">
            <v>In service</v>
          </cell>
          <cell r="B2200" t="str">
            <v>Gulfstream Aerospace Gulfstream IV</v>
          </cell>
          <cell r="C2200" t="str">
            <v>SP</v>
          </cell>
          <cell r="D2200">
            <v>2001</v>
          </cell>
          <cell r="E2200" t="str">
            <v>Jet Aviation Business Jets</v>
          </cell>
          <cell r="F2200">
            <v>1</v>
          </cell>
          <cell r="G2200">
            <v>37345</v>
          </cell>
          <cell r="H2200" t="str">
            <v>SP</v>
          </cell>
          <cell r="I2200" t="str">
            <v>Europe</v>
          </cell>
          <cell r="J2200" t="str">
            <v>Switzerland</v>
          </cell>
          <cell r="K2200">
            <v>36341</v>
          </cell>
        </row>
        <row r="2201">
          <cell r="A2201" t="str">
            <v>In service</v>
          </cell>
          <cell r="B2201" t="str">
            <v>Gulfstream Aerospace Gulfstream IV</v>
          </cell>
          <cell r="C2201" t="str">
            <v>SP</v>
          </cell>
          <cell r="D2201">
            <v>2001</v>
          </cell>
          <cell r="E2201" t="str">
            <v>Anadarko Petroleum Corp</v>
          </cell>
          <cell r="F2201">
            <v>1</v>
          </cell>
          <cell r="G2201">
            <v>37253</v>
          </cell>
          <cell r="H2201" t="str">
            <v>SP</v>
          </cell>
          <cell r="I2201" t="str">
            <v>North America</v>
          </cell>
          <cell r="J2201" t="str">
            <v>USA</v>
          </cell>
          <cell r="K2201">
            <v>36341</v>
          </cell>
        </row>
        <row r="2202">
          <cell r="A2202" t="str">
            <v>In service</v>
          </cell>
          <cell r="B2202" t="str">
            <v>Gulfstream Aerospace Gulfstream IV</v>
          </cell>
          <cell r="C2202" t="str">
            <v>SP</v>
          </cell>
          <cell r="D2202">
            <v>2002</v>
          </cell>
          <cell r="E2202" t="str">
            <v>Madison Leasing Corp</v>
          </cell>
          <cell r="F2202">
            <v>0</v>
          </cell>
          <cell r="G2202">
            <v>37335</v>
          </cell>
          <cell r="H2202" t="str">
            <v>SP</v>
          </cell>
          <cell r="I2202" t="str">
            <v>North America</v>
          </cell>
          <cell r="J2202" t="str">
            <v>USA</v>
          </cell>
          <cell r="K2202">
            <v>36341</v>
          </cell>
        </row>
        <row r="2203">
          <cell r="A2203" t="str">
            <v>In service</v>
          </cell>
          <cell r="B2203" t="str">
            <v>Gulfstream Aerospace Gulfstream IV</v>
          </cell>
          <cell r="C2203" t="str">
            <v>SP</v>
          </cell>
          <cell r="D2203">
            <v>2002</v>
          </cell>
          <cell r="E2203" t="str">
            <v>Netjets International</v>
          </cell>
          <cell r="F2203">
            <v>0</v>
          </cell>
          <cell r="G2203">
            <v>37434</v>
          </cell>
          <cell r="H2203" t="str">
            <v>SP</v>
          </cell>
          <cell r="I2203" t="str">
            <v>North America</v>
          </cell>
          <cell r="J2203" t="str">
            <v>USA</v>
          </cell>
          <cell r="K2203">
            <v>36087</v>
          </cell>
        </row>
        <row r="2204">
          <cell r="A2204" t="str">
            <v>In service</v>
          </cell>
          <cell r="B2204" t="str">
            <v>Gulfstream Aerospace Gulfstream IV</v>
          </cell>
          <cell r="C2204" t="str">
            <v>SP</v>
          </cell>
          <cell r="D2204">
            <v>2002</v>
          </cell>
          <cell r="E2204" t="str">
            <v>Executive Services Inc</v>
          </cell>
          <cell r="F2204">
            <v>0</v>
          </cell>
          <cell r="G2204">
            <v>37376</v>
          </cell>
          <cell r="H2204" t="str">
            <v>SP</v>
          </cell>
          <cell r="I2204" t="str">
            <v>North America</v>
          </cell>
          <cell r="J2204" t="str">
            <v>USA</v>
          </cell>
          <cell r="K2204">
            <v>36707</v>
          </cell>
        </row>
        <row r="2205">
          <cell r="A2205" t="str">
            <v>In service</v>
          </cell>
          <cell r="B2205" t="str">
            <v>Gulfstream Aerospace Gulfstream IV</v>
          </cell>
          <cell r="C2205" t="str">
            <v>SP</v>
          </cell>
          <cell r="D2205">
            <v>2001</v>
          </cell>
          <cell r="E2205" t="str">
            <v>Surgutneftegas</v>
          </cell>
          <cell r="F2205">
            <v>1</v>
          </cell>
          <cell r="G2205">
            <v>37514</v>
          </cell>
          <cell r="H2205" t="str">
            <v>SP</v>
          </cell>
          <cell r="I2205" t="str">
            <v>Europe</v>
          </cell>
          <cell r="J2205" t="str">
            <v>Russia</v>
          </cell>
        </row>
        <row r="2206">
          <cell r="A2206" t="str">
            <v>In service</v>
          </cell>
          <cell r="B2206" t="str">
            <v>Gulfstream Aerospace Gulfstream IV</v>
          </cell>
          <cell r="C2206" t="str">
            <v>SP</v>
          </cell>
          <cell r="D2206">
            <v>2002</v>
          </cell>
          <cell r="E2206" t="str">
            <v>Shell Aircraft Ltd</v>
          </cell>
          <cell r="F2206">
            <v>0</v>
          </cell>
          <cell r="G2206">
            <v>37461</v>
          </cell>
          <cell r="H2206" t="str">
            <v>SP</v>
          </cell>
          <cell r="I2206" t="str">
            <v>Europe</v>
          </cell>
          <cell r="J2206" t="str">
            <v>United Kingdom</v>
          </cell>
          <cell r="K2206">
            <v>37072</v>
          </cell>
        </row>
        <row r="2207">
          <cell r="A2207" t="str">
            <v>In service</v>
          </cell>
          <cell r="B2207" t="str">
            <v>Gulfstream Aerospace Gulfstream IV</v>
          </cell>
          <cell r="C2207" t="str">
            <v>SP</v>
          </cell>
          <cell r="D2207">
            <v>2001</v>
          </cell>
          <cell r="E2207" t="str">
            <v>CXAir Holdings Inc</v>
          </cell>
          <cell r="F2207">
            <v>1</v>
          </cell>
          <cell r="G2207">
            <v>37211</v>
          </cell>
          <cell r="H2207" t="str">
            <v>SP</v>
          </cell>
          <cell r="I2207" t="str">
            <v>North America</v>
          </cell>
          <cell r="J2207" t="str">
            <v>USA</v>
          </cell>
          <cell r="K2207">
            <v>36341</v>
          </cell>
        </row>
        <row r="2208">
          <cell r="A2208" t="str">
            <v>In service</v>
          </cell>
          <cell r="B2208" t="str">
            <v>Gulfstream Aerospace Gulfstream IV</v>
          </cell>
          <cell r="C2208" t="str">
            <v>SP</v>
          </cell>
          <cell r="D2208">
            <v>2002</v>
          </cell>
          <cell r="E2208" t="str">
            <v xml:space="preserve">M &amp; P Co </v>
          </cell>
          <cell r="F2208">
            <v>0</v>
          </cell>
          <cell r="G2208">
            <v>37421</v>
          </cell>
          <cell r="H2208" t="str">
            <v>SP</v>
          </cell>
          <cell r="I2208" t="str">
            <v>North America</v>
          </cell>
          <cell r="J2208" t="str">
            <v>USA</v>
          </cell>
          <cell r="K2208">
            <v>36707</v>
          </cell>
        </row>
        <row r="2209">
          <cell r="A2209" t="str">
            <v>In service</v>
          </cell>
          <cell r="B2209" t="str">
            <v>Gulfstream Aerospace Gulfstream IV</v>
          </cell>
          <cell r="C2209" t="str">
            <v>SP</v>
          </cell>
          <cell r="D2209">
            <v>2001</v>
          </cell>
          <cell r="E2209" t="str">
            <v>The Air Group Inc</v>
          </cell>
          <cell r="F2209">
            <v>1</v>
          </cell>
          <cell r="G2209">
            <v>37253</v>
          </cell>
          <cell r="H2209" t="str">
            <v>SP</v>
          </cell>
          <cell r="I2209" t="str">
            <v>North America</v>
          </cell>
          <cell r="J2209" t="str">
            <v>USA</v>
          </cell>
          <cell r="K2209">
            <v>36341</v>
          </cell>
        </row>
        <row r="2210">
          <cell r="A2210" t="str">
            <v>In service</v>
          </cell>
          <cell r="B2210" t="str">
            <v>Gulfstream Aerospace Gulfstream IV</v>
          </cell>
          <cell r="C2210" t="str">
            <v>SP</v>
          </cell>
          <cell r="D2210">
            <v>2001</v>
          </cell>
          <cell r="E2210" t="str">
            <v>United Healthcare Corp</v>
          </cell>
          <cell r="F2210">
            <v>1</v>
          </cell>
          <cell r="G2210">
            <v>37239</v>
          </cell>
          <cell r="H2210" t="str">
            <v>SP</v>
          </cell>
          <cell r="I2210" t="str">
            <v>North America</v>
          </cell>
          <cell r="J2210" t="str">
            <v>USA</v>
          </cell>
          <cell r="K2210">
            <v>36707</v>
          </cell>
        </row>
        <row r="2211">
          <cell r="A2211" t="str">
            <v>In service</v>
          </cell>
          <cell r="B2211" t="str">
            <v>Gulfstream Aerospace Gulfstream IV</v>
          </cell>
          <cell r="C2211" t="str">
            <v>SP</v>
          </cell>
          <cell r="D2211">
            <v>2002</v>
          </cell>
          <cell r="E2211" t="str">
            <v>Educap Inc</v>
          </cell>
          <cell r="F2211">
            <v>0</v>
          </cell>
          <cell r="G2211">
            <v>37468</v>
          </cell>
          <cell r="H2211" t="str">
            <v>SP</v>
          </cell>
          <cell r="I2211" t="str">
            <v>North America</v>
          </cell>
          <cell r="J2211" t="str">
            <v>USA</v>
          </cell>
          <cell r="K2211">
            <v>36707</v>
          </cell>
        </row>
        <row r="2212">
          <cell r="A2212" t="str">
            <v>In service</v>
          </cell>
          <cell r="B2212" t="str">
            <v>Gulfstream Aerospace Gulfstream IV</v>
          </cell>
          <cell r="C2212" t="str">
            <v>SP</v>
          </cell>
          <cell r="D2212">
            <v>2002</v>
          </cell>
          <cell r="E2212" t="str">
            <v>Adam Aviation Ltd LLP</v>
          </cell>
          <cell r="F2212">
            <v>0</v>
          </cell>
          <cell r="G2212">
            <v>37434</v>
          </cell>
          <cell r="H2212" t="str">
            <v>SP</v>
          </cell>
          <cell r="I2212" t="str">
            <v>North America</v>
          </cell>
          <cell r="J2212" t="str">
            <v>USA</v>
          </cell>
          <cell r="K2212">
            <v>36707</v>
          </cell>
        </row>
        <row r="2213">
          <cell r="A2213" t="str">
            <v>In service</v>
          </cell>
          <cell r="B2213" t="str">
            <v>Gulfstream Aerospace Gulfstream IV</v>
          </cell>
          <cell r="C2213" t="str">
            <v>SP</v>
          </cell>
          <cell r="D2213">
            <v>2002</v>
          </cell>
          <cell r="E2213" t="str">
            <v>Jets Ejecutivos</v>
          </cell>
          <cell r="F2213">
            <v>0</v>
          </cell>
          <cell r="G2213">
            <v>37550</v>
          </cell>
          <cell r="H2213" t="str">
            <v>SP</v>
          </cell>
          <cell r="I2213" t="str">
            <v>Latin America and Caribbean</v>
          </cell>
          <cell r="J2213" t="str">
            <v>Mexico</v>
          </cell>
          <cell r="K2213">
            <v>37072</v>
          </cell>
        </row>
        <row r="2214">
          <cell r="A2214" t="str">
            <v>In service</v>
          </cell>
          <cell r="B2214" t="str">
            <v>Gulfstream Aerospace Gulfstream IV</v>
          </cell>
          <cell r="C2214" t="str">
            <v>SP</v>
          </cell>
          <cell r="D2214">
            <v>2002</v>
          </cell>
          <cell r="E2214" t="str">
            <v>Prime Jet LLC</v>
          </cell>
          <cell r="F2214">
            <v>0</v>
          </cell>
          <cell r="G2214">
            <v>37463</v>
          </cell>
          <cell r="H2214" t="str">
            <v>SP</v>
          </cell>
          <cell r="I2214" t="str">
            <v>North America</v>
          </cell>
          <cell r="J2214" t="str">
            <v>USA</v>
          </cell>
          <cell r="K2214">
            <v>36707</v>
          </cell>
        </row>
        <row r="2215">
          <cell r="A2215" t="str">
            <v>In service</v>
          </cell>
          <cell r="B2215" t="str">
            <v>Gulfstream Aerospace Gulfstream IV</v>
          </cell>
          <cell r="C2215" t="str">
            <v>SP</v>
          </cell>
          <cell r="D2215">
            <v>2002</v>
          </cell>
          <cell r="E2215" t="str">
            <v>Chelsea Holdings LLC</v>
          </cell>
          <cell r="F2215">
            <v>0</v>
          </cell>
          <cell r="G2215">
            <v>37526</v>
          </cell>
          <cell r="H2215" t="str">
            <v>SP</v>
          </cell>
          <cell r="I2215" t="str">
            <v>North America</v>
          </cell>
          <cell r="J2215" t="str">
            <v>USA</v>
          </cell>
          <cell r="K2215">
            <v>36707</v>
          </cell>
        </row>
        <row r="2216">
          <cell r="A2216" t="str">
            <v>In service</v>
          </cell>
          <cell r="B2216" t="str">
            <v>Gulfstream Aerospace Gulfstream IV</v>
          </cell>
          <cell r="C2216" t="str">
            <v>SP</v>
          </cell>
          <cell r="D2216">
            <v>2002</v>
          </cell>
          <cell r="E2216" t="str">
            <v>Computer Sciences Corp</v>
          </cell>
          <cell r="F2216">
            <v>0</v>
          </cell>
          <cell r="G2216">
            <v>37471</v>
          </cell>
          <cell r="H2216" t="str">
            <v>SP</v>
          </cell>
          <cell r="I2216" t="str">
            <v>North America</v>
          </cell>
          <cell r="J2216" t="str">
            <v>USA</v>
          </cell>
          <cell r="K2216">
            <v>36707</v>
          </cell>
        </row>
        <row r="2217">
          <cell r="A2217" t="str">
            <v>In service</v>
          </cell>
          <cell r="B2217" t="str">
            <v>Gulfstream Aerospace Gulfstream IV</v>
          </cell>
          <cell r="C2217" t="str">
            <v>SP</v>
          </cell>
          <cell r="D2217">
            <v>2002</v>
          </cell>
          <cell r="E2217" t="str">
            <v>DS Aviation Inc</v>
          </cell>
          <cell r="F2217">
            <v>0</v>
          </cell>
          <cell r="G2217">
            <v>37498</v>
          </cell>
          <cell r="H2217" t="str">
            <v>SP</v>
          </cell>
          <cell r="I2217" t="str">
            <v>North America</v>
          </cell>
          <cell r="J2217" t="str">
            <v>USA</v>
          </cell>
          <cell r="K2217">
            <v>36707</v>
          </cell>
        </row>
        <row r="2218">
          <cell r="A2218" t="str">
            <v>In service</v>
          </cell>
          <cell r="B2218" t="str">
            <v>Gulfstream Aerospace Gulfstream IV</v>
          </cell>
          <cell r="C2218" t="str">
            <v>SP</v>
          </cell>
          <cell r="D2218">
            <v>2002</v>
          </cell>
          <cell r="E2218" t="str">
            <v>Braxton Management Services LLC</v>
          </cell>
          <cell r="F2218">
            <v>0</v>
          </cell>
          <cell r="G2218">
            <v>37519</v>
          </cell>
          <cell r="H2218" t="str">
            <v>SP</v>
          </cell>
          <cell r="I2218" t="str">
            <v>North America</v>
          </cell>
          <cell r="J2218" t="str">
            <v>USA</v>
          </cell>
          <cell r="K2218">
            <v>36707</v>
          </cell>
        </row>
        <row r="2219">
          <cell r="A2219" t="str">
            <v>In service</v>
          </cell>
          <cell r="B2219" t="str">
            <v>Gulfstream Aerospace Gulfstream IV</v>
          </cell>
          <cell r="C2219" t="str">
            <v>SP</v>
          </cell>
          <cell r="D2219">
            <v>2002</v>
          </cell>
          <cell r="E2219" t="str">
            <v>Netjets International</v>
          </cell>
          <cell r="F2219">
            <v>0</v>
          </cell>
          <cell r="G2219">
            <v>37541</v>
          </cell>
          <cell r="H2219" t="str">
            <v>SP</v>
          </cell>
          <cell r="I2219" t="str">
            <v>North America</v>
          </cell>
          <cell r="J2219" t="str">
            <v>USA</v>
          </cell>
          <cell r="K2219">
            <v>36087</v>
          </cell>
        </row>
        <row r="2220">
          <cell r="A2220" t="str">
            <v>In service</v>
          </cell>
          <cell r="B2220" t="str">
            <v>Gulfstream Aerospace Gulfstream IV</v>
          </cell>
          <cell r="C2220" t="str">
            <v>SP</v>
          </cell>
          <cell r="D2220">
            <v>2002</v>
          </cell>
          <cell r="E2220" t="str">
            <v>SCS Services LLC</v>
          </cell>
          <cell r="F2220">
            <v>0</v>
          </cell>
          <cell r="G2220">
            <v>37607</v>
          </cell>
          <cell r="H2220" t="str">
            <v>SP</v>
          </cell>
          <cell r="I2220" t="str">
            <v>North America</v>
          </cell>
          <cell r="J2220" t="str">
            <v>USA</v>
          </cell>
          <cell r="K2220">
            <v>37072</v>
          </cell>
        </row>
        <row r="2221">
          <cell r="A2221" t="str">
            <v>In service</v>
          </cell>
          <cell r="B2221" t="str">
            <v>Gulfstream Aerospace Gulfstream IV</v>
          </cell>
          <cell r="C2221" t="str">
            <v>SP</v>
          </cell>
          <cell r="D2221">
            <v>2002</v>
          </cell>
          <cell r="E2221" t="str">
            <v>Kaisen LLC</v>
          </cell>
          <cell r="F2221">
            <v>0</v>
          </cell>
          <cell r="G2221">
            <v>37502</v>
          </cell>
          <cell r="H2221" t="str">
            <v>SP</v>
          </cell>
          <cell r="I2221" t="str">
            <v>North America</v>
          </cell>
          <cell r="J2221" t="str">
            <v>USA</v>
          </cell>
          <cell r="K2221">
            <v>37072</v>
          </cell>
        </row>
        <row r="2222">
          <cell r="A2222" t="str">
            <v>In service</v>
          </cell>
          <cell r="B2222" t="str">
            <v>Gulfstream Aerospace Gulfstream IV</v>
          </cell>
          <cell r="C2222" t="str">
            <v>SP</v>
          </cell>
          <cell r="D2222">
            <v>2002</v>
          </cell>
          <cell r="E2222" t="str">
            <v>AirFlite</v>
          </cell>
          <cell r="F2222">
            <v>0</v>
          </cell>
          <cell r="G2222">
            <v>37561</v>
          </cell>
          <cell r="H2222" t="str">
            <v>SP</v>
          </cell>
          <cell r="I2222" t="str">
            <v>North America</v>
          </cell>
          <cell r="J2222" t="str">
            <v>USA</v>
          </cell>
          <cell r="K2222">
            <v>37072</v>
          </cell>
        </row>
        <row r="2223">
          <cell r="A2223" t="str">
            <v>In service</v>
          </cell>
          <cell r="B2223" t="str">
            <v>Gulfstream Aerospace Gulfstream IV</v>
          </cell>
          <cell r="C2223" t="str">
            <v>SP</v>
          </cell>
          <cell r="D2223">
            <v>2002</v>
          </cell>
          <cell r="E2223" t="str">
            <v>Fertitta Enterprises</v>
          </cell>
          <cell r="F2223">
            <v>0</v>
          </cell>
          <cell r="G2223">
            <v>37613</v>
          </cell>
          <cell r="H2223" t="str">
            <v>SP</v>
          </cell>
          <cell r="I2223" t="str">
            <v>North America</v>
          </cell>
          <cell r="J2223" t="str">
            <v>USA</v>
          </cell>
          <cell r="K2223">
            <v>37072</v>
          </cell>
        </row>
        <row r="2224">
          <cell r="A2224" t="str">
            <v>In service</v>
          </cell>
          <cell r="B2224" t="str">
            <v>Gulfstream Aerospace Gulfstream IV</v>
          </cell>
          <cell r="C2224" t="str">
            <v>SP</v>
          </cell>
          <cell r="D2224">
            <v>2002</v>
          </cell>
          <cell r="E2224" t="str">
            <v>Altria Corporate Services Inc</v>
          </cell>
          <cell r="F2224">
            <v>0</v>
          </cell>
          <cell r="G2224">
            <v>37609</v>
          </cell>
          <cell r="H2224" t="str">
            <v>SP</v>
          </cell>
          <cell r="I2224" t="str">
            <v>North America</v>
          </cell>
          <cell r="J2224" t="str">
            <v>USA</v>
          </cell>
          <cell r="K2224">
            <v>37072</v>
          </cell>
        </row>
        <row r="2225">
          <cell r="A2225" t="str">
            <v>In service</v>
          </cell>
          <cell r="B2225" t="str">
            <v>Gulfstream Aerospace Gulfstream IV</v>
          </cell>
          <cell r="C2225" t="str">
            <v>SP</v>
          </cell>
          <cell r="D2225">
            <v>2002</v>
          </cell>
          <cell r="E2225" t="str">
            <v>Sandler Management Group LLC</v>
          </cell>
          <cell r="F2225">
            <v>0</v>
          </cell>
          <cell r="G2225">
            <v>37435</v>
          </cell>
          <cell r="H2225" t="str">
            <v>SP</v>
          </cell>
          <cell r="I2225" t="str">
            <v>North America</v>
          </cell>
          <cell r="J2225" t="str">
            <v>USA</v>
          </cell>
          <cell r="K2225">
            <v>36707</v>
          </cell>
        </row>
        <row r="2226">
          <cell r="A2226" t="str">
            <v>In service</v>
          </cell>
          <cell r="B2226" t="str">
            <v>Gulfstream Aerospace Gulfstream IV</v>
          </cell>
          <cell r="C2226" t="str">
            <v>SP</v>
          </cell>
          <cell r="D2226">
            <v>2002</v>
          </cell>
          <cell r="E2226" t="str">
            <v>Dick's Sporting Goods Inc</v>
          </cell>
          <cell r="F2226">
            <v>0</v>
          </cell>
          <cell r="G2226">
            <v>37621</v>
          </cell>
          <cell r="H2226" t="str">
            <v>SP</v>
          </cell>
          <cell r="I2226" t="str">
            <v>North America</v>
          </cell>
          <cell r="J2226" t="str">
            <v>USA</v>
          </cell>
          <cell r="K2226">
            <v>37072</v>
          </cell>
        </row>
        <row r="2227">
          <cell r="A2227" t="str">
            <v>In service</v>
          </cell>
          <cell r="B2227" t="str">
            <v>Gulfstream Aerospace Gulfstream IV</v>
          </cell>
          <cell r="C2227" t="str">
            <v>U-4</v>
          </cell>
          <cell r="D2227">
            <v>1995</v>
          </cell>
          <cell r="E2227" t="str">
            <v>Japanese Air Self Defence Force</v>
          </cell>
          <cell r="F2227">
            <v>7</v>
          </cell>
          <cell r="G2227">
            <v>35384</v>
          </cell>
          <cell r="H2227" t="str">
            <v>U-4</v>
          </cell>
          <cell r="I2227" t="str">
            <v>Asia</v>
          </cell>
          <cell r="J2227" t="str">
            <v>Japan</v>
          </cell>
          <cell r="K2227">
            <v>34880</v>
          </cell>
        </row>
        <row r="2228">
          <cell r="A2228" t="str">
            <v>In service</v>
          </cell>
          <cell r="B2228" t="str">
            <v>Gulfstream Aerospace Gulfstream IV</v>
          </cell>
          <cell r="C2228" t="str">
            <v>U-4</v>
          </cell>
          <cell r="D2228">
            <v>1995</v>
          </cell>
          <cell r="E2228" t="str">
            <v>Japanese Air Self Defence Force</v>
          </cell>
          <cell r="F2228">
            <v>7</v>
          </cell>
          <cell r="G2228">
            <v>35504</v>
          </cell>
          <cell r="H2228" t="str">
            <v>U-4</v>
          </cell>
          <cell r="I2228" t="str">
            <v>Asia</v>
          </cell>
          <cell r="J2228" t="str">
            <v>Japan</v>
          </cell>
          <cell r="K2228">
            <v>34880</v>
          </cell>
        </row>
        <row r="2229">
          <cell r="A2229" t="str">
            <v>In service</v>
          </cell>
          <cell r="B2229" t="str">
            <v>Gulfstream Aerospace Gulfstream IV</v>
          </cell>
          <cell r="C2229" t="str">
            <v>U-4</v>
          </cell>
          <cell r="D2229">
            <v>1997</v>
          </cell>
          <cell r="E2229" t="str">
            <v>Japanese Air Self Defence Force</v>
          </cell>
          <cell r="F2229">
            <v>5</v>
          </cell>
          <cell r="G2229">
            <v>35688</v>
          </cell>
          <cell r="H2229" t="str">
            <v>U-4</v>
          </cell>
          <cell r="I2229" t="str">
            <v>Asia</v>
          </cell>
          <cell r="J2229" t="str">
            <v>Japan</v>
          </cell>
          <cell r="K2229">
            <v>35246</v>
          </cell>
        </row>
        <row r="2230">
          <cell r="A2230" t="str">
            <v>In service</v>
          </cell>
          <cell r="B2230" t="str">
            <v>Gulfstream Aerospace Gulfstream IV</v>
          </cell>
          <cell r="C2230" t="str">
            <v>U-4</v>
          </cell>
          <cell r="D2230">
            <v>1999</v>
          </cell>
          <cell r="E2230" t="str">
            <v>Japanese Air Self Defence Force</v>
          </cell>
          <cell r="F2230">
            <v>3</v>
          </cell>
          <cell r="G2230">
            <v>36234</v>
          </cell>
          <cell r="H2230" t="str">
            <v>U-4</v>
          </cell>
          <cell r="I2230" t="str">
            <v>Asia</v>
          </cell>
          <cell r="J2230" t="str">
            <v>Japan</v>
          </cell>
          <cell r="K2230">
            <v>35611</v>
          </cell>
        </row>
        <row r="2231">
          <cell r="A2231" t="str">
            <v>In service</v>
          </cell>
          <cell r="B2231" t="str">
            <v>Gulfstream Aerospace Gulfstream IV</v>
          </cell>
          <cell r="C2231" t="str">
            <v>U-4</v>
          </cell>
          <cell r="D2231">
            <v>1999</v>
          </cell>
          <cell r="E2231" t="str">
            <v>Japanese Air Self Defence Force</v>
          </cell>
          <cell r="F2231">
            <v>3</v>
          </cell>
          <cell r="G2231">
            <v>36586</v>
          </cell>
          <cell r="H2231" t="str">
            <v>U-4</v>
          </cell>
          <cell r="I2231" t="str">
            <v>Asia</v>
          </cell>
          <cell r="J2231" t="str">
            <v>Japan</v>
          </cell>
          <cell r="K2231">
            <v>35976</v>
          </cell>
        </row>
        <row r="2232">
          <cell r="A2232" t="str">
            <v>In service</v>
          </cell>
          <cell r="B2232" t="str">
            <v>Gulfstream Aerospace Gulfstream V</v>
          </cell>
          <cell r="C2232" t="str">
            <v xml:space="preserve"> </v>
          </cell>
          <cell r="D2232">
            <v>1996</v>
          </cell>
          <cell r="E2232" t="str">
            <v>Skyflight Leasing Ltd</v>
          </cell>
          <cell r="F2232">
            <v>6</v>
          </cell>
          <cell r="G2232">
            <v>36405</v>
          </cell>
          <cell r="I2232" t="str">
            <v>North America</v>
          </cell>
          <cell r="J2232" t="str">
            <v>USA</v>
          </cell>
        </row>
        <row r="2233">
          <cell r="A2233" t="str">
            <v>In service</v>
          </cell>
          <cell r="B2233" t="str">
            <v>Gulfstream Aerospace Gulfstream V</v>
          </cell>
          <cell r="C2233" t="str">
            <v xml:space="preserve"> </v>
          </cell>
          <cell r="D2233">
            <v>1996</v>
          </cell>
          <cell r="E2233" t="str">
            <v>FL Aviation Group Inc</v>
          </cell>
          <cell r="F2233">
            <v>6</v>
          </cell>
          <cell r="G2233">
            <v>35976</v>
          </cell>
          <cell r="I2233" t="str">
            <v>North America</v>
          </cell>
          <cell r="J2233" t="str">
            <v>USA</v>
          </cell>
        </row>
        <row r="2234">
          <cell r="A2234" t="str">
            <v>In service</v>
          </cell>
          <cell r="B2234" t="str">
            <v>Gulfstream Aerospace Gulfstream V</v>
          </cell>
          <cell r="C2234" t="str">
            <v xml:space="preserve"> </v>
          </cell>
          <cell r="D2234">
            <v>1996</v>
          </cell>
          <cell r="E2234" t="str">
            <v>Renco Group Inc</v>
          </cell>
          <cell r="F2234">
            <v>6</v>
          </cell>
          <cell r="G2234">
            <v>35685</v>
          </cell>
          <cell r="I2234" t="str">
            <v>North America</v>
          </cell>
          <cell r="J2234" t="str">
            <v>USA</v>
          </cell>
        </row>
        <row r="2235">
          <cell r="A2235" t="str">
            <v>In service</v>
          </cell>
          <cell r="B2235" t="str">
            <v>Gulfstream Aerospace Gulfstream V</v>
          </cell>
          <cell r="C2235" t="str">
            <v xml:space="preserve"> </v>
          </cell>
          <cell r="D2235">
            <v>1996</v>
          </cell>
          <cell r="E2235" t="str">
            <v>Westair Aviation</v>
          </cell>
          <cell r="F2235">
            <v>6</v>
          </cell>
          <cell r="G2235">
            <v>35756</v>
          </cell>
          <cell r="I2235" t="str">
            <v>Europe</v>
          </cell>
          <cell r="J2235" t="str">
            <v>Ireland</v>
          </cell>
        </row>
        <row r="2236">
          <cell r="A2236" t="str">
            <v>In service</v>
          </cell>
          <cell r="B2236" t="str">
            <v>Gulfstream Aerospace Gulfstream V</v>
          </cell>
          <cell r="C2236" t="str">
            <v xml:space="preserve"> </v>
          </cell>
          <cell r="D2236">
            <v>1997</v>
          </cell>
          <cell r="E2236" t="str">
            <v>Datel Holdings Ltd</v>
          </cell>
          <cell r="F2236">
            <v>5</v>
          </cell>
          <cell r="G2236">
            <v>35648</v>
          </cell>
          <cell r="I2236" t="str">
            <v>Europe</v>
          </cell>
          <cell r="J2236" t="str">
            <v>United Kingdom</v>
          </cell>
          <cell r="K2236">
            <v>35246</v>
          </cell>
        </row>
        <row r="2237">
          <cell r="A2237" t="str">
            <v>In service</v>
          </cell>
          <cell r="B2237" t="str">
            <v>Gulfstream Aerospace Gulfstream V</v>
          </cell>
          <cell r="C2237" t="str">
            <v xml:space="preserve"> </v>
          </cell>
          <cell r="D2237">
            <v>1997</v>
          </cell>
          <cell r="E2237" t="str">
            <v>Leonore Annenberg</v>
          </cell>
          <cell r="F2237">
            <v>5</v>
          </cell>
          <cell r="G2237">
            <v>35612</v>
          </cell>
          <cell r="I2237" t="str">
            <v>North America</v>
          </cell>
          <cell r="J2237" t="str">
            <v>USA</v>
          </cell>
          <cell r="K2237">
            <v>34880</v>
          </cell>
        </row>
        <row r="2238">
          <cell r="A2238" t="str">
            <v>In service</v>
          </cell>
          <cell r="B2238" t="str">
            <v>Gulfstream Aerospace Gulfstream V</v>
          </cell>
          <cell r="C2238" t="str">
            <v xml:space="preserve"> </v>
          </cell>
          <cell r="D2238">
            <v>1997</v>
          </cell>
          <cell r="E2238" t="str">
            <v>Intersouth Inc</v>
          </cell>
          <cell r="F2238">
            <v>5</v>
          </cell>
          <cell r="G2238">
            <v>35476</v>
          </cell>
          <cell r="I2238" t="str">
            <v>North America</v>
          </cell>
          <cell r="J2238" t="str">
            <v>USA</v>
          </cell>
          <cell r="K2238">
            <v>35246</v>
          </cell>
        </row>
        <row r="2239">
          <cell r="A2239" t="str">
            <v>In service</v>
          </cell>
          <cell r="B2239" t="str">
            <v>Gulfstream Aerospace Gulfstream V</v>
          </cell>
          <cell r="C2239" t="str">
            <v xml:space="preserve"> </v>
          </cell>
          <cell r="D2239">
            <v>1997</v>
          </cell>
          <cell r="E2239" t="str">
            <v>BMW Flugdienst</v>
          </cell>
          <cell r="F2239">
            <v>5</v>
          </cell>
          <cell r="G2239">
            <v>35802</v>
          </cell>
          <cell r="I2239" t="str">
            <v>Europe</v>
          </cell>
          <cell r="J2239" t="str">
            <v>Germany</v>
          </cell>
          <cell r="K2239">
            <v>35246</v>
          </cell>
        </row>
        <row r="2240">
          <cell r="A2240" t="str">
            <v>In service</v>
          </cell>
          <cell r="B2240" t="str">
            <v>Gulfstream Aerospace Gulfstream V</v>
          </cell>
          <cell r="C2240" t="str">
            <v xml:space="preserve"> </v>
          </cell>
          <cell r="D2240">
            <v>1997</v>
          </cell>
          <cell r="E2240" t="str">
            <v>Rolls-Royce</v>
          </cell>
          <cell r="F2240">
            <v>5</v>
          </cell>
          <cell r="G2240">
            <v>35749</v>
          </cell>
          <cell r="I2240" t="str">
            <v>Europe</v>
          </cell>
          <cell r="J2240" t="str">
            <v>United Kingdom</v>
          </cell>
          <cell r="K2240">
            <v>34880</v>
          </cell>
        </row>
        <row r="2241">
          <cell r="A2241" t="str">
            <v>In service</v>
          </cell>
          <cell r="B2241" t="str">
            <v>Gulfstream Aerospace Gulfstream V</v>
          </cell>
          <cell r="C2241" t="str">
            <v xml:space="preserve"> </v>
          </cell>
          <cell r="D2241">
            <v>1997</v>
          </cell>
          <cell r="E2241" t="str">
            <v>Ropa Two Corp</v>
          </cell>
          <cell r="F2241">
            <v>5</v>
          </cell>
          <cell r="G2241">
            <v>35515</v>
          </cell>
          <cell r="I2241" t="str">
            <v>North America</v>
          </cell>
          <cell r="J2241" t="str">
            <v>USA</v>
          </cell>
          <cell r="K2241">
            <v>34880</v>
          </cell>
        </row>
        <row r="2242">
          <cell r="A2242" t="str">
            <v>In service</v>
          </cell>
          <cell r="B2242" t="str">
            <v>Gulfstream Aerospace Gulfstream V</v>
          </cell>
          <cell r="C2242" t="str">
            <v xml:space="preserve"> </v>
          </cell>
          <cell r="D2242">
            <v>1997</v>
          </cell>
          <cell r="E2242" t="str">
            <v>Jet Aviation Business Jets</v>
          </cell>
          <cell r="F2242">
            <v>5</v>
          </cell>
          <cell r="G2242">
            <v>35587</v>
          </cell>
          <cell r="I2242" t="str">
            <v>Europe</v>
          </cell>
          <cell r="J2242" t="str">
            <v>Switzerland</v>
          </cell>
          <cell r="K2242">
            <v>35246</v>
          </cell>
        </row>
        <row r="2243">
          <cell r="A2243" t="str">
            <v>In service</v>
          </cell>
          <cell r="B2243" t="str">
            <v>Gulfstream Aerospace Gulfstream V</v>
          </cell>
          <cell r="C2243" t="str">
            <v xml:space="preserve"> </v>
          </cell>
          <cell r="D2243">
            <v>1997</v>
          </cell>
          <cell r="E2243" t="str">
            <v>Garthorpe Inc</v>
          </cell>
          <cell r="F2243">
            <v>5</v>
          </cell>
          <cell r="G2243">
            <v>35565</v>
          </cell>
          <cell r="I2243" t="str">
            <v>North America</v>
          </cell>
          <cell r="J2243" t="str">
            <v>USA</v>
          </cell>
          <cell r="K2243">
            <v>35246</v>
          </cell>
        </row>
        <row r="2244">
          <cell r="A2244" t="str">
            <v>In service</v>
          </cell>
          <cell r="B2244" t="str">
            <v>Gulfstream Aerospace Gulfstream V</v>
          </cell>
          <cell r="C2244" t="str">
            <v xml:space="preserve"> </v>
          </cell>
          <cell r="D2244">
            <v>1997</v>
          </cell>
          <cell r="E2244" t="str">
            <v>Government of Brunei</v>
          </cell>
          <cell r="F2244">
            <v>5</v>
          </cell>
          <cell r="G2244">
            <v>35688</v>
          </cell>
          <cell r="I2244" t="str">
            <v>Asia</v>
          </cell>
          <cell r="J2244" t="str">
            <v>Brunei</v>
          </cell>
          <cell r="K2244">
            <v>35246</v>
          </cell>
        </row>
        <row r="2245">
          <cell r="A2245" t="str">
            <v>In service</v>
          </cell>
          <cell r="B2245" t="str">
            <v>Gulfstream Aerospace Gulfstream V</v>
          </cell>
          <cell r="C2245" t="str">
            <v xml:space="preserve"> </v>
          </cell>
          <cell r="D2245">
            <v>1997</v>
          </cell>
          <cell r="E2245" t="str">
            <v>Bank of America Special Assets Corp</v>
          </cell>
          <cell r="F2245">
            <v>5</v>
          </cell>
          <cell r="G2245">
            <v>35611</v>
          </cell>
          <cell r="I2245" t="str">
            <v>North America</v>
          </cell>
          <cell r="J2245" t="str">
            <v>USA</v>
          </cell>
          <cell r="K2245">
            <v>34880</v>
          </cell>
        </row>
        <row r="2246">
          <cell r="A2246" t="str">
            <v>In service</v>
          </cell>
          <cell r="B2246" t="str">
            <v>Gulfstream Aerospace Gulfstream V</v>
          </cell>
          <cell r="C2246" t="str">
            <v xml:space="preserve"> </v>
          </cell>
          <cell r="D2246">
            <v>1997</v>
          </cell>
          <cell r="E2246" t="str">
            <v>G5 Executive</v>
          </cell>
          <cell r="F2246">
            <v>5</v>
          </cell>
          <cell r="G2246">
            <v>35657</v>
          </cell>
          <cell r="I2246" t="str">
            <v>Europe</v>
          </cell>
          <cell r="J2246" t="str">
            <v>Switzerland</v>
          </cell>
          <cell r="K2246">
            <v>34880</v>
          </cell>
        </row>
        <row r="2247">
          <cell r="A2247" t="str">
            <v>In service</v>
          </cell>
          <cell r="B2247" t="str">
            <v>Gulfstream Aerospace Gulfstream V</v>
          </cell>
          <cell r="C2247" t="str">
            <v xml:space="preserve"> </v>
          </cell>
          <cell r="D2247">
            <v>1997</v>
          </cell>
          <cell r="E2247" t="str">
            <v>General Dynamics Corp</v>
          </cell>
          <cell r="F2247">
            <v>5</v>
          </cell>
          <cell r="G2247">
            <v>35991</v>
          </cell>
          <cell r="I2247" t="str">
            <v>North America</v>
          </cell>
          <cell r="J2247" t="str">
            <v>USA</v>
          </cell>
          <cell r="K2247">
            <v>35246</v>
          </cell>
        </row>
        <row r="2248">
          <cell r="A2248" t="str">
            <v>In service</v>
          </cell>
          <cell r="B2248" t="str">
            <v>Gulfstream Aerospace Gulfstream V</v>
          </cell>
          <cell r="C2248" t="str">
            <v xml:space="preserve"> </v>
          </cell>
          <cell r="D2248">
            <v>1997</v>
          </cell>
          <cell r="E2248" t="str">
            <v>Trans World Oil</v>
          </cell>
          <cell r="F2248">
            <v>5</v>
          </cell>
          <cell r="G2248">
            <v>35836</v>
          </cell>
          <cell r="I2248" t="str">
            <v>Latin America and Caribbean</v>
          </cell>
          <cell r="J2248" t="str">
            <v>Cayman Islands</v>
          </cell>
          <cell r="K2248">
            <v>35246</v>
          </cell>
        </row>
        <row r="2249">
          <cell r="A2249" t="str">
            <v>In service</v>
          </cell>
          <cell r="B2249" t="str">
            <v>Gulfstream Aerospace Gulfstream V</v>
          </cell>
          <cell r="C2249" t="str">
            <v xml:space="preserve"> </v>
          </cell>
          <cell r="D2249">
            <v>1998</v>
          </cell>
          <cell r="E2249" t="str">
            <v>Allied Caribbean Inc</v>
          </cell>
          <cell r="F2249">
            <v>4</v>
          </cell>
          <cell r="G2249">
            <v>35872</v>
          </cell>
          <cell r="I2249" t="str">
            <v>North America</v>
          </cell>
          <cell r="J2249" t="str">
            <v>USA</v>
          </cell>
          <cell r="K2249">
            <v>35246</v>
          </cell>
        </row>
        <row r="2250">
          <cell r="A2250" t="str">
            <v>In service</v>
          </cell>
          <cell r="B2250" t="str">
            <v>Gulfstream Aerospace Gulfstream V</v>
          </cell>
          <cell r="C2250" t="str">
            <v xml:space="preserve"> </v>
          </cell>
          <cell r="D2250">
            <v>1998</v>
          </cell>
          <cell r="E2250" t="str">
            <v>US Air Force</v>
          </cell>
          <cell r="F2250">
            <v>4</v>
          </cell>
          <cell r="G2250">
            <v>36082</v>
          </cell>
          <cell r="H2250" t="str">
            <v>C-37A</v>
          </cell>
          <cell r="I2250" t="str">
            <v>North America</v>
          </cell>
          <cell r="J2250" t="str">
            <v>USA</v>
          </cell>
          <cell r="K2250">
            <v>35559</v>
          </cell>
        </row>
        <row r="2251">
          <cell r="A2251" t="str">
            <v>In service</v>
          </cell>
          <cell r="B2251" t="str">
            <v>Gulfstream Aerospace Gulfstream V</v>
          </cell>
          <cell r="C2251" t="str">
            <v xml:space="preserve"> </v>
          </cell>
          <cell r="D2251">
            <v>1998</v>
          </cell>
          <cell r="E2251" t="str">
            <v>Hubbard Broadcasting Inc</v>
          </cell>
          <cell r="F2251">
            <v>4</v>
          </cell>
          <cell r="G2251">
            <v>35905</v>
          </cell>
          <cell r="I2251" t="str">
            <v>North America</v>
          </cell>
          <cell r="J2251" t="str">
            <v>USA</v>
          </cell>
          <cell r="K2251">
            <v>34880</v>
          </cell>
        </row>
        <row r="2252">
          <cell r="A2252" t="str">
            <v>In service</v>
          </cell>
          <cell r="B2252" t="str">
            <v>Gulfstream Aerospace Gulfstream V</v>
          </cell>
          <cell r="C2252" t="str">
            <v xml:space="preserve"> </v>
          </cell>
          <cell r="D2252">
            <v>1997</v>
          </cell>
          <cell r="E2252" t="str">
            <v>Rochester Aviation Inc</v>
          </cell>
          <cell r="F2252">
            <v>5</v>
          </cell>
          <cell r="G2252">
            <v>36342</v>
          </cell>
          <cell r="I2252" t="str">
            <v>North America</v>
          </cell>
          <cell r="J2252" t="str">
            <v>USA</v>
          </cell>
          <cell r="K2252">
            <v>35246</v>
          </cell>
        </row>
        <row r="2253">
          <cell r="A2253" t="str">
            <v>In service</v>
          </cell>
          <cell r="B2253" t="str">
            <v>Gulfstream Aerospace Gulfstream V</v>
          </cell>
          <cell r="C2253" t="str">
            <v xml:space="preserve"> </v>
          </cell>
          <cell r="D2253">
            <v>1997</v>
          </cell>
          <cell r="E2253" t="str">
            <v>The Coca-Cola Co</v>
          </cell>
          <cell r="F2253">
            <v>5</v>
          </cell>
          <cell r="G2253">
            <v>35668</v>
          </cell>
          <cell r="I2253" t="str">
            <v>North America</v>
          </cell>
          <cell r="J2253" t="str">
            <v>USA</v>
          </cell>
          <cell r="K2253">
            <v>35246</v>
          </cell>
        </row>
        <row r="2254">
          <cell r="A2254" t="str">
            <v>In service</v>
          </cell>
          <cell r="B2254" t="str">
            <v>Gulfstream Aerospace Gulfstream V</v>
          </cell>
          <cell r="C2254" t="str">
            <v xml:space="preserve"> </v>
          </cell>
          <cell r="D2254">
            <v>1997</v>
          </cell>
          <cell r="E2254" t="str">
            <v>Jefferson Smurfit Corp</v>
          </cell>
          <cell r="F2254">
            <v>5</v>
          </cell>
          <cell r="G2254">
            <v>35697</v>
          </cell>
          <cell r="I2254" t="str">
            <v>North America</v>
          </cell>
          <cell r="J2254" t="str">
            <v>USA</v>
          </cell>
          <cell r="K2254">
            <v>35246</v>
          </cell>
        </row>
        <row r="2255">
          <cell r="A2255" t="str">
            <v>In service</v>
          </cell>
          <cell r="B2255" t="str">
            <v>Gulfstream Aerospace Gulfstream V</v>
          </cell>
          <cell r="C2255" t="str">
            <v xml:space="preserve"> </v>
          </cell>
          <cell r="D2255">
            <v>1998</v>
          </cell>
          <cell r="E2255" t="str">
            <v>The Coca-Cola Co</v>
          </cell>
          <cell r="F2255">
            <v>4</v>
          </cell>
          <cell r="G2255">
            <v>36031</v>
          </cell>
          <cell r="I2255" t="str">
            <v>North America</v>
          </cell>
          <cell r="J2255" t="str">
            <v>USA</v>
          </cell>
          <cell r="K2255">
            <v>35246</v>
          </cell>
        </row>
        <row r="2256">
          <cell r="A2256" t="str">
            <v>In service</v>
          </cell>
          <cell r="B2256" t="str">
            <v>Gulfstream Aerospace Gulfstream V</v>
          </cell>
          <cell r="C2256" t="str">
            <v xml:space="preserve"> </v>
          </cell>
          <cell r="D2256">
            <v>1998</v>
          </cell>
          <cell r="E2256" t="str">
            <v>Wekel SA</v>
          </cell>
          <cell r="F2256">
            <v>4</v>
          </cell>
          <cell r="G2256">
            <v>36068</v>
          </cell>
          <cell r="I2256" t="str">
            <v>Latin America and Caribbean</v>
          </cell>
          <cell r="J2256" t="str">
            <v>Colombia</v>
          </cell>
          <cell r="K2256">
            <v>35246</v>
          </cell>
        </row>
        <row r="2257">
          <cell r="A2257" t="str">
            <v>In service</v>
          </cell>
          <cell r="B2257" t="str">
            <v>Gulfstream Aerospace Gulfstream V</v>
          </cell>
          <cell r="C2257" t="str">
            <v xml:space="preserve"> </v>
          </cell>
          <cell r="D2257">
            <v>1997</v>
          </cell>
          <cell r="E2257" t="str">
            <v>Consortium of AOL Time Warner Companies</v>
          </cell>
          <cell r="F2257">
            <v>5</v>
          </cell>
          <cell r="G2257">
            <v>35969</v>
          </cell>
          <cell r="I2257" t="str">
            <v>North America</v>
          </cell>
          <cell r="J2257" t="str">
            <v>USA</v>
          </cell>
          <cell r="K2257">
            <v>35246</v>
          </cell>
        </row>
        <row r="2258">
          <cell r="A2258" t="str">
            <v>In service</v>
          </cell>
          <cell r="B2258" t="str">
            <v>Gulfstream Aerospace Gulfstream V</v>
          </cell>
          <cell r="C2258" t="str">
            <v xml:space="preserve"> </v>
          </cell>
          <cell r="D2258">
            <v>1997</v>
          </cell>
          <cell r="E2258" t="str">
            <v>Consortium of AOL Time Warner Companies</v>
          </cell>
          <cell r="F2258">
            <v>5</v>
          </cell>
          <cell r="G2258">
            <v>35969</v>
          </cell>
          <cell r="I2258" t="str">
            <v>North America</v>
          </cell>
          <cell r="J2258" t="str">
            <v>USA</v>
          </cell>
          <cell r="K2258">
            <v>35246</v>
          </cell>
        </row>
        <row r="2259">
          <cell r="A2259" t="str">
            <v>In service</v>
          </cell>
          <cell r="B2259" t="str">
            <v>Gulfstream Aerospace Gulfstream V</v>
          </cell>
          <cell r="C2259" t="str">
            <v xml:space="preserve"> </v>
          </cell>
          <cell r="D2259">
            <v>1998</v>
          </cell>
          <cell r="E2259" t="str">
            <v>IBM Corp</v>
          </cell>
          <cell r="F2259">
            <v>4</v>
          </cell>
          <cell r="G2259">
            <v>36062</v>
          </cell>
          <cell r="I2259" t="str">
            <v>North America</v>
          </cell>
          <cell r="J2259" t="str">
            <v>USA</v>
          </cell>
          <cell r="K2259">
            <v>35246</v>
          </cell>
        </row>
        <row r="2260">
          <cell r="A2260" t="str">
            <v>In service</v>
          </cell>
          <cell r="B2260" t="str">
            <v>Gulfstream Aerospace Gulfstream V</v>
          </cell>
          <cell r="C2260" t="str">
            <v xml:space="preserve"> </v>
          </cell>
          <cell r="D2260">
            <v>1997</v>
          </cell>
          <cell r="E2260" t="str">
            <v>The Air Group Inc</v>
          </cell>
          <cell r="F2260">
            <v>5</v>
          </cell>
          <cell r="G2260">
            <v>35741</v>
          </cell>
          <cell r="I2260" t="str">
            <v>North America</v>
          </cell>
          <cell r="J2260" t="str">
            <v>USA</v>
          </cell>
          <cell r="K2260">
            <v>35246</v>
          </cell>
        </row>
        <row r="2261">
          <cell r="A2261" t="str">
            <v>In service</v>
          </cell>
          <cell r="B2261" t="str">
            <v>Gulfstream Aerospace Gulfstream V</v>
          </cell>
          <cell r="C2261" t="str">
            <v xml:space="preserve"> </v>
          </cell>
          <cell r="D2261">
            <v>1997</v>
          </cell>
          <cell r="E2261" t="str">
            <v>Shorenstein Company LP</v>
          </cell>
          <cell r="F2261">
            <v>5</v>
          </cell>
          <cell r="G2261">
            <v>35759</v>
          </cell>
          <cell r="I2261" t="str">
            <v>North America</v>
          </cell>
          <cell r="J2261" t="str">
            <v>USA</v>
          </cell>
          <cell r="K2261">
            <v>35246</v>
          </cell>
        </row>
        <row r="2262">
          <cell r="A2262" t="str">
            <v>In service</v>
          </cell>
          <cell r="B2262" t="str">
            <v>Gulfstream Aerospace Gulfstream V</v>
          </cell>
          <cell r="C2262" t="str">
            <v xml:space="preserve"> </v>
          </cell>
          <cell r="D2262">
            <v>1997</v>
          </cell>
          <cell r="E2262" t="str">
            <v>Commander Mexicana SA de CV</v>
          </cell>
          <cell r="F2262">
            <v>5</v>
          </cell>
          <cell r="G2262">
            <v>35807</v>
          </cell>
          <cell r="I2262" t="str">
            <v>Latin America and Caribbean</v>
          </cell>
          <cell r="J2262" t="str">
            <v>Mexico</v>
          </cell>
          <cell r="K2262">
            <v>35246</v>
          </cell>
        </row>
        <row r="2263">
          <cell r="A2263" t="str">
            <v>In service</v>
          </cell>
          <cell r="B2263" t="str">
            <v>Gulfstream Aerospace Gulfstream V</v>
          </cell>
          <cell r="C2263" t="str">
            <v xml:space="preserve"> </v>
          </cell>
          <cell r="D2263">
            <v>1998</v>
          </cell>
          <cell r="E2263" t="str">
            <v>Automotive Air Charter</v>
          </cell>
          <cell r="F2263">
            <v>4</v>
          </cell>
          <cell r="G2263">
            <v>36076</v>
          </cell>
          <cell r="I2263" t="str">
            <v>North America</v>
          </cell>
          <cell r="J2263" t="str">
            <v>USA</v>
          </cell>
          <cell r="K2263">
            <v>35611</v>
          </cell>
        </row>
        <row r="2264">
          <cell r="A2264" t="str">
            <v>In service</v>
          </cell>
          <cell r="B2264" t="str">
            <v>Gulfstream Aerospace Gulfstream V</v>
          </cell>
          <cell r="C2264" t="str">
            <v xml:space="preserve"> </v>
          </cell>
          <cell r="D2264">
            <v>1997</v>
          </cell>
          <cell r="E2264" t="str">
            <v>Vivendi Universal</v>
          </cell>
          <cell r="F2264">
            <v>5</v>
          </cell>
          <cell r="G2264">
            <v>35804</v>
          </cell>
          <cell r="I2264" t="str">
            <v>North America</v>
          </cell>
          <cell r="J2264" t="str">
            <v>USA</v>
          </cell>
          <cell r="K2264">
            <v>35246</v>
          </cell>
        </row>
        <row r="2265">
          <cell r="A2265" t="str">
            <v>In service</v>
          </cell>
          <cell r="B2265" t="str">
            <v>Gulfstream Aerospace Gulfstream V</v>
          </cell>
          <cell r="C2265" t="str">
            <v xml:space="preserve"> </v>
          </cell>
          <cell r="D2265">
            <v>1998</v>
          </cell>
          <cell r="E2265" t="str">
            <v>United Healthcare Services Inc</v>
          </cell>
          <cell r="F2265">
            <v>4</v>
          </cell>
          <cell r="G2265">
            <v>35830</v>
          </cell>
          <cell r="I2265" t="str">
            <v>North America</v>
          </cell>
          <cell r="J2265" t="str">
            <v>USA</v>
          </cell>
          <cell r="K2265">
            <v>35246</v>
          </cell>
        </row>
        <row r="2266">
          <cell r="A2266" t="str">
            <v>In service</v>
          </cell>
          <cell r="B2266" t="str">
            <v>Gulfstream Aerospace Gulfstream V</v>
          </cell>
          <cell r="C2266" t="str">
            <v xml:space="preserve"> </v>
          </cell>
          <cell r="D2266">
            <v>1999</v>
          </cell>
          <cell r="E2266" t="str">
            <v>Helicol</v>
          </cell>
          <cell r="F2266">
            <v>3</v>
          </cell>
          <cell r="G2266">
            <v>36234</v>
          </cell>
          <cell r="I2266" t="str">
            <v>Latin America and Caribbean</v>
          </cell>
          <cell r="J2266" t="str">
            <v>Colombia</v>
          </cell>
          <cell r="K2266">
            <v>35611</v>
          </cell>
        </row>
        <row r="2267">
          <cell r="A2267" t="str">
            <v>In service</v>
          </cell>
          <cell r="B2267" t="str">
            <v>Gulfstream Aerospace Gulfstream V</v>
          </cell>
          <cell r="C2267" t="str">
            <v xml:space="preserve"> </v>
          </cell>
          <cell r="D2267">
            <v>1998</v>
          </cell>
          <cell r="E2267" t="str">
            <v>Open Road Airways Inc</v>
          </cell>
          <cell r="F2267">
            <v>4</v>
          </cell>
          <cell r="G2267">
            <v>35845</v>
          </cell>
          <cell r="I2267" t="str">
            <v>North America</v>
          </cell>
          <cell r="J2267" t="str">
            <v>USA</v>
          </cell>
          <cell r="K2267">
            <v>35611</v>
          </cell>
        </row>
        <row r="2268">
          <cell r="A2268" t="str">
            <v>In service</v>
          </cell>
          <cell r="B2268" t="str">
            <v>Gulfstream Aerospace Gulfstream V</v>
          </cell>
          <cell r="C2268" t="str">
            <v xml:space="preserve"> </v>
          </cell>
          <cell r="D2268">
            <v>1998</v>
          </cell>
          <cell r="E2268" t="str">
            <v>Flight Management LLC</v>
          </cell>
          <cell r="F2268">
            <v>4</v>
          </cell>
          <cell r="G2268">
            <v>36307</v>
          </cell>
          <cell r="I2268" t="str">
            <v>North America</v>
          </cell>
          <cell r="J2268" t="str">
            <v>USA</v>
          </cell>
          <cell r="K2268">
            <v>35611</v>
          </cell>
        </row>
        <row r="2269">
          <cell r="A2269" t="str">
            <v>In service</v>
          </cell>
          <cell r="B2269" t="str">
            <v>Gulfstream Aerospace Gulfstream V</v>
          </cell>
          <cell r="C2269" t="str">
            <v xml:space="preserve"> </v>
          </cell>
          <cell r="D2269">
            <v>1998</v>
          </cell>
          <cell r="E2269" t="str">
            <v>Organizacion Editorial Mexicana SA de CV</v>
          </cell>
          <cell r="F2269">
            <v>4</v>
          </cell>
          <cell r="G2269">
            <v>36265</v>
          </cell>
          <cell r="I2269" t="str">
            <v>Latin America and Caribbean</v>
          </cell>
          <cell r="J2269" t="str">
            <v>Mexico</v>
          </cell>
          <cell r="K2269">
            <v>35246</v>
          </cell>
        </row>
        <row r="2270">
          <cell r="A2270" t="str">
            <v>In service</v>
          </cell>
          <cell r="B2270" t="str">
            <v>Gulfstream Aerospace Gulfstream V</v>
          </cell>
          <cell r="C2270" t="str">
            <v xml:space="preserve"> </v>
          </cell>
          <cell r="D2270">
            <v>1999</v>
          </cell>
          <cell r="E2270" t="str">
            <v>Lockheed Martin Corp</v>
          </cell>
          <cell r="F2270">
            <v>3</v>
          </cell>
          <cell r="G2270">
            <v>36266</v>
          </cell>
          <cell r="I2270" t="str">
            <v>North America</v>
          </cell>
          <cell r="J2270" t="str">
            <v>USA</v>
          </cell>
          <cell r="K2270">
            <v>35611</v>
          </cell>
        </row>
        <row r="2271">
          <cell r="A2271" t="str">
            <v>In service</v>
          </cell>
          <cell r="B2271" t="str">
            <v>Gulfstream Aerospace Gulfstream V</v>
          </cell>
          <cell r="C2271" t="str">
            <v xml:space="preserve"> </v>
          </cell>
          <cell r="D2271">
            <v>1998</v>
          </cell>
          <cell r="E2271" t="str">
            <v>US Air Force</v>
          </cell>
          <cell r="F2271">
            <v>4</v>
          </cell>
          <cell r="G2271">
            <v>36175</v>
          </cell>
          <cell r="H2271" t="str">
            <v>C-37A</v>
          </cell>
          <cell r="I2271" t="str">
            <v>North America</v>
          </cell>
          <cell r="J2271" t="str">
            <v>USA</v>
          </cell>
          <cell r="K2271">
            <v>35559</v>
          </cell>
        </row>
        <row r="2272">
          <cell r="A2272" t="str">
            <v>In service</v>
          </cell>
          <cell r="B2272" t="str">
            <v>Gulfstream Aerospace Gulfstream V</v>
          </cell>
          <cell r="C2272" t="str">
            <v xml:space="preserve"> </v>
          </cell>
          <cell r="D2272">
            <v>1998</v>
          </cell>
          <cell r="E2272" t="str">
            <v>Foreign Manufacturers Finance Corp</v>
          </cell>
          <cell r="F2272">
            <v>4</v>
          </cell>
          <cell r="G2272">
            <v>35928</v>
          </cell>
          <cell r="I2272" t="str">
            <v>North America</v>
          </cell>
          <cell r="J2272" t="str">
            <v>USA</v>
          </cell>
          <cell r="K2272">
            <v>35611</v>
          </cell>
        </row>
        <row r="2273">
          <cell r="A2273" t="str">
            <v>In service</v>
          </cell>
          <cell r="B2273" t="str">
            <v>Gulfstream Aerospace Gulfstream V</v>
          </cell>
          <cell r="C2273" t="str">
            <v xml:space="preserve"> </v>
          </cell>
          <cell r="D2273">
            <v>1998</v>
          </cell>
          <cell r="E2273" t="str">
            <v>Automotive Air Charter</v>
          </cell>
          <cell r="F2273">
            <v>4</v>
          </cell>
          <cell r="G2273">
            <v>35921</v>
          </cell>
          <cell r="I2273" t="str">
            <v>North America</v>
          </cell>
          <cell r="J2273" t="str">
            <v>USA</v>
          </cell>
          <cell r="K2273">
            <v>35246</v>
          </cell>
        </row>
        <row r="2274">
          <cell r="A2274" t="str">
            <v>In service</v>
          </cell>
          <cell r="B2274" t="str">
            <v>Gulfstream Aerospace Gulfstream V</v>
          </cell>
          <cell r="C2274" t="str">
            <v xml:space="preserve"> </v>
          </cell>
          <cell r="D2274">
            <v>1998</v>
          </cell>
          <cell r="E2274" t="str">
            <v>Gulfstream Aerospace Corp</v>
          </cell>
          <cell r="F2274">
            <v>4</v>
          </cell>
          <cell r="G2274">
            <v>35933</v>
          </cell>
          <cell r="I2274" t="str">
            <v>North America</v>
          </cell>
          <cell r="J2274" t="str">
            <v>USA</v>
          </cell>
          <cell r="K2274">
            <v>35611</v>
          </cell>
        </row>
        <row r="2275">
          <cell r="A2275" t="str">
            <v>In service</v>
          </cell>
          <cell r="B2275" t="str">
            <v>Gulfstream Aerospace Gulfstream V</v>
          </cell>
          <cell r="C2275" t="str">
            <v xml:space="preserve"> </v>
          </cell>
          <cell r="D2275">
            <v>1999</v>
          </cell>
          <cell r="E2275" t="str">
            <v>Aerovics SA</v>
          </cell>
          <cell r="F2275">
            <v>3</v>
          </cell>
          <cell r="G2275">
            <v>36353</v>
          </cell>
          <cell r="I2275" t="str">
            <v>Latin America and Caribbean</v>
          </cell>
          <cell r="J2275" t="str">
            <v>Mexico</v>
          </cell>
          <cell r="K2275">
            <v>35611</v>
          </cell>
        </row>
        <row r="2276">
          <cell r="A2276" t="str">
            <v>In service</v>
          </cell>
          <cell r="B2276" t="str">
            <v>Gulfstream Aerospace Gulfstream V</v>
          </cell>
          <cell r="C2276" t="str">
            <v xml:space="preserve"> </v>
          </cell>
          <cell r="D2276">
            <v>1999</v>
          </cell>
          <cell r="E2276" t="str">
            <v>3M Co</v>
          </cell>
          <cell r="F2276">
            <v>3</v>
          </cell>
          <cell r="G2276">
            <v>36286</v>
          </cell>
          <cell r="I2276" t="str">
            <v>North America</v>
          </cell>
          <cell r="J2276" t="str">
            <v>USA</v>
          </cell>
          <cell r="K2276">
            <v>35976</v>
          </cell>
        </row>
        <row r="2277">
          <cell r="A2277" t="str">
            <v>In service</v>
          </cell>
          <cell r="B2277" t="str">
            <v>Gulfstream Aerospace Gulfstream V</v>
          </cell>
          <cell r="C2277" t="str">
            <v xml:space="preserve"> </v>
          </cell>
          <cell r="D2277">
            <v>1999</v>
          </cell>
          <cell r="E2277" t="str">
            <v>Wotan America Inc</v>
          </cell>
          <cell r="F2277">
            <v>3</v>
          </cell>
          <cell r="G2277">
            <v>36293</v>
          </cell>
          <cell r="I2277" t="str">
            <v>North America</v>
          </cell>
          <cell r="J2277" t="str">
            <v>USA</v>
          </cell>
          <cell r="K2277">
            <v>35611</v>
          </cell>
        </row>
        <row r="2278">
          <cell r="A2278" t="str">
            <v>In service</v>
          </cell>
          <cell r="B2278" t="str">
            <v>Gulfstream Aerospace Gulfstream V</v>
          </cell>
          <cell r="C2278" t="str">
            <v xml:space="preserve"> </v>
          </cell>
          <cell r="D2278">
            <v>1998</v>
          </cell>
          <cell r="E2278" t="str">
            <v>Radical Ventures LLC</v>
          </cell>
          <cell r="F2278">
            <v>4</v>
          </cell>
          <cell r="G2278">
            <v>36101</v>
          </cell>
          <cell r="I2278" t="str">
            <v>North America</v>
          </cell>
          <cell r="J2278" t="str">
            <v>USA</v>
          </cell>
          <cell r="K2278">
            <v>35611</v>
          </cell>
        </row>
        <row r="2279">
          <cell r="A2279" t="str">
            <v>In service</v>
          </cell>
          <cell r="B2279" t="str">
            <v>Gulfstream Aerospace Gulfstream V</v>
          </cell>
          <cell r="C2279" t="str">
            <v xml:space="preserve"> </v>
          </cell>
          <cell r="D2279">
            <v>1999</v>
          </cell>
          <cell r="E2279" t="str">
            <v>Automotive Air Charter</v>
          </cell>
          <cell r="F2279">
            <v>3</v>
          </cell>
          <cell r="G2279">
            <v>36297</v>
          </cell>
          <cell r="I2279" t="str">
            <v>North America</v>
          </cell>
          <cell r="J2279" t="str">
            <v>USA</v>
          </cell>
          <cell r="K2279">
            <v>35611</v>
          </cell>
        </row>
        <row r="2280">
          <cell r="A2280" t="str">
            <v>In service</v>
          </cell>
          <cell r="B2280" t="str">
            <v>Gulfstream Aerospace Gulfstream V</v>
          </cell>
          <cell r="C2280" t="str">
            <v xml:space="preserve"> </v>
          </cell>
          <cell r="D2280">
            <v>1999</v>
          </cell>
          <cell r="E2280" t="str">
            <v>Automotive Air Charter</v>
          </cell>
          <cell r="F2280">
            <v>3</v>
          </cell>
          <cell r="G2280">
            <v>36333</v>
          </cell>
          <cell r="I2280" t="str">
            <v>North America</v>
          </cell>
          <cell r="J2280" t="str">
            <v>USA</v>
          </cell>
          <cell r="K2280">
            <v>35611</v>
          </cell>
        </row>
        <row r="2281">
          <cell r="A2281" t="str">
            <v>In service</v>
          </cell>
          <cell r="B2281" t="str">
            <v>Gulfstream Aerospace Gulfstream V</v>
          </cell>
          <cell r="C2281" t="str">
            <v xml:space="preserve"> </v>
          </cell>
          <cell r="D2281">
            <v>1999</v>
          </cell>
          <cell r="E2281" t="str">
            <v>SCI Texas Funeral Services Inc</v>
          </cell>
          <cell r="F2281">
            <v>3</v>
          </cell>
          <cell r="G2281">
            <v>36403</v>
          </cell>
          <cell r="I2281" t="str">
            <v>North America</v>
          </cell>
          <cell r="J2281" t="str">
            <v>USA</v>
          </cell>
          <cell r="K2281">
            <v>35611</v>
          </cell>
        </row>
        <row r="2282">
          <cell r="A2282" t="str">
            <v>In service</v>
          </cell>
          <cell r="B2282" t="str">
            <v>Gulfstream Aerospace Gulfstream V</v>
          </cell>
          <cell r="C2282" t="str">
            <v xml:space="preserve"> </v>
          </cell>
          <cell r="D2282">
            <v>1999</v>
          </cell>
          <cell r="E2282" t="str">
            <v>MDL Consulting Associates LLC</v>
          </cell>
          <cell r="F2282">
            <v>3</v>
          </cell>
          <cell r="G2282">
            <v>36405</v>
          </cell>
          <cell r="I2282" t="str">
            <v>North America</v>
          </cell>
          <cell r="J2282" t="str">
            <v>USA</v>
          </cell>
          <cell r="K2282">
            <v>35611</v>
          </cell>
        </row>
        <row r="2283">
          <cell r="A2283" t="str">
            <v>In service</v>
          </cell>
          <cell r="B2283" t="str">
            <v>Gulfstream Aerospace Gulfstream V</v>
          </cell>
          <cell r="C2283" t="str">
            <v xml:space="preserve"> </v>
          </cell>
          <cell r="D2283">
            <v>1999</v>
          </cell>
          <cell r="E2283" t="str">
            <v>Cirrus GAS 5 LLC</v>
          </cell>
          <cell r="F2283">
            <v>3</v>
          </cell>
          <cell r="G2283">
            <v>36472</v>
          </cell>
          <cell r="I2283" t="str">
            <v>North America</v>
          </cell>
          <cell r="J2283" t="str">
            <v>USA</v>
          </cell>
          <cell r="K2283">
            <v>35611</v>
          </cell>
        </row>
        <row r="2284">
          <cell r="A2284" t="str">
            <v>In service</v>
          </cell>
          <cell r="B2284" t="str">
            <v>Gulfstream Aerospace Gulfstream V</v>
          </cell>
          <cell r="C2284" t="str">
            <v xml:space="preserve"> </v>
          </cell>
          <cell r="D2284">
            <v>1998</v>
          </cell>
          <cell r="E2284" t="str">
            <v>Rashid Engineering</v>
          </cell>
          <cell r="F2284">
            <v>4</v>
          </cell>
          <cell r="G2284">
            <v>36144</v>
          </cell>
          <cell r="I2284" t="str">
            <v>Middle East</v>
          </cell>
          <cell r="J2284" t="str">
            <v>Saudi Arabia</v>
          </cell>
          <cell r="K2284">
            <v>35611</v>
          </cell>
        </row>
        <row r="2285">
          <cell r="A2285" t="str">
            <v>In service</v>
          </cell>
          <cell r="B2285" t="str">
            <v>Gulfstream Aerospace Gulfstream V</v>
          </cell>
          <cell r="C2285" t="str">
            <v xml:space="preserve"> </v>
          </cell>
          <cell r="D2285">
            <v>1999</v>
          </cell>
          <cell r="E2285" t="str">
            <v>Rigg Bank NA</v>
          </cell>
          <cell r="F2285">
            <v>3</v>
          </cell>
          <cell r="G2285">
            <v>36432</v>
          </cell>
          <cell r="I2285" t="str">
            <v>North America</v>
          </cell>
          <cell r="J2285" t="str">
            <v>USA</v>
          </cell>
          <cell r="K2285">
            <v>35976</v>
          </cell>
        </row>
        <row r="2286">
          <cell r="A2286" t="str">
            <v>In service</v>
          </cell>
          <cell r="B2286" t="str">
            <v>Gulfstream Aerospace Gulfstream V</v>
          </cell>
          <cell r="C2286" t="str">
            <v xml:space="preserve"> </v>
          </cell>
          <cell r="D2286">
            <v>1999</v>
          </cell>
          <cell r="E2286" t="str">
            <v>3M Co</v>
          </cell>
          <cell r="F2286">
            <v>3</v>
          </cell>
          <cell r="G2286">
            <v>36341</v>
          </cell>
          <cell r="I2286" t="str">
            <v>North America</v>
          </cell>
          <cell r="J2286" t="str">
            <v>USA</v>
          </cell>
          <cell r="K2286">
            <v>35976</v>
          </cell>
        </row>
        <row r="2287">
          <cell r="A2287" t="str">
            <v>In service</v>
          </cell>
          <cell r="B2287" t="str">
            <v>Gulfstream Aerospace Gulfstream V</v>
          </cell>
          <cell r="C2287" t="str">
            <v xml:space="preserve"> </v>
          </cell>
          <cell r="D2287">
            <v>1999</v>
          </cell>
          <cell r="E2287" t="str">
            <v>BancAmerica Special Assets Corp</v>
          </cell>
          <cell r="F2287">
            <v>3</v>
          </cell>
          <cell r="G2287">
            <v>36385</v>
          </cell>
          <cell r="I2287" t="str">
            <v>North America</v>
          </cell>
          <cell r="J2287" t="str">
            <v>USA</v>
          </cell>
          <cell r="K2287">
            <v>35976</v>
          </cell>
        </row>
        <row r="2288">
          <cell r="A2288" t="str">
            <v>In service</v>
          </cell>
          <cell r="B2288" t="str">
            <v>Gulfstream Aerospace Gulfstream V</v>
          </cell>
          <cell r="C2288" t="str">
            <v xml:space="preserve"> </v>
          </cell>
          <cell r="D2288">
            <v>1999</v>
          </cell>
          <cell r="E2288" t="str">
            <v>Grand Warehouse Inc</v>
          </cell>
          <cell r="F2288">
            <v>3</v>
          </cell>
          <cell r="G2288">
            <v>36377</v>
          </cell>
          <cell r="I2288" t="str">
            <v>Asia</v>
          </cell>
          <cell r="J2288" t="str">
            <v>Japan</v>
          </cell>
          <cell r="K2288">
            <v>35976</v>
          </cell>
        </row>
        <row r="2289">
          <cell r="A2289" t="str">
            <v>In service</v>
          </cell>
          <cell r="B2289" t="str">
            <v>Gulfstream Aerospace Gulfstream V</v>
          </cell>
          <cell r="C2289" t="str">
            <v xml:space="preserve"> </v>
          </cell>
          <cell r="D2289">
            <v>1999</v>
          </cell>
          <cell r="E2289" t="str">
            <v>Government of Kuwait</v>
          </cell>
          <cell r="F2289">
            <v>3</v>
          </cell>
          <cell r="G2289">
            <v>36448</v>
          </cell>
          <cell r="I2289" t="str">
            <v>Middle East</v>
          </cell>
          <cell r="J2289" t="str">
            <v>Kuwait</v>
          </cell>
          <cell r="K2289">
            <v>35864</v>
          </cell>
        </row>
        <row r="2290">
          <cell r="A2290" t="str">
            <v>In service</v>
          </cell>
          <cell r="B2290" t="str">
            <v>Gulfstream Aerospace Gulfstream V</v>
          </cell>
          <cell r="C2290" t="str">
            <v xml:space="preserve"> </v>
          </cell>
          <cell r="D2290">
            <v>1999</v>
          </cell>
          <cell r="E2290" t="str">
            <v>Automotive Air Charter</v>
          </cell>
          <cell r="F2290">
            <v>3</v>
          </cell>
          <cell r="G2290">
            <v>36516</v>
          </cell>
          <cell r="I2290" t="str">
            <v>North America</v>
          </cell>
          <cell r="J2290" t="str">
            <v>USA</v>
          </cell>
          <cell r="K2290">
            <v>36206</v>
          </cell>
        </row>
        <row r="2291">
          <cell r="A2291" t="str">
            <v>In service</v>
          </cell>
          <cell r="B2291" t="str">
            <v>Gulfstream Aerospace Gulfstream V</v>
          </cell>
          <cell r="C2291" t="str">
            <v xml:space="preserve"> </v>
          </cell>
          <cell r="D2291">
            <v>2000</v>
          </cell>
          <cell r="E2291" t="str">
            <v>American Express</v>
          </cell>
          <cell r="F2291">
            <v>2</v>
          </cell>
          <cell r="G2291">
            <v>36649</v>
          </cell>
          <cell r="I2291" t="str">
            <v>North America</v>
          </cell>
          <cell r="J2291" t="str">
            <v>USA</v>
          </cell>
          <cell r="K2291">
            <v>35976</v>
          </cell>
        </row>
        <row r="2292">
          <cell r="A2292" t="str">
            <v>In service</v>
          </cell>
          <cell r="B2292" t="str">
            <v>Gulfstream Aerospace Gulfstream V</v>
          </cell>
          <cell r="C2292" t="str">
            <v xml:space="preserve"> </v>
          </cell>
          <cell r="D2292">
            <v>1999</v>
          </cell>
          <cell r="E2292" t="str">
            <v>Computer Associates International Inc</v>
          </cell>
          <cell r="F2292">
            <v>3</v>
          </cell>
          <cell r="G2292">
            <v>36518</v>
          </cell>
          <cell r="I2292" t="str">
            <v>North America</v>
          </cell>
          <cell r="J2292" t="str">
            <v>USA</v>
          </cell>
          <cell r="K2292">
            <v>35976</v>
          </cell>
        </row>
        <row r="2293">
          <cell r="A2293" t="str">
            <v>In service</v>
          </cell>
          <cell r="B2293" t="str">
            <v>Gulfstream Aerospace Gulfstream V</v>
          </cell>
          <cell r="C2293" t="str">
            <v xml:space="preserve"> </v>
          </cell>
          <cell r="D2293">
            <v>1999</v>
          </cell>
          <cell r="E2293" t="str">
            <v>Prime Resources LLC</v>
          </cell>
          <cell r="F2293">
            <v>3</v>
          </cell>
          <cell r="I2293" t="str">
            <v>North America</v>
          </cell>
          <cell r="J2293" t="str">
            <v>USA</v>
          </cell>
        </row>
        <row r="2294">
          <cell r="A2294" t="str">
            <v>In service</v>
          </cell>
          <cell r="B2294" t="str">
            <v>Gulfstream Aerospace Gulfstream V</v>
          </cell>
          <cell r="C2294" t="str">
            <v xml:space="preserve"> </v>
          </cell>
          <cell r="D2294">
            <v>1999</v>
          </cell>
          <cell r="E2294" t="str">
            <v>Pfizer Inc</v>
          </cell>
          <cell r="F2294">
            <v>3</v>
          </cell>
          <cell r="G2294">
            <v>36426</v>
          </cell>
          <cell r="I2294" t="str">
            <v>North America</v>
          </cell>
          <cell r="J2294" t="str">
            <v>USA</v>
          </cell>
          <cell r="K2294">
            <v>35976</v>
          </cell>
        </row>
        <row r="2295">
          <cell r="A2295" t="str">
            <v>In service</v>
          </cell>
          <cell r="B2295" t="str">
            <v>Gulfstream Aerospace Gulfstream V</v>
          </cell>
          <cell r="C2295" t="str">
            <v xml:space="preserve"> </v>
          </cell>
          <cell r="D2295">
            <v>1999</v>
          </cell>
          <cell r="E2295" t="str">
            <v>US Army</v>
          </cell>
          <cell r="F2295">
            <v>3</v>
          </cell>
          <cell r="G2295">
            <v>36448</v>
          </cell>
          <cell r="H2295" t="str">
            <v>C-37A</v>
          </cell>
          <cell r="I2295" t="str">
            <v>North America</v>
          </cell>
          <cell r="J2295" t="str">
            <v>USA</v>
          </cell>
          <cell r="K2295">
            <v>35880</v>
          </cell>
        </row>
        <row r="2296">
          <cell r="A2296" t="str">
            <v>In service</v>
          </cell>
          <cell r="B2296" t="str">
            <v>Gulfstream Aerospace Gulfstream V</v>
          </cell>
          <cell r="C2296" t="str">
            <v xml:space="preserve"> </v>
          </cell>
          <cell r="D2296">
            <v>1999</v>
          </cell>
          <cell r="E2296" t="str">
            <v>3M Co</v>
          </cell>
          <cell r="F2296">
            <v>3</v>
          </cell>
          <cell r="G2296">
            <v>36426</v>
          </cell>
          <cell r="I2296" t="str">
            <v>North America</v>
          </cell>
          <cell r="J2296" t="str">
            <v>USA</v>
          </cell>
          <cell r="K2296">
            <v>35976</v>
          </cell>
        </row>
        <row r="2297">
          <cell r="A2297" t="str">
            <v>In service</v>
          </cell>
          <cell r="B2297" t="str">
            <v>Gulfstream Aerospace Gulfstream V</v>
          </cell>
          <cell r="C2297" t="str">
            <v xml:space="preserve"> </v>
          </cell>
          <cell r="D2297">
            <v>1999</v>
          </cell>
          <cell r="E2297" t="str">
            <v>Jetclub AG</v>
          </cell>
          <cell r="F2297">
            <v>3</v>
          </cell>
          <cell r="G2297">
            <v>36462</v>
          </cell>
          <cell r="I2297" t="str">
            <v>Europe</v>
          </cell>
          <cell r="J2297" t="str">
            <v>Switzerland</v>
          </cell>
          <cell r="K2297">
            <v>35611</v>
          </cell>
        </row>
        <row r="2298">
          <cell r="A2298" t="str">
            <v>In service</v>
          </cell>
          <cell r="B2298" t="str">
            <v>Gulfstream Aerospace Gulfstream V</v>
          </cell>
          <cell r="C2298" t="str">
            <v xml:space="preserve"> </v>
          </cell>
          <cell r="D2298">
            <v>1999</v>
          </cell>
          <cell r="E2298" t="str">
            <v>Government of Kuwait</v>
          </cell>
          <cell r="F2298">
            <v>3</v>
          </cell>
          <cell r="G2298">
            <v>36514</v>
          </cell>
          <cell r="I2298" t="str">
            <v>Middle East</v>
          </cell>
          <cell r="J2298" t="str">
            <v>Kuwait</v>
          </cell>
          <cell r="K2298">
            <v>35841</v>
          </cell>
        </row>
        <row r="2299">
          <cell r="A2299" t="str">
            <v>In service</v>
          </cell>
          <cell r="B2299" t="str">
            <v>Gulfstream Aerospace Gulfstream V</v>
          </cell>
          <cell r="C2299" t="str">
            <v xml:space="preserve"> </v>
          </cell>
          <cell r="D2299">
            <v>1999</v>
          </cell>
          <cell r="E2299" t="str">
            <v>Avjet Corp</v>
          </cell>
          <cell r="F2299">
            <v>3</v>
          </cell>
          <cell r="G2299">
            <v>36523</v>
          </cell>
          <cell r="I2299" t="str">
            <v>North America</v>
          </cell>
          <cell r="J2299" t="str">
            <v>USA</v>
          </cell>
          <cell r="K2299">
            <v>35611</v>
          </cell>
        </row>
        <row r="2300">
          <cell r="A2300" t="str">
            <v>In service</v>
          </cell>
          <cell r="B2300" t="str">
            <v>Gulfstream Aerospace Gulfstream V</v>
          </cell>
          <cell r="C2300" t="str">
            <v xml:space="preserve"> </v>
          </cell>
          <cell r="D2300">
            <v>1999</v>
          </cell>
          <cell r="E2300" t="str">
            <v>US Air Force</v>
          </cell>
          <cell r="F2300">
            <v>3</v>
          </cell>
          <cell r="G2300">
            <v>36579</v>
          </cell>
          <cell r="H2300" t="str">
            <v>C-37A</v>
          </cell>
          <cell r="I2300" t="str">
            <v>North America</v>
          </cell>
          <cell r="J2300" t="str">
            <v>USA</v>
          </cell>
          <cell r="K2300">
            <v>36222</v>
          </cell>
        </row>
        <row r="2301">
          <cell r="A2301" t="str">
            <v>In service</v>
          </cell>
          <cell r="B2301" t="str">
            <v>Gulfstream Aerospace Gulfstream V</v>
          </cell>
          <cell r="C2301" t="str">
            <v xml:space="preserve"> </v>
          </cell>
          <cell r="D2301">
            <v>1999</v>
          </cell>
          <cell r="E2301" t="str">
            <v>Government of Kuwait</v>
          </cell>
          <cell r="F2301">
            <v>3</v>
          </cell>
          <cell r="G2301">
            <v>36567</v>
          </cell>
          <cell r="I2301" t="str">
            <v>Middle East</v>
          </cell>
          <cell r="J2301" t="str">
            <v>Kuwait</v>
          </cell>
          <cell r="K2301">
            <v>35864</v>
          </cell>
        </row>
        <row r="2302">
          <cell r="A2302" t="str">
            <v>In service</v>
          </cell>
          <cell r="B2302" t="str">
            <v>Gulfstream Aerospace Gulfstream V</v>
          </cell>
          <cell r="C2302" t="str">
            <v xml:space="preserve"> </v>
          </cell>
          <cell r="D2302">
            <v>1999</v>
          </cell>
          <cell r="E2302" t="str">
            <v>NIKE Inc</v>
          </cell>
          <cell r="F2302">
            <v>3</v>
          </cell>
          <cell r="G2302">
            <v>36560</v>
          </cell>
          <cell r="I2302" t="str">
            <v>North America</v>
          </cell>
          <cell r="J2302" t="str">
            <v>USA</v>
          </cell>
          <cell r="K2302">
            <v>35611</v>
          </cell>
        </row>
        <row r="2303">
          <cell r="A2303" t="str">
            <v>In service</v>
          </cell>
          <cell r="B2303" t="str">
            <v>Gulfstream Aerospace Gulfstream V</v>
          </cell>
          <cell r="C2303" t="str">
            <v xml:space="preserve"> </v>
          </cell>
          <cell r="D2303">
            <v>1999</v>
          </cell>
          <cell r="E2303" t="str">
            <v>Bristol-Myers Squibb Company</v>
          </cell>
          <cell r="F2303">
            <v>3</v>
          </cell>
          <cell r="G2303">
            <v>36530</v>
          </cell>
          <cell r="I2303" t="str">
            <v>North America</v>
          </cell>
          <cell r="J2303" t="str">
            <v>USA</v>
          </cell>
          <cell r="K2303">
            <v>35611</v>
          </cell>
        </row>
        <row r="2304">
          <cell r="A2304" t="str">
            <v>In service</v>
          </cell>
          <cell r="B2304" t="str">
            <v>Gulfstream Aerospace Gulfstream V</v>
          </cell>
          <cell r="C2304" t="str">
            <v xml:space="preserve"> </v>
          </cell>
          <cell r="D2304">
            <v>1999</v>
          </cell>
          <cell r="E2304" t="str">
            <v>The Air Group Inc</v>
          </cell>
          <cell r="F2304">
            <v>3</v>
          </cell>
          <cell r="G2304">
            <v>36517</v>
          </cell>
          <cell r="I2304" t="str">
            <v>North America</v>
          </cell>
          <cell r="J2304" t="str">
            <v>USA</v>
          </cell>
          <cell r="K2304">
            <v>36341</v>
          </cell>
        </row>
        <row r="2305">
          <cell r="A2305" t="str">
            <v>In service</v>
          </cell>
          <cell r="B2305" t="str">
            <v>Gulfstream Aerospace Gulfstream V</v>
          </cell>
          <cell r="C2305" t="str">
            <v xml:space="preserve"> </v>
          </cell>
          <cell r="D2305">
            <v>2000</v>
          </cell>
          <cell r="E2305" t="str">
            <v>Neet Air AG</v>
          </cell>
          <cell r="F2305">
            <v>2</v>
          </cell>
          <cell r="G2305">
            <v>36574</v>
          </cell>
          <cell r="I2305" t="str">
            <v>Europe</v>
          </cell>
          <cell r="J2305" t="str">
            <v>Switzerland</v>
          </cell>
          <cell r="K2305">
            <v>35611</v>
          </cell>
        </row>
        <row r="2306">
          <cell r="A2306" t="str">
            <v>In service</v>
          </cell>
          <cell r="B2306" t="str">
            <v>Gulfstream Aerospace Gulfstream V</v>
          </cell>
          <cell r="C2306" t="str">
            <v xml:space="preserve"> </v>
          </cell>
          <cell r="D2306">
            <v>1999</v>
          </cell>
          <cell r="E2306" t="str">
            <v>Norman Aircraft Leasing Inc</v>
          </cell>
          <cell r="F2306">
            <v>3</v>
          </cell>
          <cell r="G2306">
            <v>36529</v>
          </cell>
          <cell r="I2306" t="str">
            <v>North America</v>
          </cell>
          <cell r="J2306" t="str">
            <v>USA</v>
          </cell>
          <cell r="K2306">
            <v>35976</v>
          </cell>
        </row>
        <row r="2307">
          <cell r="A2307" t="str">
            <v>In service</v>
          </cell>
          <cell r="B2307" t="str">
            <v>Gulfstream Aerospace Gulfstream V</v>
          </cell>
          <cell r="C2307" t="str">
            <v xml:space="preserve"> </v>
          </cell>
          <cell r="D2307">
            <v>1999</v>
          </cell>
          <cell r="E2307" t="str">
            <v>3M Co</v>
          </cell>
          <cell r="F2307">
            <v>3</v>
          </cell>
          <cell r="G2307">
            <v>36516</v>
          </cell>
          <cell r="I2307" t="str">
            <v>North America</v>
          </cell>
          <cell r="J2307" t="str">
            <v>USA</v>
          </cell>
          <cell r="K2307">
            <v>35611</v>
          </cell>
        </row>
        <row r="2308">
          <cell r="A2308" t="str">
            <v>In service</v>
          </cell>
          <cell r="B2308" t="str">
            <v>Gulfstream Aerospace Gulfstream V</v>
          </cell>
          <cell r="C2308" t="str">
            <v xml:space="preserve"> </v>
          </cell>
          <cell r="D2308">
            <v>1999</v>
          </cell>
          <cell r="E2308" t="str">
            <v>Cox Aviation Inc</v>
          </cell>
          <cell r="F2308">
            <v>3</v>
          </cell>
          <cell r="G2308">
            <v>36602</v>
          </cell>
          <cell r="I2308" t="str">
            <v>North America</v>
          </cell>
          <cell r="J2308" t="str">
            <v>USA</v>
          </cell>
          <cell r="K2308">
            <v>35976</v>
          </cell>
        </row>
        <row r="2309">
          <cell r="A2309" t="str">
            <v>In service</v>
          </cell>
          <cell r="B2309" t="str">
            <v>Gulfstream Aerospace Gulfstream V</v>
          </cell>
          <cell r="C2309" t="str">
            <v xml:space="preserve"> </v>
          </cell>
          <cell r="D2309">
            <v>1999</v>
          </cell>
          <cell r="E2309" t="str">
            <v>Premier Executive Transport Services Inc</v>
          </cell>
          <cell r="F2309">
            <v>3</v>
          </cell>
          <cell r="G2309">
            <v>36482</v>
          </cell>
          <cell r="I2309" t="str">
            <v>North America</v>
          </cell>
          <cell r="J2309" t="str">
            <v>USA</v>
          </cell>
          <cell r="K2309">
            <v>35976</v>
          </cell>
        </row>
        <row r="2310">
          <cell r="A2310" t="str">
            <v>In service</v>
          </cell>
          <cell r="B2310" t="str">
            <v>Gulfstream Aerospace Gulfstream V</v>
          </cell>
          <cell r="C2310" t="str">
            <v xml:space="preserve"> </v>
          </cell>
          <cell r="D2310">
            <v>2000</v>
          </cell>
          <cell r="E2310" t="str">
            <v>Telefonica Internacional SA</v>
          </cell>
          <cell r="F2310">
            <v>2</v>
          </cell>
          <cell r="G2310">
            <v>36703</v>
          </cell>
          <cell r="I2310" t="str">
            <v>Europe</v>
          </cell>
          <cell r="J2310" t="str">
            <v>Spain</v>
          </cell>
          <cell r="K2310">
            <v>35976</v>
          </cell>
        </row>
        <row r="2311">
          <cell r="A2311" t="str">
            <v>In service</v>
          </cell>
          <cell r="B2311" t="str">
            <v>Gulfstream Aerospace Gulfstream V</v>
          </cell>
          <cell r="C2311" t="str">
            <v xml:space="preserve"> </v>
          </cell>
          <cell r="D2311">
            <v>2000</v>
          </cell>
          <cell r="E2311" t="str">
            <v>Saudi Aeromedical Evacuation</v>
          </cell>
          <cell r="F2311">
            <v>2</v>
          </cell>
          <cell r="G2311">
            <v>36762</v>
          </cell>
          <cell r="I2311" t="str">
            <v>Middle East</v>
          </cell>
          <cell r="J2311" t="str">
            <v>Saudi Arabia</v>
          </cell>
          <cell r="K2311">
            <v>36707</v>
          </cell>
        </row>
        <row r="2312">
          <cell r="A2312" t="str">
            <v>In service</v>
          </cell>
          <cell r="B2312" t="str">
            <v>Gulfstream Aerospace Gulfstream V</v>
          </cell>
          <cell r="C2312" t="str">
            <v xml:space="preserve"> </v>
          </cell>
          <cell r="D2312">
            <v>2000</v>
          </cell>
          <cell r="E2312" t="str">
            <v>Electronic Data Systems Corp</v>
          </cell>
          <cell r="F2312">
            <v>2</v>
          </cell>
          <cell r="G2312">
            <v>36644</v>
          </cell>
          <cell r="I2312" t="str">
            <v>North America</v>
          </cell>
          <cell r="J2312" t="str">
            <v>USA</v>
          </cell>
          <cell r="K2312">
            <v>35976</v>
          </cell>
        </row>
        <row r="2313">
          <cell r="A2313" t="str">
            <v>In service</v>
          </cell>
          <cell r="B2313" t="str">
            <v>Gulfstream Aerospace Gulfstream V</v>
          </cell>
          <cell r="C2313" t="str">
            <v xml:space="preserve"> </v>
          </cell>
          <cell r="D2313">
            <v>1999</v>
          </cell>
          <cell r="E2313" t="str">
            <v>Business Aircraft Corp</v>
          </cell>
          <cell r="F2313">
            <v>3</v>
          </cell>
          <cell r="G2313">
            <v>36446</v>
          </cell>
          <cell r="I2313" t="str">
            <v>North America</v>
          </cell>
          <cell r="J2313" t="str">
            <v>USA</v>
          </cell>
          <cell r="K2313">
            <v>35976</v>
          </cell>
        </row>
        <row r="2314">
          <cell r="A2314" t="str">
            <v>In service</v>
          </cell>
          <cell r="B2314" t="str">
            <v>Gulfstream Aerospace Gulfstream V</v>
          </cell>
          <cell r="C2314" t="str">
            <v xml:space="preserve"> </v>
          </cell>
          <cell r="D2314">
            <v>2001</v>
          </cell>
          <cell r="E2314" t="str">
            <v>Steven Jobs</v>
          </cell>
          <cell r="F2314">
            <v>1</v>
          </cell>
          <cell r="G2314">
            <v>37036</v>
          </cell>
          <cell r="I2314" t="str">
            <v>North America</v>
          </cell>
          <cell r="J2314" t="str">
            <v>USA</v>
          </cell>
          <cell r="K2314">
            <v>35976</v>
          </cell>
        </row>
        <row r="2315">
          <cell r="A2315" t="str">
            <v>In service</v>
          </cell>
          <cell r="B2315" t="str">
            <v>Gulfstream Aerospace Gulfstream V</v>
          </cell>
          <cell r="C2315" t="str">
            <v xml:space="preserve"> </v>
          </cell>
          <cell r="D2315">
            <v>2000</v>
          </cell>
          <cell r="E2315" t="str">
            <v>Ford Motor Co</v>
          </cell>
          <cell r="F2315">
            <v>2</v>
          </cell>
          <cell r="G2315">
            <v>36696</v>
          </cell>
          <cell r="I2315" t="str">
            <v>North America</v>
          </cell>
          <cell r="J2315" t="str">
            <v>USA</v>
          </cell>
          <cell r="K2315">
            <v>36341</v>
          </cell>
        </row>
        <row r="2316">
          <cell r="A2316" t="str">
            <v>In service</v>
          </cell>
          <cell r="B2316" t="str">
            <v>Gulfstream Aerospace Gulfstream V</v>
          </cell>
          <cell r="C2316" t="str">
            <v xml:space="preserve"> </v>
          </cell>
          <cell r="D2316">
            <v>2000</v>
          </cell>
          <cell r="E2316" t="str">
            <v>Fairmonth Aviation Co Ltd</v>
          </cell>
          <cell r="F2316">
            <v>2</v>
          </cell>
          <cell r="G2316">
            <v>36699</v>
          </cell>
          <cell r="I2316" t="str">
            <v>Latin America and Caribbean</v>
          </cell>
          <cell r="J2316" t="str">
            <v>Bermuda</v>
          </cell>
          <cell r="K2316">
            <v>36045</v>
          </cell>
        </row>
        <row r="2317">
          <cell r="A2317" t="str">
            <v>In service</v>
          </cell>
          <cell r="B2317" t="str">
            <v>Gulfstream Aerospace Gulfstream V</v>
          </cell>
          <cell r="C2317" t="str">
            <v xml:space="preserve"> </v>
          </cell>
          <cell r="D2317">
            <v>2000</v>
          </cell>
          <cell r="E2317" t="str">
            <v>United Coal Co</v>
          </cell>
          <cell r="F2317">
            <v>2</v>
          </cell>
          <cell r="G2317">
            <v>36707</v>
          </cell>
          <cell r="I2317" t="str">
            <v>North America</v>
          </cell>
          <cell r="J2317" t="str">
            <v>USA</v>
          </cell>
          <cell r="K2317">
            <v>35976</v>
          </cell>
        </row>
        <row r="2318">
          <cell r="A2318" t="str">
            <v>In service</v>
          </cell>
          <cell r="B2318" t="str">
            <v>Gulfstream Aerospace Gulfstream V</v>
          </cell>
          <cell r="C2318" t="str">
            <v xml:space="preserve"> </v>
          </cell>
          <cell r="D2318">
            <v>2000</v>
          </cell>
          <cell r="E2318" t="str">
            <v>US Air Force</v>
          </cell>
          <cell r="F2318">
            <v>2</v>
          </cell>
          <cell r="G2318">
            <v>36862</v>
          </cell>
          <cell r="H2318" t="str">
            <v>C-37A</v>
          </cell>
          <cell r="I2318" t="str">
            <v>North America</v>
          </cell>
          <cell r="J2318" t="str">
            <v>USA</v>
          </cell>
          <cell r="K2318">
            <v>36256</v>
          </cell>
        </row>
        <row r="2319">
          <cell r="A2319" t="str">
            <v>In service</v>
          </cell>
          <cell r="B2319" t="str">
            <v>Gulfstream Aerospace Gulfstream V</v>
          </cell>
          <cell r="C2319" t="str">
            <v xml:space="preserve"> </v>
          </cell>
          <cell r="D2319">
            <v>2000</v>
          </cell>
          <cell r="E2319" t="str">
            <v>Ford Motor Co</v>
          </cell>
          <cell r="F2319">
            <v>2</v>
          </cell>
          <cell r="G2319">
            <v>36739</v>
          </cell>
          <cell r="I2319" t="str">
            <v>North America</v>
          </cell>
          <cell r="J2319" t="str">
            <v>USA</v>
          </cell>
          <cell r="K2319">
            <v>36341</v>
          </cell>
        </row>
        <row r="2320">
          <cell r="A2320" t="str">
            <v>In service</v>
          </cell>
          <cell r="B2320" t="str">
            <v>Gulfstream Aerospace Gulfstream V</v>
          </cell>
          <cell r="C2320" t="str">
            <v xml:space="preserve"> </v>
          </cell>
          <cell r="D2320">
            <v>2000</v>
          </cell>
          <cell r="E2320" t="str">
            <v>Time Works leasing LLC</v>
          </cell>
          <cell r="F2320">
            <v>2</v>
          </cell>
          <cell r="G2320">
            <v>36760</v>
          </cell>
          <cell r="I2320" t="str">
            <v>North America</v>
          </cell>
          <cell r="J2320" t="str">
            <v>USA</v>
          </cell>
          <cell r="K2320">
            <v>35976</v>
          </cell>
        </row>
        <row r="2321">
          <cell r="A2321" t="str">
            <v>In service</v>
          </cell>
          <cell r="B2321" t="str">
            <v>Gulfstream Aerospace Gulfstream V</v>
          </cell>
          <cell r="C2321" t="str">
            <v xml:space="preserve"> </v>
          </cell>
          <cell r="D2321">
            <v>1999</v>
          </cell>
          <cell r="E2321" t="str">
            <v>ALBA Servici Aerotrasporti SpA</v>
          </cell>
          <cell r="F2321">
            <v>3</v>
          </cell>
          <cell r="G2321">
            <v>36517</v>
          </cell>
          <cell r="I2321" t="str">
            <v>Europe</v>
          </cell>
          <cell r="J2321" t="str">
            <v>Italy</v>
          </cell>
          <cell r="K2321">
            <v>35976</v>
          </cell>
        </row>
        <row r="2322">
          <cell r="A2322" t="str">
            <v>In service</v>
          </cell>
          <cell r="B2322" t="str">
            <v>Gulfstream Aerospace Gulfstream V</v>
          </cell>
          <cell r="C2322" t="str">
            <v xml:space="preserve"> </v>
          </cell>
          <cell r="D2322">
            <v>2000</v>
          </cell>
          <cell r="E2322" t="str">
            <v>3M Co</v>
          </cell>
          <cell r="F2322">
            <v>2</v>
          </cell>
          <cell r="G2322">
            <v>36797</v>
          </cell>
          <cell r="I2322" t="str">
            <v>North America</v>
          </cell>
          <cell r="J2322" t="str">
            <v>USA</v>
          </cell>
          <cell r="K2322">
            <v>35611</v>
          </cell>
        </row>
        <row r="2323">
          <cell r="A2323" t="str">
            <v>In service</v>
          </cell>
          <cell r="B2323" t="str">
            <v>Gulfstream Aerospace Gulfstream V</v>
          </cell>
          <cell r="C2323" t="str">
            <v xml:space="preserve"> </v>
          </cell>
          <cell r="D2323">
            <v>2000</v>
          </cell>
          <cell r="E2323" t="str">
            <v>El Paso Natural Gas Co</v>
          </cell>
          <cell r="F2323">
            <v>2</v>
          </cell>
          <cell r="G2323">
            <v>36777</v>
          </cell>
          <cell r="I2323" t="str">
            <v>North America</v>
          </cell>
          <cell r="J2323" t="str">
            <v>USA</v>
          </cell>
          <cell r="K2323">
            <v>35611</v>
          </cell>
        </row>
        <row r="2324">
          <cell r="A2324" t="str">
            <v>In service</v>
          </cell>
          <cell r="B2324" t="str">
            <v>Gulfstream Aerospace Gulfstream V</v>
          </cell>
          <cell r="C2324" t="str">
            <v xml:space="preserve"> </v>
          </cell>
          <cell r="D2324">
            <v>2001</v>
          </cell>
          <cell r="E2324" t="str">
            <v>US Department of Justice - US Marshals Service</v>
          </cell>
          <cell r="F2324">
            <v>1</v>
          </cell>
          <cell r="G2324">
            <v>37146</v>
          </cell>
          <cell r="H2324" t="str">
            <v>C-37A</v>
          </cell>
          <cell r="I2324" t="str">
            <v>North America</v>
          </cell>
          <cell r="J2324" t="str">
            <v>USA</v>
          </cell>
          <cell r="K2324">
            <v>36256</v>
          </cell>
        </row>
        <row r="2325">
          <cell r="A2325" t="str">
            <v>In service</v>
          </cell>
          <cell r="B2325" t="str">
            <v>Gulfstream Aerospace Gulfstream V</v>
          </cell>
          <cell r="C2325" t="str">
            <v xml:space="preserve"> </v>
          </cell>
          <cell r="D2325">
            <v>2000</v>
          </cell>
          <cell r="E2325" t="str">
            <v>Marathon Oil Co</v>
          </cell>
          <cell r="F2325">
            <v>2</v>
          </cell>
          <cell r="G2325">
            <v>36798</v>
          </cell>
          <cell r="I2325" t="str">
            <v>North America</v>
          </cell>
          <cell r="J2325" t="str">
            <v>USA</v>
          </cell>
          <cell r="K2325">
            <v>36341</v>
          </cell>
        </row>
        <row r="2326">
          <cell r="A2326" t="str">
            <v>In service</v>
          </cell>
          <cell r="B2326" t="str">
            <v>Gulfstream Aerospace Gulfstream V</v>
          </cell>
          <cell r="C2326" t="str">
            <v xml:space="preserve"> </v>
          </cell>
          <cell r="D2326">
            <v>2000</v>
          </cell>
          <cell r="E2326" t="str">
            <v>Friedkin Aviation/Gulf States Toyota/Friedkin Co</v>
          </cell>
          <cell r="F2326">
            <v>2</v>
          </cell>
          <cell r="G2326">
            <v>36601</v>
          </cell>
          <cell r="I2326" t="str">
            <v>North America</v>
          </cell>
          <cell r="J2326" t="str">
            <v>USA</v>
          </cell>
          <cell r="K2326">
            <v>35976</v>
          </cell>
        </row>
        <row r="2327">
          <cell r="A2327" t="str">
            <v>In service</v>
          </cell>
          <cell r="B2327" t="str">
            <v>Gulfstream Aerospace Gulfstream V</v>
          </cell>
          <cell r="C2327" t="str">
            <v xml:space="preserve"> </v>
          </cell>
          <cell r="D2327">
            <v>2000</v>
          </cell>
          <cell r="E2327" t="str">
            <v>MESH II LLC</v>
          </cell>
          <cell r="F2327">
            <v>2</v>
          </cell>
          <cell r="G2327">
            <v>36920</v>
          </cell>
          <cell r="I2327" t="str">
            <v>North America</v>
          </cell>
          <cell r="J2327" t="str">
            <v>USA</v>
          </cell>
          <cell r="K2327">
            <v>36341</v>
          </cell>
        </row>
        <row r="2328">
          <cell r="A2328" t="str">
            <v>In service</v>
          </cell>
          <cell r="B2328" t="str">
            <v>Gulfstream Aerospace Gulfstream V</v>
          </cell>
          <cell r="C2328" t="str">
            <v xml:space="preserve"> </v>
          </cell>
          <cell r="D2328">
            <v>2000</v>
          </cell>
          <cell r="E2328" t="str">
            <v>Mac Holdings (America) Inc</v>
          </cell>
          <cell r="F2328">
            <v>2</v>
          </cell>
          <cell r="G2328">
            <v>36850</v>
          </cell>
          <cell r="I2328" t="str">
            <v>North America</v>
          </cell>
          <cell r="J2328" t="str">
            <v>USA</v>
          </cell>
          <cell r="K2328">
            <v>35976</v>
          </cell>
        </row>
        <row r="2329">
          <cell r="A2329" t="str">
            <v>In service</v>
          </cell>
          <cell r="B2329" t="str">
            <v>Gulfstream Aerospace Gulfstream V</v>
          </cell>
          <cell r="C2329" t="str">
            <v xml:space="preserve"> </v>
          </cell>
          <cell r="D2329">
            <v>2000</v>
          </cell>
          <cell r="E2329" t="str">
            <v>Netjets International</v>
          </cell>
          <cell r="F2329">
            <v>2</v>
          </cell>
          <cell r="G2329">
            <v>36882</v>
          </cell>
          <cell r="I2329" t="str">
            <v>North America</v>
          </cell>
          <cell r="J2329" t="str">
            <v>USA</v>
          </cell>
          <cell r="K2329">
            <v>35311</v>
          </cell>
        </row>
        <row r="2330">
          <cell r="A2330" t="str">
            <v>In service</v>
          </cell>
          <cell r="B2330" t="str">
            <v>Gulfstream Aerospace Gulfstream V</v>
          </cell>
          <cell r="C2330" t="str">
            <v xml:space="preserve"> </v>
          </cell>
          <cell r="D2330">
            <v>2000</v>
          </cell>
          <cell r="E2330" t="str">
            <v>Dennis Vanguard (Switchgear) Ltd</v>
          </cell>
          <cell r="F2330">
            <v>2</v>
          </cell>
          <cell r="G2330">
            <v>36860</v>
          </cell>
          <cell r="I2330" t="str">
            <v>Europe</v>
          </cell>
          <cell r="J2330" t="str">
            <v>United Kingdom</v>
          </cell>
          <cell r="K2330">
            <v>36045</v>
          </cell>
        </row>
        <row r="2331">
          <cell r="A2331" t="str">
            <v>In service</v>
          </cell>
          <cell r="B2331" t="str">
            <v>Gulfstream Aerospace Gulfstream V</v>
          </cell>
          <cell r="C2331" t="str">
            <v xml:space="preserve"> </v>
          </cell>
          <cell r="D2331">
            <v>2000</v>
          </cell>
          <cell r="E2331" t="str">
            <v>Schering Plough Corp</v>
          </cell>
          <cell r="F2331">
            <v>2</v>
          </cell>
          <cell r="G2331">
            <v>36889</v>
          </cell>
          <cell r="I2331" t="str">
            <v>North America</v>
          </cell>
          <cell r="J2331" t="str">
            <v>USA</v>
          </cell>
          <cell r="K2331">
            <v>35976</v>
          </cell>
        </row>
        <row r="2332">
          <cell r="A2332" t="str">
            <v>In service</v>
          </cell>
          <cell r="B2332" t="str">
            <v>Gulfstream Aerospace Gulfstream V</v>
          </cell>
          <cell r="C2332" t="str">
            <v xml:space="preserve"> </v>
          </cell>
          <cell r="D2332">
            <v>2000</v>
          </cell>
          <cell r="E2332" t="str">
            <v>Dessarrollo Milaz SA de CV</v>
          </cell>
          <cell r="F2332">
            <v>2</v>
          </cell>
          <cell r="G2332">
            <v>36880</v>
          </cell>
          <cell r="I2332" t="str">
            <v>Latin America and Caribbean</v>
          </cell>
          <cell r="J2332" t="str">
            <v>Mexico</v>
          </cell>
          <cell r="K2332">
            <v>35976</v>
          </cell>
        </row>
        <row r="2333">
          <cell r="A2333" t="str">
            <v>In service</v>
          </cell>
          <cell r="B2333" t="str">
            <v>Gulfstream Aerospace Gulfstream V</v>
          </cell>
          <cell r="C2333" t="str">
            <v xml:space="preserve"> </v>
          </cell>
          <cell r="D2333">
            <v>2000</v>
          </cell>
          <cell r="E2333" t="str">
            <v>Simon Aviation Inc</v>
          </cell>
          <cell r="F2333">
            <v>2</v>
          </cell>
          <cell r="G2333">
            <v>36682</v>
          </cell>
          <cell r="I2333" t="str">
            <v>North America</v>
          </cell>
          <cell r="J2333" t="str">
            <v>USA</v>
          </cell>
          <cell r="K2333">
            <v>36509</v>
          </cell>
        </row>
        <row r="2334">
          <cell r="A2334" t="str">
            <v>In service</v>
          </cell>
          <cell r="B2334" t="str">
            <v>Gulfstream Aerospace Gulfstream V</v>
          </cell>
          <cell r="C2334" t="str">
            <v xml:space="preserve"> </v>
          </cell>
          <cell r="D2334">
            <v>2000</v>
          </cell>
          <cell r="E2334" t="str">
            <v>Simon Aviation Inc</v>
          </cell>
          <cell r="F2334">
            <v>2</v>
          </cell>
          <cell r="G2334">
            <v>36693</v>
          </cell>
          <cell r="I2334" t="str">
            <v>North America</v>
          </cell>
          <cell r="J2334" t="str">
            <v>USA</v>
          </cell>
          <cell r="K2334">
            <v>36509</v>
          </cell>
        </row>
        <row r="2335">
          <cell r="A2335" t="str">
            <v>In service</v>
          </cell>
          <cell r="B2335" t="str">
            <v>Gulfstream Aerospace Gulfstream V</v>
          </cell>
          <cell r="C2335" t="str">
            <v xml:space="preserve"> </v>
          </cell>
          <cell r="D2335">
            <v>2000</v>
          </cell>
          <cell r="E2335" t="str">
            <v>Nebula Ltd</v>
          </cell>
          <cell r="F2335">
            <v>2</v>
          </cell>
          <cell r="G2335">
            <v>36846</v>
          </cell>
          <cell r="I2335" t="str">
            <v>Latin America and Caribbean</v>
          </cell>
          <cell r="J2335" t="str">
            <v>Bermuda</v>
          </cell>
          <cell r="K2335">
            <v>36341</v>
          </cell>
        </row>
        <row r="2336">
          <cell r="A2336" t="str">
            <v>In service</v>
          </cell>
          <cell r="B2336" t="str">
            <v>Gulfstream Aerospace Gulfstream V</v>
          </cell>
          <cell r="C2336" t="str">
            <v xml:space="preserve"> </v>
          </cell>
          <cell r="D2336">
            <v>2000</v>
          </cell>
          <cell r="E2336" t="str">
            <v>Lexair II Ltd</v>
          </cell>
          <cell r="F2336">
            <v>2</v>
          </cell>
          <cell r="G2336">
            <v>36889</v>
          </cell>
          <cell r="I2336" t="str">
            <v>North America</v>
          </cell>
          <cell r="J2336" t="str">
            <v>USA</v>
          </cell>
          <cell r="K2336">
            <v>35976</v>
          </cell>
        </row>
        <row r="2337">
          <cell r="A2337" t="str">
            <v>In service</v>
          </cell>
          <cell r="B2337" t="str">
            <v>Gulfstream Aerospace Gulfstream V</v>
          </cell>
          <cell r="C2337" t="str">
            <v xml:space="preserve"> </v>
          </cell>
          <cell r="D2337">
            <v>2001</v>
          </cell>
          <cell r="E2337" t="str">
            <v>M B &amp; S G Geliebter Trustees</v>
          </cell>
          <cell r="F2337">
            <v>1</v>
          </cell>
          <cell r="G2337">
            <v>36977</v>
          </cell>
          <cell r="I2337" t="str">
            <v>North America</v>
          </cell>
          <cell r="J2337" t="str">
            <v>USA</v>
          </cell>
          <cell r="K2337">
            <v>35976</v>
          </cell>
        </row>
        <row r="2338">
          <cell r="A2338" t="str">
            <v>In service</v>
          </cell>
          <cell r="B2338" t="str">
            <v>Gulfstream Aerospace Gulfstream V</v>
          </cell>
          <cell r="C2338" t="str">
            <v xml:space="preserve"> </v>
          </cell>
          <cell r="D2338">
            <v>2001</v>
          </cell>
          <cell r="E2338" t="str">
            <v>Cargill Inc</v>
          </cell>
          <cell r="F2338">
            <v>1</v>
          </cell>
          <cell r="G2338">
            <v>37046</v>
          </cell>
          <cell r="I2338" t="str">
            <v>North America</v>
          </cell>
          <cell r="J2338" t="str">
            <v>USA</v>
          </cell>
          <cell r="K2338">
            <v>36341</v>
          </cell>
        </row>
        <row r="2339">
          <cell r="A2339" t="str">
            <v>In service</v>
          </cell>
          <cell r="B2339" t="str">
            <v>Gulfstream Aerospace Gulfstream V</v>
          </cell>
          <cell r="C2339" t="str">
            <v xml:space="preserve"> </v>
          </cell>
          <cell r="D2339">
            <v>2001</v>
          </cell>
          <cell r="E2339" t="str">
            <v>Teratorn LLC</v>
          </cell>
          <cell r="F2339">
            <v>1</v>
          </cell>
          <cell r="G2339">
            <v>37204</v>
          </cell>
          <cell r="I2339" t="str">
            <v>North America</v>
          </cell>
          <cell r="J2339" t="str">
            <v>USA</v>
          </cell>
          <cell r="K2339">
            <v>36341</v>
          </cell>
        </row>
        <row r="2340">
          <cell r="A2340" t="str">
            <v>In service</v>
          </cell>
          <cell r="B2340" t="str">
            <v>Gulfstream Aerospace Gulfstream V</v>
          </cell>
          <cell r="C2340" t="str">
            <v xml:space="preserve"> </v>
          </cell>
          <cell r="D2340">
            <v>2001</v>
          </cell>
          <cell r="E2340" t="str">
            <v>Rikio Co Ltd</v>
          </cell>
          <cell r="F2340">
            <v>1</v>
          </cell>
          <cell r="G2340">
            <v>36962</v>
          </cell>
          <cell r="I2340" t="str">
            <v>Asia</v>
          </cell>
          <cell r="J2340" t="str">
            <v>Japan</v>
          </cell>
          <cell r="K2340">
            <v>36341</v>
          </cell>
        </row>
        <row r="2341">
          <cell r="A2341" t="str">
            <v>In service</v>
          </cell>
          <cell r="B2341" t="str">
            <v>Gulfstream Aerospace Gulfstream V</v>
          </cell>
          <cell r="C2341" t="str">
            <v xml:space="preserve"> </v>
          </cell>
          <cell r="D2341">
            <v>2000</v>
          </cell>
          <cell r="E2341" t="str">
            <v>Netjets International</v>
          </cell>
          <cell r="F2341">
            <v>2</v>
          </cell>
          <cell r="G2341">
            <v>36973</v>
          </cell>
          <cell r="I2341" t="str">
            <v>North America</v>
          </cell>
          <cell r="J2341" t="str">
            <v>USA</v>
          </cell>
          <cell r="K2341">
            <v>35311</v>
          </cell>
        </row>
        <row r="2342">
          <cell r="A2342" t="str">
            <v>In service</v>
          </cell>
          <cell r="B2342" t="str">
            <v>Gulfstream Aerospace Gulfstream V</v>
          </cell>
          <cell r="C2342" t="str">
            <v xml:space="preserve"> </v>
          </cell>
          <cell r="D2342">
            <v>2001</v>
          </cell>
          <cell r="E2342" t="str">
            <v>CYMI Investments Sub Inc</v>
          </cell>
          <cell r="F2342">
            <v>1</v>
          </cell>
          <cell r="G2342">
            <v>37063</v>
          </cell>
          <cell r="I2342" t="str">
            <v>North America</v>
          </cell>
          <cell r="J2342" t="str">
            <v>USA</v>
          </cell>
          <cell r="K2342">
            <v>36341</v>
          </cell>
        </row>
        <row r="2343">
          <cell r="A2343" t="str">
            <v>In service</v>
          </cell>
          <cell r="B2343" t="str">
            <v>Gulfstream Aerospace Gulfstream V</v>
          </cell>
          <cell r="C2343" t="str">
            <v xml:space="preserve"> </v>
          </cell>
          <cell r="D2343">
            <v>2001</v>
          </cell>
          <cell r="E2343" t="str">
            <v>Metromedia Aircraft Co</v>
          </cell>
          <cell r="F2343">
            <v>1</v>
          </cell>
          <cell r="G2343">
            <v>37070</v>
          </cell>
          <cell r="I2343" t="str">
            <v>North America</v>
          </cell>
          <cell r="J2343" t="str">
            <v>USA</v>
          </cell>
          <cell r="K2343">
            <v>36341</v>
          </cell>
        </row>
        <row r="2344">
          <cell r="A2344" t="str">
            <v>In service</v>
          </cell>
          <cell r="B2344" t="str">
            <v>Gulfstream Aerospace Gulfstream V</v>
          </cell>
          <cell r="C2344" t="str">
            <v xml:space="preserve"> </v>
          </cell>
          <cell r="D2344">
            <v>2001</v>
          </cell>
          <cell r="E2344" t="str">
            <v>United States Aviation Co</v>
          </cell>
          <cell r="F2344">
            <v>1</v>
          </cell>
          <cell r="G2344">
            <v>37071</v>
          </cell>
          <cell r="I2344" t="str">
            <v>North America</v>
          </cell>
          <cell r="J2344" t="str">
            <v>USA</v>
          </cell>
          <cell r="K2344">
            <v>35976</v>
          </cell>
        </row>
        <row r="2345">
          <cell r="A2345" t="str">
            <v>In service</v>
          </cell>
          <cell r="B2345" t="str">
            <v>Gulfstream Aerospace Gulfstream V</v>
          </cell>
          <cell r="C2345" t="str">
            <v xml:space="preserve"> </v>
          </cell>
          <cell r="D2345">
            <v>2001</v>
          </cell>
          <cell r="E2345" t="str">
            <v>Government of Algeria</v>
          </cell>
          <cell r="F2345">
            <v>1</v>
          </cell>
          <cell r="G2345">
            <v>37071</v>
          </cell>
          <cell r="I2345" t="str">
            <v>Africa</v>
          </cell>
          <cell r="J2345" t="str">
            <v>Algeria</v>
          </cell>
          <cell r="K2345">
            <v>36341</v>
          </cell>
        </row>
        <row r="2346">
          <cell r="A2346" t="str">
            <v>In service</v>
          </cell>
          <cell r="B2346" t="str">
            <v>Gulfstream Aerospace Gulfstream V</v>
          </cell>
          <cell r="C2346" t="str">
            <v xml:space="preserve"> </v>
          </cell>
          <cell r="D2346">
            <v>2000</v>
          </cell>
          <cell r="E2346" t="str">
            <v>Johnson Controls Inc</v>
          </cell>
          <cell r="F2346">
            <v>2</v>
          </cell>
          <cell r="G2346">
            <v>36859</v>
          </cell>
          <cell r="I2346" t="str">
            <v>North America</v>
          </cell>
          <cell r="J2346" t="str">
            <v>USA</v>
          </cell>
          <cell r="K2346">
            <v>36341</v>
          </cell>
        </row>
        <row r="2347">
          <cell r="A2347" t="str">
            <v>In service</v>
          </cell>
          <cell r="B2347" t="str">
            <v>Gulfstream Aerospace Gulfstream V</v>
          </cell>
          <cell r="C2347" t="str">
            <v xml:space="preserve"> </v>
          </cell>
          <cell r="D2347">
            <v>2001</v>
          </cell>
          <cell r="E2347" t="str">
            <v>Amerada Hess Corp</v>
          </cell>
          <cell r="F2347">
            <v>1</v>
          </cell>
          <cell r="G2347">
            <v>37169</v>
          </cell>
          <cell r="I2347" t="str">
            <v>North America</v>
          </cell>
          <cell r="J2347" t="str">
            <v>USA</v>
          </cell>
          <cell r="K2347">
            <v>35976</v>
          </cell>
        </row>
        <row r="2348">
          <cell r="A2348" t="str">
            <v>In service</v>
          </cell>
          <cell r="B2348" t="str">
            <v>Gulfstream Aerospace Gulfstream V</v>
          </cell>
          <cell r="C2348" t="str">
            <v xml:space="preserve"> </v>
          </cell>
          <cell r="D2348">
            <v>2001</v>
          </cell>
          <cell r="E2348" t="str">
            <v>US Air Force</v>
          </cell>
          <cell r="F2348">
            <v>1</v>
          </cell>
          <cell r="G2348">
            <v>37097</v>
          </cell>
          <cell r="H2348" t="str">
            <v>C-37A</v>
          </cell>
          <cell r="I2348" t="str">
            <v>North America</v>
          </cell>
          <cell r="J2348" t="str">
            <v>USA</v>
          </cell>
          <cell r="K2348">
            <v>36826</v>
          </cell>
        </row>
        <row r="2349">
          <cell r="A2349" t="str">
            <v>In service</v>
          </cell>
          <cell r="B2349" t="str">
            <v>Gulfstream Aerospace Gulfstream V</v>
          </cell>
          <cell r="C2349" t="str">
            <v xml:space="preserve"> </v>
          </cell>
          <cell r="D2349">
            <v>2001</v>
          </cell>
          <cell r="E2349" t="str">
            <v>New World Jet Corp</v>
          </cell>
          <cell r="F2349">
            <v>1</v>
          </cell>
          <cell r="G2349">
            <v>37104</v>
          </cell>
          <cell r="I2349" t="str">
            <v>North America</v>
          </cell>
          <cell r="J2349" t="str">
            <v>USA</v>
          </cell>
          <cell r="K2349">
            <v>36341</v>
          </cell>
        </row>
        <row r="2350">
          <cell r="A2350" t="str">
            <v>In service</v>
          </cell>
          <cell r="B2350" t="str">
            <v>Gulfstream Aerospace Gulfstream V</v>
          </cell>
          <cell r="C2350" t="str">
            <v xml:space="preserve"> </v>
          </cell>
          <cell r="D2350">
            <v>2001</v>
          </cell>
          <cell r="E2350" t="str">
            <v>Casden Aircraft LLC</v>
          </cell>
          <cell r="F2350">
            <v>1</v>
          </cell>
          <cell r="G2350">
            <v>37091</v>
          </cell>
          <cell r="I2350" t="str">
            <v>North America</v>
          </cell>
          <cell r="J2350" t="str">
            <v>USA</v>
          </cell>
          <cell r="K2350">
            <v>36341</v>
          </cell>
        </row>
        <row r="2351">
          <cell r="A2351" t="str">
            <v>In service</v>
          </cell>
          <cell r="B2351" t="str">
            <v>Gulfstream Aerospace Gulfstream V</v>
          </cell>
          <cell r="C2351" t="str">
            <v xml:space="preserve"> </v>
          </cell>
          <cell r="D2351">
            <v>2001</v>
          </cell>
          <cell r="E2351" t="str">
            <v>Netjets International</v>
          </cell>
          <cell r="F2351">
            <v>1</v>
          </cell>
          <cell r="G2351">
            <v>37042</v>
          </cell>
          <cell r="I2351" t="str">
            <v>North America</v>
          </cell>
          <cell r="J2351" t="str">
            <v>USA</v>
          </cell>
          <cell r="K2351">
            <v>36087</v>
          </cell>
        </row>
        <row r="2352">
          <cell r="A2352" t="str">
            <v>In service</v>
          </cell>
          <cell r="B2352" t="str">
            <v>Gulfstream Aerospace Gulfstream V</v>
          </cell>
          <cell r="C2352" t="str">
            <v xml:space="preserve"> </v>
          </cell>
          <cell r="D2352">
            <v>2001</v>
          </cell>
          <cell r="E2352" t="str">
            <v>US Air Force</v>
          </cell>
          <cell r="F2352">
            <v>1</v>
          </cell>
          <cell r="G2352">
            <v>37179</v>
          </cell>
          <cell r="H2352" t="str">
            <v>C-37A</v>
          </cell>
          <cell r="I2352" t="str">
            <v>North America</v>
          </cell>
          <cell r="J2352" t="str">
            <v>USA</v>
          </cell>
          <cell r="K2352">
            <v>36826</v>
          </cell>
        </row>
        <row r="2353">
          <cell r="A2353" t="str">
            <v>In service</v>
          </cell>
          <cell r="B2353" t="str">
            <v>Gulfstream Aerospace Gulfstream V</v>
          </cell>
          <cell r="C2353" t="str">
            <v xml:space="preserve"> </v>
          </cell>
          <cell r="D2353">
            <v>2001</v>
          </cell>
          <cell r="E2353" t="str">
            <v>Netjets International</v>
          </cell>
          <cell r="F2353">
            <v>1</v>
          </cell>
          <cell r="G2353">
            <v>37069</v>
          </cell>
          <cell r="I2353" t="str">
            <v>North America</v>
          </cell>
          <cell r="J2353" t="str">
            <v>USA</v>
          </cell>
          <cell r="K2353">
            <v>36087</v>
          </cell>
        </row>
        <row r="2354">
          <cell r="A2354" t="str">
            <v>In service</v>
          </cell>
          <cell r="B2354" t="str">
            <v>Gulfstream Aerospace Gulfstream V</v>
          </cell>
          <cell r="C2354" t="str">
            <v xml:space="preserve"> </v>
          </cell>
          <cell r="D2354">
            <v>2000</v>
          </cell>
          <cell r="E2354" t="str">
            <v>Fightertown Inc</v>
          </cell>
          <cell r="F2354">
            <v>2</v>
          </cell>
          <cell r="G2354">
            <v>36878</v>
          </cell>
          <cell r="I2354" t="str">
            <v>North America</v>
          </cell>
          <cell r="J2354" t="str">
            <v>USA</v>
          </cell>
          <cell r="K2354">
            <v>36341</v>
          </cell>
        </row>
        <row r="2355">
          <cell r="A2355" t="str">
            <v>In service</v>
          </cell>
          <cell r="B2355" t="str">
            <v>Gulfstream Aerospace Gulfstream V</v>
          </cell>
          <cell r="C2355" t="str">
            <v xml:space="preserve"> </v>
          </cell>
          <cell r="D2355">
            <v>2001</v>
          </cell>
          <cell r="E2355" t="str">
            <v>Miranda International Aviation Inc</v>
          </cell>
          <cell r="F2355">
            <v>1</v>
          </cell>
          <cell r="G2355">
            <v>37246</v>
          </cell>
          <cell r="I2355" t="str">
            <v>North America</v>
          </cell>
          <cell r="J2355" t="str">
            <v>USA</v>
          </cell>
          <cell r="K2355">
            <v>36341</v>
          </cell>
        </row>
        <row r="2356">
          <cell r="A2356" t="str">
            <v>In service</v>
          </cell>
          <cell r="B2356" t="str">
            <v>Gulfstream Aerospace Gulfstream V</v>
          </cell>
          <cell r="C2356" t="str">
            <v xml:space="preserve"> </v>
          </cell>
          <cell r="D2356">
            <v>2000</v>
          </cell>
          <cell r="E2356" t="str">
            <v>Ivanhoe Capital Aviation LLC</v>
          </cell>
          <cell r="F2356">
            <v>2</v>
          </cell>
          <cell r="G2356">
            <v>36907</v>
          </cell>
          <cell r="I2356" t="str">
            <v>North America</v>
          </cell>
          <cell r="J2356" t="str">
            <v>USA</v>
          </cell>
          <cell r="K2356">
            <v>36707</v>
          </cell>
        </row>
        <row r="2357">
          <cell r="A2357" t="str">
            <v>In service</v>
          </cell>
          <cell r="B2357" t="str">
            <v>Gulfstream Aerospace Gulfstream V</v>
          </cell>
          <cell r="C2357" t="str">
            <v xml:space="preserve"> </v>
          </cell>
          <cell r="D2357">
            <v>2001</v>
          </cell>
          <cell r="E2357" t="str">
            <v>RL Wings LLC</v>
          </cell>
          <cell r="F2357">
            <v>1</v>
          </cell>
          <cell r="G2357">
            <v>37236</v>
          </cell>
          <cell r="I2357" t="str">
            <v>North America</v>
          </cell>
          <cell r="J2357" t="str">
            <v>USA</v>
          </cell>
          <cell r="K2357">
            <v>36707</v>
          </cell>
        </row>
        <row r="2358">
          <cell r="A2358" t="str">
            <v>In service</v>
          </cell>
          <cell r="B2358" t="str">
            <v>Gulfstream Aerospace Gulfstream V</v>
          </cell>
          <cell r="C2358" t="str">
            <v xml:space="preserve"> </v>
          </cell>
          <cell r="D2358">
            <v>2001</v>
          </cell>
          <cell r="E2358" t="str">
            <v>EDS Information Services LLC</v>
          </cell>
          <cell r="F2358">
            <v>1</v>
          </cell>
          <cell r="G2358">
            <v>37161</v>
          </cell>
          <cell r="I2358" t="str">
            <v>North America</v>
          </cell>
          <cell r="J2358" t="str">
            <v>USA</v>
          </cell>
          <cell r="K2358">
            <v>36341</v>
          </cell>
        </row>
        <row r="2359">
          <cell r="A2359" t="str">
            <v>In service</v>
          </cell>
          <cell r="B2359" t="str">
            <v>Gulfstream Aerospace Gulfstream V</v>
          </cell>
          <cell r="C2359" t="str">
            <v xml:space="preserve"> </v>
          </cell>
          <cell r="D2359">
            <v>2001</v>
          </cell>
          <cell r="E2359" t="str">
            <v>Netjets International</v>
          </cell>
          <cell r="F2359">
            <v>1</v>
          </cell>
          <cell r="G2359">
            <v>37162</v>
          </cell>
          <cell r="I2359" t="str">
            <v>North America</v>
          </cell>
          <cell r="J2359" t="str">
            <v>USA</v>
          </cell>
          <cell r="K2359">
            <v>36087</v>
          </cell>
        </row>
        <row r="2360">
          <cell r="A2360" t="str">
            <v>In service</v>
          </cell>
          <cell r="B2360" t="str">
            <v>Gulfstream Aerospace Gulfstream V</v>
          </cell>
          <cell r="C2360" t="str">
            <v xml:space="preserve"> </v>
          </cell>
          <cell r="D2360">
            <v>2001</v>
          </cell>
          <cell r="E2360" t="str">
            <v>Gulfstream Aerospace Corp</v>
          </cell>
          <cell r="F2360">
            <v>1</v>
          </cell>
          <cell r="I2360" t="str">
            <v>North America</v>
          </cell>
          <cell r="J2360" t="str">
            <v>USA</v>
          </cell>
        </row>
        <row r="2361">
          <cell r="A2361" t="str">
            <v>In service</v>
          </cell>
          <cell r="B2361" t="str">
            <v>Gulfstream Aerospace Gulfstream V</v>
          </cell>
          <cell r="C2361" t="str">
            <v xml:space="preserve"> </v>
          </cell>
          <cell r="D2361">
            <v>2001</v>
          </cell>
          <cell r="E2361" t="str">
            <v>Lexair III Limited</v>
          </cell>
          <cell r="F2361">
            <v>1</v>
          </cell>
          <cell r="G2361">
            <v>36987</v>
          </cell>
          <cell r="I2361" t="str">
            <v>North America</v>
          </cell>
          <cell r="J2361" t="str">
            <v>USA</v>
          </cell>
          <cell r="K2361">
            <v>36707</v>
          </cell>
        </row>
        <row r="2362">
          <cell r="A2362" t="str">
            <v>In service</v>
          </cell>
          <cell r="B2362" t="str">
            <v>Gulfstream Aerospace Gulfstream V</v>
          </cell>
          <cell r="C2362" t="str">
            <v xml:space="preserve"> </v>
          </cell>
          <cell r="D2362">
            <v>2001</v>
          </cell>
          <cell r="E2362" t="str">
            <v>Anglo American Corp of South Africa</v>
          </cell>
          <cell r="F2362">
            <v>1</v>
          </cell>
          <cell r="G2362">
            <v>37247</v>
          </cell>
          <cell r="I2362" t="str">
            <v>Africa</v>
          </cell>
          <cell r="J2362" t="str">
            <v>South Africa</v>
          </cell>
          <cell r="K2362">
            <v>35611</v>
          </cell>
        </row>
        <row r="2363">
          <cell r="A2363" t="str">
            <v>In service</v>
          </cell>
          <cell r="B2363" t="str">
            <v>Gulfstream Aerospace Gulfstream V</v>
          </cell>
          <cell r="C2363" t="str">
            <v xml:space="preserve"> </v>
          </cell>
          <cell r="D2363">
            <v>2001</v>
          </cell>
          <cell r="E2363" t="str">
            <v>Pfizer Inc</v>
          </cell>
          <cell r="F2363">
            <v>1</v>
          </cell>
          <cell r="G2363">
            <v>37256</v>
          </cell>
          <cell r="I2363" t="str">
            <v>North America</v>
          </cell>
          <cell r="J2363" t="str">
            <v>USA</v>
          </cell>
          <cell r="K2363">
            <v>36341</v>
          </cell>
        </row>
        <row r="2364">
          <cell r="A2364" t="str">
            <v>In service</v>
          </cell>
          <cell r="B2364" t="str">
            <v>Gulfstream Aerospace Gulfstream V</v>
          </cell>
          <cell r="C2364" t="str">
            <v xml:space="preserve"> </v>
          </cell>
          <cell r="D2364">
            <v>2001</v>
          </cell>
          <cell r="E2364" t="str">
            <v>BP Amoco Corp</v>
          </cell>
          <cell r="F2364">
            <v>1</v>
          </cell>
          <cell r="G2364">
            <v>37253</v>
          </cell>
          <cell r="I2364" t="str">
            <v>North America</v>
          </cell>
          <cell r="J2364" t="str">
            <v>USA</v>
          </cell>
          <cell r="K2364">
            <v>36045</v>
          </cell>
        </row>
        <row r="2365">
          <cell r="A2365" t="str">
            <v>In service</v>
          </cell>
          <cell r="B2365" t="str">
            <v>Gulfstream Aerospace Gulfstream V</v>
          </cell>
          <cell r="C2365" t="str">
            <v xml:space="preserve"> </v>
          </cell>
          <cell r="D2365">
            <v>2001</v>
          </cell>
          <cell r="E2365" t="str">
            <v>Netjets International</v>
          </cell>
          <cell r="F2365">
            <v>1</v>
          </cell>
          <cell r="G2365">
            <v>37196</v>
          </cell>
          <cell r="I2365" t="str">
            <v>North America</v>
          </cell>
          <cell r="J2365" t="str">
            <v>USA</v>
          </cell>
          <cell r="K2365">
            <v>36087</v>
          </cell>
        </row>
        <row r="2366">
          <cell r="A2366" t="str">
            <v>In service</v>
          </cell>
          <cell r="B2366" t="str">
            <v>Gulfstream Aerospace Gulfstream V</v>
          </cell>
          <cell r="C2366" t="str">
            <v xml:space="preserve"> </v>
          </cell>
          <cell r="D2366">
            <v>2001</v>
          </cell>
          <cell r="E2366" t="str">
            <v>Jet Aviation Business Jets</v>
          </cell>
          <cell r="F2366">
            <v>1</v>
          </cell>
          <cell r="G2366">
            <v>37298</v>
          </cell>
          <cell r="I2366" t="str">
            <v>Europe</v>
          </cell>
          <cell r="J2366" t="str">
            <v>Switzerland</v>
          </cell>
          <cell r="K2366">
            <v>37072</v>
          </cell>
        </row>
        <row r="2367">
          <cell r="A2367" t="str">
            <v>In service</v>
          </cell>
          <cell r="B2367" t="str">
            <v>Gulfstream Aerospace Gulfstream V</v>
          </cell>
          <cell r="C2367" t="str">
            <v xml:space="preserve"> </v>
          </cell>
          <cell r="D2367">
            <v>2001</v>
          </cell>
          <cell r="E2367" t="str">
            <v>CSC Transport IV Inc</v>
          </cell>
          <cell r="F2367">
            <v>1</v>
          </cell>
          <cell r="G2367">
            <v>37197</v>
          </cell>
          <cell r="I2367" t="str">
            <v>North America</v>
          </cell>
          <cell r="J2367" t="str">
            <v>USA</v>
          </cell>
          <cell r="K2367">
            <v>36707</v>
          </cell>
        </row>
        <row r="2368">
          <cell r="A2368" t="str">
            <v>In service</v>
          </cell>
          <cell r="B2368" t="str">
            <v>Gulfstream Aerospace Gulfstream V</v>
          </cell>
          <cell r="C2368" t="str">
            <v xml:space="preserve"> </v>
          </cell>
          <cell r="D2368">
            <v>2002</v>
          </cell>
          <cell r="E2368" t="str">
            <v>Bank of America NA</v>
          </cell>
          <cell r="F2368">
            <v>0</v>
          </cell>
          <cell r="G2368">
            <v>37348</v>
          </cell>
          <cell r="I2368" t="str">
            <v>North America</v>
          </cell>
          <cell r="J2368" t="str">
            <v>USA</v>
          </cell>
          <cell r="K2368">
            <v>36707</v>
          </cell>
        </row>
        <row r="2369">
          <cell r="A2369" t="str">
            <v>In service</v>
          </cell>
          <cell r="B2369" t="str">
            <v>Gulfstream Aerospace Gulfstream V</v>
          </cell>
          <cell r="C2369" t="str">
            <v xml:space="preserve"> </v>
          </cell>
          <cell r="D2369">
            <v>2001</v>
          </cell>
          <cell r="E2369" t="str">
            <v>Aviation 604 AG</v>
          </cell>
          <cell r="F2369">
            <v>1</v>
          </cell>
          <cell r="G2369">
            <v>37393</v>
          </cell>
          <cell r="I2369" t="str">
            <v>Europe</v>
          </cell>
          <cell r="J2369" t="str">
            <v>Switzerland</v>
          </cell>
          <cell r="K2369">
            <v>36707</v>
          </cell>
        </row>
        <row r="2370">
          <cell r="A2370" t="str">
            <v>In service</v>
          </cell>
          <cell r="B2370" t="str">
            <v>Gulfstream Aerospace Gulfstream V</v>
          </cell>
          <cell r="C2370" t="str">
            <v xml:space="preserve"> </v>
          </cell>
          <cell r="D2370">
            <v>2001</v>
          </cell>
          <cell r="E2370" t="str">
            <v>Netjets International</v>
          </cell>
          <cell r="F2370">
            <v>1</v>
          </cell>
          <cell r="G2370">
            <v>37237</v>
          </cell>
          <cell r="I2370" t="str">
            <v>North America</v>
          </cell>
          <cell r="J2370" t="str">
            <v>USA</v>
          </cell>
          <cell r="K2370">
            <v>36087</v>
          </cell>
        </row>
        <row r="2371">
          <cell r="A2371" t="str">
            <v>In service</v>
          </cell>
          <cell r="B2371" t="str">
            <v>Gulfstream Aerospace Gulfstream V</v>
          </cell>
          <cell r="C2371" t="str">
            <v xml:space="preserve"> </v>
          </cell>
          <cell r="D2371">
            <v>2001</v>
          </cell>
          <cell r="E2371" t="str">
            <v>Federal Government of Nigeria</v>
          </cell>
          <cell r="F2371">
            <v>1</v>
          </cell>
          <cell r="G2371">
            <v>37266</v>
          </cell>
          <cell r="I2371" t="str">
            <v>Africa</v>
          </cell>
          <cell r="J2371" t="str">
            <v>Nigeria</v>
          </cell>
          <cell r="K2371">
            <v>36707</v>
          </cell>
        </row>
        <row r="2372">
          <cell r="A2372" t="str">
            <v>In service</v>
          </cell>
          <cell r="B2372" t="str">
            <v>Gulfstream Aerospace Gulfstream V</v>
          </cell>
          <cell r="C2372" t="str">
            <v xml:space="preserve"> </v>
          </cell>
          <cell r="D2372">
            <v>2002</v>
          </cell>
          <cell r="E2372" t="str">
            <v>Saudi Aeromedical Evacuation</v>
          </cell>
          <cell r="F2372">
            <v>0</v>
          </cell>
          <cell r="G2372">
            <v>37442</v>
          </cell>
          <cell r="I2372" t="str">
            <v>Middle East</v>
          </cell>
          <cell r="J2372" t="str">
            <v>Saudi Arabia</v>
          </cell>
          <cell r="K2372">
            <v>37072</v>
          </cell>
        </row>
        <row r="2373">
          <cell r="A2373" t="str">
            <v>In service</v>
          </cell>
          <cell r="B2373" t="str">
            <v>Gulfstream Aerospace Gulfstream V</v>
          </cell>
          <cell r="C2373" t="str">
            <v xml:space="preserve"> </v>
          </cell>
          <cell r="D2373">
            <v>2001</v>
          </cell>
          <cell r="E2373" t="str">
            <v>US Air Force</v>
          </cell>
          <cell r="F2373">
            <v>1</v>
          </cell>
          <cell r="G2373">
            <v>37286</v>
          </cell>
          <cell r="H2373" t="str">
            <v>C-37A</v>
          </cell>
          <cell r="I2373" t="str">
            <v>North America</v>
          </cell>
          <cell r="J2373" t="str">
            <v>USA</v>
          </cell>
          <cell r="K2373">
            <v>36826</v>
          </cell>
        </row>
        <row r="2374">
          <cell r="A2374" t="str">
            <v>In service</v>
          </cell>
          <cell r="B2374" t="str">
            <v>Gulfstream Aerospace Gulfstream V</v>
          </cell>
          <cell r="C2374" t="str">
            <v xml:space="preserve"> </v>
          </cell>
          <cell r="D2374">
            <v>2001</v>
          </cell>
          <cell r="E2374" t="str">
            <v>Star Aircraft Leasing SA</v>
          </cell>
          <cell r="F2374">
            <v>1</v>
          </cell>
          <cell r="G2374">
            <v>37245</v>
          </cell>
          <cell r="I2374" t="str">
            <v>Europe</v>
          </cell>
          <cell r="J2374" t="str">
            <v>Luxembourg</v>
          </cell>
          <cell r="K2374">
            <v>36707</v>
          </cell>
        </row>
        <row r="2375">
          <cell r="A2375" t="str">
            <v>In service</v>
          </cell>
          <cell r="B2375" t="str">
            <v>Gulfstream Aerospace Gulfstream V</v>
          </cell>
          <cell r="C2375" t="str">
            <v xml:space="preserve"> </v>
          </cell>
          <cell r="D2375">
            <v>2002</v>
          </cell>
          <cell r="E2375" t="str">
            <v>Netjets International</v>
          </cell>
          <cell r="F2375">
            <v>0</v>
          </cell>
          <cell r="G2375">
            <v>37302</v>
          </cell>
          <cell r="I2375" t="str">
            <v>North America</v>
          </cell>
          <cell r="J2375" t="str">
            <v>USA</v>
          </cell>
          <cell r="K2375">
            <v>36087</v>
          </cell>
        </row>
        <row r="2376">
          <cell r="A2376" t="str">
            <v>In service</v>
          </cell>
          <cell r="B2376" t="str">
            <v>Gulfstream Aerospace Gulfstream V</v>
          </cell>
          <cell r="C2376" t="str">
            <v xml:space="preserve"> </v>
          </cell>
          <cell r="D2376">
            <v>2002</v>
          </cell>
          <cell r="E2376" t="str">
            <v>Beachwood Aircraft Leasing LLC</v>
          </cell>
          <cell r="F2376">
            <v>0</v>
          </cell>
          <cell r="G2376">
            <v>37436</v>
          </cell>
          <cell r="I2376" t="str">
            <v>North America</v>
          </cell>
          <cell r="J2376" t="str">
            <v>USA</v>
          </cell>
          <cell r="K2376">
            <v>37072</v>
          </cell>
        </row>
        <row r="2377">
          <cell r="A2377" t="str">
            <v>In service</v>
          </cell>
          <cell r="B2377" t="str">
            <v>Gulfstream Aerospace Gulfstream V</v>
          </cell>
          <cell r="C2377" t="str">
            <v xml:space="preserve"> </v>
          </cell>
          <cell r="D2377">
            <v>2001</v>
          </cell>
          <cell r="E2377" t="str">
            <v>Costco Warehouses Inc</v>
          </cell>
          <cell r="F2377">
            <v>1</v>
          </cell>
          <cell r="G2377">
            <v>37344</v>
          </cell>
          <cell r="I2377" t="str">
            <v>North America</v>
          </cell>
          <cell r="J2377" t="str">
            <v>USA</v>
          </cell>
          <cell r="K2377">
            <v>36045</v>
          </cell>
        </row>
        <row r="2378">
          <cell r="A2378" t="str">
            <v>In service</v>
          </cell>
          <cell r="B2378" t="str">
            <v>Gulfstream Aerospace Gulfstream V</v>
          </cell>
          <cell r="C2378" t="str">
            <v xml:space="preserve"> </v>
          </cell>
          <cell r="D2378">
            <v>2002</v>
          </cell>
          <cell r="E2378" t="str">
            <v>Cox Communications Inc</v>
          </cell>
          <cell r="F2378">
            <v>0</v>
          </cell>
          <cell r="G2378">
            <v>37432</v>
          </cell>
          <cell r="I2378" t="str">
            <v>North America</v>
          </cell>
          <cell r="J2378" t="str">
            <v>USA</v>
          </cell>
          <cell r="K2378">
            <v>36707</v>
          </cell>
        </row>
        <row r="2379">
          <cell r="A2379" t="str">
            <v>In service</v>
          </cell>
          <cell r="B2379" t="str">
            <v>Gulfstream Aerospace Gulfstream V</v>
          </cell>
          <cell r="C2379" t="str">
            <v xml:space="preserve"> </v>
          </cell>
          <cell r="D2379">
            <v>2002</v>
          </cell>
          <cell r="E2379" t="str">
            <v>Gulfstream GATX Leasing Co LLC</v>
          </cell>
          <cell r="F2379">
            <v>0</v>
          </cell>
          <cell r="G2379">
            <v>37435</v>
          </cell>
          <cell r="I2379" t="str">
            <v>North America</v>
          </cell>
          <cell r="J2379" t="str">
            <v>USA</v>
          </cell>
          <cell r="K2379">
            <v>36045</v>
          </cell>
        </row>
        <row r="2380">
          <cell r="A2380" t="str">
            <v>In service</v>
          </cell>
          <cell r="B2380" t="str">
            <v>Gulfstream Aerospace Gulfstream V</v>
          </cell>
          <cell r="C2380" t="str">
            <v xml:space="preserve"> </v>
          </cell>
          <cell r="D2380">
            <v>2002</v>
          </cell>
          <cell r="E2380" t="str">
            <v>US Air Force</v>
          </cell>
          <cell r="F2380">
            <v>0</v>
          </cell>
          <cell r="G2380">
            <v>37391</v>
          </cell>
          <cell r="H2380" t="str">
            <v>C-37A</v>
          </cell>
          <cell r="I2380" t="str">
            <v>North America</v>
          </cell>
          <cell r="J2380" t="str">
            <v>USA</v>
          </cell>
          <cell r="K2380">
            <v>36826</v>
          </cell>
        </row>
        <row r="2381">
          <cell r="A2381" t="str">
            <v>In service</v>
          </cell>
          <cell r="B2381" t="str">
            <v>Gulfstream Aerospace Gulfstream V</v>
          </cell>
          <cell r="C2381" t="str">
            <v xml:space="preserve"> </v>
          </cell>
          <cell r="D2381">
            <v>2002</v>
          </cell>
          <cell r="E2381" t="str">
            <v>US Coast Guard</v>
          </cell>
          <cell r="F2381">
            <v>0</v>
          </cell>
          <cell r="G2381">
            <v>37422</v>
          </cell>
          <cell r="H2381" t="str">
            <v>C-37A</v>
          </cell>
          <cell r="I2381" t="str">
            <v>North America</v>
          </cell>
          <cell r="J2381" t="str">
            <v>USA</v>
          </cell>
          <cell r="K2381">
            <v>36875</v>
          </cell>
        </row>
        <row r="2382">
          <cell r="A2382" t="str">
            <v>In service</v>
          </cell>
          <cell r="B2382" t="str">
            <v>Gulfstream Aerospace Gulfstream V</v>
          </cell>
          <cell r="C2382" t="str">
            <v xml:space="preserve"> </v>
          </cell>
          <cell r="D2382">
            <v>2002</v>
          </cell>
          <cell r="E2382" t="str">
            <v>Ispat Ltd</v>
          </cell>
          <cell r="F2382">
            <v>0</v>
          </cell>
          <cell r="G2382">
            <v>37452</v>
          </cell>
          <cell r="I2382" t="str">
            <v>Europe</v>
          </cell>
          <cell r="J2382" t="str">
            <v>United Kingdom</v>
          </cell>
          <cell r="K2382">
            <v>36707</v>
          </cell>
        </row>
        <row r="2383">
          <cell r="A2383" t="str">
            <v>In service</v>
          </cell>
          <cell r="B2383" t="str">
            <v>Gulfstream Aerospace Gulfstream V</v>
          </cell>
          <cell r="C2383" t="str">
            <v xml:space="preserve"> </v>
          </cell>
          <cell r="D2383">
            <v>2002</v>
          </cell>
          <cell r="E2383" t="str">
            <v>Penobscot Properties LLC</v>
          </cell>
          <cell r="F2383">
            <v>0</v>
          </cell>
          <cell r="G2383">
            <v>37397</v>
          </cell>
          <cell r="I2383" t="str">
            <v>North America</v>
          </cell>
          <cell r="J2383" t="str">
            <v>USA</v>
          </cell>
          <cell r="K2383">
            <v>36707</v>
          </cell>
        </row>
        <row r="2384">
          <cell r="A2384" t="str">
            <v>In service</v>
          </cell>
          <cell r="B2384" t="str">
            <v>Gulfstream Aerospace Gulfstream V</v>
          </cell>
          <cell r="C2384" t="str">
            <v xml:space="preserve"> </v>
          </cell>
          <cell r="D2384">
            <v>2001</v>
          </cell>
          <cell r="E2384" t="str">
            <v>The Air Group Inc</v>
          </cell>
          <cell r="F2384">
            <v>1</v>
          </cell>
          <cell r="G2384">
            <v>37258</v>
          </cell>
          <cell r="I2384" t="str">
            <v>North America</v>
          </cell>
          <cell r="J2384" t="str">
            <v>USA</v>
          </cell>
          <cell r="K2384">
            <v>36707</v>
          </cell>
        </row>
        <row r="2385">
          <cell r="A2385" t="str">
            <v>In service</v>
          </cell>
          <cell r="B2385" t="str">
            <v>Gulfstream Aerospace Gulfstream V</v>
          </cell>
          <cell r="C2385" t="str">
            <v xml:space="preserve"> </v>
          </cell>
          <cell r="D2385">
            <v>2002</v>
          </cell>
          <cell r="E2385" t="str">
            <v>US Navy</v>
          </cell>
          <cell r="F2385">
            <v>0</v>
          </cell>
          <cell r="G2385">
            <v>37422</v>
          </cell>
          <cell r="H2385" t="str">
            <v>C-37A</v>
          </cell>
          <cell r="I2385" t="str">
            <v>North America</v>
          </cell>
          <cell r="J2385" t="str">
            <v>USA</v>
          </cell>
          <cell r="K2385">
            <v>37361</v>
          </cell>
        </row>
        <row r="2386">
          <cell r="A2386" t="str">
            <v>In service</v>
          </cell>
          <cell r="B2386" t="str">
            <v>Gulfstream Aerospace Gulfstream V</v>
          </cell>
          <cell r="C2386" t="str">
            <v xml:space="preserve"> </v>
          </cell>
          <cell r="D2386">
            <v>2002</v>
          </cell>
          <cell r="E2386" t="str">
            <v>Netjets International</v>
          </cell>
          <cell r="F2386">
            <v>0</v>
          </cell>
          <cell r="G2386">
            <v>37433</v>
          </cell>
          <cell r="I2386" t="str">
            <v>North America</v>
          </cell>
          <cell r="J2386" t="str">
            <v>USA</v>
          </cell>
          <cell r="K2386">
            <v>36087</v>
          </cell>
        </row>
        <row r="2387">
          <cell r="A2387" t="str">
            <v>In service</v>
          </cell>
          <cell r="B2387" t="str">
            <v>Gulfstream Aerospace Gulfstream V</v>
          </cell>
          <cell r="C2387" t="str">
            <v xml:space="preserve"> </v>
          </cell>
          <cell r="D2387">
            <v>2002</v>
          </cell>
          <cell r="E2387" t="str">
            <v>Air Tiger I LLC</v>
          </cell>
          <cell r="F2387">
            <v>0</v>
          </cell>
          <cell r="G2387">
            <v>37428</v>
          </cell>
          <cell r="I2387" t="str">
            <v>North America</v>
          </cell>
          <cell r="J2387" t="str">
            <v>USA</v>
          </cell>
          <cell r="K2387">
            <v>36707</v>
          </cell>
        </row>
        <row r="2388">
          <cell r="A2388" t="str">
            <v>In service</v>
          </cell>
          <cell r="B2388" t="str">
            <v>Gulfstream Aerospace Gulfstream V</v>
          </cell>
          <cell r="C2388" t="str">
            <v xml:space="preserve"> </v>
          </cell>
          <cell r="D2388">
            <v>2002</v>
          </cell>
          <cell r="E2388" t="str">
            <v>Toyota Motor Sales USA Inc</v>
          </cell>
          <cell r="F2388">
            <v>0</v>
          </cell>
          <cell r="G2388">
            <v>37435</v>
          </cell>
          <cell r="I2388" t="str">
            <v>North America</v>
          </cell>
          <cell r="J2388" t="str">
            <v>USA</v>
          </cell>
          <cell r="K2388">
            <v>36707</v>
          </cell>
        </row>
        <row r="2389">
          <cell r="A2389" t="str">
            <v>In service</v>
          </cell>
          <cell r="B2389" t="str">
            <v>Gulfstream Aerospace Gulfstream V</v>
          </cell>
          <cell r="C2389" t="str">
            <v xml:space="preserve"> </v>
          </cell>
          <cell r="D2389">
            <v>2002</v>
          </cell>
          <cell r="E2389" t="str">
            <v>Kimberly Clark Corp</v>
          </cell>
          <cell r="F2389">
            <v>0</v>
          </cell>
          <cell r="G2389">
            <v>37433</v>
          </cell>
          <cell r="I2389" t="str">
            <v>North America</v>
          </cell>
          <cell r="J2389" t="str">
            <v>USA</v>
          </cell>
          <cell r="K2389">
            <v>36707</v>
          </cell>
        </row>
        <row r="2390">
          <cell r="A2390" t="str">
            <v>In service</v>
          </cell>
          <cell r="B2390" t="str">
            <v>Gulfstream Aerospace Gulfstream V</v>
          </cell>
          <cell r="C2390" t="str">
            <v xml:space="preserve"> </v>
          </cell>
          <cell r="D2390">
            <v>2002</v>
          </cell>
          <cell r="E2390" t="str">
            <v>Alcoa Aircraft Operations</v>
          </cell>
          <cell r="F2390">
            <v>0</v>
          </cell>
          <cell r="G2390">
            <v>37526</v>
          </cell>
          <cell r="I2390" t="str">
            <v>North America</v>
          </cell>
          <cell r="J2390" t="str">
            <v>USA</v>
          </cell>
          <cell r="K2390">
            <v>36707</v>
          </cell>
        </row>
        <row r="2391">
          <cell r="A2391" t="str">
            <v>In service</v>
          </cell>
          <cell r="B2391" t="str">
            <v>Gulfstream Aerospace Gulfstream V</v>
          </cell>
          <cell r="C2391" t="str">
            <v xml:space="preserve"> </v>
          </cell>
          <cell r="D2391">
            <v>2002</v>
          </cell>
          <cell r="E2391" t="str">
            <v>US Air Force</v>
          </cell>
          <cell r="F2391">
            <v>0</v>
          </cell>
          <cell r="G2391">
            <v>37361</v>
          </cell>
          <cell r="H2391" t="str">
            <v>C-37A</v>
          </cell>
          <cell r="I2391" t="str">
            <v>North America</v>
          </cell>
          <cell r="J2391" t="str">
            <v>USA</v>
          </cell>
          <cell r="K2391">
            <v>36826</v>
          </cell>
        </row>
        <row r="2392">
          <cell r="A2392" t="str">
            <v>In service</v>
          </cell>
          <cell r="B2392" t="str">
            <v>Gulfstream Aerospace Gulfstream V</v>
          </cell>
          <cell r="C2392" t="str">
            <v xml:space="preserve"> </v>
          </cell>
          <cell r="D2392">
            <v>2002</v>
          </cell>
          <cell r="E2392" t="str">
            <v>Servicios Aeronauticos Z SA de CV</v>
          </cell>
          <cell r="F2392">
            <v>0</v>
          </cell>
          <cell r="G2392">
            <v>37488</v>
          </cell>
          <cell r="I2392" t="str">
            <v>Latin America and Caribbean</v>
          </cell>
          <cell r="J2392" t="str">
            <v>Mexico</v>
          </cell>
          <cell r="K2392">
            <v>36707</v>
          </cell>
        </row>
        <row r="2393">
          <cell r="A2393" t="str">
            <v>In service</v>
          </cell>
          <cell r="B2393" t="str">
            <v>Gulfstream Aerospace Gulfstream V</v>
          </cell>
          <cell r="C2393" t="str">
            <v xml:space="preserve"> </v>
          </cell>
          <cell r="D2393">
            <v>2002</v>
          </cell>
          <cell r="E2393" t="str">
            <v>HealthSouth Corp</v>
          </cell>
          <cell r="F2393">
            <v>0</v>
          </cell>
          <cell r="G2393">
            <v>37526</v>
          </cell>
          <cell r="I2393" t="str">
            <v>North America</v>
          </cell>
          <cell r="J2393" t="str">
            <v>USA</v>
          </cell>
          <cell r="K2393">
            <v>36707</v>
          </cell>
        </row>
        <row r="2394">
          <cell r="A2394" t="str">
            <v>In service</v>
          </cell>
          <cell r="B2394" t="str">
            <v>Gulfstream Aerospace Gulfstream V</v>
          </cell>
          <cell r="C2394" t="str">
            <v xml:space="preserve"> </v>
          </cell>
          <cell r="D2394">
            <v>2002</v>
          </cell>
          <cell r="E2394" t="str">
            <v>Odyssey Aviation Inc</v>
          </cell>
          <cell r="F2394">
            <v>0</v>
          </cell>
          <cell r="G2394">
            <v>37554</v>
          </cell>
          <cell r="I2394" t="str">
            <v>North America</v>
          </cell>
          <cell r="J2394" t="str">
            <v>USA</v>
          </cell>
          <cell r="K2394">
            <v>36707</v>
          </cell>
        </row>
        <row r="2395">
          <cell r="A2395" t="str">
            <v>In service</v>
          </cell>
          <cell r="B2395" t="str">
            <v>Gulfstream Aerospace Gulfstream V</v>
          </cell>
          <cell r="C2395" t="str">
            <v xml:space="preserve"> </v>
          </cell>
          <cell r="D2395">
            <v>2002</v>
          </cell>
          <cell r="E2395" t="str">
            <v>Starbucks Capital Asset Leasing Co LLC</v>
          </cell>
          <cell r="F2395">
            <v>0</v>
          </cell>
          <cell r="G2395">
            <v>37557</v>
          </cell>
          <cell r="I2395" t="str">
            <v>North America</v>
          </cell>
          <cell r="J2395" t="str">
            <v>USA</v>
          </cell>
          <cell r="K2395">
            <v>36707</v>
          </cell>
        </row>
        <row r="2396">
          <cell r="A2396" t="str">
            <v>In service</v>
          </cell>
          <cell r="B2396" t="str">
            <v>Gulfstream Aerospace Gulfstream V</v>
          </cell>
          <cell r="C2396" t="str">
            <v xml:space="preserve"> </v>
          </cell>
          <cell r="D2396">
            <v>2002</v>
          </cell>
          <cell r="E2396" t="str">
            <v>Sheridan Aviation LLC</v>
          </cell>
          <cell r="F2396">
            <v>0</v>
          </cell>
          <cell r="G2396">
            <v>37519</v>
          </cell>
          <cell r="I2396" t="str">
            <v>North America</v>
          </cell>
          <cell r="J2396" t="str">
            <v>USA</v>
          </cell>
          <cell r="K2396">
            <v>36707</v>
          </cell>
        </row>
        <row r="2397">
          <cell r="A2397" t="str">
            <v>In service</v>
          </cell>
          <cell r="B2397" t="str">
            <v>Gulfstream Aerospace Gulfstream V</v>
          </cell>
          <cell r="C2397" t="str">
            <v xml:space="preserve"> </v>
          </cell>
          <cell r="D2397">
            <v>2002</v>
          </cell>
          <cell r="E2397" t="str">
            <v>BG Aviation LLC</v>
          </cell>
          <cell r="F2397">
            <v>0</v>
          </cell>
          <cell r="G2397">
            <v>37524</v>
          </cell>
          <cell r="I2397" t="str">
            <v>North America</v>
          </cell>
          <cell r="J2397" t="str">
            <v>USA</v>
          </cell>
          <cell r="K2397">
            <v>36707</v>
          </cell>
        </row>
        <row r="2398">
          <cell r="A2398" t="str">
            <v>In service</v>
          </cell>
          <cell r="B2398" t="str">
            <v>Gulfstream Aerospace Gulfstream V</v>
          </cell>
          <cell r="C2398" t="str">
            <v xml:space="preserve"> </v>
          </cell>
          <cell r="D2398">
            <v>2002</v>
          </cell>
          <cell r="E2398" t="str">
            <v>Transworld Oil America</v>
          </cell>
          <cell r="F2398">
            <v>0</v>
          </cell>
          <cell r="G2398">
            <v>37516</v>
          </cell>
          <cell r="I2398" t="str">
            <v>North America</v>
          </cell>
          <cell r="J2398" t="str">
            <v>USA</v>
          </cell>
          <cell r="K2398">
            <v>36707</v>
          </cell>
        </row>
        <row r="2399">
          <cell r="A2399" t="str">
            <v>In service</v>
          </cell>
          <cell r="B2399" t="str">
            <v>Gulfstream Aerospace Gulfstream V</v>
          </cell>
          <cell r="C2399" t="str">
            <v xml:space="preserve"> </v>
          </cell>
          <cell r="D2399">
            <v>2002</v>
          </cell>
          <cell r="E2399" t="str">
            <v>North Carolina Air &amp; Travel LLC</v>
          </cell>
          <cell r="F2399">
            <v>0</v>
          </cell>
          <cell r="G2399">
            <v>37585</v>
          </cell>
          <cell r="I2399" t="str">
            <v>North America</v>
          </cell>
          <cell r="J2399" t="str">
            <v>USA</v>
          </cell>
          <cell r="K2399">
            <v>36707</v>
          </cell>
        </row>
        <row r="2400">
          <cell r="A2400" t="str">
            <v>In service</v>
          </cell>
          <cell r="B2400" t="str">
            <v>Gulfstream Aerospace Gulfstream V</v>
          </cell>
          <cell r="C2400" t="str">
            <v xml:space="preserve"> </v>
          </cell>
          <cell r="D2400">
            <v>2002</v>
          </cell>
          <cell r="E2400" t="str">
            <v>East Coast Aviation II LLC</v>
          </cell>
          <cell r="F2400">
            <v>0</v>
          </cell>
          <cell r="G2400">
            <v>37575</v>
          </cell>
          <cell r="I2400" t="str">
            <v>North America</v>
          </cell>
          <cell r="J2400" t="str">
            <v>USA</v>
          </cell>
          <cell r="K2400">
            <v>36707</v>
          </cell>
        </row>
        <row r="2401">
          <cell r="A2401" t="str">
            <v>In service</v>
          </cell>
          <cell r="B2401" t="str">
            <v>Gulfstream Aerospace Gulfstream V</v>
          </cell>
          <cell r="C2401" t="str">
            <v xml:space="preserve"> </v>
          </cell>
          <cell r="D2401">
            <v>2002</v>
          </cell>
          <cell r="E2401" t="str">
            <v>BMA Charter</v>
          </cell>
          <cell r="F2401">
            <v>0</v>
          </cell>
          <cell r="G2401">
            <v>37610</v>
          </cell>
          <cell r="I2401" t="str">
            <v>Europe</v>
          </cell>
          <cell r="J2401" t="str">
            <v>Czech Republic</v>
          </cell>
          <cell r="K2401">
            <v>36707</v>
          </cell>
        </row>
        <row r="2402">
          <cell r="A2402" t="str">
            <v>In service</v>
          </cell>
          <cell r="B2402" t="str">
            <v>Gulfstream Aerospace Gulfstream V</v>
          </cell>
          <cell r="C2402" t="str">
            <v xml:space="preserve"> </v>
          </cell>
          <cell r="D2402">
            <v>2002</v>
          </cell>
          <cell r="E2402" t="str">
            <v>Trout LLC</v>
          </cell>
          <cell r="F2402">
            <v>0</v>
          </cell>
          <cell r="G2402">
            <v>37566</v>
          </cell>
          <cell r="I2402" t="str">
            <v>North America</v>
          </cell>
          <cell r="J2402" t="str">
            <v>USA</v>
          </cell>
          <cell r="K2402">
            <v>36707</v>
          </cell>
        </row>
        <row r="2404">
          <cell r="A2404">
            <v>2000</v>
          </cell>
          <cell r="D2404">
            <v>2000</v>
          </cell>
        </row>
        <row r="2405">
          <cell r="A2405" t="str">
            <v>Status</v>
          </cell>
          <cell r="B2405" t="str">
            <v>Mfr &amp; Type</v>
          </cell>
          <cell r="C2405" t="str">
            <v>Variant</v>
          </cell>
          <cell r="D2405" t="str">
            <v>BuildYear</v>
          </cell>
          <cell r="E2405" t="str">
            <v>Operator</v>
          </cell>
          <cell r="F2405" t="str">
            <v>Age</v>
          </cell>
          <cell r="G2405" t="str">
            <v>Delivered</v>
          </cell>
          <cell r="H2405" t="str">
            <v>MinorVariant</v>
          </cell>
          <cell r="I2405" t="str">
            <v>OperatorArea</v>
          </cell>
          <cell r="J2405" t="str">
            <v>OperatorCountry</v>
          </cell>
          <cell r="K2405" t="str">
            <v>Ordered</v>
          </cell>
        </row>
        <row r="2406">
          <cell r="A2406" t="str">
            <v>In service</v>
          </cell>
          <cell r="B2406" t="str">
            <v>Gulfstream Aerospace Gulfstream I</v>
          </cell>
          <cell r="C2406" t="str">
            <v xml:space="preserve"> </v>
          </cell>
          <cell r="D2406">
            <v>1963</v>
          </cell>
          <cell r="E2406" t="str">
            <v>Sky Bus Inc &amp; Plane I Leasing Co Inc</v>
          </cell>
          <cell r="F2406">
            <v>37</v>
          </cell>
          <cell r="G2406">
            <v>23074</v>
          </cell>
          <cell r="I2406" t="str">
            <v>North America</v>
          </cell>
          <cell r="J2406" t="str">
            <v>USA</v>
          </cell>
          <cell r="K2406">
            <v>23026</v>
          </cell>
        </row>
        <row r="2407">
          <cell r="A2407" t="str">
            <v>In service</v>
          </cell>
          <cell r="B2407" t="str">
            <v>Gulfstream Aerospace Gulfstream I</v>
          </cell>
          <cell r="C2407" t="str">
            <v xml:space="preserve"> </v>
          </cell>
          <cell r="D2407">
            <v>1963</v>
          </cell>
          <cell r="E2407" t="str">
            <v>Procuraduria General de la Republica Nacional</v>
          </cell>
          <cell r="F2407">
            <v>37</v>
          </cell>
          <cell r="G2407">
            <v>23092</v>
          </cell>
          <cell r="I2407" t="str">
            <v>Latin America and Caribbean</v>
          </cell>
          <cell r="J2407" t="str">
            <v>Mexico</v>
          </cell>
          <cell r="K2407">
            <v>23026</v>
          </cell>
        </row>
        <row r="2408">
          <cell r="A2408" t="str">
            <v>In service</v>
          </cell>
          <cell r="B2408" t="str">
            <v>Gulfstream Aerospace Gulfstream I</v>
          </cell>
          <cell r="C2408" t="str">
            <v xml:space="preserve"> </v>
          </cell>
          <cell r="D2408">
            <v>1963</v>
          </cell>
          <cell r="E2408" t="str">
            <v>Petro-Canada Explorations</v>
          </cell>
          <cell r="F2408">
            <v>37</v>
          </cell>
          <cell r="G2408">
            <v>23109</v>
          </cell>
          <cell r="I2408" t="str">
            <v>North America</v>
          </cell>
          <cell r="J2408" t="str">
            <v>Canada</v>
          </cell>
          <cell r="K2408">
            <v>23026</v>
          </cell>
        </row>
        <row r="2409">
          <cell r="A2409" t="str">
            <v>In service</v>
          </cell>
          <cell r="B2409" t="str">
            <v>Gulfstream Aerospace Gulfstream I</v>
          </cell>
          <cell r="C2409" t="str">
            <v xml:space="preserve"> </v>
          </cell>
          <cell r="D2409">
            <v>1963</v>
          </cell>
          <cell r="E2409" t="str">
            <v>Airwave Transport</v>
          </cell>
          <cell r="F2409">
            <v>37</v>
          </cell>
          <cell r="G2409">
            <v>23144</v>
          </cell>
          <cell r="I2409" t="str">
            <v>North America</v>
          </cell>
          <cell r="J2409" t="str">
            <v>Canada</v>
          </cell>
          <cell r="K2409">
            <v>23057</v>
          </cell>
        </row>
        <row r="2410">
          <cell r="A2410" t="str">
            <v>In service</v>
          </cell>
          <cell r="B2410" t="str">
            <v>Gulfstream Aerospace Gulfstream I</v>
          </cell>
          <cell r="C2410" t="str">
            <v xml:space="preserve"> </v>
          </cell>
          <cell r="D2410">
            <v>1963</v>
          </cell>
          <cell r="E2410" t="str">
            <v>McDonald Capital Inc</v>
          </cell>
          <cell r="F2410">
            <v>37</v>
          </cell>
          <cell r="G2410">
            <v>23190</v>
          </cell>
          <cell r="I2410" t="str">
            <v>North America</v>
          </cell>
          <cell r="J2410" t="str">
            <v>USA</v>
          </cell>
          <cell r="K2410">
            <v>23057</v>
          </cell>
        </row>
        <row r="2411">
          <cell r="A2411" t="str">
            <v>In service</v>
          </cell>
          <cell r="B2411" t="str">
            <v>Gulfstream Aerospace Gulfstream I</v>
          </cell>
          <cell r="C2411" t="str">
            <v xml:space="preserve"> </v>
          </cell>
          <cell r="D2411">
            <v>1959</v>
          </cell>
          <cell r="E2411" t="str">
            <v>Sanders Lead Co Inc</v>
          </cell>
          <cell r="F2411">
            <v>41</v>
          </cell>
          <cell r="G2411">
            <v>21790</v>
          </cell>
          <cell r="I2411" t="str">
            <v>North America</v>
          </cell>
          <cell r="J2411" t="str">
            <v>USA</v>
          </cell>
          <cell r="K2411">
            <v>21001</v>
          </cell>
        </row>
        <row r="2412">
          <cell r="A2412" t="str">
            <v>In service</v>
          </cell>
          <cell r="B2412" t="str">
            <v>Gulfstream Aerospace Gulfstream I</v>
          </cell>
          <cell r="C2412" t="str">
            <v xml:space="preserve"> </v>
          </cell>
          <cell r="D2412">
            <v>1963</v>
          </cell>
          <cell r="E2412" t="str">
            <v>Phoenix Air</v>
          </cell>
          <cell r="F2412">
            <v>37</v>
          </cell>
          <cell r="G2412">
            <v>23285</v>
          </cell>
          <cell r="I2412" t="str">
            <v>North America</v>
          </cell>
          <cell r="J2412" t="str">
            <v>USA</v>
          </cell>
          <cell r="K2412">
            <v>23146</v>
          </cell>
        </row>
        <row r="2413">
          <cell r="A2413" t="str">
            <v>In service</v>
          </cell>
          <cell r="B2413" t="str">
            <v>Gulfstream Aerospace Gulfstream I</v>
          </cell>
          <cell r="C2413" t="str">
            <v xml:space="preserve"> </v>
          </cell>
          <cell r="D2413">
            <v>1963</v>
          </cell>
          <cell r="E2413" t="str">
            <v>Phoenix Air</v>
          </cell>
          <cell r="F2413">
            <v>37</v>
          </cell>
          <cell r="G2413">
            <v>23328</v>
          </cell>
          <cell r="I2413" t="str">
            <v>North America</v>
          </cell>
          <cell r="J2413" t="str">
            <v>USA</v>
          </cell>
          <cell r="K2413">
            <v>23177</v>
          </cell>
        </row>
        <row r="2414">
          <cell r="A2414" t="str">
            <v>In service</v>
          </cell>
          <cell r="B2414" t="str">
            <v>Gulfstream Aerospace Gulfstream I</v>
          </cell>
          <cell r="C2414" t="str">
            <v xml:space="preserve"> </v>
          </cell>
          <cell r="D2414">
            <v>1964</v>
          </cell>
          <cell r="E2414" t="str">
            <v>Intertransit</v>
          </cell>
          <cell r="F2414">
            <v>36</v>
          </cell>
          <cell r="G2414">
            <v>23424</v>
          </cell>
          <cell r="I2414" t="str">
            <v>Africa</v>
          </cell>
          <cell r="J2414" t="str">
            <v>Angola</v>
          </cell>
          <cell r="K2414">
            <v>23192</v>
          </cell>
        </row>
        <row r="2415">
          <cell r="A2415" t="str">
            <v>In service</v>
          </cell>
          <cell r="B2415" t="str">
            <v>Gulfstream Aerospace Gulfstream I</v>
          </cell>
          <cell r="C2415" t="str">
            <v xml:space="preserve"> </v>
          </cell>
          <cell r="D2415">
            <v>1964</v>
          </cell>
          <cell r="E2415" t="str">
            <v>Bonanza Aerolineas</v>
          </cell>
          <cell r="F2415">
            <v>36</v>
          </cell>
          <cell r="G2415">
            <v>23455</v>
          </cell>
          <cell r="I2415" t="str">
            <v>Latin America and Caribbean</v>
          </cell>
          <cell r="J2415" t="str">
            <v>Mexico</v>
          </cell>
          <cell r="K2415">
            <v>23192</v>
          </cell>
        </row>
        <row r="2416">
          <cell r="A2416" t="str">
            <v>In service</v>
          </cell>
          <cell r="B2416" t="str">
            <v>Gulfstream Aerospace Gulfstream I</v>
          </cell>
          <cell r="C2416" t="str">
            <v xml:space="preserve"> </v>
          </cell>
          <cell r="D2416">
            <v>1964</v>
          </cell>
          <cell r="E2416" t="str">
            <v>Aerial Films Inc</v>
          </cell>
          <cell r="F2416">
            <v>36</v>
          </cell>
          <cell r="G2416">
            <v>23508</v>
          </cell>
          <cell r="I2416" t="str">
            <v>North America</v>
          </cell>
          <cell r="J2416" t="str">
            <v>USA</v>
          </cell>
          <cell r="K2416">
            <v>23391</v>
          </cell>
        </row>
        <row r="2417">
          <cell r="A2417" t="str">
            <v>In service</v>
          </cell>
          <cell r="B2417" t="str">
            <v>Gulfstream Aerospace Gulfstream I</v>
          </cell>
          <cell r="C2417" t="str">
            <v xml:space="preserve"> </v>
          </cell>
          <cell r="D2417">
            <v>1964</v>
          </cell>
          <cell r="E2417" t="str">
            <v>Indonesia Air Transport</v>
          </cell>
          <cell r="F2417">
            <v>36</v>
          </cell>
          <cell r="G2417">
            <v>23498</v>
          </cell>
          <cell r="I2417" t="str">
            <v>Asia</v>
          </cell>
          <cell r="J2417" t="str">
            <v>Indonesia</v>
          </cell>
          <cell r="K2417">
            <v>23422</v>
          </cell>
        </row>
        <row r="2418">
          <cell r="A2418" t="str">
            <v>In service</v>
          </cell>
          <cell r="B2418" t="str">
            <v>Gulfstream Aerospace Gulfstream I</v>
          </cell>
          <cell r="C2418" t="str">
            <v xml:space="preserve"> </v>
          </cell>
          <cell r="D2418">
            <v>1964</v>
          </cell>
          <cell r="E2418" t="str">
            <v>Phoenix Air</v>
          </cell>
          <cell r="F2418">
            <v>36</v>
          </cell>
          <cell r="G2418">
            <v>23529</v>
          </cell>
          <cell r="I2418" t="str">
            <v>North America</v>
          </cell>
          <cell r="J2418" t="str">
            <v>USA</v>
          </cell>
          <cell r="K2418">
            <v>23451</v>
          </cell>
        </row>
        <row r="2419">
          <cell r="A2419" t="str">
            <v>In service</v>
          </cell>
          <cell r="B2419" t="str">
            <v>Gulfstream Aerospace Gulfstream I</v>
          </cell>
          <cell r="C2419" t="str">
            <v xml:space="preserve"> </v>
          </cell>
          <cell r="D2419">
            <v>1964</v>
          </cell>
          <cell r="E2419" t="str">
            <v>Aero Minerales SA</v>
          </cell>
          <cell r="F2419">
            <v>36</v>
          </cell>
          <cell r="G2419">
            <v>23594</v>
          </cell>
          <cell r="I2419" t="str">
            <v>Latin America and Caribbean</v>
          </cell>
          <cell r="J2419" t="str">
            <v>Mexico</v>
          </cell>
          <cell r="K2419">
            <v>23558</v>
          </cell>
        </row>
        <row r="2420">
          <cell r="A2420" t="str">
            <v>In service</v>
          </cell>
          <cell r="B2420" t="str">
            <v>Gulfstream Aerospace Gulfstream I</v>
          </cell>
          <cell r="C2420" t="str">
            <v xml:space="preserve"> </v>
          </cell>
          <cell r="D2420">
            <v>1964</v>
          </cell>
          <cell r="E2420" t="str">
            <v>Phoenix Air</v>
          </cell>
          <cell r="F2420">
            <v>36</v>
          </cell>
          <cell r="G2420">
            <v>23629</v>
          </cell>
          <cell r="I2420" t="str">
            <v>North America</v>
          </cell>
          <cell r="J2420" t="str">
            <v>USA</v>
          </cell>
          <cell r="K2420">
            <v>23558</v>
          </cell>
        </row>
        <row r="2421">
          <cell r="A2421" t="str">
            <v>In service</v>
          </cell>
          <cell r="B2421" t="str">
            <v>Gulfstream Aerospace Gulfstream I</v>
          </cell>
          <cell r="C2421" t="str">
            <v xml:space="preserve"> </v>
          </cell>
          <cell r="D2421">
            <v>1964</v>
          </cell>
          <cell r="E2421" t="str">
            <v>Compania Rural de Occidente Ltda</v>
          </cell>
          <cell r="F2421">
            <v>36</v>
          </cell>
          <cell r="G2421">
            <v>23722</v>
          </cell>
          <cell r="I2421" t="str">
            <v>Latin America and Caribbean</v>
          </cell>
          <cell r="J2421" t="str">
            <v>Colombia</v>
          </cell>
          <cell r="K2421">
            <v>23635</v>
          </cell>
        </row>
        <row r="2422">
          <cell r="A2422" t="str">
            <v>In service</v>
          </cell>
          <cell r="B2422" t="str">
            <v>Gulfstream Aerospace Gulfstream I</v>
          </cell>
          <cell r="C2422" t="str">
            <v xml:space="preserve"> </v>
          </cell>
          <cell r="D2422">
            <v>1964</v>
          </cell>
          <cell r="E2422" t="str">
            <v>Skyservice Airlines</v>
          </cell>
          <cell r="F2422">
            <v>36</v>
          </cell>
          <cell r="G2422">
            <v>23746</v>
          </cell>
          <cell r="I2422" t="str">
            <v>North America</v>
          </cell>
          <cell r="J2422" t="str">
            <v>Canada</v>
          </cell>
          <cell r="K2422">
            <v>23558</v>
          </cell>
        </row>
        <row r="2423">
          <cell r="A2423" t="str">
            <v>In service</v>
          </cell>
          <cell r="B2423" t="str">
            <v>Gulfstream Aerospace Gulfstream I</v>
          </cell>
          <cell r="C2423" t="str">
            <v xml:space="preserve"> </v>
          </cell>
          <cell r="D2423">
            <v>1965</v>
          </cell>
          <cell r="E2423" t="str">
            <v>Phoenix Air</v>
          </cell>
          <cell r="F2423">
            <v>35</v>
          </cell>
          <cell r="G2423">
            <v>23925</v>
          </cell>
          <cell r="I2423" t="str">
            <v>North America</v>
          </cell>
          <cell r="J2423" t="str">
            <v>USA</v>
          </cell>
          <cell r="K2423">
            <v>23665</v>
          </cell>
        </row>
        <row r="2424">
          <cell r="A2424" t="str">
            <v>In service</v>
          </cell>
          <cell r="B2424" t="str">
            <v>Gulfstream Aerospace Gulfstream I</v>
          </cell>
          <cell r="C2424" t="str">
            <v xml:space="preserve"> </v>
          </cell>
          <cell r="D2424">
            <v>1965</v>
          </cell>
          <cell r="E2424" t="str">
            <v>NASA</v>
          </cell>
          <cell r="F2424">
            <v>35</v>
          </cell>
          <cell r="G2424">
            <v>23872</v>
          </cell>
          <cell r="I2424" t="str">
            <v>North America</v>
          </cell>
          <cell r="J2424" t="str">
            <v>USA</v>
          </cell>
          <cell r="K2424">
            <v>23696</v>
          </cell>
        </row>
        <row r="2425">
          <cell r="A2425" t="str">
            <v>In service</v>
          </cell>
          <cell r="B2425" t="str">
            <v>Gulfstream Aerospace Gulfstream I</v>
          </cell>
          <cell r="C2425" t="str">
            <v xml:space="preserve"> </v>
          </cell>
          <cell r="D2425">
            <v>1965</v>
          </cell>
          <cell r="E2425" t="str">
            <v>Larry Hedrick Motorsports Inc</v>
          </cell>
          <cell r="F2425">
            <v>35</v>
          </cell>
          <cell r="G2425">
            <v>24002</v>
          </cell>
          <cell r="I2425" t="str">
            <v>North America</v>
          </cell>
          <cell r="J2425" t="str">
            <v>USA</v>
          </cell>
          <cell r="K2425">
            <v>23788</v>
          </cell>
        </row>
        <row r="2426">
          <cell r="A2426" t="str">
            <v>In service</v>
          </cell>
          <cell r="B2426" t="str">
            <v>Gulfstream Aerospace Gulfstream I</v>
          </cell>
          <cell r="C2426" t="str">
            <v xml:space="preserve"> </v>
          </cell>
          <cell r="D2426">
            <v>1959</v>
          </cell>
          <cell r="E2426" t="str">
            <v>Erin Miel Inc</v>
          </cell>
          <cell r="F2426">
            <v>41</v>
          </cell>
          <cell r="G2426">
            <v>21823</v>
          </cell>
          <cell r="I2426" t="str">
            <v>North America</v>
          </cell>
          <cell r="J2426" t="str">
            <v>USA</v>
          </cell>
          <cell r="K2426">
            <v>21001</v>
          </cell>
        </row>
        <row r="2427">
          <cell r="A2427" t="str">
            <v>In service</v>
          </cell>
          <cell r="B2427" t="str">
            <v>Gulfstream Aerospace Gulfstream I</v>
          </cell>
          <cell r="C2427" t="str">
            <v xml:space="preserve"> </v>
          </cell>
          <cell r="D2427">
            <v>1965</v>
          </cell>
          <cell r="E2427" t="str">
            <v>Flightline LLC</v>
          </cell>
          <cell r="F2427">
            <v>35</v>
          </cell>
          <cell r="G2427">
            <v>24226</v>
          </cell>
          <cell r="I2427" t="str">
            <v>North America</v>
          </cell>
          <cell r="J2427" t="str">
            <v>USA</v>
          </cell>
          <cell r="K2427">
            <v>24084</v>
          </cell>
        </row>
        <row r="2428">
          <cell r="A2428" t="str">
            <v>In service</v>
          </cell>
          <cell r="B2428" t="str">
            <v>Gulfstream Aerospace Gulfstream I</v>
          </cell>
          <cell r="C2428" t="str">
            <v xml:space="preserve"> </v>
          </cell>
          <cell r="D2428">
            <v>1965</v>
          </cell>
          <cell r="E2428" t="str">
            <v>Upfront &amp; Company Inc</v>
          </cell>
          <cell r="F2428">
            <v>35</v>
          </cell>
          <cell r="G2428">
            <v>24124</v>
          </cell>
          <cell r="I2428" t="str">
            <v>North America</v>
          </cell>
          <cell r="J2428" t="str">
            <v>USA</v>
          </cell>
          <cell r="K2428">
            <v>23877</v>
          </cell>
        </row>
        <row r="2429">
          <cell r="A2429" t="str">
            <v>In service</v>
          </cell>
          <cell r="B2429" t="str">
            <v>Gulfstream Aerospace Gulfstream I</v>
          </cell>
          <cell r="C2429" t="str">
            <v xml:space="preserve"> </v>
          </cell>
          <cell r="D2429">
            <v>1965</v>
          </cell>
          <cell r="E2429" t="str">
            <v>Bane Air LLC</v>
          </cell>
          <cell r="F2429">
            <v>35</v>
          </cell>
          <cell r="G2429">
            <v>24082</v>
          </cell>
          <cell r="I2429" t="str">
            <v>North America</v>
          </cell>
          <cell r="J2429" t="str">
            <v>USA</v>
          </cell>
          <cell r="K2429">
            <v>24061</v>
          </cell>
        </row>
        <row r="2430">
          <cell r="A2430" t="str">
            <v>In service</v>
          </cell>
          <cell r="B2430" t="str">
            <v>Gulfstream Aerospace Gulfstream I</v>
          </cell>
          <cell r="C2430" t="str">
            <v xml:space="preserve"> </v>
          </cell>
          <cell r="D2430">
            <v>1965</v>
          </cell>
          <cell r="E2430" t="str">
            <v>Erin Miel Inc</v>
          </cell>
          <cell r="F2430">
            <v>35</v>
          </cell>
          <cell r="G2430">
            <v>24268</v>
          </cell>
          <cell r="I2430" t="str">
            <v>North America</v>
          </cell>
          <cell r="J2430" t="str">
            <v>USA</v>
          </cell>
          <cell r="K2430">
            <v>24091</v>
          </cell>
        </row>
        <row r="2431">
          <cell r="A2431" t="str">
            <v>In service</v>
          </cell>
          <cell r="B2431" t="str">
            <v>Gulfstream Aerospace Gulfstream I</v>
          </cell>
          <cell r="C2431" t="str">
            <v xml:space="preserve"> </v>
          </cell>
          <cell r="D2431">
            <v>1965</v>
          </cell>
          <cell r="E2431" t="str">
            <v>Riverside International Airlines</v>
          </cell>
          <cell r="F2431">
            <v>35</v>
          </cell>
          <cell r="G2431">
            <v>24227</v>
          </cell>
          <cell r="I2431" t="str">
            <v>North America</v>
          </cell>
          <cell r="J2431" t="str">
            <v>USA</v>
          </cell>
          <cell r="K2431">
            <v>24122</v>
          </cell>
        </row>
        <row r="2432">
          <cell r="A2432" t="str">
            <v>In service</v>
          </cell>
          <cell r="B2432" t="str">
            <v>Gulfstream Aerospace Gulfstream I</v>
          </cell>
          <cell r="C2432" t="str">
            <v xml:space="preserve"> </v>
          </cell>
          <cell r="D2432">
            <v>1966</v>
          </cell>
          <cell r="E2432" t="str">
            <v>Platinum Air LLC</v>
          </cell>
          <cell r="F2432">
            <v>34</v>
          </cell>
          <cell r="G2432">
            <v>24208</v>
          </cell>
          <cell r="I2432" t="str">
            <v>North America</v>
          </cell>
          <cell r="J2432" t="str">
            <v>USA</v>
          </cell>
          <cell r="K2432">
            <v>24153</v>
          </cell>
        </row>
        <row r="2433">
          <cell r="A2433" t="str">
            <v>In service</v>
          </cell>
          <cell r="B2433" t="str">
            <v>Gulfstream Aerospace Gulfstream I</v>
          </cell>
          <cell r="C2433" t="str">
            <v xml:space="preserve"> </v>
          </cell>
          <cell r="D2433">
            <v>1966</v>
          </cell>
          <cell r="E2433" t="str">
            <v>Phoenix Air</v>
          </cell>
          <cell r="F2433">
            <v>34</v>
          </cell>
          <cell r="G2433">
            <v>24412</v>
          </cell>
          <cell r="I2433" t="str">
            <v>North America</v>
          </cell>
          <cell r="J2433" t="str">
            <v>USA</v>
          </cell>
          <cell r="K2433">
            <v>24273</v>
          </cell>
        </row>
        <row r="2434">
          <cell r="A2434" t="str">
            <v>In service</v>
          </cell>
          <cell r="B2434" t="str">
            <v>Gulfstream Aerospace Gulfstream I</v>
          </cell>
          <cell r="C2434" t="str">
            <v xml:space="preserve"> </v>
          </cell>
          <cell r="D2434">
            <v>1959</v>
          </cell>
          <cell r="E2434" t="str">
            <v>Scott Aviation Inc</v>
          </cell>
          <cell r="F2434">
            <v>41</v>
          </cell>
          <cell r="G2434">
            <v>21849</v>
          </cell>
          <cell r="I2434" t="str">
            <v>North America</v>
          </cell>
          <cell r="J2434" t="str">
            <v>USA</v>
          </cell>
          <cell r="K2434">
            <v>21001</v>
          </cell>
        </row>
        <row r="2435">
          <cell r="A2435" t="str">
            <v>In service</v>
          </cell>
          <cell r="B2435" t="str">
            <v>Gulfstream Aerospace Gulfstream I</v>
          </cell>
          <cell r="C2435" t="str">
            <v xml:space="preserve"> </v>
          </cell>
          <cell r="D2435">
            <v>1968</v>
          </cell>
          <cell r="E2435" t="str">
            <v>Propair</v>
          </cell>
          <cell r="F2435">
            <v>32</v>
          </cell>
          <cell r="G2435">
            <v>24891</v>
          </cell>
          <cell r="I2435" t="str">
            <v>North America</v>
          </cell>
          <cell r="J2435" t="str">
            <v>Canada</v>
          </cell>
          <cell r="K2435">
            <v>24852</v>
          </cell>
        </row>
        <row r="2436">
          <cell r="A2436" t="str">
            <v>In service</v>
          </cell>
          <cell r="B2436" t="str">
            <v>Gulfstream Aerospace Gulfstream I</v>
          </cell>
          <cell r="C2436" t="str">
            <v xml:space="preserve"> </v>
          </cell>
          <cell r="D2436">
            <v>1968</v>
          </cell>
          <cell r="E2436" t="str">
            <v>Post Ekspres Prima</v>
          </cell>
          <cell r="F2436">
            <v>32</v>
          </cell>
          <cell r="G2436">
            <v>25038</v>
          </cell>
          <cell r="I2436" t="str">
            <v>Asia</v>
          </cell>
          <cell r="J2436" t="str">
            <v>Indonesia</v>
          </cell>
          <cell r="K2436">
            <v>24973</v>
          </cell>
        </row>
        <row r="2437">
          <cell r="A2437" t="str">
            <v>In service</v>
          </cell>
          <cell r="B2437" t="str">
            <v>Gulfstream Aerospace Gulfstream I</v>
          </cell>
          <cell r="C2437" t="str">
            <v xml:space="preserve"> </v>
          </cell>
          <cell r="D2437">
            <v>1968</v>
          </cell>
          <cell r="E2437" t="str">
            <v>Phoenix Air</v>
          </cell>
          <cell r="F2437">
            <v>32</v>
          </cell>
          <cell r="G2437">
            <v>25034</v>
          </cell>
          <cell r="I2437" t="str">
            <v>North America</v>
          </cell>
          <cell r="J2437" t="str">
            <v>USA</v>
          </cell>
          <cell r="K2437">
            <v>25004</v>
          </cell>
        </row>
        <row r="2438">
          <cell r="A2438" t="str">
            <v>In service</v>
          </cell>
          <cell r="B2438" t="str">
            <v>Gulfstream Aerospace Gulfstream I</v>
          </cell>
          <cell r="C2438" t="str">
            <v xml:space="preserve"> </v>
          </cell>
          <cell r="D2438">
            <v>1968</v>
          </cell>
          <cell r="E2438" t="str">
            <v>Indonesia Air Transport</v>
          </cell>
          <cell r="F2438">
            <v>32</v>
          </cell>
          <cell r="G2438">
            <v>32794</v>
          </cell>
          <cell r="I2438" t="str">
            <v>Asia</v>
          </cell>
          <cell r="J2438" t="str">
            <v>Indonesia</v>
          </cell>
        </row>
        <row r="2439">
          <cell r="A2439" t="str">
            <v>In service</v>
          </cell>
          <cell r="B2439" t="str">
            <v>Gulfstream Aerospace Gulfstream I</v>
          </cell>
          <cell r="C2439" t="str">
            <v xml:space="preserve"> </v>
          </cell>
          <cell r="D2439">
            <v>1969</v>
          </cell>
          <cell r="E2439" t="str">
            <v>Conquest Air LLC</v>
          </cell>
          <cell r="F2439">
            <v>31</v>
          </cell>
          <cell r="G2439">
            <v>25269</v>
          </cell>
          <cell r="I2439" t="str">
            <v>North America</v>
          </cell>
          <cell r="J2439" t="str">
            <v>USA</v>
          </cell>
          <cell r="K2439">
            <v>25249</v>
          </cell>
        </row>
        <row r="2440">
          <cell r="A2440" t="str">
            <v>In service</v>
          </cell>
          <cell r="B2440" t="str">
            <v>Gulfstream Aerospace Gulfstream I</v>
          </cell>
          <cell r="C2440" t="str">
            <v xml:space="preserve"> </v>
          </cell>
          <cell r="D2440">
            <v>1968</v>
          </cell>
          <cell r="E2440" t="str">
            <v>Joe Gibbs Racing Inc</v>
          </cell>
          <cell r="F2440">
            <v>32</v>
          </cell>
          <cell r="G2440">
            <v>25190</v>
          </cell>
          <cell r="I2440" t="str">
            <v>North America</v>
          </cell>
          <cell r="J2440" t="str">
            <v>USA</v>
          </cell>
          <cell r="K2440">
            <v>25157</v>
          </cell>
        </row>
        <row r="2441">
          <cell r="A2441" t="str">
            <v>In service</v>
          </cell>
          <cell r="B2441" t="str">
            <v>Gulfstream Aerospace Gulfstream I</v>
          </cell>
          <cell r="C2441" t="str">
            <v xml:space="preserve"> </v>
          </cell>
          <cell r="D2441">
            <v>1969</v>
          </cell>
          <cell r="E2441" t="str">
            <v>Phoenix Air</v>
          </cell>
          <cell r="F2441">
            <v>31</v>
          </cell>
          <cell r="G2441">
            <v>25268</v>
          </cell>
          <cell r="I2441" t="str">
            <v>North America</v>
          </cell>
          <cell r="J2441" t="str">
            <v>USA</v>
          </cell>
          <cell r="K2441">
            <v>25249</v>
          </cell>
        </row>
        <row r="2442">
          <cell r="A2442" t="str">
            <v>In service</v>
          </cell>
          <cell r="B2442" t="str">
            <v>Gulfstream Aerospace Gulfstream I</v>
          </cell>
          <cell r="C2442" t="str">
            <v xml:space="preserve"> </v>
          </cell>
          <cell r="D2442">
            <v>1969</v>
          </cell>
          <cell r="E2442" t="str">
            <v>Platinum Air LLC</v>
          </cell>
          <cell r="F2442">
            <v>31</v>
          </cell>
          <cell r="G2442">
            <v>25357</v>
          </cell>
          <cell r="I2442" t="str">
            <v>North America</v>
          </cell>
          <cell r="J2442" t="str">
            <v>USA</v>
          </cell>
          <cell r="K2442">
            <v>25249</v>
          </cell>
        </row>
        <row r="2443">
          <cell r="A2443" t="str">
            <v>In service</v>
          </cell>
          <cell r="B2443" t="str">
            <v>Gulfstream Aerospace Gulfstream I</v>
          </cell>
          <cell r="C2443" t="str">
            <v xml:space="preserve"> </v>
          </cell>
          <cell r="D2443">
            <v>1959</v>
          </cell>
          <cell r="E2443" t="str">
            <v>Phoenix Air</v>
          </cell>
          <cell r="F2443">
            <v>41</v>
          </cell>
          <cell r="G2443">
            <v>21892</v>
          </cell>
          <cell r="I2443" t="str">
            <v>North America</v>
          </cell>
          <cell r="J2443" t="str">
            <v>USA</v>
          </cell>
          <cell r="K2443">
            <v>21200</v>
          </cell>
        </row>
        <row r="2444">
          <cell r="A2444" t="str">
            <v>In service</v>
          </cell>
          <cell r="B2444" t="str">
            <v>Gulfstream Aerospace Gulfstream I</v>
          </cell>
          <cell r="C2444" t="str">
            <v xml:space="preserve"> </v>
          </cell>
          <cell r="D2444">
            <v>1959</v>
          </cell>
          <cell r="E2444" t="str">
            <v>Phoenix Air</v>
          </cell>
          <cell r="F2444">
            <v>41</v>
          </cell>
          <cell r="G2444">
            <v>21912</v>
          </cell>
          <cell r="I2444" t="str">
            <v>North America</v>
          </cell>
          <cell r="J2444" t="str">
            <v>USA</v>
          </cell>
          <cell r="K2444">
            <v>21320</v>
          </cell>
        </row>
        <row r="2445">
          <cell r="A2445" t="str">
            <v>In service</v>
          </cell>
          <cell r="B2445" t="str">
            <v>Gulfstream Aerospace Gulfstream I</v>
          </cell>
          <cell r="C2445" t="str">
            <v xml:space="preserve"> </v>
          </cell>
          <cell r="D2445">
            <v>1963</v>
          </cell>
          <cell r="E2445" t="str">
            <v>Saicam Air (US) Inc</v>
          </cell>
          <cell r="F2445">
            <v>37</v>
          </cell>
          <cell r="I2445" t="str">
            <v>North America</v>
          </cell>
          <cell r="J2445" t="str">
            <v>USA</v>
          </cell>
        </row>
        <row r="2446">
          <cell r="A2446" t="str">
            <v>In service</v>
          </cell>
          <cell r="B2446" t="str">
            <v>Gulfstream Aerospace Gulfstream I</v>
          </cell>
          <cell r="C2446" t="str">
            <v xml:space="preserve"> </v>
          </cell>
          <cell r="D2446">
            <v>1964</v>
          </cell>
          <cell r="E2446" t="str">
            <v>SAP</v>
          </cell>
          <cell r="F2446">
            <v>36</v>
          </cell>
          <cell r="G2446">
            <v>23405</v>
          </cell>
          <cell r="I2446" t="str">
            <v>Latin America and Caribbean</v>
          </cell>
          <cell r="J2446" t="str">
            <v>Dominican Republic</v>
          </cell>
          <cell r="K2446">
            <v>23330</v>
          </cell>
        </row>
        <row r="2447">
          <cell r="A2447" t="str">
            <v>In service</v>
          </cell>
          <cell r="B2447" t="str">
            <v>Gulfstream Aerospace Gulfstream I</v>
          </cell>
          <cell r="C2447" t="str">
            <v xml:space="preserve"> </v>
          </cell>
          <cell r="D2447">
            <v>1960</v>
          </cell>
          <cell r="E2447" t="str">
            <v>CAA - Compagnie Africaine d'Aviation</v>
          </cell>
          <cell r="F2447">
            <v>40</v>
          </cell>
          <cell r="G2447">
            <v>21996</v>
          </cell>
          <cell r="I2447" t="str">
            <v>Africa</v>
          </cell>
          <cell r="J2447" t="str">
            <v>Congo (Democratic Republic)</v>
          </cell>
          <cell r="K2447">
            <v>21777</v>
          </cell>
        </row>
        <row r="2448">
          <cell r="A2448" t="str">
            <v>In service</v>
          </cell>
          <cell r="B2448" t="str">
            <v>Gulfstream Aerospace Gulfstream I</v>
          </cell>
          <cell r="C2448" t="str">
            <v xml:space="preserve"> </v>
          </cell>
          <cell r="D2448">
            <v>1960</v>
          </cell>
          <cell r="E2448" t="str">
            <v>Riverside International Airlines</v>
          </cell>
          <cell r="F2448">
            <v>40</v>
          </cell>
          <cell r="G2448">
            <v>22018</v>
          </cell>
          <cell r="I2448" t="str">
            <v>North America</v>
          </cell>
          <cell r="J2448" t="str">
            <v>USA</v>
          </cell>
          <cell r="K2448">
            <v>21990</v>
          </cell>
        </row>
        <row r="2449">
          <cell r="A2449" t="str">
            <v>In service</v>
          </cell>
          <cell r="B2449" t="str">
            <v>Gulfstream Aerospace Gulfstream I</v>
          </cell>
          <cell r="C2449" t="str">
            <v xml:space="preserve"> </v>
          </cell>
          <cell r="D2449">
            <v>1960</v>
          </cell>
          <cell r="E2449" t="str">
            <v>W I N (Pty) Ltd</v>
          </cell>
          <cell r="F2449">
            <v>40</v>
          </cell>
          <cell r="G2449">
            <v>22059</v>
          </cell>
          <cell r="I2449" t="str">
            <v>Africa</v>
          </cell>
          <cell r="J2449" t="str">
            <v>South Africa</v>
          </cell>
          <cell r="K2449">
            <v>21930</v>
          </cell>
        </row>
        <row r="2450">
          <cell r="A2450" t="str">
            <v>In service</v>
          </cell>
          <cell r="B2450" t="str">
            <v>Gulfstream Aerospace Gulfstream I</v>
          </cell>
          <cell r="C2450" t="str">
            <v xml:space="preserve"> </v>
          </cell>
          <cell r="D2450">
            <v>1960</v>
          </cell>
          <cell r="E2450" t="str">
            <v>Mississippi River Commission</v>
          </cell>
          <cell r="F2450">
            <v>40</v>
          </cell>
          <cell r="G2450">
            <v>22084</v>
          </cell>
          <cell r="I2450" t="str">
            <v>North America</v>
          </cell>
          <cell r="J2450" t="str">
            <v>USA</v>
          </cell>
          <cell r="K2450">
            <v>21990</v>
          </cell>
        </row>
        <row r="2451">
          <cell r="A2451" t="str">
            <v>In service</v>
          </cell>
          <cell r="B2451" t="str">
            <v>Gulfstream Aerospace Gulfstream I</v>
          </cell>
          <cell r="C2451" t="str">
            <v xml:space="preserve"> </v>
          </cell>
          <cell r="D2451">
            <v>1960</v>
          </cell>
          <cell r="E2451" t="str">
            <v>Mission Air Services LLC</v>
          </cell>
          <cell r="F2451">
            <v>40</v>
          </cell>
          <cell r="G2451">
            <v>22289</v>
          </cell>
          <cell r="I2451" t="str">
            <v>North America</v>
          </cell>
          <cell r="J2451" t="str">
            <v>USA</v>
          </cell>
          <cell r="K2451">
            <v>22082</v>
          </cell>
        </row>
        <row r="2452">
          <cell r="A2452" t="str">
            <v>In service</v>
          </cell>
          <cell r="B2452" t="str">
            <v>Gulfstream Aerospace Gulfstream I</v>
          </cell>
          <cell r="C2452" t="str">
            <v xml:space="preserve"> </v>
          </cell>
          <cell r="D2452">
            <v>1960</v>
          </cell>
          <cell r="E2452" t="str">
            <v>Bane Air LLC</v>
          </cell>
          <cell r="F2452">
            <v>40</v>
          </cell>
          <cell r="G2452">
            <v>22221</v>
          </cell>
          <cell r="I2452" t="str">
            <v>North America</v>
          </cell>
          <cell r="J2452" t="str">
            <v>USA</v>
          </cell>
          <cell r="K2452">
            <v>22143</v>
          </cell>
        </row>
        <row r="2453">
          <cell r="A2453" t="str">
            <v>In service</v>
          </cell>
          <cell r="B2453" t="str">
            <v>Gulfstream Aerospace Gulfstream I</v>
          </cell>
          <cell r="C2453" t="str">
            <v xml:space="preserve"> </v>
          </cell>
          <cell r="D2453">
            <v>1960</v>
          </cell>
          <cell r="E2453" t="str">
            <v>Phoenix Air</v>
          </cell>
          <cell r="F2453">
            <v>40</v>
          </cell>
          <cell r="G2453">
            <v>22229</v>
          </cell>
          <cell r="I2453" t="str">
            <v>North America</v>
          </cell>
          <cell r="J2453" t="str">
            <v>USA</v>
          </cell>
          <cell r="K2453">
            <v>22174</v>
          </cell>
        </row>
        <row r="2454">
          <cell r="A2454" t="str">
            <v>In service</v>
          </cell>
          <cell r="B2454" t="str">
            <v>Gulfstream Aerospace Gulfstream I</v>
          </cell>
          <cell r="C2454" t="str">
            <v xml:space="preserve"> </v>
          </cell>
          <cell r="D2454">
            <v>1960</v>
          </cell>
          <cell r="E2454" t="str">
            <v>Celanese Mexicana SA</v>
          </cell>
          <cell r="F2454">
            <v>40</v>
          </cell>
          <cell r="G2454">
            <v>22269</v>
          </cell>
          <cell r="I2454" t="str">
            <v>Latin America and Caribbean</v>
          </cell>
          <cell r="J2454" t="str">
            <v>Mexico</v>
          </cell>
          <cell r="K2454">
            <v>22174</v>
          </cell>
        </row>
        <row r="2455">
          <cell r="A2455" t="str">
            <v>In service</v>
          </cell>
          <cell r="B2455" t="str">
            <v>Gulfstream Aerospace Gulfstream I</v>
          </cell>
          <cell r="C2455" t="str">
            <v xml:space="preserve"> </v>
          </cell>
          <cell r="D2455">
            <v>1961</v>
          </cell>
          <cell r="E2455" t="str">
            <v>US Immigration &amp; Naturalization Service</v>
          </cell>
          <cell r="F2455">
            <v>39</v>
          </cell>
          <cell r="G2455">
            <v>22406</v>
          </cell>
          <cell r="I2455" t="str">
            <v>North America</v>
          </cell>
          <cell r="J2455" t="str">
            <v>USA</v>
          </cell>
          <cell r="K2455">
            <v>22327</v>
          </cell>
        </row>
        <row r="2456">
          <cell r="A2456" t="str">
            <v>In service</v>
          </cell>
          <cell r="B2456" t="str">
            <v>Gulfstream Aerospace Gulfstream I</v>
          </cell>
          <cell r="C2456" t="str">
            <v xml:space="preserve"> </v>
          </cell>
          <cell r="D2456">
            <v>1959</v>
          </cell>
          <cell r="E2456" t="str">
            <v>Massachusetts Institute of Technology</v>
          </cell>
          <cell r="F2456">
            <v>41</v>
          </cell>
          <cell r="G2456">
            <v>21761</v>
          </cell>
          <cell r="I2456" t="str">
            <v>North America</v>
          </cell>
          <cell r="J2456" t="str">
            <v>USA</v>
          </cell>
          <cell r="K2456">
            <v>21001</v>
          </cell>
        </row>
        <row r="2457">
          <cell r="A2457" t="str">
            <v>In service</v>
          </cell>
          <cell r="B2457" t="str">
            <v>Gulfstream Aerospace Gulfstream I</v>
          </cell>
          <cell r="C2457" t="str">
            <v xml:space="preserve"> </v>
          </cell>
          <cell r="D2457">
            <v>1961</v>
          </cell>
          <cell r="E2457" t="str">
            <v>Battelle Pacific Northwest Laboratories</v>
          </cell>
          <cell r="F2457">
            <v>39</v>
          </cell>
          <cell r="G2457">
            <v>22599</v>
          </cell>
          <cell r="I2457" t="str">
            <v>North America</v>
          </cell>
          <cell r="J2457" t="str">
            <v>USA</v>
          </cell>
          <cell r="K2457">
            <v>22462</v>
          </cell>
        </row>
        <row r="2458">
          <cell r="A2458" t="str">
            <v>In service</v>
          </cell>
          <cell r="B2458" t="str">
            <v>Gulfstream Aerospace Gulfstream I</v>
          </cell>
          <cell r="C2458" t="str">
            <v xml:space="preserve"> </v>
          </cell>
          <cell r="D2458">
            <v>1961</v>
          </cell>
          <cell r="E2458" t="str">
            <v>Goiazem Goiania Armazens Ltda</v>
          </cell>
          <cell r="F2458">
            <v>39</v>
          </cell>
          <cell r="G2458">
            <v>22629</v>
          </cell>
          <cell r="I2458" t="str">
            <v>Latin America and Caribbean</v>
          </cell>
          <cell r="J2458" t="str">
            <v>Brazil</v>
          </cell>
          <cell r="K2458">
            <v>22462</v>
          </cell>
        </row>
        <row r="2459">
          <cell r="A2459" t="str">
            <v>In service</v>
          </cell>
          <cell r="B2459" t="str">
            <v>Gulfstream Aerospace Gulfstream I</v>
          </cell>
          <cell r="C2459" t="str">
            <v xml:space="preserve"> </v>
          </cell>
          <cell r="D2459">
            <v>1961</v>
          </cell>
          <cell r="E2459" t="str">
            <v>TAC Air Services</v>
          </cell>
          <cell r="F2459">
            <v>39</v>
          </cell>
          <cell r="G2459">
            <v>22669</v>
          </cell>
          <cell r="I2459" t="str">
            <v>Africa</v>
          </cell>
          <cell r="J2459" t="str">
            <v>South Africa</v>
          </cell>
          <cell r="K2459">
            <v>22462</v>
          </cell>
        </row>
        <row r="2460">
          <cell r="A2460" t="str">
            <v>In service</v>
          </cell>
          <cell r="B2460" t="str">
            <v>Gulfstream Aerospace Gulfstream I</v>
          </cell>
          <cell r="C2460" t="str">
            <v xml:space="preserve"> </v>
          </cell>
          <cell r="D2460">
            <v>1961</v>
          </cell>
          <cell r="E2460" t="str">
            <v>Aerotaxi de Valledupar</v>
          </cell>
          <cell r="F2460">
            <v>39</v>
          </cell>
          <cell r="G2460">
            <v>22601</v>
          </cell>
          <cell r="I2460" t="str">
            <v>Latin America and Caribbean</v>
          </cell>
          <cell r="J2460" t="str">
            <v>Colombia</v>
          </cell>
          <cell r="K2460">
            <v>22462</v>
          </cell>
        </row>
        <row r="2461">
          <cell r="A2461" t="str">
            <v>In service</v>
          </cell>
          <cell r="B2461" t="str">
            <v>Gulfstream Aerospace Gulfstream I</v>
          </cell>
          <cell r="C2461" t="str">
            <v xml:space="preserve"> </v>
          </cell>
          <cell r="D2461">
            <v>1961</v>
          </cell>
          <cell r="E2461" t="str">
            <v>Air Cess Inc</v>
          </cell>
          <cell r="F2461">
            <v>39</v>
          </cell>
          <cell r="G2461">
            <v>22735</v>
          </cell>
          <cell r="I2461" t="str">
            <v>North America</v>
          </cell>
          <cell r="J2461" t="str">
            <v>USA</v>
          </cell>
          <cell r="K2461">
            <v>22462</v>
          </cell>
        </row>
        <row r="2462">
          <cell r="A2462" t="str">
            <v>In service</v>
          </cell>
          <cell r="B2462" t="str">
            <v>Gulfstream Aerospace Gulfstream I</v>
          </cell>
          <cell r="C2462" t="str">
            <v xml:space="preserve"> </v>
          </cell>
          <cell r="D2462">
            <v>1962</v>
          </cell>
          <cell r="E2462" t="str">
            <v>Indiana University Foundation</v>
          </cell>
          <cell r="F2462">
            <v>38</v>
          </cell>
          <cell r="G2462">
            <v>22733</v>
          </cell>
          <cell r="I2462" t="str">
            <v>North America</v>
          </cell>
          <cell r="J2462" t="str">
            <v>USA</v>
          </cell>
          <cell r="K2462">
            <v>22462</v>
          </cell>
        </row>
        <row r="2463">
          <cell r="A2463" t="str">
            <v>In service</v>
          </cell>
          <cell r="B2463" t="str">
            <v>Gulfstream Aerospace Gulfstream I</v>
          </cell>
          <cell r="C2463" t="str">
            <v xml:space="preserve"> </v>
          </cell>
          <cell r="D2463">
            <v>1962</v>
          </cell>
          <cell r="E2463" t="str">
            <v>Tim-Bar Corp</v>
          </cell>
          <cell r="F2463">
            <v>38</v>
          </cell>
          <cell r="G2463">
            <v>22734</v>
          </cell>
          <cell r="I2463" t="str">
            <v>North America</v>
          </cell>
          <cell r="J2463" t="str">
            <v>USA</v>
          </cell>
          <cell r="K2463">
            <v>22661</v>
          </cell>
        </row>
        <row r="2464">
          <cell r="A2464" t="str">
            <v>In service</v>
          </cell>
          <cell r="B2464" t="str">
            <v>Gulfstream Aerospace Gulfstream I</v>
          </cell>
          <cell r="C2464" t="str">
            <v xml:space="preserve"> </v>
          </cell>
          <cell r="D2464">
            <v>1962</v>
          </cell>
          <cell r="E2464" t="str">
            <v>Cummins Inc</v>
          </cell>
          <cell r="F2464">
            <v>38</v>
          </cell>
          <cell r="G2464">
            <v>22817</v>
          </cell>
          <cell r="I2464" t="str">
            <v>North America</v>
          </cell>
          <cell r="J2464" t="str">
            <v>USA</v>
          </cell>
          <cell r="K2464">
            <v>22720</v>
          </cell>
        </row>
        <row r="2465">
          <cell r="A2465" t="str">
            <v>In service</v>
          </cell>
          <cell r="B2465" t="str">
            <v>Gulfstream Aerospace Gulfstream I</v>
          </cell>
          <cell r="C2465" t="str">
            <v xml:space="preserve"> </v>
          </cell>
          <cell r="D2465">
            <v>1962</v>
          </cell>
          <cell r="E2465" t="str">
            <v>US Coast Guard</v>
          </cell>
          <cell r="F2465">
            <v>38</v>
          </cell>
          <cell r="G2465">
            <v>22973</v>
          </cell>
          <cell r="H2465" t="str">
            <v>VC-4A</v>
          </cell>
          <cell r="I2465" t="str">
            <v>North America</v>
          </cell>
          <cell r="J2465" t="str">
            <v>USA</v>
          </cell>
          <cell r="K2465">
            <v>22827</v>
          </cell>
        </row>
        <row r="2466">
          <cell r="A2466" t="str">
            <v>In service</v>
          </cell>
          <cell r="B2466" t="str">
            <v>Gulfstream Aerospace Gulfstream I</v>
          </cell>
          <cell r="C2466" t="str">
            <v xml:space="preserve"> </v>
          </cell>
          <cell r="D2466">
            <v>1962</v>
          </cell>
          <cell r="E2466" t="str">
            <v>NASA</v>
          </cell>
          <cell r="F2466">
            <v>38</v>
          </cell>
          <cell r="G2466">
            <v>23076</v>
          </cell>
          <cell r="I2466" t="str">
            <v>North America</v>
          </cell>
          <cell r="J2466" t="str">
            <v>USA</v>
          </cell>
          <cell r="K2466">
            <v>22827</v>
          </cell>
        </row>
        <row r="2467">
          <cell r="A2467" t="str">
            <v>In service</v>
          </cell>
          <cell r="B2467" t="str">
            <v>Gulfstream Aerospace Gulfstream I</v>
          </cell>
          <cell r="C2467" t="str">
            <v xml:space="preserve"> </v>
          </cell>
          <cell r="D2467">
            <v>1962</v>
          </cell>
          <cell r="E2467" t="str">
            <v>Saicam Air (US) Inc</v>
          </cell>
          <cell r="F2467">
            <v>38</v>
          </cell>
          <cell r="G2467">
            <v>22962</v>
          </cell>
          <cell r="I2467" t="str">
            <v>North America</v>
          </cell>
          <cell r="J2467" t="str">
            <v>USA</v>
          </cell>
          <cell r="K2467">
            <v>22827</v>
          </cell>
        </row>
        <row r="2468">
          <cell r="A2468" t="str">
            <v>In service</v>
          </cell>
          <cell r="B2468" t="str">
            <v>Gulfstream Aerospace Gulfstream I</v>
          </cell>
          <cell r="C2468" t="str">
            <v xml:space="preserve"> </v>
          </cell>
          <cell r="D2468">
            <v>1962</v>
          </cell>
          <cell r="E2468" t="str">
            <v>Star Publications and Distributions Inc</v>
          </cell>
          <cell r="F2468">
            <v>38</v>
          </cell>
          <cell r="G2468">
            <v>22976</v>
          </cell>
          <cell r="I2468" t="str">
            <v>North America</v>
          </cell>
          <cell r="J2468" t="str">
            <v>USA</v>
          </cell>
          <cell r="K2468">
            <v>22827</v>
          </cell>
        </row>
        <row r="2469">
          <cell r="A2469" t="str">
            <v>In service</v>
          </cell>
          <cell r="B2469" t="str">
            <v>Gulfstream Aerospace Gulfstream I</v>
          </cell>
          <cell r="C2469" t="str">
            <v xml:space="preserve"> </v>
          </cell>
          <cell r="D2469">
            <v>1962</v>
          </cell>
          <cell r="E2469" t="str">
            <v>NASA</v>
          </cell>
          <cell r="F2469">
            <v>38</v>
          </cell>
          <cell r="G2469">
            <v>23085</v>
          </cell>
          <cell r="I2469" t="str">
            <v>North America</v>
          </cell>
          <cell r="J2469" t="str">
            <v>USA</v>
          </cell>
          <cell r="K2469">
            <v>22827</v>
          </cell>
        </row>
        <row r="2470">
          <cell r="A2470" t="str">
            <v>In service</v>
          </cell>
          <cell r="B2470" t="str">
            <v>Gulfstream Aerospace Gulfstream I</v>
          </cell>
          <cell r="C2470" t="str">
            <v xml:space="preserve"> </v>
          </cell>
          <cell r="D2470">
            <v>1962</v>
          </cell>
          <cell r="E2470" t="str">
            <v>Phoenix Air</v>
          </cell>
          <cell r="F2470">
            <v>38</v>
          </cell>
          <cell r="G2470">
            <v>23000</v>
          </cell>
          <cell r="I2470" t="str">
            <v>North America</v>
          </cell>
          <cell r="J2470" t="str">
            <v>USA</v>
          </cell>
          <cell r="K2470">
            <v>22827</v>
          </cell>
        </row>
        <row r="2471">
          <cell r="A2471" t="str">
            <v>In service</v>
          </cell>
          <cell r="B2471" t="str">
            <v>Gulfstream Aerospace Gulfstream I</v>
          </cell>
          <cell r="C2471" t="str">
            <v>1C Commuter</v>
          </cell>
          <cell r="D2471">
            <v>1959</v>
          </cell>
          <cell r="E2471" t="str">
            <v>Phoenix Air</v>
          </cell>
          <cell r="F2471">
            <v>41</v>
          </cell>
          <cell r="G2471">
            <v>21919</v>
          </cell>
          <cell r="H2471" t="str">
            <v>1C</v>
          </cell>
          <cell r="I2471" t="str">
            <v>North America</v>
          </cell>
          <cell r="J2471" t="str">
            <v>USA</v>
          </cell>
          <cell r="K2471">
            <v>21412</v>
          </cell>
        </row>
        <row r="2472">
          <cell r="A2472" t="str">
            <v>In service</v>
          </cell>
          <cell r="B2472" t="str">
            <v>Gulfstream Aerospace Gulfstream I</v>
          </cell>
          <cell r="C2472" t="str">
            <v>1C Commuter</v>
          </cell>
          <cell r="D2472">
            <v>1962</v>
          </cell>
          <cell r="E2472" t="str">
            <v>Phoenix Air</v>
          </cell>
          <cell r="F2472">
            <v>38</v>
          </cell>
          <cell r="G2472">
            <v>22789</v>
          </cell>
          <cell r="H2472" t="str">
            <v>1C</v>
          </cell>
          <cell r="I2472" t="str">
            <v>North America</v>
          </cell>
          <cell r="J2472" t="str">
            <v>USA</v>
          </cell>
          <cell r="K2472">
            <v>22692</v>
          </cell>
        </row>
        <row r="2473">
          <cell r="A2473" t="str">
            <v>In service</v>
          </cell>
          <cell r="B2473" t="str">
            <v>Gulfstream Aerospace Gulfstream I</v>
          </cell>
          <cell r="C2473" t="str">
            <v>Commuter</v>
          </cell>
          <cell r="D2473">
            <v>1963</v>
          </cell>
          <cell r="E2473" t="str">
            <v>Diwan Airservice</v>
          </cell>
          <cell r="F2473">
            <v>37</v>
          </cell>
          <cell r="G2473">
            <v>23357</v>
          </cell>
          <cell r="H2473" t="str">
            <v>Commuter</v>
          </cell>
          <cell r="I2473" t="str">
            <v>Europe</v>
          </cell>
          <cell r="J2473" t="str">
            <v>France</v>
          </cell>
          <cell r="K2473">
            <v>23269</v>
          </cell>
        </row>
        <row r="2474">
          <cell r="A2474" t="str">
            <v>In service</v>
          </cell>
          <cell r="B2474" t="str">
            <v>Gulfstream Aerospace Gulfstream I</v>
          </cell>
          <cell r="C2474" t="str">
            <v>Commuter</v>
          </cell>
          <cell r="D2474">
            <v>1964</v>
          </cell>
          <cell r="E2474" t="str">
            <v>Airquarius Air Charter</v>
          </cell>
          <cell r="F2474">
            <v>36</v>
          </cell>
          <cell r="G2474">
            <v>23585</v>
          </cell>
          <cell r="H2474" t="str">
            <v>Commuter</v>
          </cell>
          <cell r="I2474" t="str">
            <v>Africa</v>
          </cell>
          <cell r="J2474" t="str">
            <v>South Africa</v>
          </cell>
          <cell r="K2474">
            <v>23192</v>
          </cell>
        </row>
        <row r="2475">
          <cell r="A2475" t="str">
            <v>In service</v>
          </cell>
          <cell r="B2475" t="str">
            <v>Gulfstream Aerospace Gulfstream I</v>
          </cell>
          <cell r="C2475" t="str">
            <v>Commuter</v>
          </cell>
          <cell r="D2475">
            <v>1965</v>
          </cell>
          <cell r="E2475" t="str">
            <v>CAA - Compagnie Africaine d'Aviation</v>
          </cell>
          <cell r="F2475">
            <v>35</v>
          </cell>
          <cell r="G2475">
            <v>23881</v>
          </cell>
          <cell r="H2475" t="str">
            <v>Commuter</v>
          </cell>
          <cell r="I2475" t="str">
            <v>Africa</v>
          </cell>
          <cell r="J2475" t="str">
            <v>Congo (Democratic Republic)</v>
          </cell>
          <cell r="K2475">
            <v>23788</v>
          </cell>
        </row>
        <row r="2476">
          <cell r="A2476" t="str">
            <v>In service</v>
          </cell>
          <cell r="B2476" t="str">
            <v>Gulfstream Aerospace Gulfstream I</v>
          </cell>
          <cell r="C2476" t="str">
            <v>Commuter</v>
          </cell>
          <cell r="D2476">
            <v>1965</v>
          </cell>
          <cell r="E2476" t="str">
            <v>Intertransit</v>
          </cell>
          <cell r="F2476">
            <v>35</v>
          </cell>
          <cell r="G2476">
            <v>24131</v>
          </cell>
          <cell r="H2476" t="str">
            <v>Commuter</v>
          </cell>
          <cell r="I2476" t="str">
            <v>Africa</v>
          </cell>
          <cell r="J2476" t="str">
            <v>Angola</v>
          </cell>
          <cell r="K2476">
            <v>24091</v>
          </cell>
        </row>
        <row r="2477">
          <cell r="A2477" t="str">
            <v>In service</v>
          </cell>
          <cell r="B2477" t="str">
            <v>Gulfstream Aerospace Gulfstream I</v>
          </cell>
          <cell r="C2477" t="str">
            <v>Commuter</v>
          </cell>
          <cell r="D2477">
            <v>1967</v>
          </cell>
          <cell r="E2477" t="str">
            <v>Citra Aviation</v>
          </cell>
          <cell r="F2477">
            <v>33</v>
          </cell>
          <cell r="G2477">
            <v>24539</v>
          </cell>
          <cell r="H2477" t="str">
            <v>Commuter</v>
          </cell>
          <cell r="I2477" t="str">
            <v>Asia</v>
          </cell>
          <cell r="J2477" t="str">
            <v>Indonesia</v>
          </cell>
          <cell r="K2477">
            <v>24456</v>
          </cell>
        </row>
        <row r="2478">
          <cell r="A2478" t="str">
            <v>In service</v>
          </cell>
          <cell r="B2478" t="str">
            <v>Gulfstream Aerospace Gulfstream I</v>
          </cell>
          <cell r="C2478" t="str">
            <v>Commuter</v>
          </cell>
          <cell r="D2478">
            <v>1968</v>
          </cell>
          <cell r="E2478" t="str">
            <v>Aero Aar</v>
          </cell>
          <cell r="F2478">
            <v>32</v>
          </cell>
          <cell r="G2478">
            <v>25148</v>
          </cell>
          <cell r="H2478" t="str">
            <v>Commuter</v>
          </cell>
          <cell r="I2478" t="str">
            <v>Latin America and Caribbean</v>
          </cell>
          <cell r="J2478" t="str">
            <v>Venezuela</v>
          </cell>
          <cell r="K2478">
            <v>25126</v>
          </cell>
        </row>
        <row r="2479">
          <cell r="A2479" t="str">
            <v>In service</v>
          </cell>
          <cell r="B2479" t="str">
            <v>Gulfstream Aerospace Gulfstream I</v>
          </cell>
          <cell r="C2479" t="str">
            <v>Commuter</v>
          </cell>
          <cell r="D2479">
            <v>1959</v>
          </cell>
          <cell r="E2479" t="str">
            <v>Diwan Airservice</v>
          </cell>
          <cell r="F2479">
            <v>41</v>
          </cell>
          <cell r="G2479">
            <v>21860</v>
          </cell>
          <cell r="H2479" t="str">
            <v>Commuter</v>
          </cell>
          <cell r="I2479" t="str">
            <v>Europe</v>
          </cell>
          <cell r="J2479" t="str">
            <v>France</v>
          </cell>
          <cell r="K2479">
            <v>21001</v>
          </cell>
        </row>
        <row r="2480">
          <cell r="A2480" t="str">
            <v>In service</v>
          </cell>
          <cell r="B2480" t="str">
            <v>Gulfstream Aerospace Gulfstream I</v>
          </cell>
          <cell r="C2480" t="str">
            <v>Commuter</v>
          </cell>
          <cell r="D2480">
            <v>1960</v>
          </cell>
          <cell r="E2480" t="str">
            <v>Jetpet</v>
          </cell>
          <cell r="F2480">
            <v>40</v>
          </cell>
          <cell r="G2480">
            <v>22080</v>
          </cell>
          <cell r="H2480" t="str">
            <v>Commuter</v>
          </cell>
          <cell r="I2480" t="str">
            <v>Africa</v>
          </cell>
          <cell r="J2480" t="str">
            <v>Kenya</v>
          </cell>
          <cell r="K2480">
            <v>21961</v>
          </cell>
        </row>
        <row r="2481">
          <cell r="A2481" t="str">
            <v>In service</v>
          </cell>
          <cell r="B2481" t="str">
            <v>Gulfstream Aerospace Gulfstream I</v>
          </cell>
          <cell r="C2481" t="str">
            <v>Commuter</v>
          </cell>
          <cell r="D2481">
            <v>1959</v>
          </cell>
          <cell r="E2481" t="str">
            <v>Merafe Aviation (Pty) Ltd</v>
          </cell>
          <cell r="F2481">
            <v>41</v>
          </cell>
          <cell r="G2481">
            <v>21732</v>
          </cell>
          <cell r="H2481" t="str">
            <v>Commuter</v>
          </cell>
          <cell r="I2481" t="str">
            <v>Africa</v>
          </cell>
          <cell r="J2481" t="str">
            <v>South Africa</v>
          </cell>
          <cell r="K2481">
            <v>21108</v>
          </cell>
        </row>
        <row r="2482">
          <cell r="A2482" t="str">
            <v>In service</v>
          </cell>
          <cell r="B2482" t="str">
            <v>Gulfstream Aerospace Gulfstream I</v>
          </cell>
          <cell r="C2482" t="str">
            <v>Commuter</v>
          </cell>
          <cell r="D2482">
            <v>1961</v>
          </cell>
          <cell r="E2482" t="str">
            <v>Alternanive Air Sa de CV</v>
          </cell>
          <cell r="F2482">
            <v>39</v>
          </cell>
          <cell r="G2482">
            <v>22469</v>
          </cell>
          <cell r="H2482" t="str">
            <v>Commuter</v>
          </cell>
          <cell r="I2482" t="str">
            <v>Latin America and Caribbean</v>
          </cell>
          <cell r="J2482" t="str">
            <v>Mexico</v>
          </cell>
          <cell r="K2482">
            <v>22386</v>
          </cell>
        </row>
        <row r="2483">
          <cell r="A2483" t="str">
            <v>In service</v>
          </cell>
          <cell r="B2483" t="str">
            <v>Gulfstream Aerospace Gulfstream I</v>
          </cell>
          <cell r="C2483" t="str">
            <v>Freighter</v>
          </cell>
          <cell r="D2483">
            <v>1958</v>
          </cell>
          <cell r="E2483" t="str">
            <v xml:space="preserve">Coastac Flow Trade </v>
          </cell>
          <cell r="F2483">
            <v>42</v>
          </cell>
          <cell r="G2483">
            <v>26724</v>
          </cell>
          <cell r="H2483" t="str">
            <v>Freighter</v>
          </cell>
          <cell r="I2483" t="str">
            <v>Africa</v>
          </cell>
          <cell r="J2483" t="str">
            <v>South Africa</v>
          </cell>
        </row>
        <row r="2484">
          <cell r="A2484" t="str">
            <v>In service</v>
          </cell>
          <cell r="B2484" t="str">
            <v>Gulfstream Aerospace Gulfstream I</v>
          </cell>
          <cell r="C2484" t="str">
            <v>Freighter</v>
          </cell>
          <cell r="D2484">
            <v>1964</v>
          </cell>
          <cell r="E2484" t="str">
            <v>Phoenix Air</v>
          </cell>
          <cell r="F2484">
            <v>36</v>
          </cell>
          <cell r="G2484">
            <v>23434</v>
          </cell>
          <cell r="H2484" t="str">
            <v>Freighter</v>
          </cell>
          <cell r="I2484" t="str">
            <v>North America</v>
          </cell>
          <cell r="J2484" t="str">
            <v>USA</v>
          </cell>
          <cell r="K2484">
            <v>23192</v>
          </cell>
        </row>
        <row r="2485">
          <cell r="A2485" t="str">
            <v>In service</v>
          </cell>
          <cell r="B2485" t="str">
            <v>Gulfstream Aerospace Gulfstream I</v>
          </cell>
          <cell r="C2485" t="str">
            <v>Freighter</v>
          </cell>
          <cell r="D2485">
            <v>1964</v>
          </cell>
          <cell r="E2485" t="str">
            <v>Airquarius Air Charter</v>
          </cell>
          <cell r="F2485">
            <v>36</v>
          </cell>
          <cell r="G2485">
            <v>23658</v>
          </cell>
          <cell r="H2485" t="str">
            <v>Freighter</v>
          </cell>
          <cell r="I2485" t="str">
            <v>Africa</v>
          </cell>
          <cell r="J2485" t="str">
            <v>South Africa</v>
          </cell>
          <cell r="K2485">
            <v>23573</v>
          </cell>
        </row>
        <row r="2486">
          <cell r="A2486" t="str">
            <v>In service</v>
          </cell>
          <cell r="B2486" t="str">
            <v>Gulfstream Aerospace Gulfstream I</v>
          </cell>
          <cell r="C2486" t="str">
            <v>Freighter</v>
          </cell>
          <cell r="D2486">
            <v>1965</v>
          </cell>
          <cell r="E2486" t="str">
            <v>Stellair</v>
          </cell>
          <cell r="F2486">
            <v>35</v>
          </cell>
          <cell r="G2486">
            <v>23966</v>
          </cell>
          <cell r="H2486" t="str">
            <v>Freighter</v>
          </cell>
          <cell r="I2486" t="str">
            <v>Europe</v>
          </cell>
          <cell r="J2486" t="str">
            <v>Spain</v>
          </cell>
          <cell r="K2486">
            <v>23757</v>
          </cell>
        </row>
        <row r="2487">
          <cell r="A2487" t="str">
            <v>In service</v>
          </cell>
          <cell r="B2487" t="str">
            <v>Gulfstream Aerospace Gulfstream I</v>
          </cell>
          <cell r="C2487" t="str">
            <v>Freighter</v>
          </cell>
          <cell r="D2487">
            <v>1969</v>
          </cell>
          <cell r="E2487" t="str">
            <v>Phoenix Air</v>
          </cell>
          <cell r="F2487">
            <v>31</v>
          </cell>
          <cell r="G2487">
            <v>25218</v>
          </cell>
          <cell r="H2487" t="str">
            <v>Freighter</v>
          </cell>
          <cell r="I2487" t="str">
            <v>North America</v>
          </cell>
          <cell r="J2487" t="str">
            <v>USA</v>
          </cell>
          <cell r="K2487">
            <v>24912</v>
          </cell>
        </row>
        <row r="2488">
          <cell r="A2488" t="str">
            <v>In service</v>
          </cell>
          <cell r="B2488" t="str">
            <v>Gulfstream Aerospace Gulfstream I</v>
          </cell>
          <cell r="C2488" t="str">
            <v>Freighter</v>
          </cell>
          <cell r="D2488">
            <v>1960</v>
          </cell>
          <cell r="E2488" t="str">
            <v>Stellair</v>
          </cell>
          <cell r="F2488">
            <v>40</v>
          </cell>
          <cell r="G2488">
            <v>22038</v>
          </cell>
          <cell r="H2488" t="str">
            <v>Freighter</v>
          </cell>
          <cell r="I2488" t="str">
            <v>Europe</v>
          </cell>
          <cell r="J2488" t="str">
            <v>Spain</v>
          </cell>
          <cell r="K2488">
            <v>21869</v>
          </cell>
        </row>
        <row r="2489">
          <cell r="A2489" t="str">
            <v>In service</v>
          </cell>
          <cell r="B2489" t="str">
            <v>Gulfstream Aerospace Gulfstream I</v>
          </cell>
          <cell r="C2489" t="str">
            <v>Freighter</v>
          </cell>
          <cell r="D2489">
            <v>1962</v>
          </cell>
          <cell r="E2489" t="str">
            <v>Phoenix Air</v>
          </cell>
          <cell r="F2489">
            <v>38</v>
          </cell>
          <cell r="G2489">
            <v>23008</v>
          </cell>
          <cell r="H2489" t="str">
            <v>Freighter</v>
          </cell>
          <cell r="I2489" t="str">
            <v>North America</v>
          </cell>
          <cell r="J2489" t="str">
            <v>USA</v>
          </cell>
          <cell r="K2489">
            <v>22827</v>
          </cell>
        </row>
        <row r="2490">
          <cell r="A2490" t="str">
            <v>In service</v>
          </cell>
          <cell r="B2490" t="str">
            <v>Gulfstream Aerospace Gulfstream II</v>
          </cell>
          <cell r="C2490" t="str">
            <v xml:space="preserve"> </v>
          </cell>
          <cell r="D2490">
            <v>1971</v>
          </cell>
          <cell r="E2490" t="str">
            <v>American Barrick Resources</v>
          </cell>
          <cell r="F2490">
            <v>29</v>
          </cell>
          <cell r="G2490">
            <v>26282</v>
          </cell>
          <cell r="I2490" t="str">
            <v>North America</v>
          </cell>
          <cell r="J2490" t="str">
            <v>Canada</v>
          </cell>
          <cell r="K2490">
            <v>25749</v>
          </cell>
        </row>
        <row r="2491">
          <cell r="A2491" t="str">
            <v>In service</v>
          </cell>
          <cell r="B2491" t="str">
            <v>Gulfstream Aerospace Gulfstream II</v>
          </cell>
          <cell r="C2491" t="str">
            <v xml:space="preserve"> </v>
          </cell>
          <cell r="D2491">
            <v>1971</v>
          </cell>
          <cell r="E2491" t="str">
            <v>Gibraltar Aviation Ltd</v>
          </cell>
          <cell r="F2491">
            <v>29</v>
          </cell>
          <cell r="G2491">
            <v>26276</v>
          </cell>
          <cell r="I2491" t="str">
            <v>North America</v>
          </cell>
          <cell r="J2491" t="str">
            <v>USA</v>
          </cell>
          <cell r="K2491">
            <v>25384</v>
          </cell>
        </row>
        <row r="2492">
          <cell r="A2492" t="str">
            <v>In service</v>
          </cell>
          <cell r="B2492" t="str">
            <v>Gulfstream Aerospace Gulfstream II</v>
          </cell>
          <cell r="C2492" t="str">
            <v xml:space="preserve"> </v>
          </cell>
          <cell r="D2492">
            <v>1971</v>
          </cell>
          <cell r="E2492" t="str">
            <v>Geosar LLC</v>
          </cell>
          <cell r="F2492">
            <v>29</v>
          </cell>
          <cell r="G2492">
            <v>26301</v>
          </cell>
          <cell r="I2492" t="str">
            <v>North America</v>
          </cell>
          <cell r="J2492" t="str">
            <v>USA</v>
          </cell>
          <cell r="K2492">
            <v>26114</v>
          </cell>
        </row>
        <row r="2493">
          <cell r="A2493" t="str">
            <v>In service</v>
          </cell>
          <cell r="B2493" t="str">
            <v>Gulfstream Aerospace Gulfstream II</v>
          </cell>
          <cell r="C2493" t="str">
            <v xml:space="preserve"> </v>
          </cell>
          <cell r="D2493">
            <v>1968</v>
          </cell>
          <cell r="E2493" t="str">
            <v>Fairway Enterprises Inc</v>
          </cell>
          <cell r="F2493">
            <v>32</v>
          </cell>
          <cell r="G2493">
            <v>24873</v>
          </cell>
          <cell r="I2493" t="str">
            <v>North America</v>
          </cell>
          <cell r="J2493" t="str">
            <v>USA</v>
          </cell>
          <cell r="K2493">
            <v>24653</v>
          </cell>
        </row>
        <row r="2494">
          <cell r="A2494" t="str">
            <v>In service</v>
          </cell>
          <cell r="B2494" t="str">
            <v>Gulfstream Aerospace Gulfstream II</v>
          </cell>
          <cell r="C2494" t="str">
            <v xml:space="preserve"> </v>
          </cell>
          <cell r="D2494">
            <v>1972</v>
          </cell>
          <cell r="E2494" t="str">
            <v>Business Jet Enterprises LP</v>
          </cell>
          <cell r="F2494">
            <v>28</v>
          </cell>
          <cell r="G2494">
            <v>26413</v>
          </cell>
          <cell r="I2494" t="str">
            <v>North America</v>
          </cell>
          <cell r="J2494" t="str">
            <v>USA</v>
          </cell>
          <cell r="K2494">
            <v>25749</v>
          </cell>
        </row>
        <row r="2495">
          <cell r="A2495" t="str">
            <v>In service</v>
          </cell>
          <cell r="B2495" t="str">
            <v>Gulfstream Aerospace Gulfstream II</v>
          </cell>
          <cell r="C2495" t="str">
            <v xml:space="preserve"> </v>
          </cell>
          <cell r="D2495">
            <v>1972</v>
          </cell>
          <cell r="E2495" t="str">
            <v>Omnitrition de Mexico SA</v>
          </cell>
          <cell r="F2495">
            <v>28</v>
          </cell>
          <cell r="G2495">
            <v>26480</v>
          </cell>
          <cell r="I2495" t="str">
            <v>Latin America and Caribbean</v>
          </cell>
          <cell r="J2495" t="str">
            <v>Mexico</v>
          </cell>
          <cell r="K2495">
            <v>26114</v>
          </cell>
        </row>
        <row r="2496">
          <cell r="A2496" t="str">
            <v>In service</v>
          </cell>
          <cell r="B2496" t="str">
            <v>Gulfstream Aerospace Gulfstream II</v>
          </cell>
          <cell r="C2496" t="str">
            <v xml:space="preserve"> </v>
          </cell>
          <cell r="D2496">
            <v>1972</v>
          </cell>
          <cell r="E2496" t="str">
            <v>Trans Exec Air Service</v>
          </cell>
          <cell r="F2496">
            <v>28</v>
          </cell>
          <cell r="G2496">
            <v>26536</v>
          </cell>
          <cell r="I2496" t="str">
            <v>North America</v>
          </cell>
          <cell r="J2496" t="str">
            <v>USA</v>
          </cell>
          <cell r="K2496">
            <v>25749</v>
          </cell>
        </row>
        <row r="2497">
          <cell r="A2497" t="str">
            <v>In service</v>
          </cell>
          <cell r="B2497" t="str">
            <v>Gulfstream Aerospace Gulfstream II</v>
          </cell>
          <cell r="C2497" t="str">
            <v xml:space="preserve"> </v>
          </cell>
          <cell r="D2497">
            <v>1972</v>
          </cell>
          <cell r="E2497" t="str">
            <v>NASA</v>
          </cell>
          <cell r="F2497">
            <v>28</v>
          </cell>
          <cell r="G2497">
            <v>26576</v>
          </cell>
          <cell r="I2497" t="str">
            <v>North America</v>
          </cell>
          <cell r="J2497" t="str">
            <v>USA</v>
          </cell>
          <cell r="K2497">
            <v>26114</v>
          </cell>
        </row>
        <row r="2498">
          <cell r="A2498" t="str">
            <v>In service</v>
          </cell>
          <cell r="B2498" t="str">
            <v>Gulfstream Aerospace Gulfstream II</v>
          </cell>
          <cell r="C2498" t="str">
            <v xml:space="preserve"> </v>
          </cell>
          <cell r="D2498">
            <v>1972</v>
          </cell>
          <cell r="E2498" t="str">
            <v>Hawk Gathering System Inc</v>
          </cell>
          <cell r="F2498">
            <v>28</v>
          </cell>
          <cell r="G2498">
            <v>26669</v>
          </cell>
          <cell r="I2498" t="str">
            <v>North America</v>
          </cell>
          <cell r="J2498" t="str">
            <v>USA</v>
          </cell>
          <cell r="K2498">
            <v>26114</v>
          </cell>
        </row>
        <row r="2499">
          <cell r="A2499" t="str">
            <v>In service</v>
          </cell>
          <cell r="B2499" t="str">
            <v>Gulfstream Aerospace Gulfstream II</v>
          </cell>
          <cell r="C2499" t="str">
            <v xml:space="preserve"> </v>
          </cell>
          <cell r="D2499">
            <v>1973</v>
          </cell>
          <cell r="E2499" t="str">
            <v>Venezuelan Air Force</v>
          </cell>
          <cell r="F2499">
            <v>27</v>
          </cell>
          <cell r="G2499">
            <v>26880</v>
          </cell>
          <cell r="I2499" t="str">
            <v>Latin America and Caribbean</v>
          </cell>
          <cell r="J2499" t="str">
            <v>Venezuela</v>
          </cell>
          <cell r="K2499">
            <v>26480</v>
          </cell>
        </row>
        <row r="2500">
          <cell r="A2500" t="str">
            <v>In service</v>
          </cell>
          <cell r="B2500" t="str">
            <v>Gulfstream Aerospace Gulfstream II</v>
          </cell>
          <cell r="C2500" t="str">
            <v xml:space="preserve"> </v>
          </cell>
          <cell r="D2500">
            <v>1973</v>
          </cell>
          <cell r="E2500" t="str">
            <v>Watson/Perando/Gary Williams/Parenti/Lewis/McManus</v>
          </cell>
          <cell r="F2500">
            <v>27</v>
          </cell>
          <cell r="G2500">
            <v>26757</v>
          </cell>
          <cell r="I2500" t="str">
            <v>North America</v>
          </cell>
          <cell r="J2500" t="str">
            <v>USA</v>
          </cell>
          <cell r="K2500">
            <v>26114</v>
          </cell>
        </row>
        <row r="2501">
          <cell r="A2501" t="str">
            <v>In service</v>
          </cell>
          <cell r="B2501" t="str">
            <v>Gulfstream Aerospace Gulfstream II</v>
          </cell>
          <cell r="C2501" t="str">
            <v xml:space="preserve"> </v>
          </cell>
          <cell r="D2501">
            <v>1973</v>
          </cell>
          <cell r="E2501" t="str">
            <v>Services Group of America Inc</v>
          </cell>
          <cell r="F2501">
            <v>27</v>
          </cell>
          <cell r="G2501">
            <v>26801</v>
          </cell>
          <cell r="I2501" t="str">
            <v>North America</v>
          </cell>
          <cell r="J2501" t="str">
            <v>USA</v>
          </cell>
          <cell r="K2501">
            <v>26114</v>
          </cell>
        </row>
        <row r="2502">
          <cell r="A2502" t="str">
            <v>In service</v>
          </cell>
          <cell r="B2502" t="str">
            <v>Gulfstream Aerospace Gulfstream II</v>
          </cell>
          <cell r="C2502" t="str">
            <v xml:space="preserve"> </v>
          </cell>
          <cell r="D2502">
            <v>1968</v>
          </cell>
          <cell r="E2502" t="str">
            <v>LFP Inc</v>
          </cell>
          <cell r="F2502">
            <v>32</v>
          </cell>
          <cell r="G2502">
            <v>24960</v>
          </cell>
          <cell r="I2502" t="str">
            <v>North America</v>
          </cell>
          <cell r="J2502" t="str">
            <v>USA</v>
          </cell>
          <cell r="K2502">
            <v>23923</v>
          </cell>
        </row>
        <row r="2503">
          <cell r="A2503" t="str">
            <v>In service</v>
          </cell>
          <cell r="B2503" t="str">
            <v>Gulfstream Aerospace Gulfstream II</v>
          </cell>
          <cell r="C2503" t="str">
            <v xml:space="preserve"> </v>
          </cell>
          <cell r="D2503">
            <v>1973</v>
          </cell>
          <cell r="E2503" t="str">
            <v>Lorien Aviation Inc</v>
          </cell>
          <cell r="F2503">
            <v>27</v>
          </cell>
          <cell r="G2503">
            <v>26873</v>
          </cell>
          <cell r="I2503" t="str">
            <v>North America</v>
          </cell>
          <cell r="J2503" t="str">
            <v>USA</v>
          </cell>
          <cell r="K2503">
            <v>26480</v>
          </cell>
        </row>
        <row r="2504">
          <cell r="A2504" t="str">
            <v>In service</v>
          </cell>
          <cell r="B2504" t="str">
            <v>Gulfstream Aerospace Gulfstream II</v>
          </cell>
          <cell r="C2504" t="str">
            <v xml:space="preserve"> </v>
          </cell>
          <cell r="D2504">
            <v>1973</v>
          </cell>
          <cell r="E2504" t="str">
            <v>Cedarhurst Air Charter Inc</v>
          </cell>
          <cell r="F2504">
            <v>27</v>
          </cell>
          <cell r="G2504">
            <v>26896</v>
          </cell>
          <cell r="I2504" t="str">
            <v>North America</v>
          </cell>
          <cell r="J2504" t="str">
            <v>USA</v>
          </cell>
          <cell r="K2504">
            <v>26480</v>
          </cell>
        </row>
        <row r="2505">
          <cell r="A2505" t="str">
            <v>In service</v>
          </cell>
          <cell r="B2505" t="str">
            <v>Gulfstream Aerospace Gulfstream II</v>
          </cell>
          <cell r="C2505" t="str">
            <v xml:space="preserve"> </v>
          </cell>
          <cell r="D2505">
            <v>1973</v>
          </cell>
          <cell r="E2505" t="str">
            <v>EICO II Corp</v>
          </cell>
          <cell r="F2505">
            <v>27</v>
          </cell>
          <cell r="G2505">
            <v>26907</v>
          </cell>
          <cell r="I2505" t="str">
            <v>North America</v>
          </cell>
          <cell r="J2505" t="str">
            <v>USA</v>
          </cell>
          <cell r="K2505">
            <v>26114</v>
          </cell>
        </row>
        <row r="2506">
          <cell r="A2506" t="str">
            <v>In service</v>
          </cell>
          <cell r="B2506" t="str">
            <v>Gulfstream Aerospace Gulfstream II</v>
          </cell>
          <cell r="C2506" t="str">
            <v xml:space="preserve"> </v>
          </cell>
          <cell r="D2506">
            <v>1973</v>
          </cell>
          <cell r="E2506" t="str">
            <v>RMQ Ltd</v>
          </cell>
          <cell r="F2506">
            <v>27</v>
          </cell>
          <cell r="G2506">
            <v>26974</v>
          </cell>
          <cell r="I2506" t="str">
            <v>North America</v>
          </cell>
          <cell r="J2506" t="str">
            <v>USA</v>
          </cell>
          <cell r="K2506">
            <v>26480</v>
          </cell>
        </row>
        <row r="2507">
          <cell r="A2507" t="str">
            <v>In service</v>
          </cell>
          <cell r="B2507" t="str">
            <v>Gulfstream Aerospace Gulfstream II</v>
          </cell>
          <cell r="C2507" t="str">
            <v xml:space="preserve"> </v>
          </cell>
          <cell r="D2507">
            <v>1973</v>
          </cell>
          <cell r="E2507" t="str">
            <v>Walter Industries Inc</v>
          </cell>
          <cell r="F2507">
            <v>27</v>
          </cell>
          <cell r="G2507">
            <v>27008</v>
          </cell>
          <cell r="I2507" t="str">
            <v>North America</v>
          </cell>
          <cell r="J2507" t="str">
            <v>USA</v>
          </cell>
          <cell r="K2507">
            <v>26480</v>
          </cell>
        </row>
        <row r="2508">
          <cell r="A2508" t="str">
            <v>In service</v>
          </cell>
          <cell r="B2508" t="str">
            <v>Gulfstream Aerospace Gulfstream II</v>
          </cell>
          <cell r="C2508" t="str">
            <v xml:space="preserve"> </v>
          </cell>
          <cell r="D2508">
            <v>1974</v>
          </cell>
          <cell r="E2508" t="str">
            <v>Diamond Air Service</v>
          </cell>
          <cell r="F2508">
            <v>26</v>
          </cell>
          <cell r="G2508">
            <v>27196</v>
          </cell>
          <cell r="I2508" t="str">
            <v>Asia</v>
          </cell>
          <cell r="J2508" t="str">
            <v>Japan</v>
          </cell>
          <cell r="K2508">
            <v>26480</v>
          </cell>
        </row>
        <row r="2509">
          <cell r="A2509" t="str">
            <v>In service</v>
          </cell>
          <cell r="B2509" t="str">
            <v>Gulfstream Aerospace Gulfstream II</v>
          </cell>
          <cell r="C2509" t="str">
            <v xml:space="preserve"> </v>
          </cell>
          <cell r="D2509">
            <v>1974</v>
          </cell>
          <cell r="E2509" t="str">
            <v>RDC Marine Inc</v>
          </cell>
          <cell r="F2509">
            <v>26</v>
          </cell>
          <cell r="G2509">
            <v>27335</v>
          </cell>
          <cell r="I2509" t="str">
            <v>North America</v>
          </cell>
          <cell r="J2509" t="str">
            <v>USA</v>
          </cell>
          <cell r="K2509">
            <v>26845</v>
          </cell>
        </row>
        <row r="2510">
          <cell r="A2510" t="str">
            <v>In service</v>
          </cell>
          <cell r="B2510" t="str">
            <v>Gulfstream Aerospace Gulfstream II</v>
          </cell>
          <cell r="C2510" t="str">
            <v xml:space="preserve"> </v>
          </cell>
          <cell r="D2510">
            <v>1974</v>
          </cell>
          <cell r="E2510" t="str">
            <v>NASA</v>
          </cell>
          <cell r="F2510">
            <v>26</v>
          </cell>
          <cell r="G2510">
            <v>27269</v>
          </cell>
          <cell r="I2510" t="str">
            <v>North America</v>
          </cell>
          <cell r="J2510" t="str">
            <v>USA</v>
          </cell>
          <cell r="K2510">
            <v>26845</v>
          </cell>
        </row>
        <row r="2511">
          <cell r="A2511" t="str">
            <v>In service</v>
          </cell>
          <cell r="B2511" t="str">
            <v>Gulfstream Aerospace Gulfstream II</v>
          </cell>
          <cell r="C2511" t="str">
            <v xml:space="preserve"> </v>
          </cell>
          <cell r="D2511">
            <v>1974</v>
          </cell>
          <cell r="E2511" t="str">
            <v>Haliburton Energy Services Inc</v>
          </cell>
          <cell r="F2511">
            <v>26</v>
          </cell>
          <cell r="G2511">
            <v>27156</v>
          </cell>
          <cell r="I2511" t="str">
            <v>North America</v>
          </cell>
          <cell r="J2511" t="str">
            <v>USA</v>
          </cell>
          <cell r="K2511">
            <v>26480</v>
          </cell>
        </row>
        <row r="2512">
          <cell r="A2512" t="str">
            <v>In service</v>
          </cell>
          <cell r="B2512" t="str">
            <v>Gulfstream Aerospace Gulfstream II</v>
          </cell>
          <cell r="C2512" t="str">
            <v xml:space="preserve"> </v>
          </cell>
          <cell r="D2512">
            <v>1974</v>
          </cell>
          <cell r="E2512" t="str">
            <v>NASA</v>
          </cell>
          <cell r="F2512">
            <v>26</v>
          </cell>
          <cell r="G2512">
            <v>27169</v>
          </cell>
          <cell r="I2512" t="str">
            <v>North America</v>
          </cell>
          <cell r="J2512" t="str">
            <v>USA</v>
          </cell>
          <cell r="K2512">
            <v>26845</v>
          </cell>
        </row>
        <row r="2513">
          <cell r="A2513" t="str">
            <v>In service</v>
          </cell>
          <cell r="B2513" t="str">
            <v>Gulfstream Aerospace Gulfstream II</v>
          </cell>
          <cell r="C2513" t="str">
            <v xml:space="preserve"> </v>
          </cell>
          <cell r="D2513">
            <v>1974</v>
          </cell>
          <cell r="E2513" t="str">
            <v>NASA</v>
          </cell>
          <cell r="F2513">
            <v>26</v>
          </cell>
          <cell r="G2513">
            <v>27193</v>
          </cell>
          <cell r="I2513" t="str">
            <v>North America</v>
          </cell>
          <cell r="J2513" t="str">
            <v>USA</v>
          </cell>
          <cell r="K2513">
            <v>26845</v>
          </cell>
        </row>
        <row r="2514">
          <cell r="A2514" t="str">
            <v>In service</v>
          </cell>
          <cell r="B2514" t="str">
            <v>Gulfstream Aerospace Gulfstream II</v>
          </cell>
          <cell r="C2514" t="str">
            <v xml:space="preserve"> </v>
          </cell>
          <cell r="D2514">
            <v>1968</v>
          </cell>
          <cell r="E2514" t="str">
            <v>The O'Leary Group Inc</v>
          </cell>
          <cell r="F2514">
            <v>32</v>
          </cell>
          <cell r="G2514">
            <v>25034</v>
          </cell>
          <cell r="I2514" t="str">
            <v>North America</v>
          </cell>
          <cell r="J2514" t="str">
            <v>USA</v>
          </cell>
          <cell r="K2514">
            <v>24653</v>
          </cell>
        </row>
        <row r="2515">
          <cell r="A2515" t="str">
            <v>In service</v>
          </cell>
          <cell r="B2515" t="str">
            <v>Gulfstream Aerospace Gulfstream II</v>
          </cell>
          <cell r="C2515" t="str">
            <v xml:space="preserve"> </v>
          </cell>
          <cell r="D2515">
            <v>1974</v>
          </cell>
          <cell r="E2515" t="str">
            <v>Little Caesar Enterprises Inc</v>
          </cell>
          <cell r="F2515">
            <v>26</v>
          </cell>
          <cell r="G2515">
            <v>27306</v>
          </cell>
          <cell r="I2515" t="str">
            <v>North America</v>
          </cell>
          <cell r="J2515" t="str">
            <v>USA</v>
          </cell>
        </row>
        <row r="2516">
          <cell r="A2516" t="str">
            <v>In service</v>
          </cell>
          <cell r="B2516" t="str">
            <v>Gulfstream Aerospace Gulfstream II</v>
          </cell>
          <cell r="C2516" t="str">
            <v xml:space="preserve"> </v>
          </cell>
          <cell r="D2516">
            <v>1974</v>
          </cell>
          <cell r="E2516" t="str">
            <v>Crenshaw Christian Center Church of Los Angeles</v>
          </cell>
          <cell r="F2516">
            <v>26</v>
          </cell>
          <cell r="G2516">
            <v>27339</v>
          </cell>
          <cell r="I2516" t="str">
            <v>North America</v>
          </cell>
          <cell r="J2516" t="str">
            <v>USA</v>
          </cell>
          <cell r="K2516">
            <v>26480</v>
          </cell>
        </row>
        <row r="2517">
          <cell r="A2517" t="str">
            <v>In service</v>
          </cell>
          <cell r="B2517" t="str">
            <v>Gulfstream Aerospace Gulfstream II</v>
          </cell>
          <cell r="C2517" t="str">
            <v xml:space="preserve"> </v>
          </cell>
          <cell r="D2517">
            <v>1974</v>
          </cell>
          <cell r="E2517" t="str">
            <v xml:space="preserve">Crown Aviation LLC </v>
          </cell>
          <cell r="F2517">
            <v>26</v>
          </cell>
          <cell r="G2517">
            <v>27210</v>
          </cell>
          <cell r="I2517" t="str">
            <v>North America</v>
          </cell>
          <cell r="J2517" t="str">
            <v>USA</v>
          </cell>
          <cell r="K2517">
            <v>26845</v>
          </cell>
        </row>
        <row r="2518">
          <cell r="A2518" t="str">
            <v>In service</v>
          </cell>
          <cell r="B2518" t="str">
            <v>Gulfstream Aerospace Gulfstream II</v>
          </cell>
          <cell r="C2518" t="str">
            <v xml:space="preserve"> </v>
          </cell>
          <cell r="D2518">
            <v>1975</v>
          </cell>
          <cell r="E2518" t="str">
            <v>Federal Aviation Services Corp</v>
          </cell>
          <cell r="F2518">
            <v>25</v>
          </cell>
          <cell r="G2518">
            <v>27500</v>
          </cell>
          <cell r="I2518" t="str">
            <v>North America</v>
          </cell>
          <cell r="J2518" t="str">
            <v>USA</v>
          </cell>
          <cell r="K2518">
            <v>26845</v>
          </cell>
        </row>
        <row r="2519">
          <cell r="A2519" t="str">
            <v>In service</v>
          </cell>
          <cell r="B2519" t="str">
            <v>Gulfstream Aerospace Gulfstream II</v>
          </cell>
          <cell r="C2519" t="str">
            <v xml:space="preserve"> </v>
          </cell>
          <cell r="D2519">
            <v>1975</v>
          </cell>
          <cell r="E2519" t="str">
            <v>Antair SA de CV</v>
          </cell>
          <cell r="F2519">
            <v>25</v>
          </cell>
          <cell r="G2519">
            <v>27505</v>
          </cell>
          <cell r="I2519" t="str">
            <v>Latin America and Caribbean</v>
          </cell>
          <cell r="J2519" t="str">
            <v>Mexico</v>
          </cell>
          <cell r="K2519">
            <v>26845</v>
          </cell>
        </row>
        <row r="2520">
          <cell r="A2520" t="str">
            <v>In service</v>
          </cell>
          <cell r="B2520" t="str">
            <v>Gulfstream Aerospace Gulfstream II</v>
          </cell>
          <cell r="C2520" t="str">
            <v xml:space="preserve"> </v>
          </cell>
          <cell r="D2520">
            <v>1975</v>
          </cell>
          <cell r="E2520" t="str">
            <v>Janus Equities LLC</v>
          </cell>
          <cell r="F2520">
            <v>25</v>
          </cell>
          <cell r="G2520">
            <v>27774</v>
          </cell>
          <cell r="I2520" t="str">
            <v>North America</v>
          </cell>
          <cell r="J2520" t="str">
            <v>USA</v>
          </cell>
          <cell r="K2520">
            <v>27210</v>
          </cell>
        </row>
        <row r="2521">
          <cell r="A2521" t="str">
            <v>In service</v>
          </cell>
          <cell r="B2521" t="str">
            <v>Gulfstream Aerospace Gulfstream II</v>
          </cell>
          <cell r="C2521" t="str">
            <v xml:space="preserve"> </v>
          </cell>
          <cell r="D2521">
            <v>1975</v>
          </cell>
          <cell r="E2521" t="str">
            <v>XTO Energy Inc</v>
          </cell>
          <cell r="F2521">
            <v>25</v>
          </cell>
          <cell r="G2521">
            <v>27699</v>
          </cell>
          <cell r="I2521" t="str">
            <v>North America</v>
          </cell>
          <cell r="J2521" t="str">
            <v>USA</v>
          </cell>
        </row>
        <row r="2522">
          <cell r="A2522" t="str">
            <v>In service</v>
          </cell>
          <cell r="B2522" t="str">
            <v>Gulfstream Aerospace Gulfstream II</v>
          </cell>
          <cell r="C2522" t="str">
            <v xml:space="preserve"> </v>
          </cell>
          <cell r="D2522">
            <v>1975</v>
          </cell>
          <cell r="E2522" t="str">
            <v>Saudi Arabian Airlines</v>
          </cell>
          <cell r="F2522">
            <v>25</v>
          </cell>
          <cell r="G2522">
            <v>27900</v>
          </cell>
          <cell r="I2522" t="str">
            <v>Middle East</v>
          </cell>
          <cell r="J2522" t="str">
            <v>Saudi Arabia</v>
          </cell>
          <cell r="K2522">
            <v>27210</v>
          </cell>
        </row>
        <row r="2523">
          <cell r="A2523" t="str">
            <v>In service</v>
          </cell>
          <cell r="B2523" t="str">
            <v>Gulfstream Aerospace Gulfstream II</v>
          </cell>
          <cell r="C2523" t="str">
            <v xml:space="preserve"> </v>
          </cell>
          <cell r="D2523">
            <v>1976</v>
          </cell>
          <cell r="E2523" t="str">
            <v>Capital Aircraft Group LLC</v>
          </cell>
          <cell r="F2523">
            <v>24</v>
          </cell>
          <cell r="G2523">
            <v>27789</v>
          </cell>
          <cell r="I2523" t="str">
            <v>North America</v>
          </cell>
          <cell r="J2523" t="str">
            <v>USA</v>
          </cell>
          <cell r="K2523">
            <v>27210</v>
          </cell>
        </row>
        <row r="2524">
          <cell r="A2524" t="str">
            <v>In service</v>
          </cell>
          <cell r="B2524" t="str">
            <v>Gulfstream Aerospace Gulfstream II</v>
          </cell>
          <cell r="C2524" t="str">
            <v xml:space="preserve"> </v>
          </cell>
          <cell r="D2524">
            <v>1976</v>
          </cell>
          <cell r="E2524" t="str">
            <v>Federal Government of Nigeria</v>
          </cell>
          <cell r="F2524">
            <v>24</v>
          </cell>
          <cell r="G2524">
            <v>28074</v>
          </cell>
          <cell r="I2524" t="str">
            <v>Africa</v>
          </cell>
          <cell r="J2524" t="str">
            <v>Nigeria</v>
          </cell>
          <cell r="K2524">
            <v>27210</v>
          </cell>
        </row>
        <row r="2525">
          <cell r="A2525" t="str">
            <v>In service</v>
          </cell>
          <cell r="B2525" t="str">
            <v>Gulfstream Aerospace Gulfstream II</v>
          </cell>
          <cell r="C2525" t="str">
            <v xml:space="preserve"> </v>
          </cell>
          <cell r="D2525">
            <v>1976</v>
          </cell>
          <cell r="E2525" t="str">
            <v>Saudi CAA</v>
          </cell>
          <cell r="F2525">
            <v>24</v>
          </cell>
          <cell r="G2525">
            <v>28103</v>
          </cell>
          <cell r="I2525" t="str">
            <v>Middle East</v>
          </cell>
          <cell r="J2525" t="str">
            <v>Saudi Arabia</v>
          </cell>
        </row>
        <row r="2526">
          <cell r="A2526" t="str">
            <v>In service</v>
          </cell>
          <cell r="B2526" t="str">
            <v>Gulfstream Aerospace Gulfstream II</v>
          </cell>
          <cell r="C2526" t="str">
            <v xml:space="preserve"> </v>
          </cell>
          <cell r="D2526">
            <v>1968</v>
          </cell>
          <cell r="E2526" t="str">
            <v>Procuraduria General de la Republica Nacional</v>
          </cell>
          <cell r="F2526">
            <v>32</v>
          </cell>
          <cell r="G2526">
            <v>24981</v>
          </cell>
          <cell r="I2526" t="str">
            <v>Latin America and Caribbean</v>
          </cell>
          <cell r="J2526" t="str">
            <v>Mexico</v>
          </cell>
          <cell r="K2526">
            <v>23923</v>
          </cell>
        </row>
        <row r="2527">
          <cell r="A2527" t="str">
            <v>In service</v>
          </cell>
          <cell r="B2527" t="str">
            <v>Gulfstream Aerospace Gulfstream II</v>
          </cell>
          <cell r="C2527" t="str">
            <v xml:space="preserve"> </v>
          </cell>
          <cell r="D2527">
            <v>1976</v>
          </cell>
          <cell r="E2527" t="str">
            <v>Jet Aviation Private Fleet LLC</v>
          </cell>
          <cell r="F2527">
            <v>24</v>
          </cell>
          <cell r="G2527">
            <v>27858</v>
          </cell>
          <cell r="I2527" t="str">
            <v>North America</v>
          </cell>
          <cell r="J2527" t="str">
            <v>USA</v>
          </cell>
          <cell r="K2527">
            <v>27210</v>
          </cell>
        </row>
        <row r="2528">
          <cell r="A2528" t="str">
            <v>In service</v>
          </cell>
          <cell r="B2528" t="str">
            <v>Gulfstream Aerospace Gulfstream II</v>
          </cell>
          <cell r="C2528" t="str">
            <v xml:space="preserve"> </v>
          </cell>
          <cell r="D2528">
            <v>1976</v>
          </cell>
          <cell r="E2528" t="str">
            <v>Centex Service Co</v>
          </cell>
          <cell r="F2528">
            <v>24</v>
          </cell>
          <cell r="G2528">
            <v>28047</v>
          </cell>
          <cell r="I2528" t="str">
            <v>North America</v>
          </cell>
          <cell r="J2528" t="str">
            <v>USA</v>
          </cell>
          <cell r="K2528">
            <v>27575</v>
          </cell>
        </row>
        <row r="2529">
          <cell r="A2529" t="str">
            <v>In service</v>
          </cell>
          <cell r="B2529" t="str">
            <v>Gulfstream Aerospace Gulfstream II</v>
          </cell>
          <cell r="C2529" t="str">
            <v xml:space="preserve"> </v>
          </cell>
          <cell r="D2529">
            <v>1976</v>
          </cell>
          <cell r="E2529" t="str">
            <v>Richard &amp; David Jacobs Group</v>
          </cell>
          <cell r="F2529">
            <v>24</v>
          </cell>
          <cell r="G2529">
            <v>28111</v>
          </cell>
          <cell r="I2529" t="str">
            <v>North America</v>
          </cell>
          <cell r="J2529" t="str">
            <v>USA</v>
          </cell>
        </row>
        <row r="2530">
          <cell r="A2530" t="str">
            <v>In service</v>
          </cell>
          <cell r="B2530" t="str">
            <v>Gulfstream Aerospace Gulfstream II</v>
          </cell>
          <cell r="C2530" t="str">
            <v xml:space="preserve"> </v>
          </cell>
          <cell r="D2530">
            <v>1976</v>
          </cell>
          <cell r="E2530" t="str">
            <v>Uniexpress Jet Services Ltd</v>
          </cell>
          <cell r="F2530">
            <v>24</v>
          </cell>
          <cell r="G2530">
            <v>28260</v>
          </cell>
          <cell r="I2530" t="str">
            <v>Latin America and Caribbean</v>
          </cell>
          <cell r="J2530" t="str">
            <v>Bermuda</v>
          </cell>
          <cell r="K2530">
            <v>27575</v>
          </cell>
        </row>
        <row r="2531">
          <cell r="A2531" t="str">
            <v>In service</v>
          </cell>
          <cell r="B2531" t="str">
            <v>Gulfstream Aerospace Gulfstream II</v>
          </cell>
          <cell r="C2531" t="str">
            <v xml:space="preserve"> </v>
          </cell>
          <cell r="D2531">
            <v>1976</v>
          </cell>
          <cell r="E2531" t="str">
            <v>Avstar Jet Charter &amp; Management Services Inc</v>
          </cell>
          <cell r="F2531">
            <v>24</v>
          </cell>
          <cell r="G2531">
            <v>28397</v>
          </cell>
          <cell r="I2531" t="str">
            <v>North America</v>
          </cell>
          <cell r="J2531" t="str">
            <v>USA</v>
          </cell>
        </row>
        <row r="2532">
          <cell r="A2532" t="str">
            <v>In service</v>
          </cell>
          <cell r="B2532" t="str">
            <v>Gulfstream Aerospace Gulfstream II</v>
          </cell>
          <cell r="C2532" t="str">
            <v xml:space="preserve"> </v>
          </cell>
          <cell r="D2532">
            <v>1976</v>
          </cell>
          <cell r="E2532" t="str">
            <v>McWane Inc</v>
          </cell>
          <cell r="F2532">
            <v>24</v>
          </cell>
          <cell r="G2532">
            <v>28020</v>
          </cell>
          <cell r="I2532" t="str">
            <v>North America</v>
          </cell>
          <cell r="J2532" t="str">
            <v>USA</v>
          </cell>
        </row>
        <row r="2533">
          <cell r="A2533" t="str">
            <v>In service</v>
          </cell>
          <cell r="B2533" t="str">
            <v>Gulfstream Aerospace Gulfstream II</v>
          </cell>
          <cell r="C2533" t="str">
            <v xml:space="preserve"> </v>
          </cell>
          <cell r="D2533">
            <v>1976</v>
          </cell>
          <cell r="E2533" t="str">
            <v>W W Grainger Inc</v>
          </cell>
          <cell r="F2533">
            <v>24</v>
          </cell>
          <cell r="G2533">
            <v>28083</v>
          </cell>
          <cell r="I2533" t="str">
            <v>North America</v>
          </cell>
          <cell r="J2533" t="str">
            <v>USA</v>
          </cell>
          <cell r="K2533">
            <v>27575</v>
          </cell>
        </row>
        <row r="2534">
          <cell r="A2534" t="str">
            <v>In service</v>
          </cell>
          <cell r="B2534" t="str">
            <v>Gulfstream Aerospace Gulfstream II</v>
          </cell>
          <cell r="C2534" t="str">
            <v xml:space="preserve"> </v>
          </cell>
          <cell r="D2534">
            <v>1976</v>
          </cell>
          <cell r="E2534" t="str">
            <v>GFS Manassas Air Services Inc</v>
          </cell>
          <cell r="F2534">
            <v>24</v>
          </cell>
          <cell r="G2534">
            <v>28098</v>
          </cell>
          <cell r="I2534" t="str">
            <v>North America</v>
          </cell>
          <cell r="J2534" t="str">
            <v>USA</v>
          </cell>
          <cell r="K2534">
            <v>27575</v>
          </cell>
        </row>
        <row r="2535">
          <cell r="A2535" t="str">
            <v>In service</v>
          </cell>
          <cell r="B2535" t="str">
            <v>Gulfstream Aerospace Gulfstream II</v>
          </cell>
          <cell r="C2535" t="str">
            <v xml:space="preserve"> </v>
          </cell>
          <cell r="D2535">
            <v>1976</v>
          </cell>
          <cell r="E2535" t="str">
            <v>Transpais Aereo SA de CV</v>
          </cell>
          <cell r="F2535">
            <v>24</v>
          </cell>
          <cell r="G2535">
            <v>28105</v>
          </cell>
          <cell r="I2535" t="str">
            <v>Latin America and Caribbean</v>
          </cell>
          <cell r="J2535" t="str">
            <v>Mexico</v>
          </cell>
          <cell r="K2535">
            <v>27575</v>
          </cell>
        </row>
        <row r="2536">
          <cell r="A2536" t="str">
            <v>In service</v>
          </cell>
          <cell r="B2536" t="str">
            <v>Gulfstream Aerospace Gulfstream II</v>
          </cell>
          <cell r="C2536" t="str">
            <v xml:space="preserve"> </v>
          </cell>
          <cell r="D2536">
            <v>1976</v>
          </cell>
          <cell r="E2536" t="str">
            <v>May Department Stores Co</v>
          </cell>
          <cell r="F2536">
            <v>24</v>
          </cell>
          <cell r="G2536">
            <v>28132</v>
          </cell>
          <cell r="I2536" t="str">
            <v>North America</v>
          </cell>
          <cell r="J2536" t="str">
            <v>USA</v>
          </cell>
          <cell r="K2536">
            <v>27575</v>
          </cell>
        </row>
        <row r="2537">
          <cell r="A2537" t="str">
            <v>In service</v>
          </cell>
          <cell r="B2537" t="str">
            <v>Gulfstream Aerospace Gulfstream II</v>
          </cell>
          <cell r="C2537" t="str">
            <v xml:space="preserve"> </v>
          </cell>
          <cell r="D2537">
            <v>1977</v>
          </cell>
          <cell r="E2537" t="str">
            <v>AH Jet Transport LLC</v>
          </cell>
          <cell r="F2537">
            <v>23</v>
          </cell>
          <cell r="G2537">
            <v>28150</v>
          </cell>
          <cell r="I2537" t="str">
            <v>North America</v>
          </cell>
          <cell r="J2537" t="str">
            <v>USA</v>
          </cell>
          <cell r="K2537">
            <v>27210</v>
          </cell>
        </row>
        <row r="2538">
          <cell r="A2538" t="str">
            <v>In service</v>
          </cell>
          <cell r="B2538" t="str">
            <v>Gulfstream Aerospace Gulfstream II</v>
          </cell>
          <cell r="C2538" t="str">
            <v xml:space="preserve"> </v>
          </cell>
          <cell r="D2538">
            <v>1968</v>
          </cell>
          <cell r="E2538" t="str">
            <v>Comfort Aviation/Bennett Realty</v>
          </cell>
          <cell r="F2538">
            <v>32</v>
          </cell>
          <cell r="G2538">
            <v>25009</v>
          </cell>
          <cell r="I2538" t="str">
            <v>North America</v>
          </cell>
          <cell r="J2538" t="str">
            <v>USA</v>
          </cell>
          <cell r="K2538">
            <v>24288</v>
          </cell>
        </row>
        <row r="2539">
          <cell r="A2539" t="str">
            <v>In service</v>
          </cell>
          <cell r="B2539" t="str">
            <v>Gulfstream Aerospace Gulfstream II</v>
          </cell>
          <cell r="C2539" t="str">
            <v xml:space="preserve"> </v>
          </cell>
          <cell r="D2539">
            <v>1977</v>
          </cell>
          <cell r="E2539" t="str">
            <v>Swiflite Aircraft Corp</v>
          </cell>
          <cell r="F2539">
            <v>23</v>
          </cell>
          <cell r="G2539">
            <v>28352</v>
          </cell>
          <cell r="I2539" t="str">
            <v>North America</v>
          </cell>
          <cell r="J2539" t="str">
            <v>USA</v>
          </cell>
          <cell r="K2539">
            <v>27941</v>
          </cell>
        </row>
        <row r="2540">
          <cell r="A2540" t="str">
            <v>In service</v>
          </cell>
          <cell r="B2540" t="str">
            <v>Gulfstream Aerospace Gulfstream II</v>
          </cell>
          <cell r="C2540" t="str">
            <v xml:space="preserve"> </v>
          </cell>
          <cell r="D2540">
            <v>1977</v>
          </cell>
          <cell r="E2540" t="str">
            <v>Sugra Inc</v>
          </cell>
          <cell r="F2540">
            <v>23</v>
          </cell>
          <cell r="G2540">
            <v>28377</v>
          </cell>
          <cell r="I2540" t="str">
            <v>North America</v>
          </cell>
          <cell r="J2540" t="str">
            <v>Canada</v>
          </cell>
          <cell r="K2540">
            <v>27575</v>
          </cell>
        </row>
        <row r="2541">
          <cell r="A2541" t="str">
            <v>In service</v>
          </cell>
          <cell r="B2541" t="str">
            <v>Gulfstream Aerospace Gulfstream II</v>
          </cell>
          <cell r="C2541" t="str">
            <v xml:space="preserve"> </v>
          </cell>
          <cell r="D2541">
            <v>1977</v>
          </cell>
          <cell r="E2541" t="str">
            <v>Rochester Aviation Inc</v>
          </cell>
          <cell r="F2541">
            <v>23</v>
          </cell>
          <cell r="G2541">
            <v>28618</v>
          </cell>
          <cell r="I2541" t="str">
            <v>North America</v>
          </cell>
          <cell r="J2541" t="str">
            <v>USA</v>
          </cell>
          <cell r="K2541">
            <v>27941</v>
          </cell>
        </row>
        <row r="2542">
          <cell r="A2542" t="str">
            <v>In service</v>
          </cell>
          <cell r="B2542" t="str">
            <v>Gulfstream Aerospace Gulfstream II</v>
          </cell>
          <cell r="C2542" t="str">
            <v xml:space="preserve"> </v>
          </cell>
          <cell r="D2542">
            <v>1977</v>
          </cell>
          <cell r="E2542" t="str">
            <v>Ditco Air Ltd</v>
          </cell>
          <cell r="F2542">
            <v>23</v>
          </cell>
          <cell r="G2542">
            <v>28622</v>
          </cell>
          <cell r="I2542" t="str">
            <v>Middle East</v>
          </cell>
          <cell r="J2542" t="str">
            <v>Saudi Arabia</v>
          </cell>
          <cell r="K2542">
            <v>28306</v>
          </cell>
        </row>
        <row r="2543">
          <cell r="A2543" t="str">
            <v>In service</v>
          </cell>
          <cell r="B2543" t="str">
            <v>Gulfstream Aerospace Gulfstream II</v>
          </cell>
          <cell r="C2543" t="str">
            <v xml:space="preserve"> </v>
          </cell>
          <cell r="D2543">
            <v>1977</v>
          </cell>
          <cell r="E2543" t="str">
            <v>Krystal Air LLC</v>
          </cell>
          <cell r="F2543">
            <v>23</v>
          </cell>
          <cell r="G2543">
            <v>28692</v>
          </cell>
          <cell r="I2543" t="str">
            <v>North America</v>
          </cell>
          <cell r="J2543" t="str">
            <v>USA</v>
          </cell>
          <cell r="K2543">
            <v>27941</v>
          </cell>
        </row>
        <row r="2544">
          <cell r="A2544" t="str">
            <v>In service</v>
          </cell>
          <cell r="B2544" t="str">
            <v>Gulfstream Aerospace Gulfstream II</v>
          </cell>
          <cell r="C2544" t="str">
            <v xml:space="preserve"> </v>
          </cell>
          <cell r="D2544">
            <v>1977</v>
          </cell>
          <cell r="E2544" t="str">
            <v>Merle Norman Cosmetics Inc</v>
          </cell>
          <cell r="F2544">
            <v>23</v>
          </cell>
          <cell r="G2544">
            <v>28485</v>
          </cell>
          <cell r="I2544" t="str">
            <v>North America</v>
          </cell>
          <cell r="J2544" t="str">
            <v>USA</v>
          </cell>
          <cell r="K2544">
            <v>27941</v>
          </cell>
        </row>
        <row r="2545">
          <cell r="A2545" t="str">
            <v>In service</v>
          </cell>
          <cell r="B2545" t="str">
            <v>Gulfstream Aerospace Gulfstream II</v>
          </cell>
          <cell r="C2545" t="str">
            <v xml:space="preserve"> </v>
          </cell>
          <cell r="D2545">
            <v>1978</v>
          </cell>
          <cell r="E2545" t="str">
            <v>Guardian Industries Corp</v>
          </cell>
          <cell r="F2545">
            <v>22</v>
          </cell>
          <cell r="G2545">
            <v>28510</v>
          </cell>
          <cell r="I2545" t="str">
            <v>North America</v>
          </cell>
          <cell r="J2545" t="str">
            <v>USA</v>
          </cell>
          <cell r="K2545">
            <v>27941</v>
          </cell>
        </row>
        <row r="2546">
          <cell r="A2546" t="str">
            <v>In service</v>
          </cell>
          <cell r="B2546" t="str">
            <v>Gulfstream Aerospace Gulfstream II</v>
          </cell>
          <cell r="C2546" t="str">
            <v xml:space="preserve"> </v>
          </cell>
          <cell r="D2546">
            <v>1978</v>
          </cell>
          <cell r="E2546" t="str">
            <v>RS Aircraft</v>
          </cell>
          <cell r="F2546">
            <v>22</v>
          </cell>
          <cell r="G2546">
            <v>28722</v>
          </cell>
          <cell r="I2546" t="str">
            <v>North America</v>
          </cell>
          <cell r="J2546" t="str">
            <v>USA</v>
          </cell>
          <cell r="K2546">
            <v>28671</v>
          </cell>
        </row>
        <row r="2547">
          <cell r="A2547" t="str">
            <v>In service</v>
          </cell>
          <cell r="B2547" t="str">
            <v>Gulfstream Aerospace Gulfstream II</v>
          </cell>
          <cell r="C2547" t="str">
            <v xml:space="preserve"> </v>
          </cell>
          <cell r="D2547">
            <v>1978</v>
          </cell>
          <cell r="E2547" t="str">
            <v>G &amp; L Aviation</v>
          </cell>
          <cell r="F2547">
            <v>22</v>
          </cell>
          <cell r="G2547">
            <v>28961</v>
          </cell>
          <cell r="I2547" t="str">
            <v>North America</v>
          </cell>
          <cell r="J2547" t="str">
            <v>USA</v>
          </cell>
        </row>
        <row r="2548">
          <cell r="A2548" t="str">
            <v>In service</v>
          </cell>
          <cell r="B2548" t="str">
            <v>Gulfstream Aerospace Gulfstream II</v>
          </cell>
          <cell r="C2548" t="str">
            <v xml:space="preserve"> </v>
          </cell>
          <cell r="D2548">
            <v>1978</v>
          </cell>
          <cell r="E2548" t="str">
            <v>NASA</v>
          </cell>
          <cell r="F2548">
            <v>22</v>
          </cell>
          <cell r="G2548">
            <v>28640</v>
          </cell>
          <cell r="I2548" t="str">
            <v>North America</v>
          </cell>
          <cell r="J2548" t="str">
            <v>USA</v>
          </cell>
        </row>
        <row r="2549">
          <cell r="A2549" t="str">
            <v>In service</v>
          </cell>
          <cell r="B2549" t="str">
            <v>Gulfstream Aerospace Gulfstream II</v>
          </cell>
          <cell r="C2549" t="str">
            <v xml:space="preserve"> </v>
          </cell>
          <cell r="D2549">
            <v>1968</v>
          </cell>
          <cell r="E2549" t="str">
            <v>Tyler Jet LLC</v>
          </cell>
          <cell r="F2549">
            <v>32</v>
          </cell>
          <cell r="G2549">
            <v>25238</v>
          </cell>
          <cell r="H2549" t="str">
            <v>VC-11A</v>
          </cell>
          <cell r="I2549" t="str">
            <v>North America</v>
          </cell>
          <cell r="J2549" t="str">
            <v>USA</v>
          </cell>
          <cell r="K2549">
            <v>24653</v>
          </cell>
        </row>
        <row r="2550">
          <cell r="A2550" t="str">
            <v>In service</v>
          </cell>
          <cell r="B2550" t="str">
            <v>Gulfstream Aerospace Gulfstream II</v>
          </cell>
          <cell r="C2550" t="str">
            <v xml:space="preserve"> </v>
          </cell>
          <cell r="D2550">
            <v>1978</v>
          </cell>
          <cell r="E2550" t="str">
            <v>Straight Arrow Publishers</v>
          </cell>
          <cell r="F2550">
            <v>22</v>
          </cell>
          <cell r="G2550">
            <v>28814</v>
          </cell>
          <cell r="I2550" t="str">
            <v>North America</v>
          </cell>
          <cell r="J2550" t="str">
            <v>USA</v>
          </cell>
        </row>
        <row r="2551">
          <cell r="A2551" t="str">
            <v>In service</v>
          </cell>
          <cell r="B2551" t="str">
            <v>Gulfstream Aerospace Gulfstream II</v>
          </cell>
          <cell r="C2551" t="str">
            <v xml:space="preserve"> </v>
          </cell>
          <cell r="D2551">
            <v>1968</v>
          </cell>
          <cell r="E2551" t="str">
            <v>Cedar Enterprises LLC</v>
          </cell>
          <cell r="F2551">
            <v>32</v>
          </cell>
          <cell r="G2551">
            <v>25069</v>
          </cell>
          <cell r="I2551" t="str">
            <v>North America</v>
          </cell>
          <cell r="J2551" t="str">
            <v>USA</v>
          </cell>
          <cell r="K2551">
            <v>24288</v>
          </cell>
        </row>
        <row r="2552">
          <cell r="A2552" t="str">
            <v>In service</v>
          </cell>
          <cell r="B2552" t="str">
            <v>Gulfstream Aerospace Gulfstream II</v>
          </cell>
          <cell r="C2552" t="str">
            <v xml:space="preserve"> </v>
          </cell>
          <cell r="D2552">
            <v>1979</v>
          </cell>
          <cell r="E2552" t="str">
            <v>Government of Chad</v>
          </cell>
          <cell r="F2552">
            <v>21</v>
          </cell>
          <cell r="G2552">
            <v>29218</v>
          </cell>
          <cell r="I2552" t="str">
            <v>Africa</v>
          </cell>
          <cell r="J2552" t="str">
            <v>Chad</v>
          </cell>
        </row>
        <row r="2553">
          <cell r="A2553" t="str">
            <v>In service</v>
          </cell>
          <cell r="B2553" t="str">
            <v>Gulfstream Aerospace Gulfstream II</v>
          </cell>
          <cell r="C2553" t="str">
            <v xml:space="preserve"> </v>
          </cell>
          <cell r="D2553">
            <v>1979</v>
          </cell>
          <cell r="E2553" t="str">
            <v>Government of Libya</v>
          </cell>
          <cell r="F2553">
            <v>21</v>
          </cell>
          <cell r="G2553">
            <v>29249</v>
          </cell>
          <cell r="I2553" t="str">
            <v>Africa</v>
          </cell>
          <cell r="J2553" t="str">
            <v>Libya</v>
          </cell>
        </row>
        <row r="2554">
          <cell r="A2554" t="str">
            <v>In service</v>
          </cell>
          <cell r="B2554" t="str">
            <v>Gulfstream Aerospace Gulfstream II</v>
          </cell>
          <cell r="C2554" t="str">
            <v xml:space="preserve"> </v>
          </cell>
          <cell r="D2554">
            <v>1979</v>
          </cell>
          <cell r="E2554" t="str">
            <v>Flynn Financial Corp</v>
          </cell>
          <cell r="F2554">
            <v>21</v>
          </cell>
          <cell r="G2554">
            <v>29245</v>
          </cell>
          <cell r="I2554" t="str">
            <v>North America</v>
          </cell>
          <cell r="J2554" t="str">
            <v>USA</v>
          </cell>
          <cell r="K2554">
            <v>28671</v>
          </cell>
        </row>
        <row r="2555">
          <cell r="A2555" t="str">
            <v>In service</v>
          </cell>
          <cell r="B2555" t="str">
            <v>Gulfstream Aerospace Gulfstream II</v>
          </cell>
          <cell r="C2555" t="str">
            <v xml:space="preserve"> </v>
          </cell>
          <cell r="D2555">
            <v>1968</v>
          </cell>
          <cell r="E2555" t="str">
            <v>Polo Wings II Inc</v>
          </cell>
          <cell r="F2555">
            <v>32</v>
          </cell>
          <cell r="G2555">
            <v>25070</v>
          </cell>
          <cell r="I2555" t="str">
            <v>North America</v>
          </cell>
          <cell r="J2555" t="str">
            <v>USA</v>
          </cell>
          <cell r="K2555">
            <v>24288</v>
          </cell>
        </row>
        <row r="2556">
          <cell r="A2556" t="str">
            <v>In service</v>
          </cell>
          <cell r="B2556" t="str">
            <v>Gulfstream Aerospace Gulfstream II</v>
          </cell>
          <cell r="C2556" t="str">
            <v xml:space="preserve"> </v>
          </cell>
          <cell r="D2556">
            <v>1979</v>
          </cell>
          <cell r="E2556" t="str">
            <v>Anadarko Petroleum Corp</v>
          </cell>
          <cell r="F2556">
            <v>21</v>
          </cell>
          <cell r="G2556">
            <v>29143</v>
          </cell>
          <cell r="I2556" t="str">
            <v>North America</v>
          </cell>
          <cell r="J2556" t="str">
            <v>USA</v>
          </cell>
          <cell r="K2556">
            <v>28671</v>
          </cell>
        </row>
        <row r="2557">
          <cell r="A2557" t="str">
            <v>In service</v>
          </cell>
          <cell r="B2557" t="str">
            <v>Gulfstream Aerospace Gulfstream II</v>
          </cell>
          <cell r="C2557" t="str">
            <v xml:space="preserve"> </v>
          </cell>
          <cell r="D2557">
            <v>1980</v>
          </cell>
          <cell r="E2557" t="str">
            <v>Badger Air Inc</v>
          </cell>
          <cell r="F2557">
            <v>20</v>
          </cell>
          <cell r="G2557">
            <v>29481</v>
          </cell>
          <cell r="I2557" t="str">
            <v>North America</v>
          </cell>
          <cell r="J2557" t="str">
            <v>USA</v>
          </cell>
          <cell r="K2557">
            <v>28671</v>
          </cell>
        </row>
        <row r="2558">
          <cell r="A2558" t="str">
            <v>In service</v>
          </cell>
          <cell r="B2558" t="str">
            <v>Gulfstream Aerospace Gulfstream II</v>
          </cell>
          <cell r="C2558" t="str">
            <v xml:space="preserve"> </v>
          </cell>
          <cell r="D2558">
            <v>1980</v>
          </cell>
          <cell r="E2558" t="str">
            <v>Haliburton Energy Services Inc</v>
          </cell>
          <cell r="F2558">
            <v>20</v>
          </cell>
          <cell r="G2558">
            <v>29235</v>
          </cell>
          <cell r="I2558" t="str">
            <v>North America</v>
          </cell>
          <cell r="J2558" t="str">
            <v>USA</v>
          </cell>
          <cell r="K2558">
            <v>29036</v>
          </cell>
        </row>
        <row r="2559">
          <cell r="A2559" t="str">
            <v>In service</v>
          </cell>
          <cell r="B2559" t="str">
            <v>Gulfstream Aerospace Gulfstream II</v>
          </cell>
          <cell r="C2559" t="str">
            <v xml:space="preserve"> </v>
          </cell>
          <cell r="D2559">
            <v>1968</v>
          </cell>
          <cell r="E2559" t="str">
            <v>KW Plastics Recycling Division Trust</v>
          </cell>
          <cell r="F2559">
            <v>32</v>
          </cell>
          <cell r="G2559">
            <v>25100</v>
          </cell>
          <cell r="I2559" t="str">
            <v>North America</v>
          </cell>
          <cell r="J2559" t="str">
            <v>USA</v>
          </cell>
          <cell r="K2559">
            <v>24653</v>
          </cell>
        </row>
        <row r="2560">
          <cell r="A2560" t="str">
            <v>In service</v>
          </cell>
          <cell r="B2560" t="str">
            <v>Gulfstream Aerospace Gulfstream II</v>
          </cell>
          <cell r="C2560" t="str">
            <v xml:space="preserve"> </v>
          </cell>
          <cell r="D2560">
            <v>1967</v>
          </cell>
          <cell r="E2560" t="str">
            <v>Avstar Jet Charter &amp; Management Services Inc</v>
          </cell>
          <cell r="F2560">
            <v>33</v>
          </cell>
          <cell r="G2560">
            <v>24866</v>
          </cell>
          <cell r="I2560" t="str">
            <v>North America</v>
          </cell>
          <cell r="J2560" t="str">
            <v>USA</v>
          </cell>
          <cell r="K2560">
            <v>24288</v>
          </cell>
        </row>
        <row r="2561">
          <cell r="A2561" t="str">
            <v>In service</v>
          </cell>
          <cell r="B2561" t="str">
            <v>Gulfstream Aerospace Gulfstream II</v>
          </cell>
          <cell r="C2561" t="str">
            <v xml:space="preserve"> </v>
          </cell>
          <cell r="D2561">
            <v>1968</v>
          </cell>
          <cell r="E2561" t="str">
            <v>Air Force Material Command</v>
          </cell>
          <cell r="F2561">
            <v>32</v>
          </cell>
          <cell r="G2561">
            <v>25125</v>
          </cell>
          <cell r="I2561" t="str">
            <v>North America</v>
          </cell>
          <cell r="J2561" t="str">
            <v>USA</v>
          </cell>
          <cell r="K2561">
            <v>24288</v>
          </cell>
        </row>
        <row r="2562">
          <cell r="A2562" t="str">
            <v>In service</v>
          </cell>
          <cell r="B2562" t="str">
            <v>Gulfstream Aerospace Gulfstream II</v>
          </cell>
          <cell r="C2562" t="str">
            <v xml:space="preserve"> </v>
          </cell>
          <cell r="D2562">
            <v>1968</v>
          </cell>
          <cell r="E2562" t="str">
            <v>Rutherford Moran Oil Corp</v>
          </cell>
          <cell r="F2562">
            <v>32</v>
          </cell>
          <cell r="G2562">
            <v>25177</v>
          </cell>
          <cell r="I2562" t="str">
            <v>North America</v>
          </cell>
          <cell r="J2562" t="str">
            <v>USA</v>
          </cell>
          <cell r="K2562">
            <v>24288</v>
          </cell>
        </row>
        <row r="2563">
          <cell r="A2563" t="str">
            <v>In service</v>
          </cell>
          <cell r="B2563" t="str">
            <v>Gulfstream Aerospace Gulfstream II</v>
          </cell>
          <cell r="C2563" t="str">
            <v xml:space="preserve"> </v>
          </cell>
          <cell r="D2563">
            <v>1968</v>
          </cell>
          <cell r="E2563" t="str">
            <v>Cheyenne Aviation LLC</v>
          </cell>
          <cell r="F2563">
            <v>32</v>
          </cell>
          <cell r="G2563">
            <v>25182</v>
          </cell>
          <cell r="I2563" t="str">
            <v>North America</v>
          </cell>
          <cell r="J2563" t="str">
            <v>USA</v>
          </cell>
          <cell r="K2563">
            <v>24288</v>
          </cell>
        </row>
        <row r="2564">
          <cell r="A2564" t="str">
            <v>In service</v>
          </cell>
          <cell r="B2564" t="str">
            <v>Gulfstream Aerospace Gulfstream II</v>
          </cell>
          <cell r="C2564" t="str">
            <v xml:space="preserve"> </v>
          </cell>
          <cell r="D2564">
            <v>1968</v>
          </cell>
          <cell r="E2564" t="str">
            <v>Stein Hagstrom &amp; John B Kjekstad</v>
          </cell>
          <cell r="F2564">
            <v>32</v>
          </cell>
          <cell r="G2564">
            <v>25190</v>
          </cell>
          <cell r="I2564" t="str">
            <v>North America</v>
          </cell>
          <cell r="J2564" t="str">
            <v>USA</v>
          </cell>
          <cell r="K2564">
            <v>24288</v>
          </cell>
        </row>
        <row r="2565">
          <cell r="A2565" t="str">
            <v>In service</v>
          </cell>
          <cell r="B2565" t="str">
            <v>Gulfstream Aerospace Gulfstream II</v>
          </cell>
          <cell r="C2565" t="str">
            <v xml:space="preserve"> </v>
          </cell>
          <cell r="D2565">
            <v>1969</v>
          </cell>
          <cell r="E2565" t="str">
            <v>Liggett Group Inc</v>
          </cell>
          <cell r="F2565">
            <v>31</v>
          </cell>
          <cell r="G2565">
            <v>25234</v>
          </cell>
          <cell r="I2565" t="str">
            <v>North America</v>
          </cell>
          <cell r="J2565" t="str">
            <v>USA</v>
          </cell>
          <cell r="K2565">
            <v>24653</v>
          </cell>
        </row>
        <row r="2566">
          <cell r="A2566" t="str">
            <v>In service</v>
          </cell>
          <cell r="B2566" t="str">
            <v>Gulfstream Aerospace Gulfstream II</v>
          </cell>
          <cell r="C2566" t="str">
            <v xml:space="preserve"> </v>
          </cell>
          <cell r="D2566">
            <v>1969</v>
          </cell>
          <cell r="E2566" t="str">
            <v>ConocoPhillips Co</v>
          </cell>
          <cell r="F2566">
            <v>31</v>
          </cell>
          <cell r="G2566">
            <v>25232</v>
          </cell>
          <cell r="I2566" t="str">
            <v>North America</v>
          </cell>
          <cell r="J2566" t="str">
            <v>USA</v>
          </cell>
          <cell r="K2566">
            <v>24653</v>
          </cell>
        </row>
        <row r="2567">
          <cell r="A2567" t="str">
            <v>In service</v>
          </cell>
          <cell r="B2567" t="str">
            <v>Gulfstream Aerospace Gulfstream II</v>
          </cell>
          <cell r="C2567" t="str">
            <v xml:space="preserve"> </v>
          </cell>
          <cell r="D2567">
            <v>1969</v>
          </cell>
          <cell r="E2567" t="str">
            <v>Stafford Aviation LLC</v>
          </cell>
          <cell r="F2567">
            <v>31</v>
          </cell>
          <cell r="G2567">
            <v>25515</v>
          </cell>
          <cell r="I2567" t="str">
            <v>North America</v>
          </cell>
          <cell r="J2567" t="str">
            <v>USA</v>
          </cell>
          <cell r="K2567">
            <v>25019</v>
          </cell>
        </row>
        <row r="2568">
          <cell r="A2568" t="str">
            <v>In service</v>
          </cell>
          <cell r="B2568" t="str">
            <v>Gulfstream Aerospace Gulfstream II</v>
          </cell>
          <cell r="C2568" t="str">
            <v xml:space="preserve"> </v>
          </cell>
          <cell r="D2568">
            <v>1967</v>
          </cell>
          <cell r="E2568" t="str">
            <v>Tyler Jet LLC</v>
          </cell>
          <cell r="F2568">
            <v>33</v>
          </cell>
          <cell r="G2568">
            <v>24812</v>
          </cell>
          <cell r="I2568" t="str">
            <v>North America</v>
          </cell>
          <cell r="J2568" t="str">
            <v>USA</v>
          </cell>
          <cell r="K2568">
            <v>23923</v>
          </cell>
        </row>
        <row r="2569">
          <cell r="A2569" t="str">
            <v>In service</v>
          </cell>
          <cell r="B2569" t="str">
            <v>Gulfstream Aerospace Gulfstream II</v>
          </cell>
          <cell r="C2569" t="str">
            <v xml:space="preserve"> </v>
          </cell>
          <cell r="D2569">
            <v>1969</v>
          </cell>
          <cell r="E2569" t="str">
            <v>Air Tiger Inc</v>
          </cell>
          <cell r="F2569">
            <v>31</v>
          </cell>
          <cell r="G2569">
            <v>25293</v>
          </cell>
          <cell r="I2569" t="str">
            <v>North America</v>
          </cell>
          <cell r="J2569" t="str">
            <v>USA</v>
          </cell>
          <cell r="K2569">
            <v>24653</v>
          </cell>
        </row>
        <row r="2570">
          <cell r="A2570" t="str">
            <v>In service</v>
          </cell>
          <cell r="B2570" t="str">
            <v>Gulfstream Aerospace Gulfstream II</v>
          </cell>
          <cell r="C2570" t="str">
            <v xml:space="preserve"> </v>
          </cell>
          <cell r="D2570">
            <v>1969</v>
          </cell>
          <cell r="E2570" t="str">
            <v>Northwestern Executive/NAA LLC/et al</v>
          </cell>
          <cell r="F2570">
            <v>31</v>
          </cell>
          <cell r="G2570">
            <v>25324</v>
          </cell>
          <cell r="I2570" t="str">
            <v>North America</v>
          </cell>
          <cell r="J2570" t="str">
            <v>USA</v>
          </cell>
          <cell r="K2570">
            <v>24653</v>
          </cell>
        </row>
        <row r="2571">
          <cell r="A2571" t="str">
            <v>In service</v>
          </cell>
          <cell r="B2571" t="str">
            <v>Gulfstream Aerospace Gulfstream II</v>
          </cell>
          <cell r="C2571" t="str">
            <v xml:space="preserve"> </v>
          </cell>
          <cell r="D2571">
            <v>1969</v>
          </cell>
          <cell r="E2571" t="str">
            <v>Drummond Co Inc</v>
          </cell>
          <cell r="F2571">
            <v>31</v>
          </cell>
          <cell r="G2571">
            <v>25335</v>
          </cell>
          <cell r="I2571" t="str">
            <v>North America</v>
          </cell>
          <cell r="J2571" t="str">
            <v>USA</v>
          </cell>
          <cell r="K2571">
            <v>24653</v>
          </cell>
        </row>
        <row r="2572">
          <cell r="A2572" t="str">
            <v>In service</v>
          </cell>
          <cell r="B2572" t="str">
            <v>Gulfstream Aerospace Gulfstream II</v>
          </cell>
          <cell r="C2572" t="str">
            <v xml:space="preserve"> </v>
          </cell>
          <cell r="D2572">
            <v>1967</v>
          </cell>
          <cell r="E2572" t="str">
            <v>Pincervale Ltd</v>
          </cell>
          <cell r="F2572">
            <v>33</v>
          </cell>
          <cell r="G2572">
            <v>24866</v>
          </cell>
          <cell r="I2572" t="str">
            <v>North America</v>
          </cell>
          <cell r="J2572" t="str">
            <v>USA</v>
          </cell>
          <cell r="K2572">
            <v>24288</v>
          </cell>
        </row>
        <row r="2573">
          <cell r="A2573" t="str">
            <v>In service</v>
          </cell>
          <cell r="B2573" t="str">
            <v>Gulfstream Aerospace Gulfstream II</v>
          </cell>
          <cell r="C2573" t="str">
            <v xml:space="preserve"> </v>
          </cell>
          <cell r="D2573">
            <v>1969</v>
          </cell>
          <cell r="E2573" t="str">
            <v>Kipp Ginsberg Trust</v>
          </cell>
          <cell r="F2573">
            <v>31</v>
          </cell>
          <cell r="G2573">
            <v>25409</v>
          </cell>
          <cell r="I2573" t="str">
            <v>North America</v>
          </cell>
          <cell r="J2573" t="str">
            <v>USA</v>
          </cell>
          <cell r="K2573">
            <v>24653</v>
          </cell>
        </row>
        <row r="2574">
          <cell r="A2574" t="str">
            <v>In service</v>
          </cell>
          <cell r="B2574" t="str">
            <v>Gulfstream Aerospace Gulfstream II</v>
          </cell>
          <cell r="C2574" t="str">
            <v xml:space="preserve"> </v>
          </cell>
          <cell r="D2574">
            <v>1969</v>
          </cell>
          <cell r="E2574" t="str">
            <v>MTI Vacations Inc</v>
          </cell>
          <cell r="F2574">
            <v>31</v>
          </cell>
          <cell r="G2574">
            <v>25422</v>
          </cell>
          <cell r="I2574" t="str">
            <v>North America</v>
          </cell>
          <cell r="J2574" t="str">
            <v>USA</v>
          </cell>
          <cell r="K2574">
            <v>25019</v>
          </cell>
        </row>
        <row r="2575">
          <cell r="A2575" t="str">
            <v>In service</v>
          </cell>
          <cell r="B2575" t="str">
            <v>Gulfstream Aerospace Gulfstream II</v>
          </cell>
          <cell r="C2575" t="str">
            <v xml:space="preserve"> </v>
          </cell>
          <cell r="D2575">
            <v>1969</v>
          </cell>
          <cell r="E2575" t="str">
            <v>Sterling Jet Ltd/Sterling Jet II Ltd/Richmor Av'n</v>
          </cell>
          <cell r="F2575">
            <v>31</v>
          </cell>
          <cell r="G2575">
            <v>25433</v>
          </cell>
          <cell r="I2575" t="str">
            <v>North America</v>
          </cell>
          <cell r="J2575" t="str">
            <v>USA</v>
          </cell>
          <cell r="K2575">
            <v>24653</v>
          </cell>
        </row>
        <row r="2576">
          <cell r="A2576" t="str">
            <v>In service</v>
          </cell>
          <cell r="B2576" t="str">
            <v>Gulfstream Aerospace Gulfstream II</v>
          </cell>
          <cell r="C2576" t="str">
            <v xml:space="preserve"> </v>
          </cell>
          <cell r="D2576">
            <v>1969</v>
          </cell>
          <cell r="E2576" t="str">
            <v>JHS Leasing of Tampa Inc</v>
          </cell>
          <cell r="F2576">
            <v>31</v>
          </cell>
          <cell r="G2576">
            <v>25441</v>
          </cell>
          <cell r="I2576" t="str">
            <v>North America</v>
          </cell>
          <cell r="J2576" t="str">
            <v>USA</v>
          </cell>
          <cell r="K2576">
            <v>24653</v>
          </cell>
        </row>
        <row r="2577">
          <cell r="A2577" t="str">
            <v>In service</v>
          </cell>
          <cell r="B2577" t="str">
            <v>Gulfstream Aerospace Gulfstream II</v>
          </cell>
          <cell r="C2577" t="str">
            <v xml:space="preserve"> </v>
          </cell>
          <cell r="D2577">
            <v>1969</v>
          </cell>
          <cell r="E2577" t="str">
            <v>Scott Aviation Inc</v>
          </cell>
          <cell r="F2577">
            <v>31</v>
          </cell>
          <cell r="G2577">
            <v>25458</v>
          </cell>
          <cell r="I2577" t="str">
            <v>North America</v>
          </cell>
          <cell r="J2577" t="str">
            <v>USA</v>
          </cell>
          <cell r="K2577">
            <v>24653</v>
          </cell>
        </row>
        <row r="2578">
          <cell r="A2578" t="str">
            <v>In service</v>
          </cell>
          <cell r="B2578" t="str">
            <v>Gulfstream Aerospace Gulfstream II</v>
          </cell>
          <cell r="C2578" t="str">
            <v xml:space="preserve"> </v>
          </cell>
          <cell r="D2578">
            <v>1969</v>
          </cell>
          <cell r="E2578" t="str">
            <v>7-N Aircorp</v>
          </cell>
          <cell r="F2578">
            <v>31</v>
          </cell>
          <cell r="G2578">
            <v>25489</v>
          </cell>
          <cell r="I2578" t="str">
            <v>North America</v>
          </cell>
          <cell r="J2578" t="str">
            <v>USA</v>
          </cell>
          <cell r="K2578">
            <v>24653</v>
          </cell>
        </row>
        <row r="2579">
          <cell r="A2579" t="str">
            <v>In service</v>
          </cell>
          <cell r="B2579" t="str">
            <v>Gulfstream Aerospace Gulfstream II</v>
          </cell>
          <cell r="C2579" t="str">
            <v xml:space="preserve"> </v>
          </cell>
          <cell r="D2579">
            <v>1969</v>
          </cell>
          <cell r="E2579" t="str">
            <v>Guidant Corp</v>
          </cell>
          <cell r="F2579">
            <v>31</v>
          </cell>
          <cell r="G2579">
            <v>25559</v>
          </cell>
          <cell r="I2579" t="str">
            <v>North America</v>
          </cell>
          <cell r="J2579" t="str">
            <v>USA</v>
          </cell>
          <cell r="K2579">
            <v>24653</v>
          </cell>
        </row>
        <row r="2580">
          <cell r="A2580" t="str">
            <v>In service</v>
          </cell>
          <cell r="B2580" t="str">
            <v>Gulfstream Aerospace Gulfstream II</v>
          </cell>
          <cell r="C2580" t="str">
            <v xml:space="preserve"> </v>
          </cell>
          <cell r="D2580">
            <v>1970</v>
          </cell>
          <cell r="E2580" t="str">
            <v>Hendrick Motorsports Inc</v>
          </cell>
          <cell r="F2580">
            <v>30</v>
          </cell>
          <cell r="G2580">
            <v>25703</v>
          </cell>
          <cell r="I2580" t="str">
            <v>North America</v>
          </cell>
          <cell r="J2580" t="str">
            <v>USA</v>
          </cell>
          <cell r="K2580">
            <v>25019</v>
          </cell>
        </row>
        <row r="2581">
          <cell r="A2581" t="str">
            <v>In service</v>
          </cell>
          <cell r="B2581" t="str">
            <v>Gulfstream Aerospace Gulfstream II</v>
          </cell>
          <cell r="C2581" t="str">
            <v xml:space="preserve"> </v>
          </cell>
          <cell r="D2581">
            <v>1970</v>
          </cell>
          <cell r="E2581" t="str">
            <v>Southern Leasing LLC</v>
          </cell>
          <cell r="F2581">
            <v>30</v>
          </cell>
          <cell r="G2581">
            <v>25630</v>
          </cell>
          <cell r="I2581" t="str">
            <v>North America</v>
          </cell>
          <cell r="J2581" t="str">
            <v>USA</v>
          </cell>
          <cell r="K2581">
            <v>25019</v>
          </cell>
        </row>
        <row r="2582">
          <cell r="A2582" t="str">
            <v>In service</v>
          </cell>
          <cell r="B2582" t="str">
            <v>Gulfstream Aerospace Gulfstream II</v>
          </cell>
          <cell r="C2582" t="str">
            <v xml:space="preserve"> </v>
          </cell>
          <cell r="D2582">
            <v>1970</v>
          </cell>
          <cell r="E2582" t="str">
            <v>Scott Aviation Inc</v>
          </cell>
          <cell r="F2582">
            <v>30</v>
          </cell>
          <cell r="G2582">
            <v>25703</v>
          </cell>
          <cell r="I2582" t="str">
            <v>North America</v>
          </cell>
          <cell r="J2582" t="str">
            <v>USA</v>
          </cell>
          <cell r="K2582">
            <v>25019</v>
          </cell>
        </row>
        <row r="2583">
          <cell r="A2583" t="str">
            <v>In service</v>
          </cell>
          <cell r="B2583" t="str">
            <v>Gulfstream Aerospace Gulfstream II</v>
          </cell>
          <cell r="C2583" t="str">
            <v xml:space="preserve"> </v>
          </cell>
          <cell r="D2583">
            <v>1970</v>
          </cell>
          <cell r="E2583" t="str">
            <v>Vitro Corporacion SA de CV</v>
          </cell>
          <cell r="F2583">
            <v>30</v>
          </cell>
          <cell r="G2583">
            <v>26088</v>
          </cell>
          <cell r="I2583" t="str">
            <v>Latin America and Caribbean</v>
          </cell>
          <cell r="J2583" t="str">
            <v>Mexico</v>
          </cell>
          <cell r="K2583">
            <v>25749</v>
          </cell>
        </row>
        <row r="2584">
          <cell r="A2584" t="str">
            <v>In service</v>
          </cell>
          <cell r="B2584" t="str">
            <v>Gulfstream Aerospace Gulfstream II</v>
          </cell>
          <cell r="C2584" t="str">
            <v>B</v>
          </cell>
          <cell r="D2584">
            <v>1971</v>
          </cell>
          <cell r="E2584" t="str">
            <v>The Clorox Co</v>
          </cell>
          <cell r="F2584">
            <v>29</v>
          </cell>
          <cell r="G2584">
            <v>26213</v>
          </cell>
          <cell r="H2584" t="str">
            <v>IIB</v>
          </cell>
          <cell r="I2584" t="str">
            <v>North America</v>
          </cell>
          <cell r="J2584" t="str">
            <v>USA</v>
          </cell>
          <cell r="K2584">
            <v>25384</v>
          </cell>
        </row>
        <row r="2585">
          <cell r="A2585" t="str">
            <v>In service</v>
          </cell>
          <cell r="B2585" t="str">
            <v>Gulfstream Aerospace Gulfstream II</v>
          </cell>
          <cell r="C2585" t="str">
            <v>B</v>
          </cell>
          <cell r="D2585">
            <v>1972</v>
          </cell>
          <cell r="E2585" t="str">
            <v>New World Aviation Inc</v>
          </cell>
          <cell r="F2585">
            <v>28</v>
          </cell>
          <cell r="G2585">
            <v>26606</v>
          </cell>
          <cell r="H2585" t="str">
            <v>IIB</v>
          </cell>
          <cell r="I2585" t="str">
            <v>North America</v>
          </cell>
          <cell r="J2585" t="str">
            <v>USA</v>
          </cell>
          <cell r="K2585">
            <v>25749</v>
          </cell>
        </row>
        <row r="2586">
          <cell r="A2586" t="str">
            <v>In service</v>
          </cell>
          <cell r="B2586" t="str">
            <v>Gulfstream Aerospace Gulfstream II</v>
          </cell>
          <cell r="C2586" t="str">
            <v>B</v>
          </cell>
          <cell r="D2586">
            <v>1973</v>
          </cell>
          <cell r="E2586" t="str">
            <v>711 Aviation Corp</v>
          </cell>
          <cell r="F2586">
            <v>27</v>
          </cell>
          <cell r="G2586">
            <v>26693</v>
          </cell>
          <cell r="H2586" t="str">
            <v>IIB</v>
          </cell>
          <cell r="I2586" t="str">
            <v>North America</v>
          </cell>
          <cell r="J2586" t="str">
            <v>USA</v>
          </cell>
          <cell r="K2586">
            <v>26480</v>
          </cell>
        </row>
        <row r="2587">
          <cell r="A2587" t="str">
            <v>In service</v>
          </cell>
          <cell r="B2587" t="str">
            <v>Gulfstream Aerospace Gulfstream II</v>
          </cell>
          <cell r="C2587" t="str">
            <v>B</v>
          </cell>
          <cell r="D2587">
            <v>1973</v>
          </cell>
          <cell r="E2587" t="str">
            <v>Budget Jet Inc</v>
          </cell>
          <cell r="F2587">
            <v>27</v>
          </cell>
          <cell r="G2587">
            <v>26854</v>
          </cell>
          <cell r="H2587" t="str">
            <v>IIB</v>
          </cell>
          <cell r="I2587" t="str">
            <v>North America</v>
          </cell>
          <cell r="J2587" t="str">
            <v>USA</v>
          </cell>
          <cell r="K2587">
            <v>26480</v>
          </cell>
        </row>
        <row r="2588">
          <cell r="A2588" t="str">
            <v>In service</v>
          </cell>
          <cell r="B2588" t="str">
            <v>Gulfstream Aerospace Gulfstream II</v>
          </cell>
          <cell r="C2588" t="str">
            <v>B</v>
          </cell>
          <cell r="D2588">
            <v>1973</v>
          </cell>
          <cell r="E2588" t="str">
            <v>Avjet Corp</v>
          </cell>
          <cell r="F2588">
            <v>27</v>
          </cell>
          <cell r="G2588">
            <v>27054</v>
          </cell>
          <cell r="H2588" t="str">
            <v>IIB</v>
          </cell>
          <cell r="I2588" t="str">
            <v>North America</v>
          </cell>
          <cell r="J2588" t="str">
            <v>USA</v>
          </cell>
          <cell r="K2588">
            <v>26480</v>
          </cell>
        </row>
        <row r="2589">
          <cell r="A2589" t="str">
            <v>In service</v>
          </cell>
          <cell r="B2589" t="str">
            <v>Gulfstream Aerospace Gulfstream II</v>
          </cell>
          <cell r="C2589" t="str">
            <v>B</v>
          </cell>
          <cell r="D2589">
            <v>1974</v>
          </cell>
          <cell r="E2589" t="str">
            <v>NB Aviation Inc</v>
          </cell>
          <cell r="F2589">
            <v>26</v>
          </cell>
          <cell r="G2589">
            <v>27173</v>
          </cell>
          <cell r="H2589" t="str">
            <v>IIB</v>
          </cell>
          <cell r="I2589" t="str">
            <v>North America</v>
          </cell>
          <cell r="J2589" t="str">
            <v>USA</v>
          </cell>
          <cell r="K2589">
            <v>26480</v>
          </cell>
        </row>
        <row r="2590">
          <cell r="A2590" t="str">
            <v>In service</v>
          </cell>
          <cell r="B2590" t="str">
            <v>Gulfstream Aerospace Gulfstream II</v>
          </cell>
          <cell r="C2590" t="str">
            <v>B</v>
          </cell>
          <cell r="D2590">
            <v>1974</v>
          </cell>
          <cell r="E2590" t="str">
            <v>Air Resources Corp</v>
          </cell>
          <cell r="F2590">
            <v>26</v>
          </cell>
          <cell r="G2590">
            <v>27224</v>
          </cell>
          <cell r="H2590" t="str">
            <v>IIB</v>
          </cell>
          <cell r="I2590" t="str">
            <v>North America</v>
          </cell>
          <cell r="J2590" t="str">
            <v>USA</v>
          </cell>
          <cell r="K2590">
            <v>27210</v>
          </cell>
        </row>
        <row r="2591">
          <cell r="A2591" t="str">
            <v>In service</v>
          </cell>
          <cell r="B2591" t="str">
            <v>Gulfstream Aerospace Gulfstream II</v>
          </cell>
          <cell r="C2591" t="str">
            <v>B</v>
          </cell>
          <cell r="D2591">
            <v>1974</v>
          </cell>
          <cell r="E2591" t="str">
            <v>Hyperion Air Inc</v>
          </cell>
          <cell r="F2591">
            <v>26</v>
          </cell>
          <cell r="G2591">
            <v>27320</v>
          </cell>
          <cell r="H2591" t="str">
            <v>IIB</v>
          </cell>
          <cell r="I2591" t="str">
            <v>North America</v>
          </cell>
          <cell r="J2591" t="str">
            <v>USA</v>
          </cell>
        </row>
        <row r="2592">
          <cell r="A2592" t="str">
            <v>In service</v>
          </cell>
          <cell r="B2592" t="str">
            <v>Gulfstream Aerospace Gulfstream II</v>
          </cell>
          <cell r="C2592" t="str">
            <v>B</v>
          </cell>
          <cell r="D2592">
            <v>1974</v>
          </cell>
          <cell r="E2592" t="str">
            <v>CDL Aviation Inc</v>
          </cell>
          <cell r="F2592">
            <v>26</v>
          </cell>
          <cell r="G2592">
            <v>27369</v>
          </cell>
          <cell r="H2592" t="str">
            <v>IIB</v>
          </cell>
          <cell r="I2592" t="str">
            <v>North America</v>
          </cell>
          <cell r="J2592" t="str">
            <v>USA</v>
          </cell>
          <cell r="K2592">
            <v>26480</v>
          </cell>
        </row>
        <row r="2593">
          <cell r="A2593" t="str">
            <v>In service</v>
          </cell>
          <cell r="B2593" t="str">
            <v>Gulfstream Aerospace Gulfstream II</v>
          </cell>
          <cell r="C2593" t="str">
            <v>B</v>
          </cell>
          <cell r="D2593">
            <v>1974</v>
          </cell>
          <cell r="E2593" t="str">
            <v>477 Aviation LLC</v>
          </cell>
          <cell r="F2593">
            <v>26</v>
          </cell>
          <cell r="G2593">
            <v>27378</v>
          </cell>
          <cell r="H2593" t="str">
            <v>IIB</v>
          </cell>
          <cell r="I2593" t="str">
            <v>North America</v>
          </cell>
          <cell r="J2593" t="str">
            <v>USA</v>
          </cell>
          <cell r="K2593">
            <v>26480</v>
          </cell>
        </row>
        <row r="2594">
          <cell r="A2594" t="str">
            <v>In service</v>
          </cell>
          <cell r="B2594" t="str">
            <v>Gulfstream Aerospace Gulfstream II</v>
          </cell>
          <cell r="C2594" t="str">
            <v>B</v>
          </cell>
          <cell r="D2594">
            <v>1974</v>
          </cell>
          <cell r="E2594" t="str">
            <v>Yellowstone Aviation LLC</v>
          </cell>
          <cell r="F2594">
            <v>26</v>
          </cell>
          <cell r="G2594">
            <v>27417</v>
          </cell>
          <cell r="H2594" t="str">
            <v>IIB</v>
          </cell>
          <cell r="I2594" t="str">
            <v>North America</v>
          </cell>
          <cell r="J2594" t="str">
            <v>USA</v>
          </cell>
          <cell r="K2594">
            <v>26845</v>
          </cell>
        </row>
        <row r="2595">
          <cell r="A2595" t="str">
            <v>In service</v>
          </cell>
          <cell r="B2595" t="str">
            <v>Gulfstream Aerospace Gulfstream II</v>
          </cell>
          <cell r="C2595" t="str">
            <v>B</v>
          </cell>
          <cell r="D2595">
            <v>1968</v>
          </cell>
          <cell r="E2595" t="str">
            <v>Charles Fry Electronics Inc</v>
          </cell>
          <cell r="F2595">
            <v>32</v>
          </cell>
          <cell r="G2595">
            <v>24975</v>
          </cell>
          <cell r="H2595" t="str">
            <v>IIB</v>
          </cell>
          <cell r="I2595" t="str">
            <v>North America</v>
          </cell>
          <cell r="J2595" t="str">
            <v>USA</v>
          </cell>
          <cell r="K2595">
            <v>24288</v>
          </cell>
        </row>
        <row r="2596">
          <cell r="A2596" t="str">
            <v>In service</v>
          </cell>
          <cell r="B2596" t="str">
            <v>Gulfstream Aerospace Gulfstream II</v>
          </cell>
          <cell r="C2596" t="str">
            <v>B</v>
          </cell>
          <cell r="D2596">
            <v>1975</v>
          </cell>
          <cell r="E2596" t="str">
            <v>Coastal Corp</v>
          </cell>
          <cell r="F2596">
            <v>25</v>
          </cell>
          <cell r="G2596">
            <v>27589</v>
          </cell>
          <cell r="H2596" t="str">
            <v>IIB</v>
          </cell>
          <cell r="I2596" t="str">
            <v>North America</v>
          </cell>
          <cell r="J2596" t="str">
            <v>USA</v>
          </cell>
        </row>
        <row r="2597">
          <cell r="A2597" t="str">
            <v>In service</v>
          </cell>
          <cell r="B2597" t="str">
            <v>Gulfstream Aerospace Gulfstream II</v>
          </cell>
          <cell r="C2597" t="str">
            <v>B</v>
          </cell>
          <cell r="D2597">
            <v>1975</v>
          </cell>
          <cell r="E2597" t="str">
            <v>Deniston Enterprises Inc</v>
          </cell>
          <cell r="F2597">
            <v>25</v>
          </cell>
          <cell r="G2597">
            <v>27603</v>
          </cell>
          <cell r="H2597" t="str">
            <v>IIB</v>
          </cell>
          <cell r="I2597" t="str">
            <v>North America</v>
          </cell>
          <cell r="J2597" t="str">
            <v>USA</v>
          </cell>
          <cell r="K2597">
            <v>27210</v>
          </cell>
        </row>
        <row r="2598">
          <cell r="A2598" t="str">
            <v>In service</v>
          </cell>
          <cell r="B2598" t="str">
            <v>Gulfstream Aerospace Gulfstream II</v>
          </cell>
          <cell r="C2598" t="str">
            <v>B</v>
          </cell>
          <cell r="D2598">
            <v>1976</v>
          </cell>
          <cell r="E2598" t="str">
            <v>Apache Corp</v>
          </cell>
          <cell r="F2598">
            <v>24</v>
          </cell>
          <cell r="G2598">
            <v>28026</v>
          </cell>
          <cell r="H2598" t="str">
            <v>IIB</v>
          </cell>
          <cell r="I2598" t="str">
            <v>North America</v>
          </cell>
          <cell r="J2598" t="str">
            <v>USA</v>
          </cell>
          <cell r="K2598">
            <v>27575</v>
          </cell>
        </row>
        <row r="2599">
          <cell r="A2599" t="str">
            <v>In service</v>
          </cell>
          <cell r="B2599" t="str">
            <v>Gulfstream Aerospace Gulfstream II</v>
          </cell>
          <cell r="C2599" t="str">
            <v>B</v>
          </cell>
          <cell r="D2599">
            <v>1977</v>
          </cell>
          <cell r="E2599" t="str">
            <v>Bopper Airways LLC</v>
          </cell>
          <cell r="F2599">
            <v>23</v>
          </cell>
          <cell r="G2599">
            <v>28177</v>
          </cell>
          <cell r="H2599" t="str">
            <v>IIB</v>
          </cell>
          <cell r="I2599" t="str">
            <v>North America</v>
          </cell>
          <cell r="J2599" t="str">
            <v>USA</v>
          </cell>
          <cell r="K2599">
            <v>27941</v>
          </cell>
        </row>
        <row r="2600">
          <cell r="A2600" t="str">
            <v>In service</v>
          </cell>
          <cell r="B2600" t="str">
            <v>Gulfstream Aerospace Gulfstream II</v>
          </cell>
          <cell r="C2600" t="str">
            <v>B</v>
          </cell>
          <cell r="D2600">
            <v>1977</v>
          </cell>
          <cell r="E2600" t="str">
            <v>C &amp; L Aviation LLC</v>
          </cell>
          <cell r="F2600">
            <v>23</v>
          </cell>
          <cell r="G2600">
            <v>28199</v>
          </cell>
          <cell r="H2600" t="str">
            <v>IIB</v>
          </cell>
          <cell r="I2600" t="str">
            <v>North America</v>
          </cell>
          <cell r="J2600" t="str">
            <v>USA</v>
          </cell>
          <cell r="K2600">
            <v>27941</v>
          </cell>
        </row>
        <row r="2601">
          <cell r="A2601" t="str">
            <v>In service</v>
          </cell>
          <cell r="B2601" t="str">
            <v>Gulfstream Aerospace Gulfstream II</v>
          </cell>
          <cell r="C2601" t="str">
            <v>B</v>
          </cell>
          <cell r="D2601">
            <v>1977</v>
          </cell>
          <cell r="E2601" t="str">
            <v>United Breweries</v>
          </cell>
          <cell r="F2601">
            <v>23</v>
          </cell>
          <cell r="G2601">
            <v>28383</v>
          </cell>
          <cell r="H2601" t="str">
            <v>IIB</v>
          </cell>
          <cell r="I2601" t="str">
            <v>Asia</v>
          </cell>
          <cell r="J2601" t="str">
            <v>India</v>
          </cell>
          <cell r="K2601">
            <v>27575</v>
          </cell>
        </row>
        <row r="2602">
          <cell r="A2602" t="str">
            <v>In service</v>
          </cell>
          <cell r="B2602" t="str">
            <v>Gulfstream Aerospace Gulfstream II</v>
          </cell>
          <cell r="C2602" t="str">
            <v>B</v>
          </cell>
          <cell r="D2602">
            <v>1968</v>
          </cell>
          <cell r="E2602" t="str">
            <v>Hi-Flite Inc</v>
          </cell>
          <cell r="F2602">
            <v>32</v>
          </cell>
          <cell r="G2602">
            <v>25058</v>
          </cell>
          <cell r="H2602" t="str">
            <v>IIB</v>
          </cell>
          <cell r="I2602" t="str">
            <v>North America</v>
          </cell>
          <cell r="J2602" t="str">
            <v>USA</v>
          </cell>
          <cell r="K2602">
            <v>24288</v>
          </cell>
        </row>
        <row r="2603">
          <cell r="A2603" t="str">
            <v>In service</v>
          </cell>
          <cell r="B2603" t="str">
            <v>Gulfstream Aerospace Gulfstream II</v>
          </cell>
          <cell r="C2603" t="str">
            <v>B</v>
          </cell>
          <cell r="D2603">
            <v>1978</v>
          </cell>
          <cell r="E2603" t="str">
            <v>EI Aviation LLC</v>
          </cell>
          <cell r="F2603">
            <v>22</v>
          </cell>
          <cell r="G2603">
            <v>28574</v>
          </cell>
          <cell r="H2603" t="str">
            <v>IIB</v>
          </cell>
          <cell r="I2603" t="str">
            <v>North America</v>
          </cell>
          <cell r="J2603" t="str">
            <v>USA</v>
          </cell>
          <cell r="K2603">
            <v>27941</v>
          </cell>
        </row>
        <row r="2604">
          <cell r="A2604" t="str">
            <v>In service</v>
          </cell>
          <cell r="B2604" t="str">
            <v>Gulfstream Aerospace Gulfstream II</v>
          </cell>
          <cell r="C2604" t="str">
            <v>B</v>
          </cell>
          <cell r="D2604">
            <v>1978</v>
          </cell>
          <cell r="E2604" t="str">
            <v>Eastman Chemical Co</v>
          </cell>
          <cell r="F2604">
            <v>22</v>
          </cell>
          <cell r="G2604">
            <v>28804</v>
          </cell>
          <cell r="H2604" t="str">
            <v>IIB</v>
          </cell>
          <cell r="I2604" t="str">
            <v>North America</v>
          </cell>
          <cell r="J2604" t="str">
            <v>USA</v>
          </cell>
          <cell r="K2604">
            <v>28306</v>
          </cell>
        </row>
        <row r="2605">
          <cell r="A2605" t="str">
            <v>In service</v>
          </cell>
          <cell r="B2605" t="str">
            <v>Gulfstream Aerospace Gulfstream II</v>
          </cell>
          <cell r="C2605" t="str">
            <v>B</v>
          </cell>
          <cell r="D2605">
            <v>1979</v>
          </cell>
          <cell r="E2605" t="str">
            <v>Gestair</v>
          </cell>
          <cell r="F2605">
            <v>21</v>
          </cell>
          <cell r="G2605">
            <v>28870</v>
          </cell>
          <cell r="H2605" t="str">
            <v>IIB</v>
          </cell>
          <cell r="I2605" t="str">
            <v>Europe</v>
          </cell>
          <cell r="J2605" t="str">
            <v>Spain</v>
          </cell>
          <cell r="K2605">
            <v>28306</v>
          </cell>
        </row>
        <row r="2606">
          <cell r="A2606" t="str">
            <v>In service</v>
          </cell>
          <cell r="B2606" t="str">
            <v>Gulfstream Aerospace Gulfstream II</v>
          </cell>
          <cell r="C2606" t="str">
            <v>B</v>
          </cell>
          <cell r="D2606">
            <v>1979</v>
          </cell>
          <cell r="E2606" t="str">
            <v>222 Aviation LLC</v>
          </cell>
          <cell r="F2606">
            <v>21</v>
          </cell>
          <cell r="G2606">
            <v>29042</v>
          </cell>
          <cell r="H2606" t="str">
            <v>IIB</v>
          </cell>
          <cell r="I2606" t="str">
            <v>North America</v>
          </cell>
          <cell r="J2606" t="str">
            <v>USA</v>
          </cell>
        </row>
        <row r="2607">
          <cell r="A2607" t="str">
            <v>In service</v>
          </cell>
          <cell r="B2607" t="str">
            <v>Gulfstream Aerospace Gulfstream II</v>
          </cell>
          <cell r="C2607" t="str">
            <v>B</v>
          </cell>
          <cell r="D2607">
            <v>1979</v>
          </cell>
          <cell r="E2607" t="str">
            <v>Tricycle Aviation LLC</v>
          </cell>
          <cell r="F2607">
            <v>21</v>
          </cell>
          <cell r="G2607">
            <v>29174</v>
          </cell>
          <cell r="H2607" t="str">
            <v>IIB</v>
          </cell>
          <cell r="I2607" t="str">
            <v>North America</v>
          </cell>
          <cell r="J2607" t="str">
            <v>USA</v>
          </cell>
          <cell r="K2607">
            <v>28306</v>
          </cell>
        </row>
        <row r="2608">
          <cell r="A2608" t="str">
            <v>In service</v>
          </cell>
          <cell r="B2608" t="str">
            <v>Gulfstream Aerospace Gulfstream II</v>
          </cell>
          <cell r="C2608" t="str">
            <v>B</v>
          </cell>
          <cell r="D2608">
            <v>1979</v>
          </cell>
          <cell r="E2608" t="str">
            <v>Rockwell Collins Inc</v>
          </cell>
          <cell r="F2608">
            <v>21</v>
          </cell>
          <cell r="G2608">
            <v>29235</v>
          </cell>
          <cell r="H2608" t="str">
            <v>IIB</v>
          </cell>
          <cell r="I2608" t="str">
            <v>North America</v>
          </cell>
          <cell r="J2608" t="str">
            <v>USA</v>
          </cell>
          <cell r="K2608">
            <v>28671</v>
          </cell>
        </row>
        <row r="2609">
          <cell r="A2609" t="str">
            <v>In service</v>
          </cell>
          <cell r="B2609" t="str">
            <v>Gulfstream Aerospace Gulfstream II</v>
          </cell>
          <cell r="C2609" t="str">
            <v>B</v>
          </cell>
          <cell r="D2609">
            <v>1980</v>
          </cell>
          <cell r="E2609" t="str">
            <v>North American Financial Corp</v>
          </cell>
          <cell r="F2609">
            <v>20</v>
          </cell>
          <cell r="G2609">
            <v>29479</v>
          </cell>
          <cell r="H2609" t="str">
            <v>IIB</v>
          </cell>
          <cell r="I2609" t="str">
            <v>North America</v>
          </cell>
          <cell r="J2609" t="str">
            <v>USA</v>
          </cell>
          <cell r="K2609">
            <v>28671</v>
          </cell>
        </row>
        <row r="2610">
          <cell r="A2610" t="str">
            <v>In service</v>
          </cell>
          <cell r="B2610" t="str">
            <v>Gulfstream Aerospace Gulfstream II</v>
          </cell>
          <cell r="C2610" t="str">
            <v>B</v>
          </cell>
          <cell r="D2610">
            <v>1968</v>
          </cell>
          <cell r="E2610" t="str">
            <v>Transportes Aereos Ejecutivos</v>
          </cell>
          <cell r="F2610">
            <v>32</v>
          </cell>
          <cell r="G2610">
            <v>25142</v>
          </cell>
          <cell r="H2610" t="str">
            <v>IIB</v>
          </cell>
          <cell r="I2610" t="str">
            <v>Latin America and Caribbean</v>
          </cell>
          <cell r="J2610" t="str">
            <v>Mexico</v>
          </cell>
          <cell r="K2610">
            <v>24288</v>
          </cell>
        </row>
        <row r="2611">
          <cell r="A2611" t="str">
            <v>In service</v>
          </cell>
          <cell r="B2611" t="str">
            <v>Gulfstream Aerospace Gulfstream II</v>
          </cell>
          <cell r="C2611" t="str">
            <v>B</v>
          </cell>
          <cell r="D2611">
            <v>1968</v>
          </cell>
          <cell r="E2611" t="str">
            <v>N97EC LLC</v>
          </cell>
          <cell r="F2611">
            <v>32</v>
          </cell>
          <cell r="G2611">
            <v>25151</v>
          </cell>
          <cell r="H2611" t="str">
            <v>IIB</v>
          </cell>
          <cell r="I2611" t="str">
            <v>North America</v>
          </cell>
          <cell r="J2611" t="str">
            <v>USA</v>
          </cell>
          <cell r="K2611">
            <v>24653</v>
          </cell>
        </row>
        <row r="2612">
          <cell r="A2612" t="str">
            <v>In service</v>
          </cell>
          <cell r="B2612" t="str">
            <v>Gulfstream Aerospace Gulfstream II</v>
          </cell>
          <cell r="C2612" t="str">
            <v>B</v>
          </cell>
          <cell r="D2612">
            <v>1968</v>
          </cell>
          <cell r="E2612" t="str">
            <v>Aeromet Inc</v>
          </cell>
          <cell r="F2612">
            <v>32</v>
          </cell>
          <cell r="G2612">
            <v>25163</v>
          </cell>
          <cell r="H2612" t="str">
            <v>HALO I</v>
          </cell>
          <cell r="I2612" t="str">
            <v>North America</v>
          </cell>
          <cell r="J2612" t="str">
            <v>USA</v>
          </cell>
          <cell r="K2612">
            <v>25019</v>
          </cell>
        </row>
        <row r="2613">
          <cell r="A2613" t="str">
            <v>In service</v>
          </cell>
          <cell r="B2613" t="str">
            <v>Gulfstream Aerospace Gulfstream II</v>
          </cell>
          <cell r="C2613" t="str">
            <v>B</v>
          </cell>
          <cell r="D2613">
            <v>1967</v>
          </cell>
          <cell r="E2613" t="str">
            <v>RGR Technologies Inc</v>
          </cell>
          <cell r="F2613">
            <v>33</v>
          </cell>
          <cell r="G2613">
            <v>24850</v>
          </cell>
          <cell r="H2613" t="str">
            <v>IIB</v>
          </cell>
          <cell r="I2613" t="str">
            <v>North America</v>
          </cell>
          <cell r="J2613" t="str">
            <v>USA</v>
          </cell>
          <cell r="K2613">
            <v>23923</v>
          </cell>
        </row>
        <row r="2614">
          <cell r="A2614" t="str">
            <v>In service</v>
          </cell>
          <cell r="B2614" t="str">
            <v>Gulfstream Aerospace Gulfstream II</v>
          </cell>
          <cell r="C2614" t="str">
            <v>B</v>
          </cell>
          <cell r="D2614">
            <v>1968</v>
          </cell>
          <cell r="E2614" t="str">
            <v>B&amp;G Leasing LLC</v>
          </cell>
          <cell r="F2614">
            <v>32</v>
          </cell>
          <cell r="G2614">
            <v>25205</v>
          </cell>
          <cell r="H2614" t="str">
            <v>IIB</v>
          </cell>
          <cell r="I2614" t="str">
            <v>North America</v>
          </cell>
          <cell r="J2614" t="str">
            <v>USA</v>
          </cell>
          <cell r="K2614">
            <v>24653</v>
          </cell>
        </row>
        <row r="2615">
          <cell r="A2615" t="str">
            <v>In service</v>
          </cell>
          <cell r="B2615" t="str">
            <v>Gulfstream Aerospace Gulfstream II</v>
          </cell>
          <cell r="C2615" t="str">
            <v>B</v>
          </cell>
          <cell r="D2615">
            <v>1969</v>
          </cell>
          <cell r="E2615" t="str">
            <v>Hudson Capital Group Inc</v>
          </cell>
          <cell r="F2615">
            <v>31</v>
          </cell>
          <cell r="G2615">
            <v>25274</v>
          </cell>
          <cell r="H2615" t="str">
            <v>IIB</v>
          </cell>
          <cell r="I2615" t="str">
            <v>North America</v>
          </cell>
          <cell r="J2615" t="str">
            <v>USA</v>
          </cell>
          <cell r="K2615">
            <v>24653</v>
          </cell>
        </row>
        <row r="2616">
          <cell r="A2616" t="str">
            <v>In service</v>
          </cell>
          <cell r="B2616" t="str">
            <v>Gulfstream Aerospace Gulfstream II</v>
          </cell>
          <cell r="C2616" t="str">
            <v>B</v>
          </cell>
          <cell r="D2616">
            <v>1969</v>
          </cell>
          <cell r="E2616" t="str">
            <v>Coastal Corp</v>
          </cell>
          <cell r="F2616">
            <v>31</v>
          </cell>
          <cell r="G2616">
            <v>25328</v>
          </cell>
          <cell r="H2616" t="str">
            <v>IIB</v>
          </cell>
          <cell r="I2616" t="str">
            <v>North America</v>
          </cell>
          <cell r="J2616" t="str">
            <v>USA</v>
          </cell>
          <cell r="K2616">
            <v>24653</v>
          </cell>
        </row>
        <row r="2617">
          <cell r="A2617" t="str">
            <v>In service</v>
          </cell>
          <cell r="B2617" t="str">
            <v>Gulfstream Aerospace Gulfstream II</v>
          </cell>
          <cell r="C2617" t="str">
            <v>B</v>
          </cell>
          <cell r="D2617">
            <v>1969</v>
          </cell>
          <cell r="E2617" t="str">
            <v>New World Aviation Inc</v>
          </cell>
          <cell r="F2617">
            <v>31</v>
          </cell>
          <cell r="G2617">
            <v>25421</v>
          </cell>
          <cell r="H2617" t="str">
            <v>IIB</v>
          </cell>
          <cell r="I2617" t="str">
            <v>North America</v>
          </cell>
          <cell r="J2617" t="str">
            <v>USA</v>
          </cell>
          <cell r="K2617">
            <v>25019</v>
          </cell>
        </row>
        <row r="2618">
          <cell r="A2618" t="str">
            <v>In service</v>
          </cell>
          <cell r="B2618" t="str">
            <v>Gulfstream Aerospace Gulfstream II</v>
          </cell>
          <cell r="C2618" t="str">
            <v>B</v>
          </cell>
          <cell r="D2618">
            <v>1969</v>
          </cell>
          <cell r="E2618" t="str">
            <v>Angel Wing Co Ltd</v>
          </cell>
          <cell r="F2618">
            <v>31</v>
          </cell>
          <cell r="G2618">
            <v>25492</v>
          </cell>
          <cell r="H2618" t="str">
            <v>IIB</v>
          </cell>
          <cell r="I2618" t="str">
            <v>North America</v>
          </cell>
          <cell r="J2618" t="str">
            <v>USA</v>
          </cell>
          <cell r="K2618">
            <v>25019</v>
          </cell>
        </row>
        <row r="2619">
          <cell r="A2619" t="str">
            <v>In service</v>
          </cell>
          <cell r="B2619" t="str">
            <v>Gulfstream Aerospace Gulfstream II</v>
          </cell>
          <cell r="C2619" t="str">
            <v>B</v>
          </cell>
          <cell r="D2619">
            <v>1969</v>
          </cell>
          <cell r="E2619" t="str">
            <v>Northwestern Aircraft Capital Corp</v>
          </cell>
          <cell r="F2619">
            <v>31</v>
          </cell>
          <cell r="G2619">
            <v>25514</v>
          </cell>
          <cell r="H2619" t="str">
            <v>IIB</v>
          </cell>
          <cell r="I2619" t="str">
            <v>North America</v>
          </cell>
          <cell r="J2619" t="str">
            <v>USA</v>
          </cell>
          <cell r="K2619">
            <v>25019</v>
          </cell>
        </row>
        <row r="2620">
          <cell r="A2620" t="str">
            <v>In service</v>
          </cell>
          <cell r="B2620" t="str">
            <v>Gulfstream Aerospace Gulfstream II</v>
          </cell>
          <cell r="C2620" t="str">
            <v>B</v>
          </cell>
          <cell r="D2620">
            <v>1969</v>
          </cell>
          <cell r="E2620" t="str">
            <v>New World Aviation Inc</v>
          </cell>
          <cell r="F2620">
            <v>31</v>
          </cell>
          <cell r="G2620">
            <v>25541</v>
          </cell>
          <cell r="H2620" t="str">
            <v>IIB</v>
          </cell>
          <cell r="I2620" t="str">
            <v>North America</v>
          </cell>
          <cell r="J2620" t="str">
            <v>USA</v>
          </cell>
          <cell r="K2620">
            <v>25019</v>
          </cell>
        </row>
        <row r="2621">
          <cell r="A2621" t="str">
            <v>In service</v>
          </cell>
          <cell r="B2621" t="str">
            <v>Gulfstream Aerospace Gulfstream II</v>
          </cell>
          <cell r="C2621" t="str">
            <v>B</v>
          </cell>
          <cell r="D2621">
            <v>1969</v>
          </cell>
          <cell r="E2621" t="str">
            <v>Bombardier Capital Inc</v>
          </cell>
          <cell r="F2621">
            <v>31</v>
          </cell>
          <cell r="G2621">
            <v>26360</v>
          </cell>
          <cell r="H2621" t="str">
            <v>IIB</v>
          </cell>
          <cell r="I2621" t="str">
            <v>North America</v>
          </cell>
          <cell r="J2621" t="str">
            <v>USA</v>
          </cell>
          <cell r="K2621">
            <v>25749</v>
          </cell>
        </row>
        <row r="2622">
          <cell r="A2622" t="str">
            <v>In service</v>
          </cell>
          <cell r="B2622" t="str">
            <v>Gulfstream Aerospace Gulfstream II</v>
          </cell>
          <cell r="C2622" t="str">
            <v>B</v>
          </cell>
          <cell r="D2622">
            <v>1970</v>
          </cell>
          <cell r="E2622" t="str">
            <v>Texas Eastern Transmission Corporation</v>
          </cell>
          <cell r="F2622">
            <v>30</v>
          </cell>
          <cell r="G2622">
            <v>25660</v>
          </cell>
          <cell r="H2622" t="str">
            <v>IIB</v>
          </cell>
          <cell r="I2622" t="str">
            <v>North America</v>
          </cell>
          <cell r="J2622" t="str">
            <v>USA</v>
          </cell>
          <cell r="K2622">
            <v>25019</v>
          </cell>
        </row>
        <row r="2623">
          <cell r="A2623" t="str">
            <v>In service</v>
          </cell>
          <cell r="B2623" t="str">
            <v>Gulfstream Aerospace Gulfstream II</v>
          </cell>
          <cell r="C2623" t="str">
            <v>B</v>
          </cell>
          <cell r="D2623">
            <v>1970</v>
          </cell>
          <cell r="E2623" t="str">
            <v>Weeks Davies Aviation Inc</v>
          </cell>
          <cell r="F2623">
            <v>30</v>
          </cell>
          <cell r="G2623">
            <v>25679</v>
          </cell>
          <cell r="H2623" t="str">
            <v>IIB</v>
          </cell>
          <cell r="I2623" t="str">
            <v>North America</v>
          </cell>
          <cell r="J2623" t="str">
            <v>USA</v>
          </cell>
          <cell r="K2623">
            <v>25384</v>
          </cell>
        </row>
        <row r="2624">
          <cell r="A2624" t="str">
            <v>In service</v>
          </cell>
          <cell r="B2624" t="str">
            <v>Gulfstream Aerospace Gulfstream II</v>
          </cell>
          <cell r="C2624" t="str">
            <v>B</v>
          </cell>
          <cell r="D2624">
            <v>1968</v>
          </cell>
          <cell r="E2624" t="str">
            <v>Eastman Chemical Co</v>
          </cell>
          <cell r="F2624">
            <v>32</v>
          </cell>
          <cell r="G2624">
            <v>24862</v>
          </cell>
          <cell r="H2624" t="str">
            <v>IIB</v>
          </cell>
          <cell r="I2624" t="str">
            <v>North America</v>
          </cell>
          <cell r="J2624" t="str">
            <v>USA</v>
          </cell>
          <cell r="K2624">
            <v>23923</v>
          </cell>
        </row>
        <row r="2625">
          <cell r="A2625" t="str">
            <v>In service</v>
          </cell>
          <cell r="B2625" t="str">
            <v>Gulfstream Aerospace Gulfstream II</v>
          </cell>
          <cell r="C2625" t="str">
            <v>B</v>
          </cell>
          <cell r="D2625">
            <v>1970</v>
          </cell>
          <cell r="E2625" t="str">
            <v>1998 Aircraft LLC</v>
          </cell>
          <cell r="F2625">
            <v>30</v>
          </cell>
          <cell r="G2625">
            <v>26038</v>
          </cell>
          <cell r="H2625" t="str">
            <v>IIB</v>
          </cell>
          <cell r="I2625" t="str">
            <v>North America</v>
          </cell>
          <cell r="J2625" t="str">
            <v>USA</v>
          </cell>
          <cell r="K2625">
            <v>25384</v>
          </cell>
        </row>
        <row r="2626">
          <cell r="A2626" t="str">
            <v>In service</v>
          </cell>
          <cell r="B2626" t="str">
            <v>Gulfstream Aerospace Gulfstream II</v>
          </cell>
          <cell r="C2626" t="str">
            <v>B</v>
          </cell>
          <cell r="D2626">
            <v>1970</v>
          </cell>
          <cell r="E2626" t="str">
            <v>Avjet Corp</v>
          </cell>
          <cell r="F2626">
            <v>30</v>
          </cell>
          <cell r="G2626">
            <v>25983</v>
          </cell>
          <cell r="H2626" t="str">
            <v>IIB</v>
          </cell>
          <cell r="I2626" t="str">
            <v>North America</v>
          </cell>
          <cell r="J2626" t="str">
            <v>USA</v>
          </cell>
          <cell r="K2626">
            <v>25384</v>
          </cell>
        </row>
        <row r="2627">
          <cell r="A2627" t="str">
            <v>In service</v>
          </cell>
          <cell r="B2627" t="str">
            <v>Gulfstream Aerospace Gulfstream II</v>
          </cell>
          <cell r="C2627" t="str">
            <v>SP</v>
          </cell>
          <cell r="D2627">
            <v>1966</v>
          </cell>
          <cell r="E2627" t="str">
            <v>Motorola Inc</v>
          </cell>
          <cell r="F2627">
            <v>34</v>
          </cell>
          <cell r="G2627">
            <v>25839</v>
          </cell>
          <cell r="H2627" t="str">
            <v>IISP</v>
          </cell>
          <cell r="I2627" t="str">
            <v>North America</v>
          </cell>
          <cell r="J2627" t="str">
            <v>USA</v>
          </cell>
        </row>
        <row r="2628">
          <cell r="A2628" t="str">
            <v>In service</v>
          </cell>
          <cell r="B2628" t="str">
            <v>Gulfstream Aerospace Gulfstream II</v>
          </cell>
          <cell r="C2628" t="str">
            <v>SP</v>
          </cell>
          <cell r="D2628">
            <v>1968</v>
          </cell>
          <cell r="E2628" t="str">
            <v>CX Air LLC</v>
          </cell>
          <cell r="F2628">
            <v>32</v>
          </cell>
          <cell r="G2628">
            <v>24876</v>
          </cell>
          <cell r="H2628" t="str">
            <v>IISP</v>
          </cell>
          <cell r="I2628" t="str">
            <v>North America</v>
          </cell>
          <cell r="J2628" t="str">
            <v>USA</v>
          </cell>
          <cell r="K2628">
            <v>24288</v>
          </cell>
        </row>
        <row r="2629">
          <cell r="A2629" t="str">
            <v>In service</v>
          </cell>
          <cell r="B2629" t="str">
            <v>Gulfstream Aerospace Gulfstream II</v>
          </cell>
          <cell r="C2629" t="str">
            <v>SP</v>
          </cell>
          <cell r="D2629">
            <v>1970</v>
          </cell>
          <cell r="E2629" t="str">
            <v>Maxim Aviation Co</v>
          </cell>
          <cell r="F2629">
            <v>30</v>
          </cell>
          <cell r="G2629">
            <v>26151</v>
          </cell>
          <cell r="H2629" t="str">
            <v>IISP</v>
          </cell>
          <cell r="I2629" t="str">
            <v>North America</v>
          </cell>
          <cell r="J2629" t="str">
            <v>USA</v>
          </cell>
          <cell r="K2629">
            <v>25384</v>
          </cell>
        </row>
        <row r="2630">
          <cell r="A2630" t="str">
            <v>In service</v>
          </cell>
          <cell r="B2630" t="str">
            <v>Gulfstream Aerospace Gulfstream II</v>
          </cell>
          <cell r="C2630" t="str">
            <v>SP</v>
          </cell>
          <cell r="D2630">
            <v>1970</v>
          </cell>
          <cell r="E2630" t="str">
            <v>Jetex International Inc</v>
          </cell>
          <cell r="F2630">
            <v>30</v>
          </cell>
          <cell r="G2630">
            <v>25930</v>
          </cell>
          <cell r="H2630" t="str">
            <v>IISP</v>
          </cell>
          <cell r="I2630" t="str">
            <v>North America</v>
          </cell>
          <cell r="J2630" t="str">
            <v>USA</v>
          </cell>
          <cell r="K2630">
            <v>25019</v>
          </cell>
        </row>
        <row r="2631">
          <cell r="A2631" t="str">
            <v>In service</v>
          </cell>
          <cell r="B2631" t="str">
            <v>Gulfstream Aerospace Gulfstream II</v>
          </cell>
          <cell r="C2631" t="str">
            <v>SP</v>
          </cell>
          <cell r="D2631">
            <v>1971</v>
          </cell>
          <cell r="E2631" t="str">
            <v>Tyler Jet LLC</v>
          </cell>
          <cell r="F2631">
            <v>29</v>
          </cell>
          <cell r="G2631">
            <v>27747</v>
          </cell>
          <cell r="H2631" t="str">
            <v>IISP</v>
          </cell>
          <cell r="I2631" t="str">
            <v>North America</v>
          </cell>
          <cell r="J2631" t="str">
            <v>USA</v>
          </cell>
        </row>
        <row r="2632">
          <cell r="A2632" t="str">
            <v>In service</v>
          </cell>
          <cell r="B2632" t="str">
            <v>Gulfstream Aerospace Gulfstream II</v>
          </cell>
          <cell r="C2632" t="str">
            <v>SP</v>
          </cell>
          <cell r="D2632">
            <v>1971</v>
          </cell>
          <cell r="E2632" t="str">
            <v>Newport/Signal Air Inc</v>
          </cell>
          <cell r="F2632">
            <v>29</v>
          </cell>
          <cell r="G2632">
            <v>26282</v>
          </cell>
          <cell r="H2632" t="str">
            <v>IISP</v>
          </cell>
          <cell r="I2632" t="str">
            <v>North America</v>
          </cell>
          <cell r="J2632" t="str">
            <v>USA</v>
          </cell>
          <cell r="K2632">
            <v>25384</v>
          </cell>
        </row>
        <row r="2633">
          <cell r="A2633" t="str">
            <v>In service</v>
          </cell>
          <cell r="B2633" t="str">
            <v>Gulfstream Aerospace Gulfstream II</v>
          </cell>
          <cell r="C2633" t="str">
            <v>SP</v>
          </cell>
          <cell r="D2633">
            <v>1972</v>
          </cell>
          <cell r="E2633" t="str">
            <v>Meridian Services Inc</v>
          </cell>
          <cell r="F2633">
            <v>28</v>
          </cell>
          <cell r="G2633">
            <v>26333</v>
          </cell>
          <cell r="H2633" t="str">
            <v>IISP</v>
          </cell>
          <cell r="I2633" t="str">
            <v>North America</v>
          </cell>
          <cell r="J2633" t="str">
            <v>USA</v>
          </cell>
          <cell r="K2633">
            <v>25749</v>
          </cell>
        </row>
        <row r="2634">
          <cell r="A2634" t="str">
            <v>In service</v>
          </cell>
          <cell r="B2634" t="str">
            <v>Gulfstream Aerospace Gulfstream II</v>
          </cell>
          <cell r="C2634" t="str">
            <v>SP</v>
          </cell>
          <cell r="D2634">
            <v>1972</v>
          </cell>
          <cell r="E2634" t="str">
            <v>Dealaero Inc</v>
          </cell>
          <cell r="F2634">
            <v>28</v>
          </cell>
          <cell r="G2634">
            <v>26353</v>
          </cell>
          <cell r="H2634" t="str">
            <v>IISP</v>
          </cell>
          <cell r="I2634" t="str">
            <v>North America</v>
          </cell>
          <cell r="J2634" t="str">
            <v>USA</v>
          </cell>
          <cell r="K2634">
            <v>25749</v>
          </cell>
        </row>
        <row r="2635">
          <cell r="A2635" t="str">
            <v>In service</v>
          </cell>
          <cell r="B2635" t="str">
            <v>Gulfstream Aerospace Gulfstream II</v>
          </cell>
          <cell r="C2635" t="str">
            <v>SP</v>
          </cell>
          <cell r="D2635">
            <v>1972</v>
          </cell>
          <cell r="E2635" t="str">
            <v>Adams Investment Enterprises LLC</v>
          </cell>
          <cell r="F2635">
            <v>28</v>
          </cell>
          <cell r="G2635">
            <v>26381</v>
          </cell>
          <cell r="H2635" t="str">
            <v>IISP</v>
          </cell>
          <cell r="I2635" t="str">
            <v>North America</v>
          </cell>
          <cell r="J2635" t="str">
            <v>USA</v>
          </cell>
          <cell r="K2635">
            <v>26114</v>
          </cell>
        </row>
        <row r="2636">
          <cell r="A2636" t="str">
            <v>In service</v>
          </cell>
          <cell r="B2636" t="str">
            <v>Gulfstream Aerospace Gulfstream II</v>
          </cell>
          <cell r="C2636" t="str">
            <v>SP</v>
          </cell>
          <cell r="D2636">
            <v>1972</v>
          </cell>
          <cell r="E2636" t="str">
            <v>Priority 1 Aviation Inc</v>
          </cell>
          <cell r="F2636">
            <v>28</v>
          </cell>
          <cell r="G2636">
            <v>26473</v>
          </cell>
          <cell r="H2636" t="str">
            <v>IISP</v>
          </cell>
          <cell r="I2636" t="str">
            <v>North America</v>
          </cell>
          <cell r="J2636" t="str">
            <v>USA</v>
          </cell>
          <cell r="K2636">
            <v>25749</v>
          </cell>
        </row>
        <row r="2637">
          <cell r="A2637" t="str">
            <v>In service</v>
          </cell>
          <cell r="B2637" t="str">
            <v>Gulfstream Aerospace Gulfstream II</v>
          </cell>
          <cell r="C2637" t="str">
            <v>SP</v>
          </cell>
          <cell r="D2637">
            <v>1972</v>
          </cell>
          <cell r="E2637" t="str">
            <v>Cable Holdings Aviation Corp</v>
          </cell>
          <cell r="F2637">
            <v>28</v>
          </cell>
          <cell r="G2637">
            <v>26461</v>
          </cell>
          <cell r="H2637" t="str">
            <v>IISP</v>
          </cell>
          <cell r="I2637" t="str">
            <v>North America</v>
          </cell>
          <cell r="J2637" t="str">
            <v>USA</v>
          </cell>
          <cell r="K2637">
            <v>25749</v>
          </cell>
        </row>
        <row r="2638">
          <cell r="A2638" t="str">
            <v>In service</v>
          </cell>
          <cell r="B2638" t="str">
            <v>Gulfstream Aerospace Gulfstream II</v>
          </cell>
          <cell r="C2638" t="str">
            <v>SP</v>
          </cell>
          <cell r="D2638">
            <v>1972</v>
          </cell>
          <cell r="E2638" t="str">
            <v>Benco Inc</v>
          </cell>
          <cell r="F2638">
            <v>28</v>
          </cell>
          <cell r="G2638">
            <v>26505</v>
          </cell>
          <cell r="H2638" t="str">
            <v>IISP</v>
          </cell>
          <cell r="I2638" t="str">
            <v>North America</v>
          </cell>
          <cell r="J2638" t="str">
            <v>USA</v>
          </cell>
          <cell r="K2638">
            <v>26114</v>
          </cell>
        </row>
        <row r="2639">
          <cell r="A2639" t="str">
            <v>In service</v>
          </cell>
          <cell r="B2639" t="str">
            <v>Gulfstream Aerospace Gulfstream II</v>
          </cell>
          <cell r="C2639" t="str">
            <v>SP</v>
          </cell>
          <cell r="D2639">
            <v>1972</v>
          </cell>
          <cell r="E2639" t="str">
            <v>Crown Controls Corp</v>
          </cell>
          <cell r="F2639">
            <v>28</v>
          </cell>
          <cell r="G2639">
            <v>26564</v>
          </cell>
          <cell r="H2639" t="str">
            <v>IISP</v>
          </cell>
          <cell r="I2639" t="str">
            <v>North America</v>
          </cell>
          <cell r="J2639" t="str">
            <v>USA</v>
          </cell>
          <cell r="K2639">
            <v>25749</v>
          </cell>
        </row>
        <row r="2640">
          <cell r="A2640" t="str">
            <v>In service</v>
          </cell>
          <cell r="B2640" t="str">
            <v>Gulfstream Aerospace Gulfstream II</v>
          </cell>
          <cell r="C2640" t="str">
            <v>SP</v>
          </cell>
          <cell r="D2640">
            <v>1968</v>
          </cell>
          <cell r="E2640" t="str">
            <v>R Squared LLC</v>
          </cell>
          <cell r="F2640">
            <v>32</v>
          </cell>
          <cell r="G2640">
            <v>24932</v>
          </cell>
          <cell r="H2640" t="str">
            <v>IISP</v>
          </cell>
          <cell r="I2640" t="str">
            <v>North America</v>
          </cell>
          <cell r="J2640" t="str">
            <v>USA</v>
          </cell>
          <cell r="K2640">
            <v>24288</v>
          </cell>
        </row>
        <row r="2641">
          <cell r="A2641" t="str">
            <v>In service</v>
          </cell>
          <cell r="B2641" t="str">
            <v>Gulfstream Aerospace Gulfstream II</v>
          </cell>
          <cell r="C2641" t="str">
            <v>SP</v>
          </cell>
          <cell r="D2641">
            <v>1972</v>
          </cell>
          <cell r="E2641" t="str">
            <v>Skyservice Airlines</v>
          </cell>
          <cell r="F2641">
            <v>28</v>
          </cell>
          <cell r="G2641">
            <v>26632</v>
          </cell>
          <cell r="H2641" t="str">
            <v>IISP</v>
          </cell>
          <cell r="I2641" t="str">
            <v>North America</v>
          </cell>
          <cell r="J2641" t="str">
            <v>Canada</v>
          </cell>
          <cell r="K2641">
            <v>25749</v>
          </cell>
        </row>
        <row r="2642">
          <cell r="A2642" t="str">
            <v>In service</v>
          </cell>
          <cell r="B2642" t="str">
            <v>Gulfstream Aerospace Gulfstream II</v>
          </cell>
          <cell r="C2642" t="str">
            <v>SP</v>
          </cell>
          <cell r="D2642">
            <v>1972</v>
          </cell>
          <cell r="E2642" t="str">
            <v>Trayton Aviation LLC</v>
          </cell>
          <cell r="F2642">
            <v>28</v>
          </cell>
          <cell r="G2642">
            <v>26650</v>
          </cell>
          <cell r="H2642" t="str">
            <v>IISP</v>
          </cell>
          <cell r="I2642" t="str">
            <v>North America</v>
          </cell>
          <cell r="J2642" t="str">
            <v>USA</v>
          </cell>
          <cell r="K2642">
            <v>26114</v>
          </cell>
        </row>
        <row r="2643">
          <cell r="A2643" t="str">
            <v>In service</v>
          </cell>
          <cell r="B2643" t="str">
            <v>Gulfstream Aerospace Gulfstream II</v>
          </cell>
          <cell r="C2643" t="str">
            <v>SP</v>
          </cell>
          <cell r="D2643">
            <v>1973</v>
          </cell>
          <cell r="E2643" t="str">
            <v>Evergreen International Aviation Inc</v>
          </cell>
          <cell r="F2643">
            <v>27</v>
          </cell>
          <cell r="G2643">
            <v>26974</v>
          </cell>
          <cell r="H2643" t="str">
            <v>IISP</v>
          </cell>
          <cell r="I2643" t="str">
            <v>North America</v>
          </cell>
          <cell r="J2643" t="str">
            <v>USA</v>
          </cell>
          <cell r="K2643">
            <v>25749</v>
          </cell>
        </row>
        <row r="2644">
          <cell r="A2644" t="str">
            <v>In service</v>
          </cell>
          <cell r="B2644" t="str">
            <v>Gulfstream Aerospace Gulfstream II</v>
          </cell>
          <cell r="C2644" t="str">
            <v>SP</v>
          </cell>
          <cell r="D2644">
            <v>1973</v>
          </cell>
          <cell r="E2644" t="str">
            <v>Executive Fliteways Inc</v>
          </cell>
          <cell r="F2644">
            <v>27</v>
          </cell>
          <cell r="G2644">
            <v>26837</v>
          </cell>
          <cell r="H2644" t="str">
            <v>IISP</v>
          </cell>
          <cell r="I2644" t="str">
            <v>North America</v>
          </cell>
          <cell r="J2644" t="str">
            <v>USA</v>
          </cell>
          <cell r="K2644">
            <v>26114</v>
          </cell>
        </row>
        <row r="2645">
          <cell r="A2645" t="str">
            <v>In service</v>
          </cell>
          <cell r="B2645" t="str">
            <v>Gulfstream Aerospace Gulfstream II</v>
          </cell>
          <cell r="C2645" t="str">
            <v>SP</v>
          </cell>
          <cell r="D2645">
            <v>1973</v>
          </cell>
          <cell r="E2645" t="str">
            <v>JT Aviation Corp</v>
          </cell>
          <cell r="F2645">
            <v>27</v>
          </cell>
          <cell r="G2645">
            <v>26938</v>
          </cell>
          <cell r="H2645" t="str">
            <v>IISP</v>
          </cell>
          <cell r="I2645" t="str">
            <v>North America</v>
          </cell>
          <cell r="J2645" t="str">
            <v>USA</v>
          </cell>
          <cell r="K2645">
            <v>26114</v>
          </cell>
        </row>
        <row r="2646">
          <cell r="A2646" t="str">
            <v>In service</v>
          </cell>
          <cell r="B2646" t="str">
            <v>Gulfstream Aerospace Gulfstream II</v>
          </cell>
          <cell r="C2646" t="str">
            <v>SP</v>
          </cell>
          <cell r="D2646">
            <v>1973</v>
          </cell>
          <cell r="E2646" t="str">
            <v>Aeromundo Ejecutivo SA de CV</v>
          </cell>
          <cell r="F2646">
            <v>27</v>
          </cell>
          <cell r="G2646">
            <v>26960</v>
          </cell>
          <cell r="H2646" t="str">
            <v>IISP</v>
          </cell>
          <cell r="I2646" t="str">
            <v>Latin America and Caribbean</v>
          </cell>
          <cell r="J2646" t="str">
            <v>Mexico</v>
          </cell>
          <cell r="K2646">
            <v>26480</v>
          </cell>
        </row>
        <row r="2647">
          <cell r="A2647" t="str">
            <v>In service</v>
          </cell>
          <cell r="B2647" t="str">
            <v>Gulfstream Aerospace Gulfstream II</v>
          </cell>
          <cell r="C2647" t="str">
            <v>SP</v>
          </cell>
          <cell r="D2647">
            <v>1974</v>
          </cell>
          <cell r="E2647" t="str">
            <v>Bison Air Corp</v>
          </cell>
          <cell r="F2647">
            <v>26</v>
          </cell>
          <cell r="G2647">
            <v>27316</v>
          </cell>
          <cell r="H2647" t="str">
            <v>IISP</v>
          </cell>
          <cell r="I2647" t="str">
            <v>North America</v>
          </cell>
          <cell r="J2647" t="str">
            <v>USA</v>
          </cell>
          <cell r="K2647">
            <v>26480</v>
          </cell>
        </row>
        <row r="2648">
          <cell r="A2648" t="str">
            <v>In service</v>
          </cell>
          <cell r="B2648" t="str">
            <v>Gulfstream Aerospace Gulfstream II</v>
          </cell>
          <cell r="C2648" t="str">
            <v>SP</v>
          </cell>
          <cell r="D2648">
            <v>1975</v>
          </cell>
          <cell r="E2648" t="str">
            <v>Amador LLC</v>
          </cell>
          <cell r="F2648">
            <v>25</v>
          </cell>
          <cell r="G2648">
            <v>27451</v>
          </cell>
          <cell r="H2648" t="str">
            <v>IISP</v>
          </cell>
          <cell r="I2648" t="str">
            <v>North America</v>
          </cell>
          <cell r="J2648" t="str">
            <v>USA</v>
          </cell>
          <cell r="K2648">
            <v>26845</v>
          </cell>
        </row>
        <row r="2649">
          <cell r="A2649" t="str">
            <v>In service</v>
          </cell>
          <cell r="B2649" t="str">
            <v>Gulfstream Aerospace Gulfstream II</v>
          </cell>
          <cell r="C2649" t="str">
            <v>SP</v>
          </cell>
          <cell r="D2649">
            <v>1975</v>
          </cell>
          <cell r="E2649" t="str">
            <v>Fargo Aviation Inc</v>
          </cell>
          <cell r="F2649">
            <v>25</v>
          </cell>
          <cell r="G2649">
            <v>27733</v>
          </cell>
          <cell r="H2649" t="str">
            <v>IISP</v>
          </cell>
          <cell r="I2649" t="str">
            <v>North America</v>
          </cell>
          <cell r="J2649" t="str">
            <v>USA</v>
          </cell>
        </row>
        <row r="2650">
          <cell r="A2650" t="str">
            <v>In service</v>
          </cell>
          <cell r="B2650" t="str">
            <v>Gulfstream Aerospace Gulfstream II</v>
          </cell>
          <cell r="C2650" t="str">
            <v>SP</v>
          </cell>
          <cell r="D2650">
            <v>1975</v>
          </cell>
          <cell r="E2650" t="str">
            <v>Gavilan Corp</v>
          </cell>
          <cell r="F2650">
            <v>25</v>
          </cell>
          <cell r="G2650">
            <v>27888</v>
          </cell>
          <cell r="H2650" t="str">
            <v>IISP</v>
          </cell>
          <cell r="I2650" t="str">
            <v>North America</v>
          </cell>
          <cell r="J2650" t="str">
            <v>USA</v>
          </cell>
        </row>
        <row r="2651">
          <cell r="A2651" t="str">
            <v>In service</v>
          </cell>
          <cell r="B2651" t="str">
            <v>Gulfstream Aerospace Gulfstream II</v>
          </cell>
          <cell r="C2651" t="str">
            <v>SP</v>
          </cell>
          <cell r="D2651">
            <v>1975</v>
          </cell>
          <cell r="E2651" t="str">
            <v>Horizon Natural Resources Holding Co LLC</v>
          </cell>
          <cell r="F2651">
            <v>25</v>
          </cell>
          <cell r="G2651">
            <v>27755</v>
          </cell>
          <cell r="H2651" t="str">
            <v>IISP</v>
          </cell>
          <cell r="I2651" t="str">
            <v>North America</v>
          </cell>
          <cell r="J2651" t="str">
            <v>USA</v>
          </cell>
          <cell r="K2651">
            <v>27210</v>
          </cell>
        </row>
        <row r="2652">
          <cell r="A2652" t="str">
            <v>In service</v>
          </cell>
          <cell r="B2652" t="str">
            <v>Gulfstream Aerospace Gulfstream II</v>
          </cell>
          <cell r="C2652" t="str">
            <v>SP</v>
          </cell>
          <cell r="D2652">
            <v>1975</v>
          </cell>
          <cell r="E2652" t="str">
            <v>Blue Sky Group Inc</v>
          </cell>
          <cell r="F2652">
            <v>25</v>
          </cell>
          <cell r="G2652">
            <v>27786</v>
          </cell>
          <cell r="H2652" t="str">
            <v>IISP</v>
          </cell>
          <cell r="I2652" t="str">
            <v>North America</v>
          </cell>
          <cell r="J2652" t="str">
            <v>USA</v>
          </cell>
        </row>
        <row r="2653">
          <cell r="A2653" t="str">
            <v>In service</v>
          </cell>
          <cell r="B2653" t="str">
            <v>Gulfstream Aerospace Gulfstream II</v>
          </cell>
          <cell r="C2653" t="str">
            <v>SP</v>
          </cell>
          <cell r="D2653">
            <v>1975</v>
          </cell>
          <cell r="E2653" t="str">
            <v>Euro Airways Inc</v>
          </cell>
          <cell r="F2653">
            <v>25</v>
          </cell>
          <cell r="G2653">
            <v>27634</v>
          </cell>
          <cell r="H2653" t="str">
            <v>IISP</v>
          </cell>
          <cell r="I2653" t="str">
            <v>North America</v>
          </cell>
          <cell r="J2653" t="str">
            <v>USA</v>
          </cell>
          <cell r="K2653">
            <v>26845</v>
          </cell>
        </row>
        <row r="2654">
          <cell r="A2654" t="str">
            <v>In service</v>
          </cell>
          <cell r="B2654" t="str">
            <v>Gulfstream Aerospace Gulfstream II</v>
          </cell>
          <cell r="C2654" t="str">
            <v>SP</v>
          </cell>
          <cell r="D2654">
            <v>1975</v>
          </cell>
          <cell r="E2654" t="str">
            <v>D Squared LLC</v>
          </cell>
          <cell r="F2654">
            <v>25</v>
          </cell>
          <cell r="G2654">
            <v>27823</v>
          </cell>
          <cell r="H2654" t="str">
            <v>IISP</v>
          </cell>
          <cell r="I2654" t="str">
            <v>North America</v>
          </cell>
          <cell r="J2654" t="str">
            <v>USA</v>
          </cell>
          <cell r="K2654">
            <v>27210</v>
          </cell>
        </row>
        <row r="2655">
          <cell r="A2655" t="str">
            <v>In service</v>
          </cell>
          <cell r="B2655" t="str">
            <v>Gulfstream Aerospace Gulfstream II</v>
          </cell>
          <cell r="C2655" t="str">
            <v>SP</v>
          </cell>
          <cell r="D2655">
            <v>1968</v>
          </cell>
          <cell r="E2655" t="str">
            <v>Cypress Aviation LLC</v>
          </cell>
          <cell r="F2655">
            <v>32</v>
          </cell>
          <cell r="G2655">
            <v>24968</v>
          </cell>
          <cell r="H2655" t="str">
            <v>IISP</v>
          </cell>
          <cell r="I2655" t="str">
            <v>North America</v>
          </cell>
          <cell r="J2655" t="str">
            <v>USA</v>
          </cell>
          <cell r="K2655">
            <v>24288</v>
          </cell>
        </row>
        <row r="2656">
          <cell r="A2656" t="str">
            <v>In service</v>
          </cell>
          <cell r="B2656" t="str">
            <v>Gulfstream Aerospace Gulfstream II</v>
          </cell>
          <cell r="C2656" t="str">
            <v>SP</v>
          </cell>
          <cell r="D2656">
            <v>1975</v>
          </cell>
          <cell r="E2656" t="str">
            <v>Adams Investment Enterprises LLC</v>
          </cell>
          <cell r="F2656">
            <v>25</v>
          </cell>
          <cell r="G2656">
            <v>27711</v>
          </cell>
          <cell r="H2656" t="str">
            <v>IISP</v>
          </cell>
          <cell r="I2656" t="str">
            <v>North America</v>
          </cell>
          <cell r="J2656" t="str">
            <v>USA</v>
          </cell>
          <cell r="K2656">
            <v>26845</v>
          </cell>
        </row>
        <row r="2657">
          <cell r="A2657" t="str">
            <v>In service</v>
          </cell>
          <cell r="B2657" t="str">
            <v>Gulfstream Aerospace Gulfstream II</v>
          </cell>
          <cell r="C2657" t="str">
            <v>SP</v>
          </cell>
          <cell r="D2657">
            <v>1975</v>
          </cell>
          <cell r="E2657" t="str">
            <v>Jetmark Aviation LLC</v>
          </cell>
          <cell r="F2657">
            <v>25</v>
          </cell>
          <cell r="G2657">
            <v>27751</v>
          </cell>
          <cell r="H2657" t="str">
            <v>IISP</v>
          </cell>
          <cell r="I2657" t="str">
            <v>North America</v>
          </cell>
          <cell r="J2657" t="str">
            <v>USA</v>
          </cell>
          <cell r="K2657">
            <v>27210</v>
          </cell>
        </row>
        <row r="2658">
          <cell r="A2658" t="str">
            <v>In service</v>
          </cell>
          <cell r="B2658" t="str">
            <v>Gulfstream Aerospace Gulfstream II</v>
          </cell>
          <cell r="C2658" t="str">
            <v>SP</v>
          </cell>
          <cell r="D2658">
            <v>1975</v>
          </cell>
          <cell r="E2658" t="str">
            <v>Policia Federal Preventiva de Mexico</v>
          </cell>
          <cell r="F2658">
            <v>25</v>
          </cell>
          <cell r="G2658">
            <v>27973</v>
          </cell>
          <cell r="H2658" t="str">
            <v>IISP</v>
          </cell>
          <cell r="I2658" t="str">
            <v>Latin America and Caribbean</v>
          </cell>
          <cell r="J2658" t="str">
            <v>Mexico</v>
          </cell>
          <cell r="K2658">
            <v>27575</v>
          </cell>
        </row>
        <row r="2659">
          <cell r="A2659" t="str">
            <v>In service</v>
          </cell>
          <cell r="B2659" t="str">
            <v>Gulfstream Aerospace Gulfstream II</v>
          </cell>
          <cell r="C2659" t="str">
            <v>SP</v>
          </cell>
          <cell r="D2659">
            <v>1976</v>
          </cell>
          <cell r="E2659" t="str">
            <v>Flightworks</v>
          </cell>
          <cell r="F2659">
            <v>24</v>
          </cell>
          <cell r="G2659">
            <v>27852</v>
          </cell>
          <cell r="H2659" t="str">
            <v>IISP</v>
          </cell>
          <cell r="I2659" t="str">
            <v>North America</v>
          </cell>
          <cell r="J2659" t="str">
            <v>USA</v>
          </cell>
          <cell r="K2659">
            <v>27210</v>
          </cell>
        </row>
        <row r="2660">
          <cell r="A2660" t="str">
            <v>In service</v>
          </cell>
          <cell r="B2660" t="str">
            <v>Gulfstream Aerospace Gulfstream II</v>
          </cell>
          <cell r="C2660" t="str">
            <v>SP</v>
          </cell>
          <cell r="D2660">
            <v>1976</v>
          </cell>
          <cell r="E2660" t="str">
            <v>Worldcom Inc &amp; MFS Communications Co Inc</v>
          </cell>
          <cell r="F2660">
            <v>24</v>
          </cell>
          <cell r="G2660">
            <v>28074</v>
          </cell>
          <cell r="H2660" t="str">
            <v>IISP</v>
          </cell>
          <cell r="I2660" t="str">
            <v>North America</v>
          </cell>
          <cell r="J2660" t="str">
            <v>USA</v>
          </cell>
          <cell r="K2660">
            <v>27575</v>
          </cell>
        </row>
        <row r="2661">
          <cell r="A2661" t="str">
            <v>In service</v>
          </cell>
          <cell r="B2661" t="str">
            <v>Gulfstream Aerospace Gulfstream II</v>
          </cell>
          <cell r="C2661" t="str">
            <v>SP</v>
          </cell>
          <cell r="D2661">
            <v>1976</v>
          </cell>
          <cell r="E2661" t="str">
            <v>Great Buy Inc</v>
          </cell>
          <cell r="F2661">
            <v>24</v>
          </cell>
          <cell r="G2661">
            <v>27947</v>
          </cell>
          <cell r="H2661" t="str">
            <v>IISP</v>
          </cell>
          <cell r="I2661" t="str">
            <v>North America</v>
          </cell>
          <cell r="J2661" t="str">
            <v>USA</v>
          </cell>
        </row>
        <row r="2662">
          <cell r="A2662" t="str">
            <v>In service</v>
          </cell>
          <cell r="B2662" t="str">
            <v>Gulfstream Aerospace Gulfstream II</v>
          </cell>
          <cell r="C2662" t="str">
            <v>SP</v>
          </cell>
          <cell r="D2662">
            <v>1968</v>
          </cell>
          <cell r="E2662" t="str">
            <v>ChanceCarson Inc</v>
          </cell>
          <cell r="F2662">
            <v>32</v>
          </cell>
          <cell r="G2662">
            <v>24992</v>
          </cell>
          <cell r="H2662" t="str">
            <v>IISP</v>
          </cell>
          <cell r="I2662" t="str">
            <v>North America</v>
          </cell>
          <cell r="J2662" t="str">
            <v>USA</v>
          </cell>
          <cell r="K2662">
            <v>24288</v>
          </cell>
        </row>
        <row r="2663">
          <cell r="A2663" t="str">
            <v>In service</v>
          </cell>
          <cell r="B2663" t="str">
            <v>Gulfstream Aerospace Gulfstream II</v>
          </cell>
          <cell r="C2663" t="str">
            <v>SP</v>
          </cell>
          <cell r="D2663">
            <v>1976</v>
          </cell>
          <cell r="E2663" t="str">
            <v>VG Inflight Inc</v>
          </cell>
          <cell r="F2663">
            <v>24</v>
          </cell>
          <cell r="G2663">
            <v>28033</v>
          </cell>
          <cell r="H2663" t="str">
            <v>IISP</v>
          </cell>
          <cell r="I2663" t="str">
            <v>North America</v>
          </cell>
          <cell r="J2663" t="str">
            <v>USA</v>
          </cell>
          <cell r="K2663">
            <v>27575</v>
          </cell>
        </row>
        <row r="2664">
          <cell r="A2664" t="str">
            <v>In service</v>
          </cell>
          <cell r="B2664" t="str">
            <v>Gulfstream Aerospace Gulfstream II</v>
          </cell>
          <cell r="C2664" t="str">
            <v>SP</v>
          </cell>
          <cell r="D2664">
            <v>1976</v>
          </cell>
          <cell r="E2664" t="str">
            <v>Kenair Inc</v>
          </cell>
          <cell r="F2664">
            <v>24</v>
          </cell>
          <cell r="G2664">
            <v>28048</v>
          </cell>
          <cell r="H2664" t="str">
            <v>IISP</v>
          </cell>
          <cell r="I2664" t="str">
            <v>North America</v>
          </cell>
          <cell r="J2664" t="str">
            <v>USA</v>
          </cell>
          <cell r="K2664">
            <v>27575</v>
          </cell>
        </row>
        <row r="2665">
          <cell r="A2665" t="str">
            <v>In service</v>
          </cell>
          <cell r="B2665" t="str">
            <v>Gulfstream Aerospace Gulfstream II</v>
          </cell>
          <cell r="C2665" t="str">
            <v>SP</v>
          </cell>
          <cell r="D2665">
            <v>1976</v>
          </cell>
          <cell r="E2665" t="str">
            <v>Stockwood Inc</v>
          </cell>
          <cell r="F2665">
            <v>24</v>
          </cell>
          <cell r="G2665">
            <v>28069</v>
          </cell>
          <cell r="H2665" t="str">
            <v>IISP</v>
          </cell>
          <cell r="I2665" t="str">
            <v>North America</v>
          </cell>
          <cell r="J2665" t="str">
            <v>USA</v>
          </cell>
          <cell r="K2665">
            <v>27210</v>
          </cell>
        </row>
        <row r="2666">
          <cell r="A2666" t="str">
            <v>In service</v>
          </cell>
          <cell r="B2666" t="str">
            <v>Gulfstream Aerospace Gulfstream II</v>
          </cell>
          <cell r="C2666" t="str">
            <v>SP</v>
          </cell>
          <cell r="D2666">
            <v>1967</v>
          </cell>
          <cell r="E2666" t="str">
            <v>Guild Investments LLC</v>
          </cell>
          <cell r="F2666">
            <v>33</v>
          </cell>
          <cell r="G2666">
            <v>32344</v>
          </cell>
          <cell r="H2666" t="str">
            <v>IISP</v>
          </cell>
          <cell r="I2666" t="str">
            <v>North America</v>
          </cell>
          <cell r="J2666" t="str">
            <v>USA</v>
          </cell>
        </row>
        <row r="2667">
          <cell r="A2667" t="str">
            <v>In service</v>
          </cell>
          <cell r="B2667" t="str">
            <v>Gulfstream Aerospace Gulfstream II</v>
          </cell>
          <cell r="C2667" t="str">
            <v>SP</v>
          </cell>
          <cell r="D2667">
            <v>1977</v>
          </cell>
          <cell r="E2667" t="str">
            <v>Not Yours LLC</v>
          </cell>
          <cell r="F2667">
            <v>23</v>
          </cell>
          <cell r="G2667">
            <v>28430</v>
          </cell>
          <cell r="H2667" t="str">
            <v>IISP</v>
          </cell>
          <cell r="I2667" t="str">
            <v>North America</v>
          </cell>
          <cell r="J2667" t="str">
            <v>USA</v>
          </cell>
          <cell r="K2667">
            <v>27575</v>
          </cell>
        </row>
        <row r="2668">
          <cell r="A2668" t="str">
            <v>In service</v>
          </cell>
          <cell r="B2668" t="str">
            <v>Gulfstream Aerospace Gulfstream II</v>
          </cell>
          <cell r="C2668" t="str">
            <v>SP</v>
          </cell>
          <cell r="D2668">
            <v>1977</v>
          </cell>
          <cell r="E2668" t="str">
            <v>J W Connolly &amp; Shirley B Connolly</v>
          </cell>
          <cell r="F2668">
            <v>23</v>
          </cell>
          <cell r="G2668">
            <v>28706</v>
          </cell>
          <cell r="H2668" t="str">
            <v>IISP</v>
          </cell>
          <cell r="I2668" t="str">
            <v>North America</v>
          </cell>
          <cell r="J2668" t="str">
            <v>USA</v>
          </cell>
          <cell r="K2668">
            <v>28306</v>
          </cell>
        </row>
        <row r="2669">
          <cell r="A2669" t="str">
            <v>In service</v>
          </cell>
          <cell r="B2669" t="str">
            <v>Gulfstream Aerospace Gulfstream II</v>
          </cell>
          <cell r="C2669" t="str">
            <v>SP</v>
          </cell>
          <cell r="D2669">
            <v>1977</v>
          </cell>
          <cell r="E2669" t="str">
            <v>Gulfstream Wings LLC</v>
          </cell>
          <cell r="F2669">
            <v>23</v>
          </cell>
          <cell r="G2669">
            <v>28600</v>
          </cell>
          <cell r="H2669" t="str">
            <v>IISP</v>
          </cell>
          <cell r="I2669" t="str">
            <v>North America</v>
          </cell>
          <cell r="J2669" t="str">
            <v>USA</v>
          </cell>
          <cell r="K2669">
            <v>28306</v>
          </cell>
        </row>
        <row r="2670">
          <cell r="A2670" t="str">
            <v>In service</v>
          </cell>
          <cell r="B2670" t="str">
            <v>Gulfstream Aerospace Gulfstream II</v>
          </cell>
          <cell r="C2670" t="str">
            <v>SP</v>
          </cell>
          <cell r="D2670">
            <v>1977</v>
          </cell>
          <cell r="E2670" t="str">
            <v>ER Aviation LLC</v>
          </cell>
          <cell r="F2670">
            <v>23</v>
          </cell>
          <cell r="G2670">
            <v>28360</v>
          </cell>
          <cell r="H2670" t="str">
            <v>IISP</v>
          </cell>
          <cell r="I2670" t="str">
            <v>North America</v>
          </cell>
          <cell r="J2670" t="str">
            <v>USA</v>
          </cell>
          <cell r="K2670">
            <v>27941</v>
          </cell>
        </row>
        <row r="2671">
          <cell r="A2671" t="str">
            <v>In service</v>
          </cell>
          <cell r="B2671" t="str">
            <v>Gulfstream Aerospace Gulfstream II</v>
          </cell>
          <cell r="C2671" t="str">
            <v>SP</v>
          </cell>
          <cell r="D2671">
            <v>1977</v>
          </cell>
          <cell r="E2671" t="str">
            <v>JI Aviation Inc</v>
          </cell>
          <cell r="F2671">
            <v>23</v>
          </cell>
          <cell r="G2671">
            <v>28454</v>
          </cell>
          <cell r="H2671" t="str">
            <v>IISP</v>
          </cell>
          <cell r="I2671" t="str">
            <v>North America</v>
          </cell>
          <cell r="J2671" t="str">
            <v>USA</v>
          </cell>
          <cell r="K2671">
            <v>27941</v>
          </cell>
        </row>
        <row r="2672">
          <cell r="A2672" t="str">
            <v>In service</v>
          </cell>
          <cell r="B2672" t="str">
            <v>Gulfstream Aerospace Gulfstream II</v>
          </cell>
          <cell r="C2672" t="str">
            <v>SP</v>
          </cell>
          <cell r="D2672">
            <v>1968</v>
          </cell>
          <cell r="E2672" t="str">
            <v>Rutter Aviation LLC</v>
          </cell>
          <cell r="F2672">
            <v>32</v>
          </cell>
          <cell r="G2672">
            <v>25009</v>
          </cell>
          <cell r="H2672" t="str">
            <v>IISP</v>
          </cell>
          <cell r="I2672" t="str">
            <v>North America</v>
          </cell>
          <cell r="J2672" t="str">
            <v>USA</v>
          </cell>
          <cell r="K2672">
            <v>24288</v>
          </cell>
        </row>
        <row r="2673">
          <cell r="A2673" t="str">
            <v>In service</v>
          </cell>
          <cell r="B2673" t="str">
            <v>Gulfstream Aerospace Gulfstream II</v>
          </cell>
          <cell r="C2673" t="str">
            <v>SP</v>
          </cell>
          <cell r="D2673">
            <v>1978</v>
          </cell>
          <cell r="E2673" t="str">
            <v>Harmony Leasing Co LLC</v>
          </cell>
          <cell r="F2673">
            <v>22</v>
          </cell>
          <cell r="G2673">
            <v>28608</v>
          </cell>
          <cell r="H2673" t="str">
            <v>IISP</v>
          </cell>
          <cell r="I2673" t="str">
            <v>North America</v>
          </cell>
          <cell r="J2673" t="str">
            <v>USA</v>
          </cell>
          <cell r="K2673">
            <v>27941</v>
          </cell>
        </row>
        <row r="2674">
          <cell r="A2674" t="str">
            <v>In service</v>
          </cell>
          <cell r="B2674" t="str">
            <v>Gulfstream Aerospace Gulfstream II</v>
          </cell>
          <cell r="C2674" t="str">
            <v>SP</v>
          </cell>
          <cell r="D2674">
            <v>1978</v>
          </cell>
          <cell r="E2674" t="str">
            <v>Lancaster Aviation Inc</v>
          </cell>
          <cell r="F2674">
            <v>22</v>
          </cell>
          <cell r="G2674">
            <v>28630</v>
          </cell>
          <cell r="H2674" t="str">
            <v>IISP</v>
          </cell>
          <cell r="I2674" t="str">
            <v>North America</v>
          </cell>
          <cell r="J2674" t="str">
            <v>USA</v>
          </cell>
          <cell r="K2674">
            <v>27941</v>
          </cell>
        </row>
        <row r="2675">
          <cell r="A2675" t="str">
            <v>In service</v>
          </cell>
          <cell r="B2675" t="str">
            <v>Gulfstream Aerospace Gulfstream II</v>
          </cell>
          <cell r="C2675" t="str">
            <v>SP</v>
          </cell>
          <cell r="D2675">
            <v>1978</v>
          </cell>
          <cell r="E2675" t="str">
            <v>Rollins Leasing LLC</v>
          </cell>
          <cell r="F2675">
            <v>22</v>
          </cell>
          <cell r="G2675">
            <v>29060</v>
          </cell>
          <cell r="H2675" t="str">
            <v>IISP</v>
          </cell>
          <cell r="I2675" t="str">
            <v>North America</v>
          </cell>
          <cell r="J2675" t="str">
            <v>USA</v>
          </cell>
          <cell r="K2675">
            <v>28671</v>
          </cell>
        </row>
        <row r="2676">
          <cell r="A2676" t="str">
            <v>In service</v>
          </cell>
          <cell r="B2676" t="str">
            <v>Gulfstream Aerospace Gulfstream II</v>
          </cell>
          <cell r="C2676" t="str">
            <v>SP</v>
          </cell>
          <cell r="D2676">
            <v>1978</v>
          </cell>
          <cell r="E2676" t="str">
            <v>Relco Resources Inc</v>
          </cell>
          <cell r="F2676">
            <v>22</v>
          </cell>
          <cell r="G2676">
            <v>28717</v>
          </cell>
          <cell r="H2676" t="str">
            <v>IISP</v>
          </cell>
          <cell r="I2676" t="str">
            <v>North America</v>
          </cell>
          <cell r="J2676" t="str">
            <v>USA</v>
          </cell>
          <cell r="K2676">
            <v>27941</v>
          </cell>
        </row>
        <row r="2677">
          <cell r="A2677" t="str">
            <v>In service</v>
          </cell>
          <cell r="B2677" t="str">
            <v>Gulfstream Aerospace Gulfstream II</v>
          </cell>
          <cell r="C2677" t="str">
            <v>SP</v>
          </cell>
          <cell r="D2677">
            <v>1978</v>
          </cell>
          <cell r="E2677" t="str">
            <v>Clay Lacy Aviation</v>
          </cell>
          <cell r="F2677">
            <v>22</v>
          </cell>
          <cell r="G2677">
            <v>28722</v>
          </cell>
          <cell r="H2677" t="str">
            <v>IISP</v>
          </cell>
          <cell r="I2677" t="str">
            <v>North America</v>
          </cell>
          <cell r="J2677" t="str">
            <v>USA</v>
          </cell>
          <cell r="K2677">
            <v>27941</v>
          </cell>
        </row>
        <row r="2678">
          <cell r="A2678" t="str">
            <v>In service</v>
          </cell>
          <cell r="B2678" t="str">
            <v>Gulfstream Aerospace Gulfstream II</v>
          </cell>
          <cell r="C2678" t="str">
            <v>SP</v>
          </cell>
          <cell r="D2678">
            <v>1978</v>
          </cell>
          <cell r="E2678" t="str">
            <v>Willis Stein Advisors LLC</v>
          </cell>
          <cell r="F2678">
            <v>22</v>
          </cell>
          <cell r="G2678">
            <v>28958</v>
          </cell>
          <cell r="H2678" t="str">
            <v>IISP</v>
          </cell>
          <cell r="I2678" t="str">
            <v>North America</v>
          </cell>
          <cell r="J2678" t="str">
            <v>USA</v>
          </cell>
          <cell r="K2678">
            <v>28306</v>
          </cell>
        </row>
        <row r="2679">
          <cell r="A2679" t="str">
            <v>In service</v>
          </cell>
          <cell r="B2679" t="str">
            <v>Gulfstream Aerospace Gulfstream II</v>
          </cell>
          <cell r="C2679" t="str">
            <v>SP</v>
          </cell>
          <cell r="D2679">
            <v>1979</v>
          </cell>
          <cell r="E2679" t="str">
            <v>Viasystems Technologies Corp</v>
          </cell>
          <cell r="F2679">
            <v>21</v>
          </cell>
          <cell r="G2679">
            <v>28901</v>
          </cell>
          <cell r="H2679" t="str">
            <v>IISP</v>
          </cell>
          <cell r="I2679" t="str">
            <v>North America</v>
          </cell>
          <cell r="J2679" t="str">
            <v>USA</v>
          </cell>
        </row>
        <row r="2680">
          <cell r="A2680" t="str">
            <v>In service</v>
          </cell>
          <cell r="B2680" t="str">
            <v>Gulfstream Aerospace Gulfstream II</v>
          </cell>
          <cell r="C2680" t="str">
            <v>SP</v>
          </cell>
          <cell r="D2680">
            <v>1979</v>
          </cell>
          <cell r="E2680" t="str">
            <v>MG-75 Inc</v>
          </cell>
          <cell r="F2680">
            <v>21</v>
          </cell>
          <cell r="G2680">
            <v>29082</v>
          </cell>
          <cell r="H2680" t="str">
            <v>IISP</v>
          </cell>
          <cell r="I2680" t="str">
            <v>North America</v>
          </cell>
          <cell r="J2680" t="str">
            <v>USA</v>
          </cell>
          <cell r="K2680">
            <v>28306</v>
          </cell>
        </row>
        <row r="2681">
          <cell r="A2681" t="str">
            <v>In service</v>
          </cell>
          <cell r="B2681" t="str">
            <v>Gulfstream Aerospace Gulfstream II</v>
          </cell>
          <cell r="C2681" t="str">
            <v>SP</v>
          </cell>
          <cell r="D2681">
            <v>1979</v>
          </cell>
          <cell r="E2681" t="str">
            <v>Chelsea Aviation LP</v>
          </cell>
          <cell r="F2681">
            <v>21</v>
          </cell>
          <cell r="G2681">
            <v>29306</v>
          </cell>
          <cell r="H2681" t="str">
            <v>IISP</v>
          </cell>
          <cell r="I2681" t="str">
            <v>North America</v>
          </cell>
          <cell r="J2681" t="str">
            <v>USA</v>
          </cell>
          <cell r="K2681">
            <v>28671</v>
          </cell>
        </row>
        <row r="2682">
          <cell r="A2682" t="str">
            <v>In service</v>
          </cell>
          <cell r="B2682" t="str">
            <v>Gulfstream Aerospace Gulfstream II</v>
          </cell>
          <cell r="C2682" t="str">
            <v>SP</v>
          </cell>
          <cell r="D2682">
            <v>1979</v>
          </cell>
          <cell r="E2682" t="str">
            <v>Consolidated Oil &amp; Gas</v>
          </cell>
          <cell r="F2682">
            <v>21</v>
          </cell>
          <cell r="G2682">
            <v>29174</v>
          </cell>
          <cell r="H2682" t="str">
            <v>IISP</v>
          </cell>
          <cell r="I2682" t="str">
            <v>North America</v>
          </cell>
          <cell r="J2682" t="str">
            <v>USA</v>
          </cell>
          <cell r="K2682">
            <v>29036</v>
          </cell>
        </row>
        <row r="2683">
          <cell r="A2683" t="str">
            <v>In service</v>
          </cell>
          <cell r="B2683" t="str">
            <v>Gulfstream Aerospace Gulfstream II</v>
          </cell>
          <cell r="C2683" t="str">
            <v>SP</v>
          </cell>
          <cell r="D2683">
            <v>1968</v>
          </cell>
          <cell r="E2683" t="str">
            <v>Hazben Inc</v>
          </cell>
          <cell r="F2683">
            <v>32</v>
          </cell>
          <cell r="G2683">
            <v>25084</v>
          </cell>
          <cell r="H2683" t="str">
            <v>IISP</v>
          </cell>
          <cell r="I2683" t="str">
            <v>North America</v>
          </cell>
          <cell r="J2683" t="str">
            <v>USA</v>
          </cell>
          <cell r="K2683">
            <v>24288</v>
          </cell>
        </row>
        <row r="2684">
          <cell r="A2684" t="str">
            <v>In service</v>
          </cell>
          <cell r="B2684" t="str">
            <v>Gulfstream Aerospace Gulfstream II</v>
          </cell>
          <cell r="C2684" t="str">
            <v>SP</v>
          </cell>
          <cell r="D2684">
            <v>1968</v>
          </cell>
          <cell r="E2684" t="str">
            <v>Hollywood Entertainment Corp</v>
          </cell>
          <cell r="F2684">
            <v>32</v>
          </cell>
          <cell r="G2684">
            <v>25084</v>
          </cell>
          <cell r="H2684" t="str">
            <v>IISP</v>
          </cell>
          <cell r="I2684" t="str">
            <v>North America</v>
          </cell>
          <cell r="J2684" t="str">
            <v>USA</v>
          </cell>
          <cell r="K2684">
            <v>24653</v>
          </cell>
        </row>
        <row r="2685">
          <cell r="A2685" t="str">
            <v>In service</v>
          </cell>
          <cell r="B2685" t="str">
            <v>Gulfstream Aerospace Gulfstream II</v>
          </cell>
          <cell r="C2685" t="str">
            <v>SP</v>
          </cell>
          <cell r="D2685">
            <v>1968</v>
          </cell>
          <cell r="E2685" t="str">
            <v>Bondstone Corp</v>
          </cell>
          <cell r="F2685">
            <v>32</v>
          </cell>
          <cell r="G2685">
            <v>25113</v>
          </cell>
          <cell r="H2685" t="str">
            <v>IISP</v>
          </cell>
          <cell r="I2685" t="str">
            <v>North America</v>
          </cell>
          <cell r="J2685" t="str">
            <v>USA</v>
          </cell>
          <cell r="K2685">
            <v>24288</v>
          </cell>
        </row>
        <row r="2686">
          <cell r="A2686" t="str">
            <v>In service</v>
          </cell>
          <cell r="B2686" t="str">
            <v>Gulfstream Aerospace Gulfstream II</v>
          </cell>
          <cell r="C2686" t="str">
            <v>SP</v>
          </cell>
          <cell r="D2686">
            <v>1968</v>
          </cell>
          <cell r="E2686" t="str">
            <v>FTO Co Inc</v>
          </cell>
          <cell r="F2686">
            <v>32</v>
          </cell>
          <cell r="G2686">
            <v>25153</v>
          </cell>
          <cell r="H2686" t="str">
            <v>IISP</v>
          </cell>
          <cell r="I2686" t="str">
            <v>North America</v>
          </cell>
          <cell r="J2686" t="str">
            <v>USA</v>
          </cell>
          <cell r="K2686">
            <v>24288</v>
          </cell>
        </row>
        <row r="2687">
          <cell r="A2687" t="str">
            <v>In service</v>
          </cell>
          <cell r="B2687" t="str">
            <v>Gulfstream Aerospace Gulfstream II</v>
          </cell>
          <cell r="C2687" t="str">
            <v>SP</v>
          </cell>
          <cell r="D2687">
            <v>1968</v>
          </cell>
          <cell r="E2687" t="str">
            <v>Pennsylvania Marine Services Inc</v>
          </cell>
          <cell r="F2687">
            <v>32</v>
          </cell>
          <cell r="G2687">
            <v>25192</v>
          </cell>
          <cell r="H2687" t="str">
            <v>IISP</v>
          </cell>
          <cell r="I2687" t="str">
            <v>North America</v>
          </cell>
          <cell r="J2687" t="str">
            <v>USA</v>
          </cell>
          <cell r="K2687">
            <v>24288</v>
          </cell>
        </row>
        <row r="2688">
          <cell r="A2688" t="str">
            <v>In service</v>
          </cell>
          <cell r="B2688" t="str">
            <v>Gulfstream Aerospace Gulfstream II</v>
          </cell>
          <cell r="C2688" t="str">
            <v>SP</v>
          </cell>
          <cell r="D2688">
            <v>1969</v>
          </cell>
          <cell r="E2688" t="str">
            <v>Martin Sprocket &amp; Gear Inc</v>
          </cell>
          <cell r="F2688">
            <v>31</v>
          </cell>
          <cell r="G2688">
            <v>25247</v>
          </cell>
          <cell r="H2688" t="str">
            <v>IISP</v>
          </cell>
          <cell r="I2688" t="str">
            <v>North America</v>
          </cell>
          <cell r="J2688" t="str">
            <v>USA</v>
          </cell>
          <cell r="K2688">
            <v>24653</v>
          </cell>
        </row>
        <row r="2689">
          <cell r="A2689" t="str">
            <v>In service</v>
          </cell>
          <cell r="B2689" t="str">
            <v>Gulfstream Aerospace Gulfstream II</v>
          </cell>
          <cell r="C2689" t="str">
            <v>SP</v>
          </cell>
          <cell r="D2689">
            <v>1969</v>
          </cell>
          <cell r="E2689" t="str">
            <v>Robert E Torray &amp; Co</v>
          </cell>
          <cell r="F2689">
            <v>31</v>
          </cell>
          <cell r="G2689">
            <v>25956</v>
          </cell>
          <cell r="H2689" t="str">
            <v>IISP</v>
          </cell>
          <cell r="I2689" t="str">
            <v>North America</v>
          </cell>
          <cell r="J2689" t="str">
            <v>USA</v>
          </cell>
        </row>
        <row r="2690">
          <cell r="A2690" t="str">
            <v>In service</v>
          </cell>
          <cell r="B2690" t="str">
            <v>Gulfstream Aerospace Gulfstream II</v>
          </cell>
          <cell r="C2690" t="str">
            <v>SP</v>
          </cell>
          <cell r="D2690">
            <v>1969</v>
          </cell>
          <cell r="E2690" t="str">
            <v>Hubbard Broadcasting Inc</v>
          </cell>
          <cell r="F2690">
            <v>31</v>
          </cell>
          <cell r="G2690">
            <v>25308</v>
          </cell>
          <cell r="H2690" t="str">
            <v>IISP</v>
          </cell>
          <cell r="I2690" t="str">
            <v>North America</v>
          </cell>
          <cell r="J2690" t="str">
            <v>USA</v>
          </cell>
          <cell r="K2690">
            <v>24653</v>
          </cell>
        </row>
        <row r="2691">
          <cell r="A2691" t="str">
            <v>In service</v>
          </cell>
          <cell r="B2691" t="str">
            <v>Gulfstream Aerospace Gulfstream II</v>
          </cell>
          <cell r="C2691" t="str">
            <v>SP</v>
          </cell>
          <cell r="D2691">
            <v>1969</v>
          </cell>
          <cell r="E2691" t="str">
            <v>Kingdom Harvest International</v>
          </cell>
          <cell r="F2691">
            <v>31</v>
          </cell>
          <cell r="G2691">
            <v>25321</v>
          </cell>
          <cell r="H2691" t="str">
            <v>IISP</v>
          </cell>
          <cell r="I2691" t="str">
            <v>North America</v>
          </cell>
          <cell r="J2691" t="str">
            <v>USA</v>
          </cell>
          <cell r="K2691">
            <v>24653</v>
          </cell>
        </row>
        <row r="2692">
          <cell r="A2692" t="str">
            <v>In service</v>
          </cell>
          <cell r="B2692" t="str">
            <v>Gulfstream Aerospace Gulfstream II</v>
          </cell>
          <cell r="C2692" t="str">
            <v>SP</v>
          </cell>
          <cell r="D2692">
            <v>1969</v>
          </cell>
          <cell r="E2692" t="str">
            <v>Oxy Petroleum Inc</v>
          </cell>
          <cell r="F2692">
            <v>31</v>
          </cell>
          <cell r="G2692">
            <v>25343</v>
          </cell>
          <cell r="H2692" t="str">
            <v>IISP</v>
          </cell>
          <cell r="I2692" t="str">
            <v>North America</v>
          </cell>
          <cell r="J2692" t="str">
            <v>USA</v>
          </cell>
          <cell r="K2692">
            <v>24653</v>
          </cell>
        </row>
        <row r="2693">
          <cell r="A2693" t="str">
            <v>In service</v>
          </cell>
          <cell r="B2693" t="str">
            <v>Gulfstream Aerospace Gulfstream II</v>
          </cell>
          <cell r="C2693" t="str">
            <v>SP</v>
          </cell>
          <cell r="D2693">
            <v>1969</v>
          </cell>
          <cell r="E2693" t="str">
            <v>Hubbard Broadcasting Inc</v>
          </cell>
          <cell r="F2693">
            <v>31</v>
          </cell>
          <cell r="G2693">
            <v>25357</v>
          </cell>
          <cell r="H2693" t="str">
            <v>IISP</v>
          </cell>
          <cell r="I2693" t="str">
            <v>North America</v>
          </cell>
          <cell r="J2693" t="str">
            <v>USA</v>
          </cell>
          <cell r="K2693">
            <v>24653</v>
          </cell>
        </row>
        <row r="2694">
          <cell r="A2694" t="str">
            <v>In service</v>
          </cell>
          <cell r="B2694" t="str">
            <v>Gulfstream Aerospace Gulfstream II</v>
          </cell>
          <cell r="C2694" t="str">
            <v>SP</v>
          </cell>
          <cell r="D2694">
            <v>1969</v>
          </cell>
          <cell r="E2694" t="str">
            <v>The Air Group Inc</v>
          </cell>
          <cell r="F2694">
            <v>31</v>
          </cell>
          <cell r="G2694">
            <v>25381</v>
          </cell>
          <cell r="H2694" t="str">
            <v>IISP</v>
          </cell>
          <cell r="I2694" t="str">
            <v>North America</v>
          </cell>
          <cell r="J2694" t="str">
            <v>USA</v>
          </cell>
          <cell r="K2694">
            <v>24653</v>
          </cell>
        </row>
        <row r="2695">
          <cell r="A2695" t="str">
            <v>In service</v>
          </cell>
          <cell r="B2695" t="str">
            <v>Gulfstream Aerospace Gulfstream II</v>
          </cell>
          <cell r="C2695" t="str">
            <v>SP</v>
          </cell>
          <cell r="D2695">
            <v>1969</v>
          </cell>
          <cell r="E2695" t="str">
            <v>Flightworks</v>
          </cell>
          <cell r="F2695">
            <v>31</v>
          </cell>
          <cell r="G2695">
            <v>25392</v>
          </cell>
          <cell r="H2695" t="str">
            <v>IISP</v>
          </cell>
          <cell r="I2695" t="str">
            <v>North America</v>
          </cell>
          <cell r="J2695" t="str">
            <v>USA</v>
          </cell>
          <cell r="K2695">
            <v>24653</v>
          </cell>
        </row>
        <row r="2696">
          <cell r="A2696" t="str">
            <v>In service</v>
          </cell>
          <cell r="B2696" t="str">
            <v>Gulfstream Aerospace Gulfstream II</v>
          </cell>
          <cell r="C2696" t="str">
            <v>SP</v>
          </cell>
          <cell r="D2696">
            <v>1969</v>
          </cell>
          <cell r="E2696" t="str">
            <v>Jayde Aviation LLC &amp; Regal Aviation LLC</v>
          </cell>
          <cell r="F2696">
            <v>31</v>
          </cell>
          <cell r="G2696">
            <v>25441</v>
          </cell>
          <cell r="H2696" t="str">
            <v>IISP</v>
          </cell>
          <cell r="I2696" t="str">
            <v>North America</v>
          </cell>
          <cell r="J2696" t="str">
            <v>USA</v>
          </cell>
          <cell r="K2696">
            <v>24653</v>
          </cell>
        </row>
        <row r="2697">
          <cell r="A2697" t="str">
            <v>In service</v>
          </cell>
          <cell r="B2697" t="str">
            <v>Gulfstream Aerospace Gulfstream II</v>
          </cell>
          <cell r="C2697" t="str">
            <v>SP</v>
          </cell>
          <cell r="D2697">
            <v>1969</v>
          </cell>
          <cell r="E2697" t="str">
            <v>Scores Inc</v>
          </cell>
          <cell r="F2697">
            <v>31</v>
          </cell>
          <cell r="G2697">
            <v>25474</v>
          </cell>
          <cell r="H2697" t="str">
            <v>IISP</v>
          </cell>
          <cell r="I2697" t="str">
            <v>North America</v>
          </cell>
          <cell r="J2697" t="str">
            <v>USA</v>
          </cell>
          <cell r="K2697">
            <v>25019</v>
          </cell>
        </row>
        <row r="2698">
          <cell r="A2698" t="str">
            <v>In service</v>
          </cell>
          <cell r="B2698" t="str">
            <v>Gulfstream Aerospace Gulfstream II</v>
          </cell>
          <cell r="C2698" t="str">
            <v>SP</v>
          </cell>
          <cell r="D2698">
            <v>1967</v>
          </cell>
          <cell r="E2698" t="str">
            <v>Jet Aviation West Palm Beach</v>
          </cell>
          <cell r="F2698">
            <v>33</v>
          </cell>
          <cell r="G2698">
            <v>24927</v>
          </cell>
          <cell r="H2698" t="str">
            <v>IISP</v>
          </cell>
          <cell r="I2698" t="str">
            <v>North America</v>
          </cell>
          <cell r="J2698" t="str">
            <v>USA</v>
          </cell>
          <cell r="K2698">
            <v>24288</v>
          </cell>
        </row>
        <row r="2699">
          <cell r="A2699" t="str">
            <v>In service</v>
          </cell>
          <cell r="B2699" t="str">
            <v>Gulfstream Aerospace Gulfstream II</v>
          </cell>
          <cell r="C2699" t="str">
            <v>SP</v>
          </cell>
          <cell r="D2699">
            <v>1969</v>
          </cell>
          <cell r="E2699" t="str">
            <v>C &amp; A Aircraft LLC</v>
          </cell>
          <cell r="F2699">
            <v>31</v>
          </cell>
          <cell r="G2699">
            <v>25531</v>
          </cell>
          <cell r="H2699" t="str">
            <v>IISP</v>
          </cell>
          <cell r="I2699" t="str">
            <v>North America</v>
          </cell>
          <cell r="J2699" t="str">
            <v>USA</v>
          </cell>
          <cell r="K2699">
            <v>25019</v>
          </cell>
        </row>
        <row r="2700">
          <cell r="A2700" t="str">
            <v>In service</v>
          </cell>
          <cell r="B2700" t="str">
            <v>Gulfstream Aerospace Gulfstream II</v>
          </cell>
          <cell r="C2700" t="str">
            <v>SP</v>
          </cell>
          <cell r="D2700">
            <v>1969</v>
          </cell>
          <cell r="E2700" t="str">
            <v>Midstate Aviation Corp</v>
          </cell>
          <cell r="F2700">
            <v>31</v>
          </cell>
          <cell r="G2700">
            <v>25549</v>
          </cell>
          <cell r="H2700" t="str">
            <v>IISP</v>
          </cell>
          <cell r="I2700" t="str">
            <v>North America</v>
          </cell>
          <cell r="J2700" t="str">
            <v>USA</v>
          </cell>
          <cell r="K2700">
            <v>25019</v>
          </cell>
        </row>
        <row r="2701">
          <cell r="A2701" t="str">
            <v>In service</v>
          </cell>
          <cell r="B2701" t="str">
            <v>Gulfstream Aerospace Gulfstream II</v>
          </cell>
          <cell r="C2701" t="str">
            <v>SP</v>
          </cell>
          <cell r="D2701">
            <v>1969</v>
          </cell>
          <cell r="E2701" t="str">
            <v>Aviation Company Inc</v>
          </cell>
          <cell r="F2701">
            <v>31</v>
          </cell>
          <cell r="G2701">
            <v>25599</v>
          </cell>
          <cell r="H2701" t="str">
            <v>IISP</v>
          </cell>
          <cell r="I2701" t="str">
            <v>North America</v>
          </cell>
          <cell r="J2701" t="str">
            <v>USA</v>
          </cell>
          <cell r="K2701">
            <v>25019</v>
          </cell>
        </row>
        <row r="2702">
          <cell r="A2702" t="str">
            <v>In service</v>
          </cell>
          <cell r="B2702" t="str">
            <v>Gulfstream Aerospace Gulfstream II</v>
          </cell>
          <cell r="C2702" t="str">
            <v>SP</v>
          </cell>
          <cell r="D2702">
            <v>1967</v>
          </cell>
          <cell r="E2702" t="str">
            <v>Zero Zero Eight Aviation LLC</v>
          </cell>
          <cell r="F2702">
            <v>33</v>
          </cell>
          <cell r="G2702">
            <v>24824</v>
          </cell>
          <cell r="H2702" t="str">
            <v>IISP</v>
          </cell>
          <cell r="I2702" t="str">
            <v>North America</v>
          </cell>
          <cell r="J2702" t="str">
            <v>USA</v>
          </cell>
          <cell r="K2702">
            <v>23923</v>
          </cell>
        </row>
        <row r="2703">
          <cell r="A2703" t="str">
            <v>In service</v>
          </cell>
          <cell r="B2703" t="str">
            <v>Gulfstream Aerospace Gulfstream II</v>
          </cell>
          <cell r="C2703" t="str">
            <v>SP</v>
          </cell>
          <cell r="D2703">
            <v>1970</v>
          </cell>
          <cell r="E2703" t="str">
            <v>DS Advisors Inc</v>
          </cell>
          <cell r="F2703">
            <v>30</v>
          </cell>
          <cell r="G2703">
            <v>25609</v>
          </cell>
          <cell r="H2703" t="str">
            <v>IISP</v>
          </cell>
          <cell r="I2703" t="str">
            <v>North America</v>
          </cell>
          <cell r="J2703" t="str">
            <v>USA</v>
          </cell>
          <cell r="K2703">
            <v>25019</v>
          </cell>
        </row>
        <row r="2704">
          <cell r="A2704" t="str">
            <v>In service</v>
          </cell>
          <cell r="B2704" t="str">
            <v>Gulfstream Aerospace Gulfstream II</v>
          </cell>
          <cell r="C2704" t="str">
            <v>SP</v>
          </cell>
          <cell r="D2704">
            <v>1970</v>
          </cell>
          <cell r="E2704" t="str">
            <v>Constellation Products Inc</v>
          </cell>
          <cell r="F2704">
            <v>30</v>
          </cell>
          <cell r="G2704">
            <v>25616</v>
          </cell>
          <cell r="H2704" t="str">
            <v>IISP</v>
          </cell>
          <cell r="I2704" t="str">
            <v>North America</v>
          </cell>
          <cell r="J2704" t="str">
            <v>USA</v>
          </cell>
          <cell r="K2704">
            <v>25019</v>
          </cell>
        </row>
        <row r="2705">
          <cell r="A2705" t="str">
            <v>In service</v>
          </cell>
          <cell r="B2705" t="str">
            <v>Gulfstream Aerospace Gulfstream II</v>
          </cell>
          <cell r="C2705" t="str">
            <v>SP</v>
          </cell>
          <cell r="D2705">
            <v>1970</v>
          </cell>
          <cell r="E2705" t="str">
            <v>BHM Corp</v>
          </cell>
          <cell r="F2705">
            <v>30</v>
          </cell>
          <cell r="G2705">
            <v>25640</v>
          </cell>
          <cell r="H2705" t="str">
            <v>IISP</v>
          </cell>
          <cell r="I2705" t="str">
            <v>North America</v>
          </cell>
          <cell r="J2705" t="str">
            <v>USA</v>
          </cell>
          <cell r="K2705">
            <v>25019</v>
          </cell>
        </row>
        <row r="2706">
          <cell r="A2706" t="str">
            <v>In service</v>
          </cell>
          <cell r="B2706" t="str">
            <v>Gulfstream Aerospace Gulfstream II</v>
          </cell>
          <cell r="C2706" t="str">
            <v>SP</v>
          </cell>
          <cell r="D2706">
            <v>1970</v>
          </cell>
          <cell r="E2706" t="str">
            <v>Jet Place Inc</v>
          </cell>
          <cell r="F2706">
            <v>30</v>
          </cell>
          <cell r="G2706">
            <v>25688</v>
          </cell>
          <cell r="H2706" t="str">
            <v>IISP</v>
          </cell>
          <cell r="I2706" t="str">
            <v>North America</v>
          </cell>
          <cell r="J2706" t="str">
            <v>USA</v>
          </cell>
          <cell r="K2706">
            <v>25019</v>
          </cell>
        </row>
        <row r="2707">
          <cell r="A2707" t="str">
            <v>In service</v>
          </cell>
          <cell r="B2707" t="str">
            <v>Gulfstream Aerospace Gulfstream II</v>
          </cell>
          <cell r="C2707" t="str">
            <v>SP</v>
          </cell>
          <cell r="D2707">
            <v>1970</v>
          </cell>
          <cell r="E2707" t="str">
            <v>Aero Air LLC</v>
          </cell>
          <cell r="F2707">
            <v>30</v>
          </cell>
          <cell r="G2707">
            <v>25941</v>
          </cell>
          <cell r="H2707" t="str">
            <v>IISP</v>
          </cell>
          <cell r="I2707" t="str">
            <v>North America</v>
          </cell>
          <cell r="J2707" t="str">
            <v>USA</v>
          </cell>
          <cell r="K2707">
            <v>25384</v>
          </cell>
        </row>
        <row r="2708">
          <cell r="A2708" t="str">
            <v>In service</v>
          </cell>
          <cell r="B2708" t="str">
            <v>Gulfstream Aerospace Gulfstream II</v>
          </cell>
          <cell r="C2708" t="str">
            <v>SP</v>
          </cell>
          <cell r="D2708">
            <v>1970</v>
          </cell>
          <cell r="E2708" t="str">
            <v>Cirrus GAS 2 LLC</v>
          </cell>
          <cell r="F2708">
            <v>30</v>
          </cell>
          <cell r="G2708">
            <v>25742</v>
          </cell>
          <cell r="H2708" t="str">
            <v>IISP</v>
          </cell>
          <cell r="I2708" t="str">
            <v>North America</v>
          </cell>
          <cell r="J2708" t="str">
            <v>USA</v>
          </cell>
          <cell r="K2708">
            <v>25019</v>
          </cell>
        </row>
        <row r="2709">
          <cell r="A2709" t="str">
            <v>In service</v>
          </cell>
          <cell r="B2709" t="str">
            <v>Gulfstream Aerospace Gulfstream II</v>
          </cell>
          <cell r="C2709" t="str">
            <v>SP</v>
          </cell>
          <cell r="D2709">
            <v>1970</v>
          </cell>
          <cell r="E2709" t="str">
            <v>Avjet Corp</v>
          </cell>
          <cell r="F2709">
            <v>30</v>
          </cell>
          <cell r="G2709">
            <v>26039</v>
          </cell>
          <cell r="H2709" t="str">
            <v>IISP</v>
          </cell>
          <cell r="I2709" t="str">
            <v>North America</v>
          </cell>
          <cell r="J2709" t="str">
            <v>USA</v>
          </cell>
          <cell r="K2709">
            <v>25384</v>
          </cell>
        </row>
        <row r="2710">
          <cell r="A2710" t="str">
            <v>In service</v>
          </cell>
          <cell r="B2710" t="str">
            <v>Gulfstream Aerospace Gulfstream II</v>
          </cell>
          <cell r="C2710" t="str">
            <v>SP</v>
          </cell>
          <cell r="D2710">
            <v>1970</v>
          </cell>
          <cell r="E2710" t="str">
            <v>Air Lake Lines Inc</v>
          </cell>
          <cell r="F2710">
            <v>30</v>
          </cell>
          <cell r="G2710">
            <v>26214</v>
          </cell>
          <cell r="H2710" t="str">
            <v>IISP</v>
          </cell>
          <cell r="I2710" t="str">
            <v>North America</v>
          </cell>
          <cell r="J2710" t="str">
            <v>USA</v>
          </cell>
          <cell r="K2710">
            <v>25749</v>
          </cell>
        </row>
        <row r="2711">
          <cell r="A2711" t="str">
            <v>In service</v>
          </cell>
          <cell r="B2711" t="str">
            <v>Gulfstream Aerospace Gulfstream II</v>
          </cell>
          <cell r="C2711" t="str">
            <v>SP</v>
          </cell>
          <cell r="D2711">
            <v>1971</v>
          </cell>
          <cell r="E2711" t="str">
            <v>Flightworks</v>
          </cell>
          <cell r="F2711">
            <v>29</v>
          </cell>
          <cell r="G2711">
            <v>26108</v>
          </cell>
          <cell r="H2711" t="str">
            <v>IISP</v>
          </cell>
          <cell r="I2711" t="str">
            <v>North America</v>
          </cell>
          <cell r="J2711" t="str">
            <v>USA</v>
          </cell>
          <cell r="K2711">
            <v>25749</v>
          </cell>
        </row>
        <row r="2712">
          <cell r="A2712" t="str">
            <v>In service</v>
          </cell>
          <cell r="B2712" t="str">
            <v>Gulfstream Aerospace Gulfstream II</v>
          </cell>
          <cell r="C2712" t="str">
            <v>Stage III Hushkit</v>
          </cell>
          <cell r="D2712">
            <v>1978</v>
          </cell>
          <cell r="E2712" t="str">
            <v>Really Quiet LLC</v>
          </cell>
          <cell r="F2712">
            <v>22</v>
          </cell>
          <cell r="G2712">
            <v>29075</v>
          </cell>
          <cell r="I2712" t="str">
            <v>North America</v>
          </cell>
          <cell r="J2712" t="str">
            <v>USA</v>
          </cell>
          <cell r="K2712">
            <v>28671</v>
          </cell>
        </row>
        <row r="2713">
          <cell r="A2713" t="str">
            <v>In service</v>
          </cell>
          <cell r="B2713" t="str">
            <v>Gulfstream Aerospace Gulfstream II</v>
          </cell>
          <cell r="C2713" t="str">
            <v>TT</v>
          </cell>
          <cell r="D2713">
            <v>1975</v>
          </cell>
          <cell r="E2713" t="str">
            <v>Executive Aviation Logistics Inc</v>
          </cell>
          <cell r="F2713">
            <v>25</v>
          </cell>
          <cell r="G2713">
            <v>28887</v>
          </cell>
          <cell r="H2713" t="str">
            <v>IITT</v>
          </cell>
          <cell r="I2713" t="str">
            <v>North America</v>
          </cell>
          <cell r="J2713" t="str">
            <v>USA</v>
          </cell>
        </row>
        <row r="2714">
          <cell r="A2714" t="str">
            <v>In service</v>
          </cell>
          <cell r="B2714" t="str">
            <v>Gulfstream Aerospace Gulfstream II</v>
          </cell>
          <cell r="C2714" t="str">
            <v>TT</v>
          </cell>
          <cell r="D2714">
            <v>1976</v>
          </cell>
          <cell r="E2714" t="str">
            <v>Moroccan Ministry of Defence</v>
          </cell>
          <cell r="F2714">
            <v>24</v>
          </cell>
          <cell r="G2714">
            <v>28228</v>
          </cell>
          <cell r="H2714" t="str">
            <v>IITT</v>
          </cell>
          <cell r="I2714" t="str">
            <v>Africa</v>
          </cell>
          <cell r="J2714" t="str">
            <v>Morocco</v>
          </cell>
        </row>
        <row r="2715">
          <cell r="A2715" t="str">
            <v>In service</v>
          </cell>
          <cell r="B2715" t="str">
            <v>Gulfstream Aerospace Gulfstream II</v>
          </cell>
          <cell r="C2715" t="str">
            <v>TT</v>
          </cell>
          <cell r="D2715">
            <v>1977</v>
          </cell>
          <cell r="E2715" t="str">
            <v>Saudi Arabian Airlines</v>
          </cell>
          <cell r="F2715">
            <v>23</v>
          </cell>
          <cell r="G2715">
            <v>28477</v>
          </cell>
          <cell r="H2715" t="str">
            <v>IITT</v>
          </cell>
          <cell r="I2715" t="str">
            <v>Middle East</v>
          </cell>
          <cell r="J2715" t="str">
            <v>Saudi Arabia</v>
          </cell>
          <cell r="K2715">
            <v>27941</v>
          </cell>
        </row>
        <row r="2716">
          <cell r="A2716" t="str">
            <v>In service</v>
          </cell>
          <cell r="B2716" t="str">
            <v>Gulfstream Aerospace Gulfstream II</v>
          </cell>
          <cell r="C2716" t="str">
            <v>TT</v>
          </cell>
          <cell r="D2716">
            <v>1977</v>
          </cell>
          <cell r="E2716" t="str">
            <v>Government of Bahrain</v>
          </cell>
          <cell r="F2716">
            <v>23</v>
          </cell>
          <cell r="G2716">
            <v>28529</v>
          </cell>
          <cell r="H2716" t="str">
            <v>IITT</v>
          </cell>
          <cell r="I2716" t="str">
            <v>Middle East</v>
          </cell>
          <cell r="J2716" t="str">
            <v>Bahrain</v>
          </cell>
          <cell r="K2716">
            <v>27941</v>
          </cell>
        </row>
        <row r="2717">
          <cell r="A2717" t="str">
            <v>In service</v>
          </cell>
          <cell r="B2717" t="str">
            <v>Gulfstream Aerospace Gulfstream II</v>
          </cell>
          <cell r="C2717" t="str">
            <v>TT</v>
          </cell>
          <cell r="D2717">
            <v>1977</v>
          </cell>
          <cell r="E2717" t="str">
            <v>Saudi Arabian Airlines</v>
          </cell>
          <cell r="F2717">
            <v>23</v>
          </cell>
          <cell r="G2717">
            <v>28487</v>
          </cell>
          <cell r="H2717" t="str">
            <v>IITT</v>
          </cell>
          <cell r="I2717" t="str">
            <v>Middle East</v>
          </cell>
          <cell r="J2717" t="str">
            <v>Saudi Arabia</v>
          </cell>
          <cell r="K2717">
            <v>27941</v>
          </cell>
        </row>
        <row r="2718">
          <cell r="A2718" t="str">
            <v>In service</v>
          </cell>
          <cell r="B2718" t="str">
            <v>Gulfstream Aerospace Gulfstream II</v>
          </cell>
          <cell r="C2718" t="str">
            <v>TT</v>
          </cell>
          <cell r="D2718">
            <v>1977</v>
          </cell>
          <cell r="E2718" t="str">
            <v>Lear 35 LLC</v>
          </cell>
          <cell r="F2718">
            <v>23</v>
          </cell>
          <cell r="G2718">
            <v>28625</v>
          </cell>
          <cell r="H2718" t="str">
            <v>IITT</v>
          </cell>
          <cell r="I2718" t="str">
            <v>North America</v>
          </cell>
          <cell r="J2718" t="str">
            <v>USA</v>
          </cell>
          <cell r="K2718">
            <v>27941</v>
          </cell>
        </row>
        <row r="2719">
          <cell r="A2719" t="str">
            <v>In service</v>
          </cell>
          <cell r="B2719" t="str">
            <v>Gulfstream Aerospace Gulfstream II</v>
          </cell>
          <cell r="C2719" t="str">
            <v>TT</v>
          </cell>
          <cell r="D2719">
            <v>1978</v>
          </cell>
          <cell r="E2719" t="str">
            <v>Harth Trading Establishment</v>
          </cell>
          <cell r="F2719">
            <v>22</v>
          </cell>
          <cell r="G2719">
            <v>28536</v>
          </cell>
          <cell r="H2719" t="str">
            <v>IITT</v>
          </cell>
          <cell r="I2719" t="str">
            <v>Middle East</v>
          </cell>
          <cell r="J2719" t="str">
            <v>Saudi Arabia</v>
          </cell>
          <cell r="K2719">
            <v>28306</v>
          </cell>
        </row>
        <row r="2720">
          <cell r="A2720" t="str">
            <v>In service</v>
          </cell>
          <cell r="B2720" t="str">
            <v>Gulfstream Aerospace Gulfstream II</v>
          </cell>
          <cell r="C2720" t="str">
            <v>TT</v>
          </cell>
          <cell r="D2720">
            <v>1978</v>
          </cell>
          <cell r="E2720" t="str">
            <v>PAM Aviation LLC</v>
          </cell>
          <cell r="F2720">
            <v>22</v>
          </cell>
          <cell r="G2720">
            <v>28778</v>
          </cell>
          <cell r="H2720" t="str">
            <v>IITT</v>
          </cell>
          <cell r="I2720" t="str">
            <v>North America</v>
          </cell>
          <cell r="J2720" t="str">
            <v>USA</v>
          </cell>
          <cell r="K2720">
            <v>27941</v>
          </cell>
        </row>
        <row r="2721">
          <cell r="A2721" t="str">
            <v>In service</v>
          </cell>
          <cell r="B2721" t="str">
            <v>Gulfstream Aerospace Gulfstream II</v>
          </cell>
          <cell r="C2721" t="str">
            <v>TT</v>
          </cell>
          <cell r="D2721">
            <v>1978</v>
          </cell>
          <cell r="E2721" t="str">
            <v>Jet-A-Way Charter LLC</v>
          </cell>
          <cell r="F2721">
            <v>22</v>
          </cell>
          <cell r="G2721">
            <v>28829</v>
          </cell>
          <cell r="H2721" t="str">
            <v>IITT</v>
          </cell>
          <cell r="I2721" t="str">
            <v>North America</v>
          </cell>
          <cell r="J2721" t="str">
            <v>USA</v>
          </cell>
          <cell r="K2721">
            <v>27941</v>
          </cell>
        </row>
        <row r="2722">
          <cell r="A2722" t="str">
            <v>In service</v>
          </cell>
          <cell r="B2722" t="str">
            <v>Gulfstream Aerospace Gulfstream II</v>
          </cell>
          <cell r="C2722" t="str">
            <v>TT</v>
          </cell>
          <cell r="D2722">
            <v>1978</v>
          </cell>
          <cell r="E2722" t="str">
            <v>R&amp;G Aviation LLC</v>
          </cell>
          <cell r="F2722">
            <v>22</v>
          </cell>
          <cell r="G2722">
            <v>29105</v>
          </cell>
          <cell r="H2722" t="str">
            <v>IITT</v>
          </cell>
          <cell r="I2722" t="str">
            <v>North America</v>
          </cell>
          <cell r="J2722" t="str">
            <v>USA</v>
          </cell>
          <cell r="K2722">
            <v>28671</v>
          </cell>
        </row>
        <row r="2723">
          <cell r="A2723" t="str">
            <v>In service</v>
          </cell>
          <cell r="B2723" t="str">
            <v>Gulfstream Aerospace Gulfstream II</v>
          </cell>
          <cell r="C2723" t="str">
            <v>TT</v>
          </cell>
          <cell r="D2723">
            <v>1978</v>
          </cell>
          <cell r="E2723" t="str">
            <v>The Hagadone Corporation</v>
          </cell>
          <cell r="F2723">
            <v>22</v>
          </cell>
          <cell r="G2723">
            <v>28843</v>
          </cell>
          <cell r="H2723" t="str">
            <v>IITT</v>
          </cell>
          <cell r="I2723" t="str">
            <v>North America</v>
          </cell>
          <cell r="J2723" t="str">
            <v>USA</v>
          </cell>
          <cell r="K2723">
            <v>28306</v>
          </cell>
        </row>
        <row r="2724">
          <cell r="A2724" t="str">
            <v>In service</v>
          </cell>
          <cell r="B2724" t="str">
            <v>Gulfstream Aerospace Gulfstream II</v>
          </cell>
          <cell r="C2724" t="str">
            <v>TT</v>
          </cell>
          <cell r="D2724">
            <v>1979</v>
          </cell>
          <cell r="E2724" t="str">
            <v>Haliburton Energy Services Inc</v>
          </cell>
          <cell r="F2724">
            <v>21</v>
          </cell>
          <cell r="G2724">
            <v>28901</v>
          </cell>
          <cell r="H2724" t="str">
            <v>IITT</v>
          </cell>
          <cell r="I2724" t="str">
            <v>North America</v>
          </cell>
          <cell r="J2724" t="str">
            <v>USA</v>
          </cell>
          <cell r="K2724">
            <v>28306</v>
          </cell>
        </row>
        <row r="2725">
          <cell r="A2725" t="str">
            <v>In service</v>
          </cell>
          <cell r="B2725" t="str">
            <v>Gulfstream Aerospace Gulfstream II</v>
          </cell>
          <cell r="C2725" t="str">
            <v>TT</v>
          </cell>
          <cell r="D2725">
            <v>1979</v>
          </cell>
          <cell r="E2725" t="str">
            <v>Saudi Arabian Airlines</v>
          </cell>
          <cell r="F2725">
            <v>21</v>
          </cell>
          <cell r="G2725">
            <v>29246</v>
          </cell>
          <cell r="H2725" t="str">
            <v>IITT</v>
          </cell>
          <cell r="I2725" t="str">
            <v>Middle East</v>
          </cell>
          <cell r="J2725" t="str">
            <v>Saudi Arabia</v>
          </cell>
          <cell r="K2725">
            <v>29036</v>
          </cell>
        </row>
        <row r="2726">
          <cell r="A2726" t="str">
            <v>In service</v>
          </cell>
          <cell r="B2726" t="str">
            <v>Gulfstream Aerospace Gulfstream II</v>
          </cell>
          <cell r="C2726" t="str">
            <v>TT</v>
          </cell>
          <cell r="D2726">
            <v>1979</v>
          </cell>
          <cell r="E2726" t="str">
            <v>Geneva International Ltd</v>
          </cell>
          <cell r="F2726">
            <v>21</v>
          </cell>
          <cell r="G2726">
            <v>29181</v>
          </cell>
          <cell r="H2726" t="str">
            <v>IITT</v>
          </cell>
          <cell r="I2726" t="str">
            <v>North America</v>
          </cell>
          <cell r="J2726" t="str">
            <v>USA</v>
          </cell>
          <cell r="K2726">
            <v>28671</v>
          </cell>
        </row>
        <row r="2727">
          <cell r="A2727" t="str">
            <v>In service</v>
          </cell>
          <cell r="B2727" t="str">
            <v>Gulfstream Aerospace Gulfstream II</v>
          </cell>
          <cell r="C2727" t="str">
            <v>TT</v>
          </cell>
          <cell r="D2727">
            <v>1979</v>
          </cell>
          <cell r="E2727" t="str">
            <v>Eli Lilly International Corp</v>
          </cell>
          <cell r="F2727">
            <v>21</v>
          </cell>
          <cell r="G2727">
            <v>29174</v>
          </cell>
          <cell r="H2727" t="str">
            <v>IITT</v>
          </cell>
          <cell r="I2727" t="str">
            <v>North America</v>
          </cell>
          <cell r="J2727" t="str">
            <v>USA</v>
          </cell>
          <cell r="K2727">
            <v>28306</v>
          </cell>
        </row>
        <row r="2728">
          <cell r="A2728" t="str">
            <v>In service</v>
          </cell>
          <cell r="B2728" t="str">
            <v>Gulfstream Aerospace Gulfstream II</v>
          </cell>
          <cell r="C2728" t="str">
            <v>TT</v>
          </cell>
          <cell r="D2728">
            <v>1969</v>
          </cell>
          <cell r="E2728" t="str">
            <v>KCS Aviation Corp</v>
          </cell>
          <cell r="F2728">
            <v>31</v>
          </cell>
          <cell r="G2728">
            <v>25258</v>
          </cell>
          <cell r="H2728" t="str">
            <v>IITT</v>
          </cell>
          <cell r="I2728" t="str">
            <v>North America</v>
          </cell>
          <cell r="J2728" t="str">
            <v>USA</v>
          </cell>
          <cell r="K2728">
            <v>24653</v>
          </cell>
        </row>
        <row r="2729">
          <cell r="A2729" t="str">
            <v>In service</v>
          </cell>
          <cell r="B2729" t="str">
            <v>Gulfstream Aerospace Gulfstream III</v>
          </cell>
          <cell r="C2729" t="str">
            <v xml:space="preserve"> </v>
          </cell>
          <cell r="D2729">
            <v>1979</v>
          </cell>
          <cell r="E2729" t="str">
            <v>247LG LLC</v>
          </cell>
          <cell r="F2729">
            <v>21</v>
          </cell>
          <cell r="G2729">
            <v>29216</v>
          </cell>
          <cell r="I2729" t="str">
            <v>North America</v>
          </cell>
          <cell r="J2729" t="str">
            <v>USA</v>
          </cell>
          <cell r="K2729">
            <v>28671</v>
          </cell>
        </row>
        <row r="2730">
          <cell r="A2730" t="str">
            <v>In service</v>
          </cell>
          <cell r="B2730" t="str">
            <v>Gulfstream Aerospace Gulfstream III</v>
          </cell>
          <cell r="C2730" t="str">
            <v xml:space="preserve"> </v>
          </cell>
          <cell r="D2730">
            <v>1980</v>
          </cell>
          <cell r="E2730" t="str">
            <v>B H G Flights LLC</v>
          </cell>
          <cell r="F2730">
            <v>20</v>
          </cell>
          <cell r="G2730">
            <v>29591</v>
          </cell>
          <cell r="I2730" t="str">
            <v>North America</v>
          </cell>
          <cell r="J2730" t="str">
            <v>USA</v>
          </cell>
          <cell r="K2730">
            <v>29036</v>
          </cell>
        </row>
        <row r="2731">
          <cell r="A2731" t="str">
            <v>In service</v>
          </cell>
          <cell r="B2731" t="str">
            <v>Gulfstream Aerospace Gulfstream III</v>
          </cell>
          <cell r="C2731" t="str">
            <v xml:space="preserve"> </v>
          </cell>
          <cell r="D2731">
            <v>1980</v>
          </cell>
          <cell r="E2731" t="str">
            <v>Regal Aviation LLC</v>
          </cell>
          <cell r="F2731">
            <v>20</v>
          </cell>
          <cell r="G2731">
            <v>29462</v>
          </cell>
          <cell r="I2731" t="str">
            <v>North America</v>
          </cell>
          <cell r="J2731" t="str">
            <v>USA</v>
          </cell>
          <cell r="K2731">
            <v>29036</v>
          </cell>
        </row>
        <row r="2732">
          <cell r="A2732" t="str">
            <v>In service</v>
          </cell>
          <cell r="B2732" t="str">
            <v>Gulfstream Aerospace Gulfstream III</v>
          </cell>
          <cell r="C2732" t="str">
            <v xml:space="preserve"> </v>
          </cell>
          <cell r="D2732">
            <v>1980</v>
          </cell>
          <cell r="E2732" t="str">
            <v>S T Aviation LLC</v>
          </cell>
          <cell r="F2732">
            <v>20</v>
          </cell>
          <cell r="G2732">
            <v>29361</v>
          </cell>
          <cell r="I2732" t="str">
            <v>North America</v>
          </cell>
          <cell r="J2732" t="str">
            <v>USA</v>
          </cell>
          <cell r="K2732">
            <v>29036</v>
          </cell>
        </row>
        <row r="2733">
          <cell r="A2733" t="str">
            <v>In service</v>
          </cell>
          <cell r="B2733" t="str">
            <v>Gulfstream Aerospace Gulfstream III</v>
          </cell>
          <cell r="C2733" t="str">
            <v xml:space="preserve"> </v>
          </cell>
          <cell r="D2733">
            <v>1980</v>
          </cell>
          <cell r="E2733" t="str">
            <v>Avjet Corp</v>
          </cell>
          <cell r="F2733">
            <v>20</v>
          </cell>
          <cell r="G2733">
            <v>29395</v>
          </cell>
          <cell r="I2733" t="str">
            <v>North America</v>
          </cell>
          <cell r="J2733" t="str">
            <v>USA</v>
          </cell>
          <cell r="K2733">
            <v>28671</v>
          </cell>
        </row>
        <row r="2734">
          <cell r="A2734" t="str">
            <v>In service</v>
          </cell>
          <cell r="B2734" t="str">
            <v>Gulfstream Aerospace Gulfstream III</v>
          </cell>
          <cell r="C2734" t="str">
            <v xml:space="preserve"> </v>
          </cell>
          <cell r="D2734">
            <v>1980</v>
          </cell>
          <cell r="E2734" t="str">
            <v>Tutor-Saliba Corp</v>
          </cell>
          <cell r="F2734">
            <v>20</v>
          </cell>
          <cell r="G2734">
            <v>29395</v>
          </cell>
          <cell r="I2734" t="str">
            <v>North America</v>
          </cell>
          <cell r="J2734" t="str">
            <v>USA</v>
          </cell>
          <cell r="K2734">
            <v>28671</v>
          </cell>
        </row>
        <row r="2735">
          <cell r="A2735" t="str">
            <v>In service</v>
          </cell>
          <cell r="B2735" t="str">
            <v>Gulfstream Aerospace Gulfstream III</v>
          </cell>
          <cell r="C2735" t="str">
            <v xml:space="preserve"> </v>
          </cell>
          <cell r="D2735">
            <v>1980</v>
          </cell>
          <cell r="E2735" t="str">
            <v>JT Aviation Corp</v>
          </cell>
          <cell r="F2735">
            <v>20</v>
          </cell>
          <cell r="G2735">
            <v>29408</v>
          </cell>
          <cell r="I2735" t="str">
            <v>North America</v>
          </cell>
          <cell r="J2735" t="str">
            <v>USA</v>
          </cell>
          <cell r="K2735">
            <v>28671</v>
          </cell>
        </row>
        <row r="2736">
          <cell r="A2736" t="str">
            <v>In service</v>
          </cell>
          <cell r="B2736" t="str">
            <v>Gulfstream Aerospace Gulfstream III</v>
          </cell>
          <cell r="C2736" t="str">
            <v xml:space="preserve"> </v>
          </cell>
          <cell r="D2736">
            <v>1980</v>
          </cell>
          <cell r="E2736" t="str">
            <v>Homedics Inc</v>
          </cell>
          <cell r="F2736">
            <v>20</v>
          </cell>
          <cell r="G2736">
            <v>29438</v>
          </cell>
          <cell r="I2736" t="str">
            <v>North America</v>
          </cell>
          <cell r="J2736" t="str">
            <v>USA</v>
          </cell>
          <cell r="K2736">
            <v>28671</v>
          </cell>
        </row>
        <row r="2737">
          <cell r="A2737" t="str">
            <v>In service</v>
          </cell>
          <cell r="B2737" t="str">
            <v>Gulfstream Aerospace Gulfstream III</v>
          </cell>
          <cell r="C2737" t="str">
            <v xml:space="preserve"> </v>
          </cell>
          <cell r="D2737">
            <v>1980</v>
          </cell>
          <cell r="E2737" t="str">
            <v>Barrick Gold Corp</v>
          </cell>
          <cell r="F2737">
            <v>20</v>
          </cell>
          <cell r="G2737">
            <v>29451</v>
          </cell>
          <cell r="I2737" t="str">
            <v>North America</v>
          </cell>
          <cell r="J2737" t="str">
            <v>Canada</v>
          </cell>
          <cell r="K2737">
            <v>28671</v>
          </cell>
        </row>
        <row r="2738">
          <cell r="A2738" t="str">
            <v>In service</v>
          </cell>
          <cell r="B2738" t="str">
            <v>Gulfstream Aerospace Gulfstream III</v>
          </cell>
          <cell r="C2738" t="str">
            <v xml:space="preserve"> </v>
          </cell>
          <cell r="D2738">
            <v>1980</v>
          </cell>
          <cell r="E2738" t="str">
            <v>Corporate Flight Inc</v>
          </cell>
          <cell r="F2738">
            <v>20</v>
          </cell>
          <cell r="G2738">
            <v>29437</v>
          </cell>
          <cell r="I2738" t="str">
            <v>North America</v>
          </cell>
          <cell r="J2738" t="str">
            <v>USA</v>
          </cell>
          <cell r="K2738">
            <v>28671</v>
          </cell>
        </row>
        <row r="2739">
          <cell r="A2739" t="str">
            <v>In service</v>
          </cell>
          <cell r="B2739" t="str">
            <v>Gulfstream Aerospace Gulfstream III</v>
          </cell>
          <cell r="C2739" t="str">
            <v xml:space="preserve"> </v>
          </cell>
          <cell r="D2739">
            <v>1980</v>
          </cell>
          <cell r="E2739" t="str">
            <v>NASA</v>
          </cell>
          <cell r="F2739">
            <v>20</v>
          </cell>
          <cell r="G2739">
            <v>29481</v>
          </cell>
          <cell r="I2739" t="str">
            <v>North America</v>
          </cell>
          <cell r="J2739" t="str">
            <v>USA</v>
          </cell>
          <cell r="K2739">
            <v>28671</v>
          </cell>
        </row>
        <row r="2740">
          <cell r="A2740" t="str">
            <v>In service</v>
          </cell>
          <cell r="B2740" t="str">
            <v>Gulfstream Aerospace Gulfstream III</v>
          </cell>
          <cell r="C2740" t="str">
            <v xml:space="preserve"> </v>
          </cell>
          <cell r="D2740">
            <v>1980</v>
          </cell>
          <cell r="E2740" t="str">
            <v>Assembly Pointe Aviation</v>
          </cell>
          <cell r="F2740">
            <v>20</v>
          </cell>
          <cell r="G2740">
            <v>29459</v>
          </cell>
          <cell r="I2740" t="str">
            <v>North America</v>
          </cell>
          <cell r="J2740" t="str">
            <v>USA</v>
          </cell>
          <cell r="K2740">
            <v>28671</v>
          </cell>
        </row>
        <row r="2741">
          <cell r="A2741" t="str">
            <v>In service</v>
          </cell>
          <cell r="B2741" t="str">
            <v>Gulfstream Aerospace Gulfstream III</v>
          </cell>
          <cell r="C2741" t="str">
            <v xml:space="preserve"> </v>
          </cell>
          <cell r="D2741">
            <v>1980</v>
          </cell>
          <cell r="E2741" t="str">
            <v>Kevyn LLC</v>
          </cell>
          <cell r="F2741">
            <v>20</v>
          </cell>
          <cell r="G2741">
            <v>29497</v>
          </cell>
          <cell r="I2741" t="str">
            <v>North America</v>
          </cell>
          <cell r="J2741" t="str">
            <v>USA</v>
          </cell>
          <cell r="K2741">
            <v>28306</v>
          </cell>
        </row>
        <row r="2742">
          <cell r="A2742" t="str">
            <v>In service</v>
          </cell>
          <cell r="B2742" t="str">
            <v>Gulfstream Aerospace Gulfstream III</v>
          </cell>
          <cell r="C2742" t="str">
            <v xml:space="preserve"> </v>
          </cell>
          <cell r="D2742">
            <v>1980</v>
          </cell>
          <cell r="E2742" t="str">
            <v>Northwestern Aircraft Capital Corp</v>
          </cell>
          <cell r="F2742">
            <v>20</v>
          </cell>
          <cell r="G2742">
            <v>29514</v>
          </cell>
          <cell r="I2742" t="str">
            <v>North America</v>
          </cell>
          <cell r="J2742" t="str">
            <v>USA</v>
          </cell>
          <cell r="K2742">
            <v>28306</v>
          </cell>
        </row>
        <row r="2743">
          <cell r="A2743" t="str">
            <v>In service</v>
          </cell>
          <cell r="B2743" t="str">
            <v>Gulfstream Aerospace Gulfstream III</v>
          </cell>
          <cell r="C2743" t="str">
            <v xml:space="preserve"> </v>
          </cell>
          <cell r="D2743">
            <v>1980</v>
          </cell>
          <cell r="E2743" t="str">
            <v>Phelps Dodge Corp</v>
          </cell>
          <cell r="F2743">
            <v>20</v>
          </cell>
          <cell r="G2743">
            <v>29570</v>
          </cell>
          <cell r="I2743" t="str">
            <v>North America</v>
          </cell>
          <cell r="J2743" t="str">
            <v>USA</v>
          </cell>
          <cell r="K2743">
            <v>29036</v>
          </cell>
        </row>
        <row r="2744">
          <cell r="A2744" t="str">
            <v>In service</v>
          </cell>
          <cell r="B2744" t="str">
            <v>Gulfstream Aerospace Gulfstream III</v>
          </cell>
          <cell r="C2744" t="str">
            <v xml:space="preserve"> </v>
          </cell>
          <cell r="D2744">
            <v>1980</v>
          </cell>
          <cell r="E2744" t="str">
            <v>Chouest Air Inc</v>
          </cell>
          <cell r="F2744">
            <v>20</v>
          </cell>
          <cell r="G2744">
            <v>29571</v>
          </cell>
          <cell r="I2744" t="str">
            <v>North America</v>
          </cell>
          <cell r="J2744" t="str">
            <v>USA</v>
          </cell>
          <cell r="K2744">
            <v>28671</v>
          </cell>
        </row>
        <row r="2745">
          <cell r="A2745" t="str">
            <v>In service</v>
          </cell>
          <cell r="B2745" t="str">
            <v>Gulfstream Aerospace Gulfstream III</v>
          </cell>
          <cell r="C2745" t="str">
            <v xml:space="preserve"> </v>
          </cell>
          <cell r="D2745">
            <v>1980</v>
          </cell>
          <cell r="E2745" t="str">
            <v>JetAlliance</v>
          </cell>
          <cell r="F2745">
            <v>20</v>
          </cell>
          <cell r="G2745">
            <v>29573</v>
          </cell>
          <cell r="I2745" t="str">
            <v>North America</v>
          </cell>
          <cell r="J2745" t="str">
            <v>USA</v>
          </cell>
          <cell r="K2745">
            <v>28671</v>
          </cell>
        </row>
        <row r="2746">
          <cell r="A2746" t="str">
            <v>In service</v>
          </cell>
          <cell r="B2746" t="str">
            <v>Gulfstream Aerospace Gulfstream III</v>
          </cell>
          <cell r="C2746" t="str">
            <v xml:space="preserve"> </v>
          </cell>
          <cell r="D2746">
            <v>1980</v>
          </cell>
          <cell r="E2746" t="str">
            <v>Dallah Avco</v>
          </cell>
          <cell r="F2746">
            <v>20</v>
          </cell>
          <cell r="G2746">
            <v>29578</v>
          </cell>
          <cell r="I2746" t="str">
            <v>Middle East</v>
          </cell>
          <cell r="J2746" t="str">
            <v>Saudi Arabia</v>
          </cell>
          <cell r="K2746">
            <v>28671</v>
          </cell>
        </row>
        <row r="2747">
          <cell r="A2747" t="str">
            <v>In service</v>
          </cell>
          <cell r="B2747" t="str">
            <v>Gulfstream Aerospace Gulfstream III</v>
          </cell>
          <cell r="C2747" t="str">
            <v xml:space="preserve"> </v>
          </cell>
          <cell r="D2747">
            <v>1980</v>
          </cell>
          <cell r="E2747" t="str">
            <v>Avjet Corp</v>
          </cell>
          <cell r="F2747">
            <v>20</v>
          </cell>
          <cell r="G2747">
            <v>29578</v>
          </cell>
          <cell r="I2747" t="str">
            <v>North America</v>
          </cell>
          <cell r="J2747" t="str">
            <v>USA</v>
          </cell>
          <cell r="K2747">
            <v>28671</v>
          </cell>
        </row>
        <row r="2748">
          <cell r="A2748" t="str">
            <v>In service</v>
          </cell>
          <cell r="B2748" t="str">
            <v>Gulfstream Aerospace Gulfstream III</v>
          </cell>
          <cell r="C2748" t="str">
            <v xml:space="preserve"> </v>
          </cell>
          <cell r="D2748">
            <v>1981</v>
          </cell>
          <cell r="E2748" t="str">
            <v>SK Travel LLC</v>
          </cell>
          <cell r="F2748">
            <v>19</v>
          </cell>
          <cell r="G2748">
            <v>29620</v>
          </cell>
          <cell r="I2748" t="str">
            <v>North America</v>
          </cell>
          <cell r="J2748" t="str">
            <v>USA</v>
          </cell>
          <cell r="K2748">
            <v>29402</v>
          </cell>
        </row>
        <row r="2749">
          <cell r="A2749" t="str">
            <v>In service</v>
          </cell>
          <cell r="B2749" t="str">
            <v>Gulfstream Aerospace Gulfstream III</v>
          </cell>
          <cell r="C2749" t="str">
            <v xml:space="preserve"> </v>
          </cell>
          <cell r="D2749">
            <v>1981</v>
          </cell>
          <cell r="E2749" t="str">
            <v>Ziff Aircraft Services Inc</v>
          </cell>
          <cell r="F2749">
            <v>19</v>
          </cell>
          <cell r="G2749">
            <v>29649</v>
          </cell>
          <cell r="I2749" t="str">
            <v>North America</v>
          </cell>
          <cell r="J2749" t="str">
            <v>USA</v>
          </cell>
          <cell r="K2749">
            <v>29036</v>
          </cell>
        </row>
        <row r="2750">
          <cell r="A2750" t="str">
            <v>In service</v>
          </cell>
          <cell r="B2750" t="str">
            <v>Gulfstream Aerospace Gulfstream III</v>
          </cell>
          <cell r="C2750" t="str">
            <v xml:space="preserve"> </v>
          </cell>
          <cell r="D2750">
            <v>1981</v>
          </cell>
          <cell r="E2750" t="str">
            <v>L&amp;L Manufacturing Co</v>
          </cell>
          <cell r="F2750">
            <v>19</v>
          </cell>
          <cell r="G2750">
            <v>29668</v>
          </cell>
          <cell r="I2750" t="str">
            <v>North America</v>
          </cell>
          <cell r="J2750" t="str">
            <v>USA</v>
          </cell>
          <cell r="K2750">
            <v>29036</v>
          </cell>
        </row>
        <row r="2751">
          <cell r="A2751" t="str">
            <v>In service</v>
          </cell>
          <cell r="B2751" t="str">
            <v>Gulfstream Aerospace Gulfstream III</v>
          </cell>
          <cell r="C2751" t="str">
            <v xml:space="preserve"> </v>
          </cell>
          <cell r="D2751">
            <v>1981</v>
          </cell>
          <cell r="E2751" t="str">
            <v>Jet Aviation Private Fleet LLC</v>
          </cell>
          <cell r="F2751">
            <v>19</v>
          </cell>
          <cell r="G2751">
            <v>29685</v>
          </cell>
          <cell r="I2751" t="str">
            <v>North America</v>
          </cell>
          <cell r="J2751" t="str">
            <v>USA</v>
          </cell>
          <cell r="K2751">
            <v>29402</v>
          </cell>
        </row>
        <row r="2752">
          <cell r="A2752" t="str">
            <v>In service</v>
          </cell>
          <cell r="B2752" t="str">
            <v>Gulfstream Aerospace Gulfstream III</v>
          </cell>
          <cell r="C2752" t="str">
            <v xml:space="preserve"> </v>
          </cell>
          <cell r="D2752">
            <v>1981</v>
          </cell>
          <cell r="E2752" t="str">
            <v>Jets Ejecutivos</v>
          </cell>
          <cell r="F2752">
            <v>19</v>
          </cell>
          <cell r="G2752">
            <v>29710</v>
          </cell>
          <cell r="I2752" t="str">
            <v>Latin America and Caribbean</v>
          </cell>
          <cell r="J2752" t="str">
            <v>Mexico</v>
          </cell>
          <cell r="K2752">
            <v>29036</v>
          </cell>
        </row>
        <row r="2753">
          <cell r="A2753" t="str">
            <v>In service</v>
          </cell>
          <cell r="B2753" t="str">
            <v>Gulfstream Aerospace Gulfstream III</v>
          </cell>
          <cell r="C2753" t="str">
            <v xml:space="preserve"> </v>
          </cell>
          <cell r="D2753">
            <v>1981</v>
          </cell>
          <cell r="E2753" t="str">
            <v>Cityair LLC</v>
          </cell>
          <cell r="F2753">
            <v>19</v>
          </cell>
          <cell r="G2753">
            <v>29730</v>
          </cell>
          <cell r="I2753" t="str">
            <v>North America</v>
          </cell>
          <cell r="J2753" t="str">
            <v>USA</v>
          </cell>
          <cell r="K2753">
            <v>28306</v>
          </cell>
        </row>
        <row r="2754">
          <cell r="A2754" t="str">
            <v>In service</v>
          </cell>
          <cell r="B2754" t="str">
            <v>Gulfstream Aerospace Gulfstream III</v>
          </cell>
          <cell r="C2754" t="str">
            <v xml:space="preserve"> </v>
          </cell>
          <cell r="D2754">
            <v>1981</v>
          </cell>
          <cell r="E2754" t="str">
            <v>N15MM LLC</v>
          </cell>
          <cell r="F2754">
            <v>19</v>
          </cell>
          <cell r="G2754">
            <v>29715</v>
          </cell>
          <cell r="I2754" t="str">
            <v>North America</v>
          </cell>
          <cell r="J2754" t="str">
            <v>USA</v>
          </cell>
          <cell r="K2754">
            <v>29036</v>
          </cell>
        </row>
        <row r="2755">
          <cell r="A2755" t="str">
            <v>In service</v>
          </cell>
          <cell r="B2755" t="str">
            <v>Gulfstream Aerospace Gulfstream III</v>
          </cell>
          <cell r="C2755" t="str">
            <v xml:space="preserve"> </v>
          </cell>
          <cell r="D2755">
            <v>1981</v>
          </cell>
          <cell r="E2755" t="str">
            <v>The Center Service LLC</v>
          </cell>
          <cell r="F2755">
            <v>19</v>
          </cell>
          <cell r="G2755">
            <v>29724</v>
          </cell>
          <cell r="I2755" t="str">
            <v>North America</v>
          </cell>
          <cell r="J2755" t="str">
            <v>USA</v>
          </cell>
          <cell r="K2755">
            <v>29036</v>
          </cell>
        </row>
        <row r="2756">
          <cell r="A2756" t="str">
            <v>In service</v>
          </cell>
          <cell r="B2756" t="str">
            <v>Gulfstream Aerospace Gulfstream III</v>
          </cell>
          <cell r="C2756" t="str">
            <v xml:space="preserve"> </v>
          </cell>
          <cell r="D2756">
            <v>1981</v>
          </cell>
          <cell r="E2756" t="str">
            <v>Presidential Aviation I Inc</v>
          </cell>
          <cell r="F2756">
            <v>19</v>
          </cell>
          <cell r="G2756">
            <v>29769</v>
          </cell>
          <cell r="I2756" t="str">
            <v>North America</v>
          </cell>
          <cell r="J2756" t="str">
            <v>USA</v>
          </cell>
          <cell r="K2756">
            <v>29036</v>
          </cell>
        </row>
        <row r="2757">
          <cell r="A2757" t="str">
            <v>In service</v>
          </cell>
          <cell r="B2757" t="str">
            <v>Gulfstream Aerospace Gulfstream III</v>
          </cell>
          <cell r="C2757" t="str">
            <v xml:space="preserve"> </v>
          </cell>
          <cell r="D2757">
            <v>1981</v>
          </cell>
          <cell r="E2757" t="str">
            <v>Martin Aviation</v>
          </cell>
          <cell r="F2757">
            <v>19</v>
          </cell>
          <cell r="G2757">
            <v>29781</v>
          </cell>
          <cell r="I2757" t="str">
            <v>North America</v>
          </cell>
          <cell r="J2757" t="str">
            <v>USA</v>
          </cell>
          <cell r="K2757">
            <v>29036</v>
          </cell>
        </row>
        <row r="2758">
          <cell r="A2758" t="str">
            <v>In service</v>
          </cell>
          <cell r="B2758" t="str">
            <v>Gulfstream Aerospace Gulfstream III</v>
          </cell>
          <cell r="C2758" t="str">
            <v xml:space="preserve"> </v>
          </cell>
          <cell r="D2758">
            <v>1981</v>
          </cell>
          <cell r="E2758" t="str">
            <v>Golden Bear International</v>
          </cell>
          <cell r="F2758">
            <v>19</v>
          </cell>
          <cell r="G2758">
            <v>29773</v>
          </cell>
          <cell r="I2758" t="str">
            <v>North America</v>
          </cell>
          <cell r="J2758" t="str">
            <v>USA</v>
          </cell>
          <cell r="K2758">
            <v>29036</v>
          </cell>
        </row>
        <row r="2759">
          <cell r="A2759" t="str">
            <v>In service</v>
          </cell>
          <cell r="B2759" t="str">
            <v>Gulfstream Aerospace Gulfstream III</v>
          </cell>
          <cell r="C2759" t="str">
            <v xml:space="preserve"> </v>
          </cell>
          <cell r="D2759">
            <v>1981</v>
          </cell>
          <cell r="E2759" t="str">
            <v>Royal Commission for Jubail &amp; Yanbu</v>
          </cell>
          <cell r="F2759">
            <v>19</v>
          </cell>
          <cell r="G2759">
            <v>29826</v>
          </cell>
          <cell r="I2759" t="str">
            <v>Middle East</v>
          </cell>
          <cell r="J2759" t="str">
            <v>Saudi Arabia</v>
          </cell>
          <cell r="K2759">
            <v>29036</v>
          </cell>
        </row>
        <row r="2760">
          <cell r="A2760" t="str">
            <v>In service</v>
          </cell>
          <cell r="B2760" t="str">
            <v>Gulfstream Aerospace Gulfstream III</v>
          </cell>
          <cell r="C2760" t="str">
            <v xml:space="preserve"> </v>
          </cell>
          <cell r="D2760">
            <v>1981</v>
          </cell>
          <cell r="E2760" t="str">
            <v>Aether Systems Inc</v>
          </cell>
          <cell r="F2760">
            <v>19</v>
          </cell>
          <cell r="G2760">
            <v>29837</v>
          </cell>
          <cell r="I2760" t="str">
            <v>North America</v>
          </cell>
          <cell r="J2760" t="str">
            <v>USA</v>
          </cell>
          <cell r="K2760">
            <v>29036</v>
          </cell>
        </row>
        <row r="2761">
          <cell r="A2761" t="str">
            <v>In service</v>
          </cell>
          <cell r="B2761" t="str">
            <v>Gulfstream Aerospace Gulfstream III</v>
          </cell>
          <cell r="C2761" t="str">
            <v xml:space="preserve"> </v>
          </cell>
          <cell r="D2761">
            <v>1981</v>
          </cell>
          <cell r="E2761" t="str">
            <v>Coca Cola Bottling Co Consolidated</v>
          </cell>
          <cell r="F2761">
            <v>19</v>
          </cell>
          <cell r="G2761">
            <v>29859</v>
          </cell>
          <cell r="I2761" t="str">
            <v>North America</v>
          </cell>
          <cell r="J2761" t="str">
            <v>USA</v>
          </cell>
          <cell r="K2761">
            <v>29036</v>
          </cell>
        </row>
        <row r="2762">
          <cell r="A2762" t="str">
            <v>In service</v>
          </cell>
          <cell r="B2762" t="str">
            <v>Gulfstream Aerospace Gulfstream III</v>
          </cell>
          <cell r="C2762" t="str">
            <v xml:space="preserve"> </v>
          </cell>
          <cell r="D2762">
            <v>1981</v>
          </cell>
          <cell r="E2762" t="str">
            <v>The Air Group Inc</v>
          </cell>
          <cell r="F2762">
            <v>19</v>
          </cell>
          <cell r="G2762">
            <v>29868</v>
          </cell>
          <cell r="I2762" t="str">
            <v>North America</v>
          </cell>
          <cell r="J2762" t="str">
            <v>USA</v>
          </cell>
          <cell r="K2762">
            <v>29402</v>
          </cell>
        </row>
        <row r="2763">
          <cell r="A2763" t="str">
            <v>In service</v>
          </cell>
          <cell r="B2763" t="str">
            <v>Gulfstream Aerospace Gulfstream III</v>
          </cell>
          <cell r="C2763" t="str">
            <v xml:space="preserve"> </v>
          </cell>
          <cell r="D2763">
            <v>1981</v>
          </cell>
          <cell r="E2763" t="str">
            <v>ITT Flight Operations Inc</v>
          </cell>
          <cell r="F2763">
            <v>19</v>
          </cell>
          <cell r="G2763">
            <v>29896</v>
          </cell>
          <cell r="I2763" t="str">
            <v>North America</v>
          </cell>
          <cell r="J2763" t="str">
            <v>USA</v>
          </cell>
          <cell r="K2763">
            <v>29036</v>
          </cell>
        </row>
        <row r="2764">
          <cell r="A2764" t="str">
            <v>In service</v>
          </cell>
          <cell r="B2764" t="str">
            <v>Gulfstream Aerospace Gulfstream III</v>
          </cell>
          <cell r="C2764" t="str">
            <v xml:space="preserve"> </v>
          </cell>
          <cell r="D2764">
            <v>1981</v>
          </cell>
          <cell r="E2764" t="str">
            <v>DX Service Co Inc &amp; DX Aviation Inc</v>
          </cell>
          <cell r="F2764">
            <v>19</v>
          </cell>
          <cell r="G2764">
            <v>29889</v>
          </cell>
          <cell r="I2764" t="str">
            <v>North America</v>
          </cell>
          <cell r="J2764" t="str">
            <v>USA</v>
          </cell>
          <cell r="K2764">
            <v>29036</v>
          </cell>
        </row>
        <row r="2765">
          <cell r="A2765" t="str">
            <v>In service</v>
          </cell>
          <cell r="B2765" t="str">
            <v>Gulfstream Aerospace Gulfstream III</v>
          </cell>
          <cell r="C2765" t="str">
            <v xml:space="preserve"> </v>
          </cell>
          <cell r="D2765">
            <v>1981</v>
          </cell>
          <cell r="E2765" t="str">
            <v>Sentry Aviation Services LLC</v>
          </cell>
          <cell r="F2765">
            <v>19</v>
          </cell>
          <cell r="G2765">
            <v>29902</v>
          </cell>
          <cell r="I2765" t="str">
            <v>North America</v>
          </cell>
          <cell r="J2765" t="str">
            <v>USA</v>
          </cell>
          <cell r="K2765">
            <v>29036</v>
          </cell>
        </row>
        <row r="2766">
          <cell r="A2766" t="str">
            <v>In service</v>
          </cell>
          <cell r="B2766" t="str">
            <v>Gulfstream Aerospace Gulfstream III</v>
          </cell>
          <cell r="C2766" t="str">
            <v xml:space="preserve"> </v>
          </cell>
          <cell r="D2766">
            <v>1981</v>
          </cell>
          <cell r="E2766" t="str">
            <v>Safeway Inc</v>
          </cell>
          <cell r="F2766">
            <v>19</v>
          </cell>
          <cell r="G2766">
            <v>29929</v>
          </cell>
          <cell r="I2766" t="str">
            <v>North America</v>
          </cell>
          <cell r="J2766" t="str">
            <v>USA</v>
          </cell>
          <cell r="K2766">
            <v>29036</v>
          </cell>
        </row>
        <row r="2767">
          <cell r="A2767" t="str">
            <v>In service</v>
          </cell>
          <cell r="B2767" t="str">
            <v>Gulfstream Aerospace Gulfstream III</v>
          </cell>
          <cell r="C2767" t="str">
            <v xml:space="preserve"> </v>
          </cell>
          <cell r="D2767">
            <v>1981</v>
          </cell>
          <cell r="E2767" t="str">
            <v>Salt Aire Associates LLC and Mill Creek Systems LL</v>
          </cell>
          <cell r="F2767">
            <v>19</v>
          </cell>
          <cell r="G2767">
            <v>29933</v>
          </cell>
          <cell r="I2767" t="str">
            <v>North America</v>
          </cell>
          <cell r="J2767" t="str">
            <v>USA</v>
          </cell>
          <cell r="K2767">
            <v>29402</v>
          </cell>
        </row>
        <row r="2768">
          <cell r="A2768" t="str">
            <v>In service</v>
          </cell>
          <cell r="B2768" t="str">
            <v>Gulfstream Aerospace Gulfstream III</v>
          </cell>
          <cell r="C2768" t="str">
            <v xml:space="preserve"> </v>
          </cell>
          <cell r="D2768">
            <v>1981</v>
          </cell>
          <cell r="E2768" t="str">
            <v>Bumi Aviation LLC</v>
          </cell>
          <cell r="F2768">
            <v>19</v>
          </cell>
          <cell r="G2768">
            <v>29950</v>
          </cell>
          <cell r="I2768" t="str">
            <v>North America</v>
          </cell>
          <cell r="J2768" t="str">
            <v>USA</v>
          </cell>
          <cell r="K2768">
            <v>29036</v>
          </cell>
        </row>
        <row r="2769">
          <cell r="A2769" t="str">
            <v>In service</v>
          </cell>
          <cell r="B2769" t="str">
            <v>Gulfstream Aerospace Gulfstream III</v>
          </cell>
          <cell r="C2769" t="str">
            <v xml:space="preserve"> </v>
          </cell>
          <cell r="D2769">
            <v>1981</v>
          </cell>
          <cell r="E2769" t="str">
            <v>Paragon Leasing LLC</v>
          </cell>
          <cell r="F2769">
            <v>19</v>
          </cell>
          <cell r="G2769">
            <v>29943</v>
          </cell>
          <cell r="I2769" t="str">
            <v>North America</v>
          </cell>
          <cell r="J2769" t="str">
            <v>USA</v>
          </cell>
          <cell r="K2769">
            <v>29943</v>
          </cell>
        </row>
        <row r="2770">
          <cell r="A2770" t="str">
            <v>In service</v>
          </cell>
          <cell r="B2770" t="str">
            <v>Gulfstream Aerospace Gulfstream III</v>
          </cell>
          <cell r="C2770" t="str">
            <v xml:space="preserve"> </v>
          </cell>
          <cell r="D2770">
            <v>1981</v>
          </cell>
          <cell r="E2770" t="str">
            <v>Pegasus North Inc</v>
          </cell>
          <cell r="F2770">
            <v>19</v>
          </cell>
          <cell r="G2770">
            <v>29950</v>
          </cell>
          <cell r="I2770" t="str">
            <v>North America</v>
          </cell>
          <cell r="J2770" t="str">
            <v>USA</v>
          </cell>
          <cell r="K2770">
            <v>29036</v>
          </cell>
        </row>
        <row r="2771">
          <cell r="A2771" t="str">
            <v>In service</v>
          </cell>
          <cell r="B2771" t="str">
            <v>Gulfstream Aerospace Gulfstream III</v>
          </cell>
          <cell r="C2771" t="str">
            <v xml:space="preserve"> </v>
          </cell>
          <cell r="D2771">
            <v>1982</v>
          </cell>
          <cell r="E2771" t="str">
            <v>Trans-Exec Air Services Inc</v>
          </cell>
          <cell r="F2771">
            <v>18</v>
          </cell>
          <cell r="G2771">
            <v>29987</v>
          </cell>
          <cell r="I2771" t="str">
            <v>North America</v>
          </cell>
          <cell r="J2771" t="str">
            <v>USA</v>
          </cell>
          <cell r="K2771">
            <v>29402</v>
          </cell>
        </row>
        <row r="2772">
          <cell r="A2772" t="str">
            <v>In service</v>
          </cell>
          <cell r="B2772" t="str">
            <v>Gulfstream Aerospace Gulfstream III</v>
          </cell>
          <cell r="C2772" t="str">
            <v xml:space="preserve"> </v>
          </cell>
          <cell r="D2772">
            <v>1982</v>
          </cell>
          <cell r="E2772" t="str">
            <v>Department of Energy Albuquerque operations Office</v>
          </cell>
          <cell r="F2772">
            <v>18</v>
          </cell>
          <cell r="G2772">
            <v>30002</v>
          </cell>
          <cell r="I2772" t="str">
            <v>North America</v>
          </cell>
          <cell r="J2772" t="str">
            <v>USA</v>
          </cell>
          <cell r="K2772">
            <v>29402</v>
          </cell>
        </row>
        <row r="2773">
          <cell r="A2773" t="str">
            <v>In service</v>
          </cell>
          <cell r="B2773" t="str">
            <v>Gulfstream Aerospace Gulfstream III</v>
          </cell>
          <cell r="C2773" t="str">
            <v xml:space="preserve"> </v>
          </cell>
          <cell r="D2773">
            <v>1982</v>
          </cell>
          <cell r="E2773" t="str">
            <v>Shaw Managed Services Inc</v>
          </cell>
          <cell r="F2773">
            <v>18</v>
          </cell>
          <cell r="G2773">
            <v>30130</v>
          </cell>
          <cell r="I2773" t="str">
            <v>North America</v>
          </cell>
          <cell r="J2773" t="str">
            <v>USA</v>
          </cell>
          <cell r="K2773">
            <v>29767</v>
          </cell>
        </row>
        <row r="2774">
          <cell r="A2774" t="str">
            <v>In service</v>
          </cell>
          <cell r="B2774" t="str">
            <v>Gulfstream Aerospace Gulfstream III</v>
          </cell>
          <cell r="C2774" t="str">
            <v xml:space="preserve"> </v>
          </cell>
          <cell r="D2774">
            <v>1982</v>
          </cell>
          <cell r="E2774" t="str">
            <v>Saudi Oger</v>
          </cell>
          <cell r="F2774">
            <v>18</v>
          </cell>
          <cell r="G2774">
            <v>30035</v>
          </cell>
          <cell r="I2774" t="str">
            <v>Middle East</v>
          </cell>
          <cell r="J2774" t="str">
            <v>Saudi Arabia</v>
          </cell>
          <cell r="K2774">
            <v>29402</v>
          </cell>
        </row>
        <row r="2775">
          <cell r="A2775" t="str">
            <v>In service</v>
          </cell>
          <cell r="B2775" t="str">
            <v>Gulfstream Aerospace Gulfstream III</v>
          </cell>
          <cell r="C2775" t="str">
            <v xml:space="preserve"> </v>
          </cell>
          <cell r="D2775">
            <v>1982</v>
          </cell>
          <cell r="E2775" t="str">
            <v>JT Aviation Corp</v>
          </cell>
          <cell r="F2775">
            <v>18</v>
          </cell>
          <cell r="G2775">
            <v>30050</v>
          </cell>
          <cell r="I2775" t="str">
            <v>North America</v>
          </cell>
          <cell r="J2775" t="str">
            <v>USA</v>
          </cell>
          <cell r="K2775">
            <v>29402</v>
          </cell>
        </row>
        <row r="2776">
          <cell r="A2776" t="str">
            <v>In service</v>
          </cell>
          <cell r="B2776" t="str">
            <v>Gulfstream Aerospace Gulfstream III</v>
          </cell>
          <cell r="C2776" t="str">
            <v xml:space="preserve"> </v>
          </cell>
          <cell r="D2776">
            <v>1982</v>
          </cell>
          <cell r="E2776" t="str">
            <v>From the Heart Church Ministries</v>
          </cell>
          <cell r="F2776">
            <v>18</v>
          </cell>
          <cell r="G2776">
            <v>30050</v>
          </cell>
          <cell r="I2776" t="str">
            <v>North America</v>
          </cell>
          <cell r="J2776" t="str">
            <v>USA</v>
          </cell>
          <cell r="K2776">
            <v>29402</v>
          </cell>
        </row>
        <row r="2777">
          <cell r="A2777" t="str">
            <v>In service</v>
          </cell>
          <cell r="B2777" t="str">
            <v>Gulfstream Aerospace Gulfstream III</v>
          </cell>
          <cell r="C2777" t="str">
            <v xml:space="preserve"> </v>
          </cell>
          <cell r="D2777">
            <v>1982</v>
          </cell>
          <cell r="E2777" t="str">
            <v>Entepreneurial Asset Management LLC</v>
          </cell>
          <cell r="F2777">
            <v>18</v>
          </cell>
          <cell r="G2777">
            <v>30062</v>
          </cell>
          <cell r="I2777" t="str">
            <v>North America</v>
          </cell>
          <cell r="J2777" t="str">
            <v>USA</v>
          </cell>
          <cell r="K2777">
            <v>29402</v>
          </cell>
        </row>
        <row r="2778">
          <cell r="A2778" t="str">
            <v>In service</v>
          </cell>
          <cell r="B2778" t="str">
            <v>Gulfstream Aerospace Gulfstream III</v>
          </cell>
          <cell r="C2778" t="str">
            <v xml:space="preserve"> </v>
          </cell>
          <cell r="D2778">
            <v>1982</v>
          </cell>
          <cell r="E2778" t="str">
            <v>Amerada Hess Corp</v>
          </cell>
          <cell r="F2778">
            <v>18</v>
          </cell>
          <cell r="G2778">
            <v>30072</v>
          </cell>
          <cell r="I2778" t="str">
            <v>North America</v>
          </cell>
          <cell r="J2778" t="str">
            <v>USA</v>
          </cell>
          <cell r="K2778">
            <v>29402</v>
          </cell>
        </row>
        <row r="2779">
          <cell r="A2779" t="str">
            <v>In service</v>
          </cell>
          <cell r="B2779" t="str">
            <v>Gulfstream Aerospace Gulfstream III</v>
          </cell>
          <cell r="C2779" t="str">
            <v xml:space="preserve"> </v>
          </cell>
          <cell r="D2779">
            <v>1982</v>
          </cell>
          <cell r="E2779" t="str">
            <v>Mexican Air Force</v>
          </cell>
          <cell r="F2779">
            <v>18</v>
          </cell>
          <cell r="G2779">
            <v>30089</v>
          </cell>
          <cell r="I2779" t="str">
            <v>Latin America and Caribbean</v>
          </cell>
          <cell r="J2779" t="str">
            <v>Mexico</v>
          </cell>
          <cell r="K2779">
            <v>29402</v>
          </cell>
        </row>
        <row r="2780">
          <cell r="A2780" t="str">
            <v>In service</v>
          </cell>
          <cell r="B2780" t="str">
            <v>Gulfstream Aerospace Gulfstream III</v>
          </cell>
          <cell r="C2780" t="str">
            <v xml:space="preserve"> </v>
          </cell>
          <cell r="D2780">
            <v>1982</v>
          </cell>
          <cell r="E2780" t="str">
            <v>Royal Saudi Arabian Air Force</v>
          </cell>
          <cell r="F2780">
            <v>18</v>
          </cell>
          <cell r="G2780">
            <v>30097</v>
          </cell>
          <cell r="I2780" t="str">
            <v>Middle East</v>
          </cell>
          <cell r="J2780" t="str">
            <v>Saudi Arabia</v>
          </cell>
          <cell r="K2780">
            <v>29402</v>
          </cell>
        </row>
        <row r="2781">
          <cell r="A2781" t="str">
            <v>In service</v>
          </cell>
          <cell r="B2781" t="str">
            <v>Gulfstream Aerospace Gulfstream III</v>
          </cell>
          <cell r="C2781" t="str">
            <v xml:space="preserve"> </v>
          </cell>
          <cell r="D2781">
            <v>1982</v>
          </cell>
          <cell r="E2781" t="str">
            <v>MTF Corp</v>
          </cell>
          <cell r="F2781">
            <v>18</v>
          </cell>
          <cell r="G2781">
            <v>30102</v>
          </cell>
          <cell r="I2781" t="str">
            <v>North America</v>
          </cell>
          <cell r="J2781" t="str">
            <v>USA</v>
          </cell>
          <cell r="K2781">
            <v>29767</v>
          </cell>
        </row>
        <row r="2782">
          <cell r="A2782" t="str">
            <v>In service</v>
          </cell>
          <cell r="B2782" t="str">
            <v>Gulfstream Aerospace Gulfstream III</v>
          </cell>
          <cell r="C2782" t="str">
            <v xml:space="preserve"> </v>
          </cell>
          <cell r="D2782">
            <v>1982</v>
          </cell>
          <cell r="E2782" t="str">
            <v>TransMeridian Aviation LLC</v>
          </cell>
          <cell r="F2782">
            <v>18</v>
          </cell>
          <cell r="G2782">
            <v>30117</v>
          </cell>
          <cell r="I2782" t="str">
            <v>North America</v>
          </cell>
          <cell r="J2782" t="str">
            <v>USA</v>
          </cell>
          <cell r="K2782">
            <v>29402</v>
          </cell>
        </row>
        <row r="2783">
          <cell r="A2783" t="str">
            <v>In service</v>
          </cell>
          <cell r="B2783" t="str">
            <v>Gulfstream Aerospace Gulfstream III</v>
          </cell>
          <cell r="C2783" t="str">
            <v xml:space="preserve"> </v>
          </cell>
          <cell r="D2783">
            <v>1982</v>
          </cell>
          <cell r="E2783" t="str">
            <v>Bridas Energy International Limited</v>
          </cell>
          <cell r="F2783">
            <v>18</v>
          </cell>
          <cell r="G2783">
            <v>30148</v>
          </cell>
          <cell r="I2783" t="str">
            <v>Unknown area</v>
          </cell>
          <cell r="J2783" t="str">
            <v>Unknown Country</v>
          </cell>
          <cell r="K2783">
            <v>29402</v>
          </cell>
        </row>
        <row r="2784">
          <cell r="A2784" t="str">
            <v>In service</v>
          </cell>
          <cell r="B2784" t="str">
            <v>Gulfstream Aerospace Gulfstream III</v>
          </cell>
          <cell r="C2784" t="str">
            <v xml:space="preserve"> </v>
          </cell>
          <cell r="D2784">
            <v>1982</v>
          </cell>
          <cell r="E2784" t="str">
            <v>MGM Grand Inc</v>
          </cell>
          <cell r="F2784">
            <v>18</v>
          </cell>
          <cell r="G2784">
            <v>30818</v>
          </cell>
          <cell r="I2784" t="str">
            <v>North America</v>
          </cell>
          <cell r="J2784" t="str">
            <v>USA</v>
          </cell>
        </row>
        <row r="2785">
          <cell r="A2785" t="str">
            <v>In service</v>
          </cell>
          <cell r="B2785" t="str">
            <v>Gulfstream Aerospace Gulfstream III</v>
          </cell>
          <cell r="C2785" t="str">
            <v xml:space="preserve"> </v>
          </cell>
          <cell r="D2785">
            <v>1982</v>
          </cell>
          <cell r="E2785" t="str">
            <v>International Jet Charter</v>
          </cell>
          <cell r="F2785">
            <v>18</v>
          </cell>
          <cell r="G2785">
            <v>30140</v>
          </cell>
          <cell r="I2785" t="str">
            <v>North America</v>
          </cell>
          <cell r="J2785" t="str">
            <v>USA</v>
          </cell>
          <cell r="K2785">
            <v>29402</v>
          </cell>
        </row>
        <row r="2786">
          <cell r="A2786" t="str">
            <v>In service</v>
          </cell>
          <cell r="B2786" t="str">
            <v>Gulfstream Aerospace Gulfstream III</v>
          </cell>
          <cell r="C2786" t="str">
            <v xml:space="preserve"> </v>
          </cell>
          <cell r="D2786">
            <v>1982</v>
          </cell>
          <cell r="E2786" t="str">
            <v>Aviation Enterprises Inc</v>
          </cell>
          <cell r="F2786">
            <v>18</v>
          </cell>
          <cell r="G2786">
            <v>30159</v>
          </cell>
          <cell r="I2786" t="str">
            <v>North America</v>
          </cell>
          <cell r="J2786" t="str">
            <v>USA</v>
          </cell>
          <cell r="K2786">
            <v>29767</v>
          </cell>
        </row>
        <row r="2787">
          <cell r="A2787" t="str">
            <v>In service</v>
          </cell>
          <cell r="B2787" t="str">
            <v>Gulfstream Aerospace Gulfstream III</v>
          </cell>
          <cell r="C2787" t="str">
            <v xml:space="preserve"> </v>
          </cell>
          <cell r="D2787">
            <v>1982</v>
          </cell>
          <cell r="E2787" t="str">
            <v>Jet Aviation Private Fleet LLC</v>
          </cell>
          <cell r="F2787">
            <v>18</v>
          </cell>
          <cell r="G2787">
            <v>30307</v>
          </cell>
          <cell r="I2787" t="str">
            <v>North America</v>
          </cell>
          <cell r="J2787" t="str">
            <v>USA</v>
          </cell>
          <cell r="K2787">
            <v>29402</v>
          </cell>
        </row>
        <row r="2788">
          <cell r="A2788" t="str">
            <v>In service</v>
          </cell>
          <cell r="B2788" t="str">
            <v>Gulfstream Aerospace Gulfstream III</v>
          </cell>
          <cell r="C2788" t="str">
            <v xml:space="preserve"> </v>
          </cell>
          <cell r="D2788">
            <v>1982</v>
          </cell>
          <cell r="E2788" t="str">
            <v>Anadarko Petroleum Corp</v>
          </cell>
          <cell r="F2788">
            <v>18</v>
          </cell>
          <cell r="G2788">
            <v>30181</v>
          </cell>
          <cell r="I2788" t="str">
            <v>North America</v>
          </cell>
          <cell r="J2788" t="str">
            <v>USA</v>
          </cell>
          <cell r="K2788">
            <v>29767</v>
          </cell>
        </row>
        <row r="2789">
          <cell r="A2789" t="str">
            <v>In service</v>
          </cell>
          <cell r="B2789" t="str">
            <v>Gulfstream Aerospace Gulfstream III</v>
          </cell>
          <cell r="C2789" t="str">
            <v xml:space="preserve"> </v>
          </cell>
          <cell r="D2789">
            <v>1982</v>
          </cell>
          <cell r="E2789" t="str">
            <v>Lazy Lane Farms Inc &amp; Perpetual Corp</v>
          </cell>
          <cell r="F2789">
            <v>18</v>
          </cell>
          <cell r="G2789">
            <v>30189</v>
          </cell>
          <cell r="I2789" t="str">
            <v>North America</v>
          </cell>
          <cell r="J2789" t="str">
            <v>USA</v>
          </cell>
          <cell r="K2789">
            <v>29767</v>
          </cell>
        </row>
        <row r="2790">
          <cell r="A2790" t="str">
            <v>In service</v>
          </cell>
          <cell r="B2790" t="str">
            <v>Gulfstream Aerospace Gulfstream III</v>
          </cell>
          <cell r="C2790" t="str">
            <v xml:space="preserve"> </v>
          </cell>
          <cell r="D2790">
            <v>1982</v>
          </cell>
          <cell r="E2790" t="str">
            <v>Atsinger Aviation LLC</v>
          </cell>
          <cell r="F2790">
            <v>18</v>
          </cell>
          <cell r="G2790">
            <v>30203</v>
          </cell>
          <cell r="I2790" t="str">
            <v>North America</v>
          </cell>
          <cell r="J2790" t="str">
            <v>USA</v>
          </cell>
          <cell r="K2790">
            <v>29402</v>
          </cell>
        </row>
        <row r="2791">
          <cell r="A2791" t="str">
            <v>In service</v>
          </cell>
          <cell r="B2791" t="str">
            <v>Gulfstream Aerospace Gulfstream III</v>
          </cell>
          <cell r="C2791" t="str">
            <v xml:space="preserve"> </v>
          </cell>
          <cell r="D2791">
            <v>1982</v>
          </cell>
          <cell r="E2791" t="str">
            <v>Saudi Arabian Airlines</v>
          </cell>
          <cell r="F2791">
            <v>18</v>
          </cell>
          <cell r="G2791">
            <v>30215</v>
          </cell>
          <cell r="I2791" t="str">
            <v>Middle East</v>
          </cell>
          <cell r="J2791" t="str">
            <v>Saudi Arabia</v>
          </cell>
          <cell r="K2791">
            <v>28306</v>
          </cell>
        </row>
        <row r="2792">
          <cell r="A2792" t="str">
            <v>In service</v>
          </cell>
          <cell r="B2792" t="str">
            <v>Gulfstream Aerospace Gulfstream III</v>
          </cell>
          <cell r="C2792" t="str">
            <v xml:space="preserve"> </v>
          </cell>
          <cell r="D2792">
            <v>1982</v>
          </cell>
          <cell r="E2792" t="str">
            <v>Government of Morocco</v>
          </cell>
          <cell r="F2792">
            <v>18</v>
          </cell>
          <cell r="G2792">
            <v>30227</v>
          </cell>
          <cell r="I2792" t="str">
            <v>Africa</v>
          </cell>
          <cell r="J2792" t="str">
            <v>Morocco</v>
          </cell>
          <cell r="K2792">
            <v>28306</v>
          </cell>
        </row>
        <row r="2793">
          <cell r="A2793" t="str">
            <v>In service</v>
          </cell>
          <cell r="B2793" t="str">
            <v>Gulfstream Aerospace Gulfstream III</v>
          </cell>
          <cell r="C2793" t="str">
            <v xml:space="preserve"> </v>
          </cell>
          <cell r="D2793">
            <v>1982</v>
          </cell>
          <cell r="E2793" t="str">
            <v>JetAlliance</v>
          </cell>
          <cell r="F2793">
            <v>18</v>
          </cell>
          <cell r="G2793">
            <v>30224</v>
          </cell>
          <cell r="I2793" t="str">
            <v>North America</v>
          </cell>
          <cell r="J2793" t="str">
            <v>USA</v>
          </cell>
          <cell r="K2793">
            <v>29402</v>
          </cell>
        </row>
        <row r="2794">
          <cell r="A2794" t="str">
            <v>In service</v>
          </cell>
          <cell r="B2794" t="str">
            <v>Gulfstream Aerospace Gulfstream III</v>
          </cell>
          <cell r="C2794" t="str">
            <v xml:space="preserve"> </v>
          </cell>
          <cell r="D2794">
            <v>1982</v>
          </cell>
          <cell r="E2794" t="str">
            <v>Flo-Sun Aircraft Inc</v>
          </cell>
          <cell r="F2794">
            <v>18</v>
          </cell>
          <cell r="G2794">
            <v>30237</v>
          </cell>
          <cell r="I2794" t="str">
            <v>North America</v>
          </cell>
          <cell r="J2794" t="str">
            <v>USA</v>
          </cell>
          <cell r="K2794">
            <v>29402</v>
          </cell>
        </row>
        <row r="2795">
          <cell r="A2795" t="str">
            <v>In service</v>
          </cell>
          <cell r="B2795" t="str">
            <v>Gulfstream Aerospace Gulfstream III</v>
          </cell>
          <cell r="C2795" t="str">
            <v xml:space="preserve"> </v>
          </cell>
          <cell r="D2795">
            <v>1982</v>
          </cell>
          <cell r="E2795" t="str">
            <v>Chartright Air</v>
          </cell>
          <cell r="F2795">
            <v>18</v>
          </cell>
          <cell r="G2795">
            <v>30242</v>
          </cell>
          <cell r="I2795" t="str">
            <v>North America</v>
          </cell>
          <cell r="J2795" t="str">
            <v>Canada</v>
          </cell>
          <cell r="K2795">
            <v>29767</v>
          </cell>
        </row>
        <row r="2796">
          <cell r="A2796" t="str">
            <v>In service</v>
          </cell>
          <cell r="B2796" t="str">
            <v>Gulfstream Aerospace Gulfstream III</v>
          </cell>
          <cell r="C2796" t="str">
            <v xml:space="preserve"> </v>
          </cell>
          <cell r="D2796">
            <v>1982</v>
          </cell>
          <cell r="E2796" t="str">
            <v>Walter H Shorestein &amp; First Security Bank Trustee</v>
          </cell>
          <cell r="F2796">
            <v>18</v>
          </cell>
          <cell r="G2796">
            <v>30245</v>
          </cell>
          <cell r="I2796" t="str">
            <v>North America</v>
          </cell>
          <cell r="J2796" t="str">
            <v>USA</v>
          </cell>
          <cell r="K2796">
            <v>29402</v>
          </cell>
        </row>
        <row r="2797">
          <cell r="A2797" t="str">
            <v>In service</v>
          </cell>
          <cell r="B2797" t="str">
            <v>Gulfstream Aerospace Gulfstream III</v>
          </cell>
          <cell r="C2797" t="str">
            <v xml:space="preserve"> </v>
          </cell>
          <cell r="D2797">
            <v>1982</v>
          </cell>
          <cell r="E2797" t="str">
            <v>Mainko LLC</v>
          </cell>
          <cell r="F2797">
            <v>18</v>
          </cell>
          <cell r="G2797">
            <v>30257</v>
          </cell>
          <cell r="I2797" t="str">
            <v>North America</v>
          </cell>
          <cell r="J2797" t="str">
            <v>USA</v>
          </cell>
          <cell r="K2797">
            <v>29767</v>
          </cell>
        </row>
        <row r="2798">
          <cell r="A2798" t="str">
            <v>In service</v>
          </cell>
          <cell r="B2798" t="str">
            <v>Gulfstream Aerospace Gulfstream III</v>
          </cell>
          <cell r="C2798" t="str">
            <v xml:space="preserve"> </v>
          </cell>
          <cell r="D2798">
            <v>1982</v>
          </cell>
          <cell r="E2798" t="str">
            <v>Avjet Corp</v>
          </cell>
          <cell r="F2798">
            <v>18</v>
          </cell>
          <cell r="G2798">
            <v>30298</v>
          </cell>
          <cell r="I2798" t="str">
            <v>North America</v>
          </cell>
          <cell r="J2798" t="str">
            <v>USA</v>
          </cell>
          <cell r="K2798">
            <v>29767</v>
          </cell>
        </row>
        <row r="2799">
          <cell r="A2799" t="str">
            <v>In service</v>
          </cell>
          <cell r="B2799" t="str">
            <v>Gulfstream Aerospace Gulfstream III</v>
          </cell>
          <cell r="C2799" t="str">
            <v xml:space="preserve"> </v>
          </cell>
          <cell r="D2799">
            <v>1982</v>
          </cell>
          <cell r="E2799" t="str">
            <v>Keystone Foods Corp</v>
          </cell>
          <cell r="F2799">
            <v>18</v>
          </cell>
          <cell r="G2799">
            <v>30275</v>
          </cell>
          <cell r="I2799" t="str">
            <v>North America</v>
          </cell>
          <cell r="J2799" t="str">
            <v>USA</v>
          </cell>
          <cell r="K2799">
            <v>29767</v>
          </cell>
        </row>
        <row r="2800">
          <cell r="A2800" t="str">
            <v>In service</v>
          </cell>
          <cell r="B2800" t="str">
            <v>Gulfstream Aerospace Gulfstream III</v>
          </cell>
          <cell r="C2800" t="str">
            <v xml:space="preserve"> </v>
          </cell>
          <cell r="D2800">
            <v>1982</v>
          </cell>
          <cell r="E2800" t="str">
            <v>Eugene Air Inc</v>
          </cell>
          <cell r="F2800">
            <v>18</v>
          </cell>
          <cell r="G2800">
            <v>30288</v>
          </cell>
          <cell r="I2800" t="str">
            <v>North America</v>
          </cell>
          <cell r="J2800" t="str">
            <v>USA</v>
          </cell>
          <cell r="K2800">
            <v>29767</v>
          </cell>
        </row>
        <row r="2801">
          <cell r="A2801" t="str">
            <v>In service</v>
          </cell>
          <cell r="B2801" t="str">
            <v>Gulfstream Aerospace Gulfstream III</v>
          </cell>
          <cell r="C2801" t="str">
            <v xml:space="preserve"> </v>
          </cell>
          <cell r="D2801">
            <v>1982</v>
          </cell>
          <cell r="E2801" t="str">
            <v>Parke Aviation Corp</v>
          </cell>
          <cell r="F2801">
            <v>18</v>
          </cell>
          <cell r="G2801">
            <v>30288</v>
          </cell>
          <cell r="I2801" t="str">
            <v>North America</v>
          </cell>
          <cell r="J2801" t="str">
            <v>USA</v>
          </cell>
          <cell r="K2801">
            <v>29767</v>
          </cell>
        </row>
        <row r="2802">
          <cell r="A2802" t="str">
            <v>In service</v>
          </cell>
          <cell r="B2802" t="str">
            <v>Gulfstream Aerospace Gulfstream III</v>
          </cell>
          <cell r="C2802" t="str">
            <v xml:space="preserve"> </v>
          </cell>
          <cell r="D2802">
            <v>1982</v>
          </cell>
          <cell r="E2802" t="str">
            <v>Bonzi Aviation Inc</v>
          </cell>
          <cell r="F2802">
            <v>18</v>
          </cell>
          <cell r="G2802">
            <v>30295</v>
          </cell>
          <cell r="I2802" t="str">
            <v>North America</v>
          </cell>
          <cell r="J2802" t="str">
            <v>USA</v>
          </cell>
          <cell r="K2802">
            <v>29402</v>
          </cell>
        </row>
        <row r="2803">
          <cell r="A2803" t="str">
            <v>In service</v>
          </cell>
          <cell r="B2803" t="str">
            <v>Gulfstream Aerospace Gulfstream III</v>
          </cell>
          <cell r="C2803" t="str">
            <v xml:space="preserve"> </v>
          </cell>
          <cell r="D2803">
            <v>1982</v>
          </cell>
          <cell r="E2803" t="str">
            <v>Northwestern Aircraft Capital Corp</v>
          </cell>
          <cell r="F2803">
            <v>18</v>
          </cell>
          <cell r="G2803">
            <v>30315</v>
          </cell>
          <cell r="I2803" t="str">
            <v>North America</v>
          </cell>
          <cell r="J2803" t="str">
            <v>USA</v>
          </cell>
          <cell r="K2803">
            <v>29402</v>
          </cell>
        </row>
        <row r="2804">
          <cell r="A2804" t="str">
            <v>In service</v>
          </cell>
          <cell r="B2804" t="str">
            <v>Gulfstream Aerospace Gulfstream III</v>
          </cell>
          <cell r="C2804" t="str">
            <v xml:space="preserve"> </v>
          </cell>
          <cell r="D2804">
            <v>1982</v>
          </cell>
          <cell r="E2804" t="str">
            <v>Hoescht Marion Roussel Inc</v>
          </cell>
          <cell r="F2804">
            <v>18</v>
          </cell>
          <cell r="G2804">
            <v>30313</v>
          </cell>
          <cell r="I2804" t="str">
            <v>North America</v>
          </cell>
          <cell r="J2804" t="str">
            <v>USA</v>
          </cell>
          <cell r="K2804">
            <v>29402</v>
          </cell>
        </row>
        <row r="2805">
          <cell r="A2805" t="str">
            <v>In service</v>
          </cell>
          <cell r="B2805" t="str">
            <v>Gulfstream Aerospace Gulfstream III</v>
          </cell>
          <cell r="C2805" t="str">
            <v xml:space="preserve"> </v>
          </cell>
          <cell r="D2805">
            <v>1982</v>
          </cell>
          <cell r="E2805" t="str">
            <v>Automotive Air Charter</v>
          </cell>
          <cell r="F2805">
            <v>18</v>
          </cell>
          <cell r="G2805">
            <v>30313</v>
          </cell>
          <cell r="I2805" t="str">
            <v>North America</v>
          </cell>
          <cell r="J2805" t="str">
            <v>USA</v>
          </cell>
          <cell r="K2805">
            <v>29767</v>
          </cell>
        </row>
        <row r="2806">
          <cell r="A2806" t="str">
            <v>In service</v>
          </cell>
          <cell r="B2806" t="str">
            <v>Gulfstream Aerospace Gulfstream III</v>
          </cell>
          <cell r="C2806" t="str">
            <v xml:space="preserve"> </v>
          </cell>
          <cell r="D2806">
            <v>1982</v>
          </cell>
          <cell r="E2806" t="str">
            <v>Sonoram Charters LLC</v>
          </cell>
          <cell r="F2806">
            <v>18</v>
          </cell>
          <cell r="G2806">
            <v>30337</v>
          </cell>
          <cell r="I2806" t="str">
            <v>North America</v>
          </cell>
          <cell r="J2806" t="str">
            <v>USA</v>
          </cell>
          <cell r="K2806">
            <v>29767</v>
          </cell>
        </row>
        <row r="2807">
          <cell r="A2807" t="str">
            <v>In service</v>
          </cell>
          <cell r="B2807" t="str">
            <v>Gulfstream Aerospace Gulfstream III</v>
          </cell>
          <cell r="C2807" t="str">
            <v xml:space="preserve"> </v>
          </cell>
          <cell r="D2807">
            <v>1983</v>
          </cell>
          <cell r="E2807" t="str">
            <v>LOR Inc</v>
          </cell>
          <cell r="F2807">
            <v>17</v>
          </cell>
          <cell r="G2807">
            <v>30347</v>
          </cell>
          <cell r="I2807" t="str">
            <v>North America</v>
          </cell>
          <cell r="J2807" t="str">
            <v>USA</v>
          </cell>
          <cell r="K2807">
            <v>29767</v>
          </cell>
        </row>
        <row r="2808">
          <cell r="A2808" t="str">
            <v>In service</v>
          </cell>
          <cell r="B2808" t="str">
            <v>Gulfstream Aerospace Gulfstream III</v>
          </cell>
          <cell r="C2808" t="str">
            <v xml:space="preserve"> </v>
          </cell>
          <cell r="D2808">
            <v>1983</v>
          </cell>
          <cell r="E2808" t="str">
            <v>SCS Investments Inc</v>
          </cell>
          <cell r="F2808">
            <v>17</v>
          </cell>
          <cell r="G2808">
            <v>30369</v>
          </cell>
          <cell r="I2808" t="str">
            <v>North America</v>
          </cell>
          <cell r="J2808" t="str">
            <v>USA</v>
          </cell>
          <cell r="K2808">
            <v>29767</v>
          </cell>
        </row>
        <row r="2809">
          <cell r="A2809" t="str">
            <v>In service</v>
          </cell>
          <cell r="B2809" t="str">
            <v>Gulfstream Aerospace Gulfstream III</v>
          </cell>
          <cell r="C2809" t="str">
            <v xml:space="preserve"> </v>
          </cell>
          <cell r="D2809">
            <v>1983</v>
          </cell>
          <cell r="E2809" t="str">
            <v>GSB Aviation (Two) LLC</v>
          </cell>
          <cell r="F2809">
            <v>17</v>
          </cell>
          <cell r="G2809">
            <v>30391</v>
          </cell>
          <cell r="I2809" t="str">
            <v>North America</v>
          </cell>
          <cell r="J2809" t="str">
            <v>USA</v>
          </cell>
          <cell r="K2809">
            <v>29767</v>
          </cell>
        </row>
        <row r="2810">
          <cell r="A2810" t="str">
            <v>In service</v>
          </cell>
          <cell r="B2810" t="str">
            <v>Gulfstream Aerospace Gulfstream III</v>
          </cell>
          <cell r="C2810" t="str">
            <v xml:space="preserve"> </v>
          </cell>
          <cell r="D2810">
            <v>1983</v>
          </cell>
          <cell r="E2810" t="str">
            <v>Saudi Aeromedical Evacuation</v>
          </cell>
          <cell r="F2810">
            <v>17</v>
          </cell>
          <cell r="G2810">
            <v>30431</v>
          </cell>
          <cell r="I2810" t="str">
            <v>Middle East</v>
          </cell>
          <cell r="J2810" t="str">
            <v>Saudi Arabia</v>
          </cell>
          <cell r="K2810">
            <v>29767</v>
          </cell>
        </row>
        <row r="2811">
          <cell r="A2811" t="str">
            <v>In service</v>
          </cell>
          <cell r="B2811" t="str">
            <v>Gulfstream Aerospace Gulfstream III</v>
          </cell>
          <cell r="C2811" t="str">
            <v xml:space="preserve"> </v>
          </cell>
          <cell r="D2811">
            <v>1983</v>
          </cell>
          <cell r="E2811" t="str">
            <v>Mexican Air Force</v>
          </cell>
          <cell r="F2811">
            <v>17</v>
          </cell>
          <cell r="G2811">
            <v>30406</v>
          </cell>
          <cell r="I2811" t="str">
            <v>Latin America and Caribbean</v>
          </cell>
          <cell r="J2811" t="str">
            <v>Mexico</v>
          </cell>
          <cell r="K2811">
            <v>30132</v>
          </cell>
        </row>
        <row r="2812">
          <cell r="A2812" t="str">
            <v>In service</v>
          </cell>
          <cell r="B2812" t="str">
            <v>Gulfstream Aerospace Gulfstream III</v>
          </cell>
          <cell r="C2812" t="str">
            <v xml:space="preserve"> </v>
          </cell>
          <cell r="D2812">
            <v>1983</v>
          </cell>
          <cell r="E2812" t="str">
            <v>Airstar Corp</v>
          </cell>
          <cell r="F2812">
            <v>17</v>
          </cell>
          <cell r="G2812">
            <v>30381</v>
          </cell>
          <cell r="I2812" t="str">
            <v>North America</v>
          </cell>
          <cell r="J2812" t="str">
            <v>USA</v>
          </cell>
          <cell r="K2812">
            <v>29767</v>
          </cell>
        </row>
        <row r="2813">
          <cell r="A2813" t="str">
            <v>In service</v>
          </cell>
          <cell r="B2813" t="str">
            <v>Gulfstream Aerospace Gulfstream III</v>
          </cell>
          <cell r="C2813" t="str">
            <v xml:space="preserve"> </v>
          </cell>
          <cell r="D2813">
            <v>1983</v>
          </cell>
          <cell r="E2813" t="str">
            <v>Continental Aviation Services Inc</v>
          </cell>
          <cell r="F2813">
            <v>17</v>
          </cell>
          <cell r="G2813">
            <v>30418</v>
          </cell>
          <cell r="I2813" t="str">
            <v>North America</v>
          </cell>
          <cell r="J2813" t="str">
            <v>USA</v>
          </cell>
          <cell r="K2813">
            <v>30132</v>
          </cell>
        </row>
        <row r="2814">
          <cell r="A2814" t="str">
            <v>In service</v>
          </cell>
          <cell r="B2814" t="str">
            <v>Gulfstream Aerospace Gulfstream III</v>
          </cell>
          <cell r="C2814" t="str">
            <v xml:space="preserve"> </v>
          </cell>
          <cell r="D2814">
            <v>1983</v>
          </cell>
          <cell r="E2814" t="str">
            <v>Mattei Holdings LLC</v>
          </cell>
          <cell r="F2814">
            <v>17</v>
          </cell>
          <cell r="G2814">
            <v>30409</v>
          </cell>
          <cell r="I2814" t="str">
            <v>North America</v>
          </cell>
          <cell r="J2814" t="str">
            <v>USA</v>
          </cell>
          <cell r="K2814">
            <v>29767</v>
          </cell>
        </row>
        <row r="2815">
          <cell r="A2815" t="str">
            <v>In service</v>
          </cell>
          <cell r="B2815" t="str">
            <v>Gulfstream Aerospace Gulfstream III</v>
          </cell>
          <cell r="C2815" t="str">
            <v xml:space="preserve"> </v>
          </cell>
          <cell r="D2815">
            <v>1983</v>
          </cell>
          <cell r="E2815" t="str">
            <v>Apogee Technologies Inc</v>
          </cell>
          <cell r="F2815">
            <v>17</v>
          </cell>
          <cell r="G2815">
            <v>30467</v>
          </cell>
          <cell r="I2815" t="str">
            <v>North America</v>
          </cell>
          <cell r="J2815" t="str">
            <v>USA</v>
          </cell>
          <cell r="K2815">
            <v>29767</v>
          </cell>
        </row>
        <row r="2816">
          <cell r="A2816" t="str">
            <v>In service</v>
          </cell>
          <cell r="B2816" t="str">
            <v>Gulfstream Aerospace Gulfstream III</v>
          </cell>
          <cell r="C2816" t="str">
            <v xml:space="preserve"> </v>
          </cell>
          <cell r="D2816">
            <v>1983</v>
          </cell>
          <cell r="E2816" t="str">
            <v>Worldcom Inc</v>
          </cell>
          <cell r="F2816">
            <v>17</v>
          </cell>
          <cell r="G2816">
            <v>30467</v>
          </cell>
          <cell r="I2816" t="str">
            <v>North America</v>
          </cell>
          <cell r="J2816" t="str">
            <v>USA</v>
          </cell>
          <cell r="K2816">
            <v>29767</v>
          </cell>
        </row>
        <row r="2817">
          <cell r="A2817" t="str">
            <v>In service</v>
          </cell>
          <cell r="B2817" t="str">
            <v>Gulfstream Aerospace Gulfstream III</v>
          </cell>
          <cell r="C2817" t="str">
            <v xml:space="preserve"> </v>
          </cell>
          <cell r="D2817">
            <v>1983</v>
          </cell>
          <cell r="E2817" t="str">
            <v>Aero Roca SA de CV</v>
          </cell>
          <cell r="F2817">
            <v>17</v>
          </cell>
          <cell r="G2817">
            <v>30497</v>
          </cell>
          <cell r="I2817" t="str">
            <v>Latin America and Caribbean</v>
          </cell>
          <cell r="J2817" t="str">
            <v>Mexico</v>
          </cell>
          <cell r="K2817">
            <v>29767</v>
          </cell>
        </row>
        <row r="2818">
          <cell r="A2818" t="str">
            <v>In service</v>
          </cell>
          <cell r="B2818" t="str">
            <v>Gulfstream Aerospace Gulfstream III</v>
          </cell>
          <cell r="C2818" t="str">
            <v xml:space="preserve"> </v>
          </cell>
          <cell r="D2818">
            <v>1983</v>
          </cell>
          <cell r="E2818" t="str">
            <v>Nexxus Products</v>
          </cell>
          <cell r="F2818">
            <v>17</v>
          </cell>
          <cell r="G2818">
            <v>30589</v>
          </cell>
          <cell r="I2818" t="str">
            <v>North America</v>
          </cell>
          <cell r="J2818" t="str">
            <v>USA</v>
          </cell>
          <cell r="K2818">
            <v>29767</v>
          </cell>
        </row>
        <row r="2819">
          <cell r="A2819" t="str">
            <v>In service</v>
          </cell>
          <cell r="B2819" t="str">
            <v>Gulfstream Aerospace Gulfstream III</v>
          </cell>
          <cell r="C2819" t="str">
            <v xml:space="preserve"> </v>
          </cell>
          <cell r="D2819">
            <v>1983</v>
          </cell>
          <cell r="E2819" t="str">
            <v>Northwestern Aircraft Capital Corp</v>
          </cell>
          <cell r="F2819">
            <v>17</v>
          </cell>
          <cell r="G2819">
            <v>30497</v>
          </cell>
          <cell r="I2819" t="str">
            <v>North America</v>
          </cell>
          <cell r="J2819" t="str">
            <v>USA</v>
          </cell>
          <cell r="K2819">
            <v>29767</v>
          </cell>
        </row>
        <row r="2820">
          <cell r="A2820" t="str">
            <v>In service</v>
          </cell>
          <cell r="B2820" t="str">
            <v>Gulfstream Aerospace Gulfstream III</v>
          </cell>
          <cell r="C2820" t="str">
            <v xml:space="preserve"> </v>
          </cell>
          <cell r="D2820">
            <v>1983</v>
          </cell>
          <cell r="E2820" t="str">
            <v>Bentley Aviation LLC</v>
          </cell>
          <cell r="F2820">
            <v>17</v>
          </cell>
          <cell r="G2820">
            <v>30497</v>
          </cell>
          <cell r="I2820" t="str">
            <v>North America</v>
          </cell>
          <cell r="J2820" t="str">
            <v>USA</v>
          </cell>
          <cell r="K2820">
            <v>29767</v>
          </cell>
        </row>
        <row r="2821">
          <cell r="A2821" t="str">
            <v>In service</v>
          </cell>
          <cell r="B2821" t="str">
            <v>Gulfstream Aerospace Gulfstream III</v>
          </cell>
          <cell r="C2821" t="str">
            <v xml:space="preserve"> </v>
          </cell>
          <cell r="D2821">
            <v>1983</v>
          </cell>
          <cell r="E2821" t="str">
            <v>General Instrument Services Inc</v>
          </cell>
          <cell r="F2821">
            <v>17</v>
          </cell>
          <cell r="G2821">
            <v>30528</v>
          </cell>
          <cell r="I2821" t="str">
            <v>North America</v>
          </cell>
          <cell r="J2821" t="str">
            <v>USA</v>
          </cell>
          <cell r="K2821">
            <v>30132</v>
          </cell>
        </row>
        <row r="2822">
          <cell r="A2822" t="str">
            <v>In service</v>
          </cell>
          <cell r="B2822" t="str">
            <v>Gulfstream Aerospace Gulfstream III</v>
          </cell>
          <cell r="C2822" t="str">
            <v xml:space="preserve"> </v>
          </cell>
          <cell r="D2822">
            <v>1983</v>
          </cell>
          <cell r="E2822" t="str">
            <v>Crescent Ridge Aviation Inc</v>
          </cell>
          <cell r="F2822">
            <v>17</v>
          </cell>
          <cell r="G2822">
            <v>30528</v>
          </cell>
          <cell r="I2822" t="str">
            <v>North America</v>
          </cell>
          <cell r="J2822" t="str">
            <v>USA</v>
          </cell>
          <cell r="K2822">
            <v>30132</v>
          </cell>
        </row>
        <row r="2823">
          <cell r="A2823" t="str">
            <v>In service</v>
          </cell>
          <cell r="B2823" t="str">
            <v>Gulfstream Aerospace Gulfstream III</v>
          </cell>
          <cell r="C2823" t="str">
            <v xml:space="preserve"> </v>
          </cell>
          <cell r="D2823">
            <v>1983</v>
          </cell>
          <cell r="E2823" t="str">
            <v>Nu Skin USA Inc</v>
          </cell>
          <cell r="F2823">
            <v>17</v>
          </cell>
          <cell r="G2823">
            <v>30559</v>
          </cell>
          <cell r="I2823" t="str">
            <v>North America</v>
          </cell>
          <cell r="J2823" t="str">
            <v>USA</v>
          </cell>
          <cell r="K2823">
            <v>29767</v>
          </cell>
        </row>
        <row r="2824">
          <cell r="A2824" t="str">
            <v>In service</v>
          </cell>
          <cell r="B2824" t="str">
            <v>Gulfstream Aerospace Gulfstream III</v>
          </cell>
          <cell r="C2824" t="str">
            <v xml:space="preserve"> </v>
          </cell>
          <cell r="D2824">
            <v>1983</v>
          </cell>
          <cell r="E2824" t="str">
            <v>Venezuelan Air Force</v>
          </cell>
          <cell r="F2824">
            <v>17</v>
          </cell>
          <cell r="G2824">
            <v>30559</v>
          </cell>
          <cell r="I2824" t="str">
            <v>Latin America and Caribbean</v>
          </cell>
          <cell r="J2824" t="str">
            <v>Venezuela</v>
          </cell>
          <cell r="K2824">
            <v>29767</v>
          </cell>
        </row>
        <row r="2825">
          <cell r="A2825" t="str">
            <v>In service</v>
          </cell>
          <cell r="B2825" t="str">
            <v>Gulfstream Aerospace Gulfstream III</v>
          </cell>
          <cell r="C2825" t="str">
            <v xml:space="preserve"> </v>
          </cell>
          <cell r="D2825">
            <v>1983</v>
          </cell>
          <cell r="E2825" t="str">
            <v>JGL Aviation LLC</v>
          </cell>
          <cell r="F2825">
            <v>17</v>
          </cell>
          <cell r="G2825">
            <v>30559</v>
          </cell>
          <cell r="I2825" t="str">
            <v>North America</v>
          </cell>
          <cell r="J2825" t="str">
            <v>USA</v>
          </cell>
          <cell r="K2825">
            <v>30132</v>
          </cell>
        </row>
        <row r="2826">
          <cell r="A2826" t="str">
            <v>In service</v>
          </cell>
          <cell r="B2826" t="str">
            <v>Gulfstream Aerospace Gulfstream III</v>
          </cell>
          <cell r="C2826" t="str">
            <v xml:space="preserve"> </v>
          </cell>
          <cell r="D2826">
            <v>1983</v>
          </cell>
          <cell r="E2826" t="str">
            <v>Servicios Aereos Norte Sur SA</v>
          </cell>
          <cell r="F2826">
            <v>17</v>
          </cell>
          <cell r="G2826">
            <v>30589</v>
          </cell>
          <cell r="I2826" t="str">
            <v>Latin America and Caribbean</v>
          </cell>
          <cell r="J2826" t="str">
            <v>Mexico</v>
          </cell>
          <cell r="K2826">
            <v>29767</v>
          </cell>
        </row>
        <row r="2827">
          <cell r="A2827" t="str">
            <v>In service</v>
          </cell>
          <cell r="B2827" t="str">
            <v>Gulfstream Aerospace Gulfstream III</v>
          </cell>
          <cell r="C2827" t="str">
            <v xml:space="preserve"> </v>
          </cell>
          <cell r="D2827">
            <v>1983</v>
          </cell>
          <cell r="E2827" t="str">
            <v>Jet Star LLC</v>
          </cell>
          <cell r="F2827">
            <v>17</v>
          </cell>
          <cell r="G2827">
            <v>30589</v>
          </cell>
          <cell r="I2827" t="str">
            <v>North America</v>
          </cell>
          <cell r="J2827" t="str">
            <v>USA</v>
          </cell>
          <cell r="K2827">
            <v>30132</v>
          </cell>
        </row>
        <row r="2828">
          <cell r="A2828" t="str">
            <v>In service</v>
          </cell>
          <cell r="B2828" t="str">
            <v>Gulfstream Aerospace Gulfstream III</v>
          </cell>
          <cell r="C2828" t="str">
            <v xml:space="preserve"> </v>
          </cell>
          <cell r="D2828">
            <v>1983</v>
          </cell>
          <cell r="E2828" t="str">
            <v>VCO Ltd</v>
          </cell>
          <cell r="F2828">
            <v>17</v>
          </cell>
          <cell r="G2828">
            <v>30589</v>
          </cell>
          <cell r="I2828" t="str">
            <v>Latin America and Caribbean</v>
          </cell>
          <cell r="J2828" t="str">
            <v>Virgin Islands (US)</v>
          </cell>
          <cell r="K2828">
            <v>29767</v>
          </cell>
        </row>
        <row r="2829">
          <cell r="A2829" t="str">
            <v>In service</v>
          </cell>
          <cell r="B2829" t="str">
            <v>Gulfstream Aerospace Gulfstream III</v>
          </cell>
          <cell r="C2829" t="str">
            <v xml:space="preserve"> </v>
          </cell>
          <cell r="D2829">
            <v>1983</v>
          </cell>
          <cell r="E2829" t="str">
            <v>United States Steel Corp</v>
          </cell>
          <cell r="F2829">
            <v>17</v>
          </cell>
          <cell r="G2829">
            <v>30620</v>
          </cell>
          <cell r="I2829" t="str">
            <v>North America</v>
          </cell>
          <cell r="J2829" t="str">
            <v>USA</v>
          </cell>
          <cell r="K2829">
            <v>29767</v>
          </cell>
        </row>
        <row r="2830">
          <cell r="A2830" t="str">
            <v>In service</v>
          </cell>
          <cell r="B2830" t="str">
            <v>Gulfstream Aerospace Gulfstream III</v>
          </cell>
          <cell r="C2830" t="str">
            <v xml:space="preserve"> </v>
          </cell>
          <cell r="D2830">
            <v>1983</v>
          </cell>
          <cell r="E2830" t="str">
            <v>Mary Kay Inc</v>
          </cell>
          <cell r="F2830">
            <v>17</v>
          </cell>
          <cell r="G2830">
            <v>30620</v>
          </cell>
          <cell r="I2830" t="str">
            <v>North America</v>
          </cell>
          <cell r="J2830" t="str">
            <v>USA</v>
          </cell>
          <cell r="K2830">
            <v>30132</v>
          </cell>
        </row>
        <row r="2831">
          <cell r="A2831" t="str">
            <v>In service</v>
          </cell>
          <cell r="B2831" t="str">
            <v>Gulfstream Aerospace Gulfstream III</v>
          </cell>
          <cell r="C2831" t="str">
            <v xml:space="preserve"> </v>
          </cell>
          <cell r="D2831">
            <v>1983</v>
          </cell>
          <cell r="E2831" t="str">
            <v>Presidential Aviation I Inc</v>
          </cell>
          <cell r="F2831">
            <v>17</v>
          </cell>
          <cell r="G2831">
            <v>30650</v>
          </cell>
          <cell r="I2831" t="str">
            <v>North America</v>
          </cell>
          <cell r="J2831" t="str">
            <v>USA</v>
          </cell>
          <cell r="K2831">
            <v>30132</v>
          </cell>
        </row>
        <row r="2832">
          <cell r="A2832" t="str">
            <v>In service</v>
          </cell>
          <cell r="B2832" t="str">
            <v>Gulfstream Aerospace Gulfstream III</v>
          </cell>
          <cell r="C2832" t="str">
            <v xml:space="preserve"> </v>
          </cell>
          <cell r="D2832">
            <v>1983</v>
          </cell>
          <cell r="E2832" t="str">
            <v>Saudi Arabian Airlines</v>
          </cell>
          <cell r="F2832">
            <v>17</v>
          </cell>
          <cell r="G2832">
            <v>30650</v>
          </cell>
          <cell r="I2832" t="str">
            <v>Middle East</v>
          </cell>
          <cell r="J2832" t="str">
            <v>Saudi Arabia</v>
          </cell>
          <cell r="K2832">
            <v>29767</v>
          </cell>
        </row>
        <row r="2833">
          <cell r="A2833" t="str">
            <v>In service</v>
          </cell>
          <cell r="B2833" t="str">
            <v>Gulfstream Aerospace Gulfstream III</v>
          </cell>
          <cell r="C2833" t="str">
            <v xml:space="preserve"> </v>
          </cell>
          <cell r="D2833">
            <v>1983</v>
          </cell>
          <cell r="E2833" t="str">
            <v>Deeside Trading Co Ltd</v>
          </cell>
          <cell r="F2833">
            <v>17</v>
          </cell>
          <cell r="G2833">
            <v>30650</v>
          </cell>
          <cell r="I2833" t="str">
            <v>North America</v>
          </cell>
          <cell r="J2833" t="str">
            <v>USA</v>
          </cell>
          <cell r="K2833">
            <v>29767</v>
          </cell>
        </row>
        <row r="2834">
          <cell r="A2834" t="str">
            <v>In service</v>
          </cell>
          <cell r="B2834" t="str">
            <v>Gulfstream Aerospace Gulfstream III</v>
          </cell>
          <cell r="C2834" t="str">
            <v xml:space="preserve"> </v>
          </cell>
          <cell r="D2834">
            <v>1983</v>
          </cell>
          <cell r="E2834" t="str">
            <v>Oxy Petroleum Inc</v>
          </cell>
          <cell r="F2834">
            <v>17</v>
          </cell>
          <cell r="G2834">
            <v>30650</v>
          </cell>
          <cell r="I2834" t="str">
            <v>North America</v>
          </cell>
          <cell r="J2834" t="str">
            <v>USA</v>
          </cell>
          <cell r="K2834">
            <v>30132</v>
          </cell>
        </row>
        <row r="2835">
          <cell r="A2835" t="str">
            <v>In service</v>
          </cell>
          <cell r="B2835" t="str">
            <v>Gulfstream Aerospace Gulfstream III</v>
          </cell>
          <cell r="C2835" t="str">
            <v xml:space="preserve"> </v>
          </cell>
          <cell r="D2835">
            <v>1983</v>
          </cell>
          <cell r="E2835" t="str">
            <v>Bombardier Capital Inc</v>
          </cell>
          <cell r="F2835">
            <v>17</v>
          </cell>
          <cell r="G2835">
            <v>30681</v>
          </cell>
          <cell r="I2835" t="str">
            <v>North America</v>
          </cell>
          <cell r="J2835" t="str">
            <v>USA</v>
          </cell>
          <cell r="K2835">
            <v>29767</v>
          </cell>
        </row>
        <row r="2836">
          <cell r="A2836" t="str">
            <v>In service</v>
          </cell>
          <cell r="B2836" t="str">
            <v>Gulfstream Aerospace Gulfstream III</v>
          </cell>
          <cell r="C2836" t="str">
            <v xml:space="preserve"> </v>
          </cell>
          <cell r="D2836">
            <v>1983</v>
          </cell>
          <cell r="E2836" t="str">
            <v>Harwinton Capital Corp</v>
          </cell>
          <cell r="F2836">
            <v>17</v>
          </cell>
          <cell r="G2836">
            <v>30681</v>
          </cell>
          <cell r="I2836" t="str">
            <v>North America</v>
          </cell>
          <cell r="J2836" t="str">
            <v>USA</v>
          </cell>
          <cell r="K2836">
            <v>29767</v>
          </cell>
        </row>
        <row r="2837">
          <cell r="A2837" t="str">
            <v>In service</v>
          </cell>
          <cell r="B2837" t="str">
            <v>Gulfstream Aerospace Gulfstream III</v>
          </cell>
          <cell r="C2837" t="str">
            <v xml:space="preserve"> </v>
          </cell>
          <cell r="D2837">
            <v>1983</v>
          </cell>
          <cell r="E2837" t="str">
            <v>Rashid Engineering</v>
          </cell>
          <cell r="F2837">
            <v>17</v>
          </cell>
          <cell r="G2837">
            <v>30712</v>
          </cell>
          <cell r="I2837" t="str">
            <v>Middle East</v>
          </cell>
          <cell r="J2837" t="str">
            <v>Saudi Arabia</v>
          </cell>
          <cell r="K2837">
            <v>30132</v>
          </cell>
        </row>
        <row r="2838">
          <cell r="A2838" t="str">
            <v>In service</v>
          </cell>
          <cell r="B2838" t="str">
            <v>Gulfstream Aerospace Gulfstream III</v>
          </cell>
          <cell r="C2838" t="str">
            <v xml:space="preserve"> </v>
          </cell>
          <cell r="D2838">
            <v>1983</v>
          </cell>
          <cell r="E2838" t="str">
            <v>Teratorn LLC</v>
          </cell>
          <cell r="F2838">
            <v>17</v>
          </cell>
          <cell r="G2838">
            <v>30712</v>
          </cell>
          <cell r="I2838" t="str">
            <v>North America</v>
          </cell>
          <cell r="J2838" t="str">
            <v>USA</v>
          </cell>
          <cell r="K2838">
            <v>30132</v>
          </cell>
        </row>
        <row r="2839">
          <cell r="A2839" t="str">
            <v>In service</v>
          </cell>
          <cell r="B2839" t="str">
            <v>Gulfstream Aerospace Gulfstream III</v>
          </cell>
          <cell r="C2839" t="str">
            <v xml:space="preserve"> </v>
          </cell>
          <cell r="D2839">
            <v>1983</v>
          </cell>
          <cell r="E2839" t="str">
            <v>JT Aviation Corp</v>
          </cell>
          <cell r="F2839">
            <v>17</v>
          </cell>
          <cell r="G2839">
            <v>30712</v>
          </cell>
          <cell r="I2839" t="str">
            <v>North America</v>
          </cell>
          <cell r="J2839" t="str">
            <v>USA</v>
          </cell>
          <cell r="K2839">
            <v>30132</v>
          </cell>
        </row>
        <row r="2840">
          <cell r="A2840" t="str">
            <v>In service</v>
          </cell>
          <cell r="B2840" t="str">
            <v>Gulfstream Aerospace Gulfstream III</v>
          </cell>
          <cell r="C2840" t="str">
            <v xml:space="preserve"> </v>
          </cell>
          <cell r="D2840">
            <v>1983</v>
          </cell>
          <cell r="E2840" t="str">
            <v>World Heir Inc</v>
          </cell>
          <cell r="F2840">
            <v>17</v>
          </cell>
          <cell r="G2840">
            <v>30741</v>
          </cell>
          <cell r="I2840" t="str">
            <v>North America</v>
          </cell>
          <cell r="J2840" t="str">
            <v>USA</v>
          </cell>
          <cell r="K2840">
            <v>30132</v>
          </cell>
        </row>
        <row r="2841">
          <cell r="A2841" t="str">
            <v>In service</v>
          </cell>
          <cell r="B2841" t="str">
            <v>Gulfstream Aerospace Gulfstream III</v>
          </cell>
          <cell r="C2841" t="str">
            <v xml:space="preserve"> </v>
          </cell>
          <cell r="D2841">
            <v>1984</v>
          </cell>
          <cell r="E2841" t="str">
            <v>Indian Air Force</v>
          </cell>
          <cell r="F2841">
            <v>16</v>
          </cell>
          <cell r="G2841">
            <v>31928</v>
          </cell>
          <cell r="H2841" t="str">
            <v>SRA-1</v>
          </cell>
          <cell r="I2841" t="str">
            <v>Asia</v>
          </cell>
          <cell r="J2841" t="str">
            <v>India</v>
          </cell>
        </row>
        <row r="2842">
          <cell r="A2842" t="str">
            <v>In service</v>
          </cell>
          <cell r="B2842" t="str">
            <v>Gulfstream Aerospace Gulfstream III</v>
          </cell>
          <cell r="C2842" t="str">
            <v xml:space="preserve"> </v>
          </cell>
          <cell r="D2842">
            <v>1984</v>
          </cell>
          <cell r="E2842" t="str">
            <v>Fertitta Enterprises</v>
          </cell>
          <cell r="F2842">
            <v>16</v>
          </cell>
          <cell r="G2842">
            <v>30741</v>
          </cell>
          <cell r="I2842" t="str">
            <v>North America</v>
          </cell>
          <cell r="J2842" t="str">
            <v>USA</v>
          </cell>
          <cell r="K2842">
            <v>30132</v>
          </cell>
        </row>
        <row r="2843">
          <cell r="A2843" t="str">
            <v>In service</v>
          </cell>
          <cell r="B2843" t="str">
            <v>Gulfstream Aerospace Gulfstream III</v>
          </cell>
          <cell r="C2843" t="str">
            <v xml:space="preserve"> </v>
          </cell>
          <cell r="D2843">
            <v>1984</v>
          </cell>
          <cell r="E2843" t="str">
            <v>Owen-Illinois Leasing Inc</v>
          </cell>
          <cell r="F2843">
            <v>16</v>
          </cell>
          <cell r="G2843">
            <v>30772</v>
          </cell>
          <cell r="I2843" t="str">
            <v>North America</v>
          </cell>
          <cell r="J2843" t="str">
            <v>USA</v>
          </cell>
          <cell r="K2843">
            <v>30132</v>
          </cell>
        </row>
        <row r="2844">
          <cell r="A2844" t="str">
            <v>In service</v>
          </cell>
          <cell r="B2844" t="str">
            <v>Gulfstream Aerospace Gulfstream III</v>
          </cell>
          <cell r="C2844" t="str">
            <v xml:space="preserve"> </v>
          </cell>
          <cell r="D2844">
            <v>1984</v>
          </cell>
          <cell r="E2844" t="str">
            <v>ChevronTexaco Corp</v>
          </cell>
          <cell r="F2844">
            <v>16</v>
          </cell>
          <cell r="G2844">
            <v>30772</v>
          </cell>
          <cell r="I2844" t="str">
            <v>North America</v>
          </cell>
          <cell r="J2844" t="str">
            <v>USA</v>
          </cell>
          <cell r="K2844">
            <v>30132</v>
          </cell>
        </row>
        <row r="2845">
          <cell r="A2845" t="str">
            <v>In service</v>
          </cell>
          <cell r="B2845" t="str">
            <v>Gulfstream Aerospace Gulfstream III</v>
          </cell>
          <cell r="C2845" t="str">
            <v xml:space="preserve"> </v>
          </cell>
          <cell r="D2845">
            <v>1984</v>
          </cell>
          <cell r="E2845" t="str">
            <v>Texas Aviation Sales &amp; Leasing LLC</v>
          </cell>
          <cell r="F2845">
            <v>16</v>
          </cell>
          <cell r="G2845">
            <v>30772</v>
          </cell>
          <cell r="I2845" t="str">
            <v>North America</v>
          </cell>
          <cell r="J2845" t="str">
            <v>USA</v>
          </cell>
          <cell r="K2845">
            <v>30132</v>
          </cell>
        </row>
        <row r="2846">
          <cell r="A2846" t="str">
            <v>In service</v>
          </cell>
          <cell r="B2846" t="str">
            <v>Gulfstream Aerospace Gulfstream III</v>
          </cell>
          <cell r="C2846" t="str">
            <v xml:space="preserve"> </v>
          </cell>
          <cell r="D2846">
            <v>1984</v>
          </cell>
          <cell r="E2846" t="str">
            <v>Sonic Financial Corp</v>
          </cell>
          <cell r="F2846">
            <v>16</v>
          </cell>
          <cell r="G2846">
            <v>30772</v>
          </cell>
          <cell r="I2846" t="str">
            <v>North America</v>
          </cell>
          <cell r="J2846" t="str">
            <v>USA</v>
          </cell>
          <cell r="K2846">
            <v>30132</v>
          </cell>
        </row>
        <row r="2847">
          <cell r="A2847" t="str">
            <v>In service</v>
          </cell>
          <cell r="B2847" t="str">
            <v>Gulfstream Aerospace Gulfstream III</v>
          </cell>
          <cell r="C2847" t="str">
            <v xml:space="preserve"> </v>
          </cell>
          <cell r="D2847">
            <v>1984</v>
          </cell>
          <cell r="E2847" t="str">
            <v>New World Jet Corp</v>
          </cell>
          <cell r="F2847">
            <v>16</v>
          </cell>
          <cell r="G2847">
            <v>30802</v>
          </cell>
          <cell r="I2847" t="str">
            <v>North America</v>
          </cell>
          <cell r="J2847" t="str">
            <v>USA</v>
          </cell>
          <cell r="K2847">
            <v>30497</v>
          </cell>
        </row>
        <row r="2848">
          <cell r="A2848" t="str">
            <v>In service</v>
          </cell>
          <cell r="B2848" t="str">
            <v>Gulfstream Aerospace Gulfstream III</v>
          </cell>
          <cell r="C2848" t="str">
            <v xml:space="preserve"> </v>
          </cell>
          <cell r="D2848">
            <v>1984</v>
          </cell>
          <cell r="E2848" t="str">
            <v>C&amp;S Aviation Ltd</v>
          </cell>
          <cell r="F2848">
            <v>16</v>
          </cell>
          <cell r="G2848">
            <v>30833</v>
          </cell>
          <cell r="I2848" t="str">
            <v>North America</v>
          </cell>
          <cell r="J2848" t="str">
            <v>USA</v>
          </cell>
          <cell r="K2848">
            <v>30497</v>
          </cell>
        </row>
        <row r="2849">
          <cell r="A2849" t="str">
            <v>In service</v>
          </cell>
          <cell r="B2849" t="str">
            <v>Gulfstream Aerospace Gulfstream III</v>
          </cell>
          <cell r="C2849" t="str">
            <v xml:space="preserve"> </v>
          </cell>
          <cell r="D2849">
            <v>1984</v>
          </cell>
          <cell r="E2849" t="str">
            <v>Papa Grande Aviation LLC</v>
          </cell>
          <cell r="F2849">
            <v>16</v>
          </cell>
          <cell r="G2849">
            <v>30833</v>
          </cell>
          <cell r="I2849" t="str">
            <v>North America</v>
          </cell>
          <cell r="J2849" t="str">
            <v>USA</v>
          </cell>
          <cell r="K2849">
            <v>30132</v>
          </cell>
        </row>
        <row r="2850">
          <cell r="A2850" t="str">
            <v>In service</v>
          </cell>
          <cell r="B2850" t="str">
            <v>Gulfstream Aerospace Gulfstream III</v>
          </cell>
          <cell r="C2850" t="str">
            <v xml:space="preserve"> </v>
          </cell>
          <cell r="D2850">
            <v>1984</v>
          </cell>
          <cell r="E2850" t="str">
            <v>Harbour Group Industries Inc</v>
          </cell>
          <cell r="F2850">
            <v>16</v>
          </cell>
          <cell r="G2850">
            <v>30833</v>
          </cell>
          <cell r="I2850" t="str">
            <v>North America</v>
          </cell>
          <cell r="J2850" t="str">
            <v>USA</v>
          </cell>
          <cell r="K2850">
            <v>30132</v>
          </cell>
        </row>
        <row r="2851">
          <cell r="A2851" t="str">
            <v>In service</v>
          </cell>
          <cell r="B2851" t="str">
            <v>Gulfstream Aerospace Gulfstream III</v>
          </cell>
          <cell r="C2851" t="str">
            <v xml:space="preserve"> </v>
          </cell>
          <cell r="D2851">
            <v>1984</v>
          </cell>
          <cell r="E2851" t="str">
            <v>Tenet Healthcare Corp</v>
          </cell>
          <cell r="F2851">
            <v>16</v>
          </cell>
          <cell r="G2851">
            <v>30833</v>
          </cell>
          <cell r="I2851" t="str">
            <v>North America</v>
          </cell>
          <cell r="J2851" t="str">
            <v>USA</v>
          </cell>
          <cell r="K2851">
            <v>30132</v>
          </cell>
        </row>
        <row r="2852">
          <cell r="A2852" t="str">
            <v>In service</v>
          </cell>
          <cell r="B2852" t="str">
            <v>Gulfstream Aerospace Gulfstream III</v>
          </cell>
          <cell r="C2852" t="str">
            <v xml:space="preserve"> </v>
          </cell>
          <cell r="D2852">
            <v>1984</v>
          </cell>
          <cell r="E2852" t="str">
            <v>Monarch Flight Inc</v>
          </cell>
          <cell r="F2852">
            <v>16</v>
          </cell>
          <cell r="G2852">
            <v>30863</v>
          </cell>
          <cell r="I2852" t="str">
            <v>North America</v>
          </cell>
          <cell r="J2852" t="str">
            <v>USA</v>
          </cell>
          <cell r="K2852">
            <v>30132</v>
          </cell>
        </row>
        <row r="2853">
          <cell r="A2853" t="str">
            <v>In service</v>
          </cell>
          <cell r="B2853" t="str">
            <v>Gulfstream Aerospace Gulfstream III</v>
          </cell>
          <cell r="C2853" t="str">
            <v xml:space="preserve"> </v>
          </cell>
          <cell r="D2853">
            <v>1984</v>
          </cell>
          <cell r="E2853" t="str">
            <v>New World Jet Corp</v>
          </cell>
          <cell r="F2853">
            <v>16</v>
          </cell>
          <cell r="G2853">
            <v>30863</v>
          </cell>
          <cell r="I2853" t="str">
            <v>North America</v>
          </cell>
          <cell r="J2853" t="str">
            <v>USA</v>
          </cell>
          <cell r="K2853">
            <v>30132</v>
          </cell>
        </row>
        <row r="2854">
          <cell r="A2854" t="str">
            <v>In service</v>
          </cell>
          <cell r="B2854" t="str">
            <v>Gulfstream Aerospace Gulfstream III</v>
          </cell>
          <cell r="C2854" t="str">
            <v xml:space="preserve"> </v>
          </cell>
          <cell r="D2854">
            <v>1984</v>
          </cell>
          <cell r="E2854" t="str">
            <v>Time Warner Entertainment</v>
          </cell>
          <cell r="F2854">
            <v>16</v>
          </cell>
          <cell r="G2854">
            <v>30863</v>
          </cell>
          <cell r="I2854" t="str">
            <v>North America</v>
          </cell>
          <cell r="J2854" t="str">
            <v>USA</v>
          </cell>
          <cell r="K2854">
            <v>30132</v>
          </cell>
        </row>
        <row r="2855">
          <cell r="A2855" t="str">
            <v>In service</v>
          </cell>
          <cell r="B2855" t="str">
            <v>Gulfstream Aerospace Gulfstream III</v>
          </cell>
          <cell r="C2855" t="str">
            <v xml:space="preserve"> </v>
          </cell>
          <cell r="D2855">
            <v>1984</v>
          </cell>
          <cell r="E2855" t="str">
            <v>World Healing Center Church Inc</v>
          </cell>
          <cell r="F2855">
            <v>16</v>
          </cell>
          <cell r="G2855">
            <v>30863</v>
          </cell>
          <cell r="I2855" t="str">
            <v>North America</v>
          </cell>
          <cell r="J2855" t="str">
            <v>USA</v>
          </cell>
          <cell r="K2855">
            <v>30132</v>
          </cell>
        </row>
        <row r="2856">
          <cell r="A2856" t="str">
            <v>In service</v>
          </cell>
          <cell r="B2856" t="str">
            <v>Gulfstream Aerospace Gulfstream III</v>
          </cell>
          <cell r="C2856" t="str">
            <v xml:space="preserve"> </v>
          </cell>
          <cell r="D2856">
            <v>1984</v>
          </cell>
          <cell r="E2856" t="str">
            <v>KOMAR Aviation LLC</v>
          </cell>
          <cell r="F2856">
            <v>16</v>
          </cell>
          <cell r="G2856">
            <v>30894</v>
          </cell>
          <cell r="I2856" t="str">
            <v>North America</v>
          </cell>
          <cell r="J2856" t="str">
            <v>USA</v>
          </cell>
          <cell r="K2856">
            <v>30132</v>
          </cell>
        </row>
        <row r="2857">
          <cell r="A2857" t="str">
            <v>In service</v>
          </cell>
          <cell r="B2857" t="str">
            <v>Gulfstream Aerospace Gulfstream III</v>
          </cell>
          <cell r="C2857" t="str">
            <v xml:space="preserve"> </v>
          </cell>
          <cell r="D2857">
            <v>1984</v>
          </cell>
          <cell r="E2857" t="str">
            <v>Sinclair Oil Corp</v>
          </cell>
          <cell r="F2857">
            <v>16</v>
          </cell>
          <cell r="G2857">
            <v>30925</v>
          </cell>
          <cell r="I2857" t="str">
            <v>North America</v>
          </cell>
          <cell r="J2857" t="str">
            <v>USA</v>
          </cell>
          <cell r="K2857">
            <v>30132</v>
          </cell>
        </row>
        <row r="2858">
          <cell r="A2858" t="str">
            <v>In service</v>
          </cell>
          <cell r="B2858" t="str">
            <v>Gulfstream Aerospace Gulfstream III</v>
          </cell>
          <cell r="C2858" t="str">
            <v xml:space="preserve"> </v>
          </cell>
          <cell r="D2858">
            <v>1984</v>
          </cell>
          <cell r="E2858" t="str">
            <v>Litton Industrial Products</v>
          </cell>
          <cell r="F2858">
            <v>16</v>
          </cell>
          <cell r="G2858">
            <v>30925</v>
          </cell>
          <cell r="I2858" t="str">
            <v>North America</v>
          </cell>
          <cell r="J2858" t="str">
            <v>USA</v>
          </cell>
          <cell r="K2858">
            <v>30497</v>
          </cell>
        </row>
        <row r="2859">
          <cell r="A2859" t="str">
            <v>In service</v>
          </cell>
          <cell r="B2859" t="str">
            <v>Gulfstream Aerospace Gulfstream III</v>
          </cell>
          <cell r="C2859" t="str">
            <v xml:space="preserve"> </v>
          </cell>
          <cell r="D2859">
            <v>1984</v>
          </cell>
          <cell r="E2859" t="str">
            <v>Automotive Air Charter</v>
          </cell>
          <cell r="F2859">
            <v>16</v>
          </cell>
          <cell r="G2859">
            <v>30925</v>
          </cell>
          <cell r="I2859" t="str">
            <v>North America</v>
          </cell>
          <cell r="J2859" t="str">
            <v>USA</v>
          </cell>
          <cell r="K2859">
            <v>30132</v>
          </cell>
        </row>
        <row r="2860">
          <cell r="A2860" t="str">
            <v>In service</v>
          </cell>
          <cell r="B2860" t="str">
            <v>Gulfstream Aerospace Gulfstream III</v>
          </cell>
          <cell r="C2860" t="str">
            <v xml:space="preserve"> </v>
          </cell>
          <cell r="D2860">
            <v>1984</v>
          </cell>
          <cell r="E2860" t="str">
            <v>Government of Egypt</v>
          </cell>
          <cell r="F2860">
            <v>16</v>
          </cell>
          <cell r="G2860">
            <v>30955</v>
          </cell>
          <cell r="I2860" t="str">
            <v>Africa</v>
          </cell>
          <cell r="J2860" t="str">
            <v>Egypt</v>
          </cell>
          <cell r="K2860">
            <v>30132</v>
          </cell>
        </row>
        <row r="2861">
          <cell r="A2861" t="str">
            <v>In service</v>
          </cell>
          <cell r="B2861" t="str">
            <v>Gulfstream Aerospace Gulfstream III</v>
          </cell>
          <cell r="C2861" t="str">
            <v xml:space="preserve"> </v>
          </cell>
          <cell r="D2861">
            <v>1984</v>
          </cell>
          <cell r="E2861" t="str">
            <v>Cyber Leasing Corp</v>
          </cell>
          <cell r="F2861">
            <v>16</v>
          </cell>
          <cell r="G2861">
            <v>30955</v>
          </cell>
          <cell r="I2861" t="str">
            <v>North America</v>
          </cell>
          <cell r="J2861" t="str">
            <v>USA</v>
          </cell>
          <cell r="K2861">
            <v>30132</v>
          </cell>
        </row>
        <row r="2862">
          <cell r="A2862" t="str">
            <v>In service</v>
          </cell>
          <cell r="B2862" t="str">
            <v>Gulfstream Aerospace Gulfstream III</v>
          </cell>
          <cell r="C2862" t="str">
            <v xml:space="preserve"> </v>
          </cell>
          <cell r="D2862">
            <v>1984</v>
          </cell>
          <cell r="E2862" t="str">
            <v>USX Corp</v>
          </cell>
          <cell r="F2862">
            <v>16</v>
          </cell>
          <cell r="G2862">
            <v>30955</v>
          </cell>
          <cell r="I2862" t="str">
            <v>North America</v>
          </cell>
          <cell r="J2862" t="str">
            <v>USA</v>
          </cell>
          <cell r="K2862">
            <v>30132</v>
          </cell>
        </row>
        <row r="2863">
          <cell r="A2863" t="str">
            <v>In service</v>
          </cell>
          <cell r="B2863" t="str">
            <v>Gulfstream Aerospace Gulfstream III</v>
          </cell>
          <cell r="C2863" t="str">
            <v xml:space="preserve"> </v>
          </cell>
          <cell r="D2863">
            <v>1984</v>
          </cell>
          <cell r="E2863" t="str">
            <v>Government of Egypt</v>
          </cell>
          <cell r="F2863">
            <v>16</v>
          </cell>
          <cell r="G2863">
            <v>30986</v>
          </cell>
          <cell r="I2863" t="str">
            <v>Africa</v>
          </cell>
          <cell r="J2863" t="str">
            <v>Egypt</v>
          </cell>
          <cell r="K2863">
            <v>30132</v>
          </cell>
        </row>
        <row r="2864">
          <cell r="A2864" t="str">
            <v>In service</v>
          </cell>
          <cell r="B2864" t="str">
            <v>Gulfstream Aerospace Gulfstream III</v>
          </cell>
          <cell r="C2864" t="str">
            <v xml:space="preserve"> </v>
          </cell>
          <cell r="D2864">
            <v>1984</v>
          </cell>
          <cell r="E2864" t="str">
            <v>DirecTV Group Inc</v>
          </cell>
          <cell r="F2864">
            <v>16</v>
          </cell>
          <cell r="G2864">
            <v>30986</v>
          </cell>
          <cell r="I2864" t="str">
            <v>North America</v>
          </cell>
          <cell r="J2864" t="str">
            <v>USA</v>
          </cell>
          <cell r="K2864">
            <v>30497</v>
          </cell>
        </row>
        <row r="2865">
          <cell r="A2865" t="str">
            <v>In service</v>
          </cell>
          <cell r="B2865" t="str">
            <v>Gulfstream Aerospace Gulfstream III</v>
          </cell>
          <cell r="C2865" t="str">
            <v xml:space="preserve"> </v>
          </cell>
          <cell r="D2865">
            <v>1984</v>
          </cell>
          <cell r="E2865" t="str">
            <v>DKH Services LLC</v>
          </cell>
          <cell r="F2865">
            <v>16</v>
          </cell>
          <cell r="G2865">
            <v>30986</v>
          </cell>
          <cell r="I2865" t="str">
            <v>North America</v>
          </cell>
          <cell r="J2865" t="str">
            <v>USA</v>
          </cell>
          <cell r="K2865">
            <v>30497</v>
          </cell>
        </row>
        <row r="2866">
          <cell r="A2866" t="str">
            <v>In service</v>
          </cell>
          <cell r="B2866" t="str">
            <v>Gulfstream Aerospace Gulfstream III</v>
          </cell>
          <cell r="C2866" t="str">
            <v xml:space="preserve"> </v>
          </cell>
          <cell r="D2866">
            <v>1984</v>
          </cell>
          <cell r="E2866" t="str">
            <v>SM 5105 LLC</v>
          </cell>
          <cell r="F2866">
            <v>16</v>
          </cell>
          <cell r="G2866">
            <v>31016</v>
          </cell>
          <cell r="I2866" t="str">
            <v>North America</v>
          </cell>
          <cell r="J2866" t="str">
            <v>USA</v>
          </cell>
          <cell r="K2866">
            <v>30132</v>
          </cell>
        </row>
        <row r="2867">
          <cell r="A2867" t="str">
            <v>In service</v>
          </cell>
          <cell r="B2867" t="str">
            <v>Gulfstream Aerospace Gulfstream III</v>
          </cell>
          <cell r="C2867" t="str">
            <v xml:space="preserve"> </v>
          </cell>
          <cell r="D2867">
            <v>1984</v>
          </cell>
          <cell r="E2867" t="str">
            <v>United Technologies Corp</v>
          </cell>
          <cell r="F2867">
            <v>16</v>
          </cell>
          <cell r="G2867">
            <v>31047</v>
          </cell>
          <cell r="I2867" t="str">
            <v>North America</v>
          </cell>
          <cell r="J2867" t="str">
            <v>USA</v>
          </cell>
          <cell r="K2867">
            <v>30497</v>
          </cell>
        </row>
        <row r="2868">
          <cell r="A2868" t="str">
            <v>In service</v>
          </cell>
          <cell r="B2868" t="str">
            <v>Gulfstream Aerospace Gulfstream III</v>
          </cell>
          <cell r="C2868" t="str">
            <v xml:space="preserve"> </v>
          </cell>
          <cell r="D2868">
            <v>1984</v>
          </cell>
          <cell r="E2868" t="str">
            <v>New World Jet Corp</v>
          </cell>
          <cell r="F2868">
            <v>16</v>
          </cell>
          <cell r="G2868">
            <v>31016</v>
          </cell>
          <cell r="I2868" t="str">
            <v>North America</v>
          </cell>
          <cell r="J2868" t="str">
            <v>USA</v>
          </cell>
          <cell r="K2868">
            <v>30132</v>
          </cell>
        </row>
        <row r="2869">
          <cell r="A2869" t="str">
            <v>In service</v>
          </cell>
          <cell r="B2869" t="str">
            <v>Gulfstream Aerospace Gulfstream III</v>
          </cell>
          <cell r="C2869" t="str">
            <v xml:space="preserve"> </v>
          </cell>
          <cell r="D2869">
            <v>1984</v>
          </cell>
          <cell r="E2869" t="str">
            <v>WMA Aviation LLC</v>
          </cell>
          <cell r="F2869">
            <v>16</v>
          </cell>
          <cell r="G2869">
            <v>31047</v>
          </cell>
          <cell r="I2869" t="str">
            <v>North America</v>
          </cell>
          <cell r="J2869" t="str">
            <v>USA</v>
          </cell>
          <cell r="K2869">
            <v>30497</v>
          </cell>
        </row>
        <row r="2870">
          <cell r="A2870" t="str">
            <v>In service</v>
          </cell>
          <cell r="B2870" t="str">
            <v>Gulfstream Aerospace Gulfstream III</v>
          </cell>
          <cell r="C2870" t="str">
            <v xml:space="preserve"> </v>
          </cell>
          <cell r="D2870">
            <v>1984</v>
          </cell>
          <cell r="E2870" t="str">
            <v>Jet Place Inc</v>
          </cell>
          <cell r="F2870">
            <v>16</v>
          </cell>
          <cell r="G2870">
            <v>31047</v>
          </cell>
          <cell r="I2870" t="str">
            <v>North America</v>
          </cell>
          <cell r="J2870" t="str">
            <v>USA</v>
          </cell>
          <cell r="K2870">
            <v>30132</v>
          </cell>
        </row>
        <row r="2871">
          <cell r="A2871" t="str">
            <v>In service</v>
          </cell>
          <cell r="B2871" t="str">
            <v>Gulfstream Aerospace Gulfstream III</v>
          </cell>
          <cell r="C2871" t="str">
            <v xml:space="preserve"> </v>
          </cell>
          <cell r="D2871">
            <v>1984</v>
          </cell>
          <cell r="E2871" t="str">
            <v>Trout LLC</v>
          </cell>
          <cell r="F2871">
            <v>16</v>
          </cell>
          <cell r="G2871">
            <v>31136</v>
          </cell>
          <cell r="I2871" t="str">
            <v>North America</v>
          </cell>
          <cell r="J2871" t="str">
            <v>USA</v>
          </cell>
          <cell r="K2871">
            <v>30497</v>
          </cell>
        </row>
        <row r="2872">
          <cell r="A2872" t="str">
            <v>In service</v>
          </cell>
          <cell r="B2872" t="str">
            <v>Gulfstream Aerospace Gulfstream III</v>
          </cell>
          <cell r="C2872" t="str">
            <v xml:space="preserve"> </v>
          </cell>
          <cell r="D2872">
            <v>1984</v>
          </cell>
          <cell r="E2872" t="str">
            <v>Italian Air Force</v>
          </cell>
          <cell r="F2872">
            <v>16</v>
          </cell>
          <cell r="G2872">
            <v>31047</v>
          </cell>
          <cell r="I2872" t="str">
            <v>Europe</v>
          </cell>
          <cell r="J2872" t="str">
            <v>Italy</v>
          </cell>
          <cell r="K2872">
            <v>30132</v>
          </cell>
        </row>
        <row r="2873">
          <cell r="A2873" t="str">
            <v>In service</v>
          </cell>
          <cell r="B2873" t="str">
            <v>Gulfstream Aerospace Gulfstream III</v>
          </cell>
          <cell r="C2873" t="str">
            <v xml:space="preserve"> </v>
          </cell>
          <cell r="D2873">
            <v>1985</v>
          </cell>
          <cell r="E2873" t="str">
            <v>D'Artagnan LLC</v>
          </cell>
          <cell r="F2873">
            <v>15</v>
          </cell>
          <cell r="G2873">
            <v>31670</v>
          </cell>
          <cell r="I2873" t="str">
            <v>North America</v>
          </cell>
          <cell r="J2873" t="str">
            <v>USA</v>
          </cell>
          <cell r="K2873">
            <v>30863</v>
          </cell>
        </row>
        <row r="2874">
          <cell r="A2874" t="str">
            <v>In service</v>
          </cell>
          <cell r="B2874" t="str">
            <v>Gulfstream Aerospace Gulfstream III</v>
          </cell>
          <cell r="C2874" t="str">
            <v xml:space="preserve"> </v>
          </cell>
          <cell r="D2874">
            <v>1985</v>
          </cell>
          <cell r="E2874" t="str">
            <v>Royal Saudi Arabian Air Force</v>
          </cell>
          <cell r="F2874">
            <v>15</v>
          </cell>
          <cell r="G2874">
            <v>31106</v>
          </cell>
          <cell r="I2874" t="str">
            <v>Middle East</v>
          </cell>
          <cell r="J2874" t="str">
            <v>Saudi Arabia</v>
          </cell>
          <cell r="K2874">
            <v>30497</v>
          </cell>
        </row>
        <row r="2875">
          <cell r="A2875" t="str">
            <v>In service</v>
          </cell>
          <cell r="B2875" t="str">
            <v>Gulfstream Aerospace Gulfstream III</v>
          </cell>
          <cell r="C2875" t="str">
            <v xml:space="preserve"> </v>
          </cell>
          <cell r="D2875">
            <v>1985</v>
          </cell>
          <cell r="E2875" t="str">
            <v>GTE Service Corp</v>
          </cell>
          <cell r="F2875">
            <v>15</v>
          </cell>
          <cell r="G2875">
            <v>31137</v>
          </cell>
          <cell r="I2875" t="str">
            <v>North America</v>
          </cell>
          <cell r="J2875" t="str">
            <v>USA</v>
          </cell>
          <cell r="K2875">
            <v>30497</v>
          </cell>
        </row>
        <row r="2876">
          <cell r="A2876" t="str">
            <v>In service</v>
          </cell>
          <cell r="B2876" t="str">
            <v>Gulfstream Aerospace Gulfstream III</v>
          </cell>
          <cell r="C2876" t="str">
            <v xml:space="preserve"> </v>
          </cell>
          <cell r="D2876">
            <v>1985</v>
          </cell>
          <cell r="E2876" t="str">
            <v>Mandalay Resort Group</v>
          </cell>
          <cell r="F2876">
            <v>15</v>
          </cell>
          <cell r="G2876">
            <v>31137</v>
          </cell>
          <cell r="I2876" t="str">
            <v>North America</v>
          </cell>
          <cell r="J2876" t="str">
            <v>USA</v>
          </cell>
          <cell r="K2876">
            <v>30497</v>
          </cell>
        </row>
        <row r="2877">
          <cell r="A2877" t="str">
            <v>In service</v>
          </cell>
          <cell r="B2877" t="str">
            <v>Gulfstream Aerospace Gulfstream III</v>
          </cell>
          <cell r="C2877" t="str">
            <v xml:space="preserve"> </v>
          </cell>
          <cell r="D2877">
            <v>1985</v>
          </cell>
          <cell r="E2877" t="str">
            <v>Verizon Southwest Inc</v>
          </cell>
          <cell r="F2877">
            <v>15</v>
          </cell>
          <cell r="G2877">
            <v>31137</v>
          </cell>
          <cell r="I2877" t="str">
            <v>North America</v>
          </cell>
          <cell r="J2877" t="str">
            <v>USA</v>
          </cell>
          <cell r="K2877">
            <v>30497</v>
          </cell>
        </row>
        <row r="2878">
          <cell r="A2878" t="str">
            <v>In service</v>
          </cell>
          <cell r="B2878" t="str">
            <v>Gulfstream Aerospace Gulfstream III</v>
          </cell>
          <cell r="C2878" t="str">
            <v xml:space="preserve"> </v>
          </cell>
          <cell r="D2878">
            <v>1985</v>
          </cell>
          <cell r="E2878" t="str">
            <v>E I DuPont de Nemours &amp; Co</v>
          </cell>
          <cell r="F2878">
            <v>15</v>
          </cell>
          <cell r="G2878">
            <v>31259</v>
          </cell>
          <cell r="I2878" t="str">
            <v>North America</v>
          </cell>
          <cell r="J2878" t="str">
            <v>USA</v>
          </cell>
          <cell r="K2878">
            <v>30863</v>
          </cell>
        </row>
        <row r="2879">
          <cell r="A2879" t="str">
            <v>In service</v>
          </cell>
          <cell r="B2879" t="str">
            <v>Gulfstream Aerospace Gulfstream III</v>
          </cell>
          <cell r="C2879" t="str">
            <v xml:space="preserve"> </v>
          </cell>
          <cell r="D2879">
            <v>1985</v>
          </cell>
          <cell r="E2879" t="str">
            <v>MBNA Corp</v>
          </cell>
          <cell r="F2879">
            <v>15</v>
          </cell>
          <cell r="G2879">
            <v>31198</v>
          </cell>
          <cell r="I2879" t="str">
            <v>North America</v>
          </cell>
          <cell r="J2879" t="str">
            <v>USA</v>
          </cell>
          <cell r="K2879">
            <v>30497</v>
          </cell>
        </row>
        <row r="2880">
          <cell r="A2880" t="str">
            <v>In service</v>
          </cell>
          <cell r="B2880" t="str">
            <v>Gulfstream Aerospace Gulfstream III</v>
          </cell>
          <cell r="C2880" t="str">
            <v xml:space="preserve"> </v>
          </cell>
          <cell r="D2880">
            <v>1985</v>
          </cell>
          <cell r="E2880" t="str">
            <v>Flying Eagle Aviation Inc</v>
          </cell>
          <cell r="F2880">
            <v>15</v>
          </cell>
          <cell r="G2880">
            <v>31228</v>
          </cell>
          <cell r="I2880" t="str">
            <v>North America</v>
          </cell>
          <cell r="J2880" t="str">
            <v>USA</v>
          </cell>
          <cell r="K2880">
            <v>30497</v>
          </cell>
        </row>
        <row r="2881">
          <cell r="A2881" t="str">
            <v>In service</v>
          </cell>
          <cell r="B2881" t="str">
            <v>Gulfstream Aerospace Gulfstream III</v>
          </cell>
          <cell r="C2881" t="str">
            <v xml:space="preserve"> </v>
          </cell>
          <cell r="D2881">
            <v>1985</v>
          </cell>
          <cell r="E2881" t="str">
            <v>Government of Ivory Coast</v>
          </cell>
          <cell r="F2881">
            <v>15</v>
          </cell>
          <cell r="G2881">
            <v>31228</v>
          </cell>
          <cell r="I2881" t="str">
            <v>Africa</v>
          </cell>
          <cell r="J2881" t="str">
            <v>Ivory Coast</v>
          </cell>
          <cell r="K2881">
            <v>30497</v>
          </cell>
        </row>
        <row r="2882">
          <cell r="A2882" t="str">
            <v>In service</v>
          </cell>
          <cell r="B2882" t="str">
            <v>Gulfstream Aerospace Gulfstream III</v>
          </cell>
          <cell r="C2882" t="str">
            <v xml:space="preserve"> </v>
          </cell>
          <cell r="D2882">
            <v>1985</v>
          </cell>
          <cell r="E2882" t="str">
            <v>Globair Bermuda</v>
          </cell>
          <cell r="F2882">
            <v>15</v>
          </cell>
          <cell r="G2882">
            <v>31259</v>
          </cell>
          <cell r="I2882" t="str">
            <v>Latin America and Caribbean</v>
          </cell>
          <cell r="J2882" t="str">
            <v>Bermuda</v>
          </cell>
          <cell r="K2882">
            <v>30497</v>
          </cell>
        </row>
        <row r="2883">
          <cell r="A2883" t="str">
            <v>In service</v>
          </cell>
          <cell r="B2883" t="str">
            <v>Gulfstream Aerospace Gulfstream III</v>
          </cell>
          <cell r="C2883" t="str">
            <v xml:space="preserve"> </v>
          </cell>
          <cell r="D2883">
            <v>1985</v>
          </cell>
          <cell r="E2883" t="str">
            <v>Caesar's Entertainment Inc</v>
          </cell>
          <cell r="F2883">
            <v>15</v>
          </cell>
          <cell r="G2883">
            <v>31381</v>
          </cell>
          <cell r="I2883" t="str">
            <v>North America</v>
          </cell>
          <cell r="J2883" t="str">
            <v>USA</v>
          </cell>
          <cell r="K2883">
            <v>30497</v>
          </cell>
        </row>
        <row r="2884">
          <cell r="A2884" t="str">
            <v>In service</v>
          </cell>
          <cell r="B2884" t="str">
            <v>Gulfstream Aerospace Gulfstream III</v>
          </cell>
          <cell r="C2884" t="str">
            <v xml:space="preserve"> </v>
          </cell>
          <cell r="D2884">
            <v>1985</v>
          </cell>
          <cell r="E2884" t="str">
            <v>Aqualon Co</v>
          </cell>
          <cell r="F2884">
            <v>15</v>
          </cell>
          <cell r="G2884">
            <v>31381</v>
          </cell>
          <cell r="I2884" t="str">
            <v>North America</v>
          </cell>
          <cell r="J2884" t="str">
            <v>USA</v>
          </cell>
          <cell r="K2884">
            <v>30863</v>
          </cell>
        </row>
        <row r="2885">
          <cell r="A2885" t="str">
            <v>In service</v>
          </cell>
          <cell r="B2885" t="str">
            <v>Gulfstream Aerospace Gulfstream III</v>
          </cell>
          <cell r="C2885" t="str">
            <v xml:space="preserve"> </v>
          </cell>
          <cell r="D2885">
            <v>1985</v>
          </cell>
          <cell r="E2885" t="str">
            <v>Mercury Communications Inc</v>
          </cell>
          <cell r="F2885">
            <v>15</v>
          </cell>
          <cell r="G2885">
            <v>31517</v>
          </cell>
          <cell r="I2885" t="str">
            <v>North America</v>
          </cell>
          <cell r="J2885" t="str">
            <v>USA</v>
          </cell>
          <cell r="K2885">
            <v>30863</v>
          </cell>
        </row>
        <row r="2886">
          <cell r="A2886" t="str">
            <v>In service</v>
          </cell>
          <cell r="B2886" t="str">
            <v>Gulfstream Aerospace Gulfstream III</v>
          </cell>
          <cell r="C2886" t="str">
            <v xml:space="preserve"> </v>
          </cell>
          <cell r="D2886">
            <v>1985</v>
          </cell>
          <cell r="E2886" t="str">
            <v>Hill Air Corp</v>
          </cell>
          <cell r="F2886">
            <v>15</v>
          </cell>
          <cell r="G2886">
            <v>31517</v>
          </cell>
          <cell r="I2886" t="str">
            <v>North America</v>
          </cell>
          <cell r="J2886" t="str">
            <v>USA</v>
          </cell>
          <cell r="K2886">
            <v>31228</v>
          </cell>
        </row>
        <row r="2887">
          <cell r="A2887" t="str">
            <v>In service</v>
          </cell>
          <cell r="B2887" t="str">
            <v>Gulfstream Aerospace Gulfstream III</v>
          </cell>
          <cell r="C2887" t="str">
            <v xml:space="preserve"> </v>
          </cell>
          <cell r="D2887">
            <v>1985</v>
          </cell>
          <cell r="E2887" t="str">
            <v>ConocoPhillips Co</v>
          </cell>
          <cell r="F2887">
            <v>15</v>
          </cell>
          <cell r="G2887">
            <v>31344</v>
          </cell>
          <cell r="I2887" t="str">
            <v>North America</v>
          </cell>
          <cell r="J2887" t="str">
            <v>USA</v>
          </cell>
          <cell r="K2887">
            <v>30863</v>
          </cell>
        </row>
        <row r="2888">
          <cell r="A2888" t="str">
            <v>In service</v>
          </cell>
          <cell r="B2888" t="str">
            <v>Gulfstream Aerospace Gulfstream III</v>
          </cell>
          <cell r="C2888" t="str">
            <v xml:space="preserve"> </v>
          </cell>
          <cell r="D2888">
            <v>1985</v>
          </cell>
          <cell r="E2888" t="str">
            <v>Huffair Inc</v>
          </cell>
          <cell r="F2888">
            <v>15</v>
          </cell>
          <cell r="G2888">
            <v>31412</v>
          </cell>
          <cell r="I2888" t="str">
            <v>North America</v>
          </cell>
          <cell r="J2888" t="str">
            <v>USA</v>
          </cell>
        </row>
        <row r="2889">
          <cell r="A2889" t="str">
            <v>In service</v>
          </cell>
          <cell r="B2889" t="str">
            <v>Gulfstream Aerospace Gulfstream III</v>
          </cell>
          <cell r="C2889" t="str">
            <v xml:space="preserve"> </v>
          </cell>
          <cell r="D2889">
            <v>1985</v>
          </cell>
          <cell r="E2889" t="str">
            <v>Government of Angola</v>
          </cell>
          <cell r="F2889">
            <v>15</v>
          </cell>
          <cell r="G2889">
            <v>31547</v>
          </cell>
          <cell r="I2889" t="str">
            <v>Africa</v>
          </cell>
          <cell r="J2889" t="str">
            <v>Angola</v>
          </cell>
          <cell r="K2889">
            <v>30863</v>
          </cell>
        </row>
        <row r="2890">
          <cell r="A2890" t="str">
            <v>In service</v>
          </cell>
          <cell r="B2890" t="str">
            <v>Gulfstream Aerospace Gulfstream III</v>
          </cell>
          <cell r="C2890" t="str">
            <v xml:space="preserve"> </v>
          </cell>
          <cell r="D2890">
            <v>1986</v>
          </cell>
          <cell r="E2890" t="str">
            <v>Italian Air Force</v>
          </cell>
          <cell r="F2890">
            <v>14</v>
          </cell>
          <cell r="G2890">
            <v>31761</v>
          </cell>
          <cell r="I2890" t="str">
            <v>Europe</v>
          </cell>
          <cell r="J2890" t="str">
            <v>Italy</v>
          </cell>
          <cell r="K2890">
            <v>30863</v>
          </cell>
        </row>
        <row r="2891">
          <cell r="A2891" t="str">
            <v>In service</v>
          </cell>
          <cell r="B2891" t="str">
            <v>Gulfstream Aerospace Gulfstream III</v>
          </cell>
          <cell r="C2891" t="str">
            <v xml:space="preserve"> </v>
          </cell>
          <cell r="D2891">
            <v>1986</v>
          </cell>
          <cell r="E2891" t="str">
            <v>Bausch &amp; Lomb Inc</v>
          </cell>
          <cell r="F2891">
            <v>14</v>
          </cell>
          <cell r="G2891">
            <v>31674</v>
          </cell>
          <cell r="I2891" t="str">
            <v>North America</v>
          </cell>
          <cell r="J2891" t="str">
            <v>USA</v>
          </cell>
          <cell r="K2891">
            <v>31228</v>
          </cell>
        </row>
        <row r="2892">
          <cell r="A2892" t="str">
            <v>In service</v>
          </cell>
          <cell r="B2892" t="str">
            <v>Gulfstream Aerospace Gulfstream III</v>
          </cell>
          <cell r="C2892" t="str">
            <v xml:space="preserve"> </v>
          </cell>
          <cell r="D2892">
            <v>1986</v>
          </cell>
          <cell r="E2892" t="str">
            <v>Hubbard Broadcasting Inc</v>
          </cell>
          <cell r="F2892">
            <v>14</v>
          </cell>
          <cell r="G2892">
            <v>31523</v>
          </cell>
          <cell r="I2892" t="str">
            <v>North America</v>
          </cell>
          <cell r="J2892" t="str">
            <v>USA</v>
          </cell>
          <cell r="K2892">
            <v>30863</v>
          </cell>
        </row>
        <row r="2893">
          <cell r="A2893" t="str">
            <v>In service</v>
          </cell>
          <cell r="B2893" t="str">
            <v>Gulfstream Aerospace Gulfstream III</v>
          </cell>
          <cell r="C2893" t="str">
            <v xml:space="preserve"> </v>
          </cell>
          <cell r="D2893">
            <v>1986</v>
          </cell>
          <cell r="E2893" t="str">
            <v>Rida Aviation Ltd</v>
          </cell>
          <cell r="F2893">
            <v>14</v>
          </cell>
          <cell r="G2893">
            <v>31560</v>
          </cell>
          <cell r="I2893" t="str">
            <v>Latin America and Caribbean</v>
          </cell>
          <cell r="J2893" t="str">
            <v>Bermuda</v>
          </cell>
          <cell r="K2893">
            <v>31228</v>
          </cell>
        </row>
        <row r="2894">
          <cell r="A2894" t="str">
            <v>In service</v>
          </cell>
          <cell r="B2894" t="str">
            <v>Gulfstream Aerospace Gulfstream III</v>
          </cell>
          <cell r="C2894" t="str">
            <v xml:space="preserve"> </v>
          </cell>
          <cell r="D2894">
            <v>1986</v>
          </cell>
          <cell r="E2894" t="str">
            <v>McWane Inc</v>
          </cell>
          <cell r="F2894">
            <v>14</v>
          </cell>
          <cell r="G2894">
            <v>31774</v>
          </cell>
          <cell r="I2894" t="str">
            <v>North America</v>
          </cell>
          <cell r="J2894" t="str">
            <v>USA</v>
          </cell>
        </row>
        <row r="2895">
          <cell r="A2895" t="str">
            <v>In service</v>
          </cell>
          <cell r="B2895" t="str">
            <v>Gulfstream Aerospace Gulfstream III</v>
          </cell>
          <cell r="C2895" t="str">
            <v xml:space="preserve"> </v>
          </cell>
          <cell r="D2895">
            <v>1986</v>
          </cell>
          <cell r="E2895" t="str">
            <v>Government of Cameroon</v>
          </cell>
          <cell r="F2895">
            <v>14</v>
          </cell>
          <cell r="G2895">
            <v>31578</v>
          </cell>
          <cell r="I2895" t="str">
            <v>Africa</v>
          </cell>
          <cell r="J2895" t="str">
            <v>Cameroon</v>
          </cell>
          <cell r="K2895">
            <v>30863</v>
          </cell>
        </row>
        <row r="2896">
          <cell r="A2896" t="str">
            <v>In service</v>
          </cell>
          <cell r="B2896" t="str">
            <v>Gulfstream Aerospace Gulfstream III</v>
          </cell>
          <cell r="C2896" t="str">
            <v xml:space="preserve"> </v>
          </cell>
          <cell r="D2896">
            <v>1986</v>
          </cell>
          <cell r="E2896" t="str">
            <v>Walter McPhail</v>
          </cell>
          <cell r="F2896">
            <v>14</v>
          </cell>
          <cell r="G2896">
            <v>31670</v>
          </cell>
          <cell r="I2896" t="str">
            <v>North America</v>
          </cell>
          <cell r="J2896" t="str">
            <v>USA</v>
          </cell>
          <cell r="K2896">
            <v>30863</v>
          </cell>
        </row>
        <row r="2897">
          <cell r="A2897" t="str">
            <v>In service</v>
          </cell>
          <cell r="B2897" t="str">
            <v>Gulfstream Aerospace Gulfstream III</v>
          </cell>
          <cell r="C2897" t="str">
            <v xml:space="preserve"> </v>
          </cell>
          <cell r="D2897">
            <v>1986</v>
          </cell>
          <cell r="E2897" t="str">
            <v>Commerce Leasing Co</v>
          </cell>
          <cell r="F2897">
            <v>14</v>
          </cell>
          <cell r="G2897">
            <v>31729</v>
          </cell>
          <cell r="I2897" t="str">
            <v>North America</v>
          </cell>
          <cell r="J2897" t="str">
            <v>USA</v>
          </cell>
          <cell r="K2897">
            <v>31228</v>
          </cell>
        </row>
        <row r="2898">
          <cell r="A2898" t="str">
            <v>In service</v>
          </cell>
          <cell r="B2898" t="str">
            <v>Gulfstream Aerospace Gulfstream III</v>
          </cell>
          <cell r="C2898" t="str">
            <v xml:space="preserve"> </v>
          </cell>
          <cell r="D2898">
            <v>1986</v>
          </cell>
          <cell r="E2898" t="str">
            <v>Countrywide Home Loans Inc</v>
          </cell>
          <cell r="F2898">
            <v>14</v>
          </cell>
          <cell r="G2898">
            <v>31700</v>
          </cell>
          <cell r="I2898" t="str">
            <v>North America</v>
          </cell>
          <cell r="J2898" t="str">
            <v>USA</v>
          </cell>
          <cell r="K2898">
            <v>31228</v>
          </cell>
        </row>
        <row r="2899">
          <cell r="A2899" t="str">
            <v>In service</v>
          </cell>
          <cell r="B2899" t="str">
            <v>Gulfstream Aerospace Gulfstream III</v>
          </cell>
          <cell r="C2899" t="str">
            <v xml:space="preserve"> </v>
          </cell>
          <cell r="D2899">
            <v>1986</v>
          </cell>
          <cell r="E2899" t="str">
            <v>Franklin/Templeton Travel Inc</v>
          </cell>
          <cell r="F2899">
            <v>14</v>
          </cell>
          <cell r="G2899">
            <v>31702</v>
          </cell>
          <cell r="I2899" t="str">
            <v>North America</v>
          </cell>
          <cell r="J2899" t="str">
            <v>USA</v>
          </cell>
          <cell r="K2899">
            <v>31228</v>
          </cell>
        </row>
        <row r="2900">
          <cell r="A2900" t="str">
            <v>In service</v>
          </cell>
          <cell r="B2900" t="str">
            <v>Gulfstream Aerospace Gulfstream III</v>
          </cell>
          <cell r="C2900" t="str">
            <v xml:space="preserve"> </v>
          </cell>
          <cell r="D2900">
            <v>1986</v>
          </cell>
          <cell r="E2900" t="str">
            <v>Pillowtex Corp</v>
          </cell>
          <cell r="F2900">
            <v>14</v>
          </cell>
          <cell r="G2900">
            <v>31728</v>
          </cell>
          <cell r="I2900" t="str">
            <v>North America</v>
          </cell>
          <cell r="J2900" t="str">
            <v>USA</v>
          </cell>
          <cell r="K2900">
            <v>31228</v>
          </cell>
        </row>
        <row r="2901">
          <cell r="A2901" t="str">
            <v>In service</v>
          </cell>
          <cell r="B2901" t="str">
            <v>Gulfstream Aerospace Gulfstream III</v>
          </cell>
          <cell r="C2901" t="str">
            <v xml:space="preserve"> </v>
          </cell>
          <cell r="D2901">
            <v>1986</v>
          </cell>
          <cell r="E2901" t="str">
            <v>TC Aviation Inc</v>
          </cell>
          <cell r="F2901">
            <v>14</v>
          </cell>
          <cell r="G2901">
            <v>32126</v>
          </cell>
          <cell r="I2901" t="str">
            <v>North America</v>
          </cell>
          <cell r="J2901" t="str">
            <v>USA</v>
          </cell>
          <cell r="K2901">
            <v>31593</v>
          </cell>
        </row>
        <row r="2902">
          <cell r="A2902" t="str">
            <v>In service</v>
          </cell>
          <cell r="B2902" t="str">
            <v>Gulfstream Aerospace Gulfstream III</v>
          </cell>
          <cell r="C2902" t="str">
            <v xml:space="preserve"> </v>
          </cell>
          <cell r="D2902">
            <v>1986</v>
          </cell>
          <cell r="E2902" t="str">
            <v>Ghana Air Force</v>
          </cell>
          <cell r="F2902">
            <v>14</v>
          </cell>
          <cell r="G2902">
            <v>31770</v>
          </cell>
          <cell r="I2902" t="str">
            <v>Africa</v>
          </cell>
          <cell r="J2902" t="str">
            <v>Ghana</v>
          </cell>
        </row>
        <row r="2903">
          <cell r="A2903" t="str">
            <v>In service</v>
          </cell>
          <cell r="B2903" t="str">
            <v>Gulfstream Aerospace Gulfstream III</v>
          </cell>
          <cell r="C2903" t="str">
            <v xml:space="preserve"> </v>
          </cell>
          <cell r="D2903">
            <v>1987</v>
          </cell>
          <cell r="E2903" t="str">
            <v xml:space="preserve">Independent Aviation Services Ltd Coutts (Cayman) </v>
          </cell>
          <cell r="F2903">
            <v>13</v>
          </cell>
          <cell r="G2903">
            <v>32134</v>
          </cell>
          <cell r="I2903" t="str">
            <v>Latin America and Caribbean</v>
          </cell>
          <cell r="J2903" t="str">
            <v>Cayman Islands</v>
          </cell>
        </row>
        <row r="2904">
          <cell r="A2904" t="str">
            <v>In service</v>
          </cell>
          <cell r="B2904" t="str">
            <v>Gulfstream Aerospace Gulfstream III</v>
          </cell>
          <cell r="C2904" t="str">
            <v xml:space="preserve"> </v>
          </cell>
          <cell r="D2904">
            <v>1981</v>
          </cell>
          <cell r="E2904" t="str">
            <v>Tatham Aviation Services Inc</v>
          </cell>
          <cell r="F2904">
            <v>19</v>
          </cell>
          <cell r="G2904">
            <v>29654</v>
          </cell>
          <cell r="I2904" t="str">
            <v>North America</v>
          </cell>
          <cell r="J2904" t="str">
            <v>USA</v>
          </cell>
          <cell r="K2904">
            <v>29036</v>
          </cell>
        </row>
        <row r="2905">
          <cell r="A2905" t="str">
            <v>In service</v>
          </cell>
          <cell r="B2905" t="str">
            <v>Gulfstream Aerospace Gulfstream III</v>
          </cell>
          <cell r="C2905" t="str">
            <v>(SCD)</v>
          </cell>
          <cell r="D2905">
            <v>1979</v>
          </cell>
          <cell r="E2905" t="str">
            <v>Royal Danish Air Force</v>
          </cell>
          <cell r="F2905">
            <v>21</v>
          </cell>
          <cell r="G2905">
            <v>30056</v>
          </cell>
          <cell r="H2905" t="str">
            <v>(SCD)</v>
          </cell>
          <cell r="I2905" t="str">
            <v>Europe</v>
          </cell>
          <cell r="J2905" t="str">
            <v>Denmark</v>
          </cell>
        </row>
        <row r="2906">
          <cell r="A2906" t="str">
            <v>In service</v>
          </cell>
          <cell r="B2906" t="str">
            <v>Gulfstream Aerospace Gulfstream III</v>
          </cell>
          <cell r="C2906" t="str">
            <v>(SCD)</v>
          </cell>
          <cell r="D2906">
            <v>1980</v>
          </cell>
          <cell r="E2906" t="str">
            <v>Royal Danish Air Force</v>
          </cell>
          <cell r="F2906">
            <v>20</v>
          </cell>
          <cell r="G2906">
            <v>29465</v>
          </cell>
          <cell r="H2906" t="str">
            <v>(SCD)</v>
          </cell>
          <cell r="I2906" t="str">
            <v>Europe</v>
          </cell>
          <cell r="J2906" t="str">
            <v>Denmark</v>
          </cell>
          <cell r="K2906">
            <v>29036</v>
          </cell>
        </row>
        <row r="2907">
          <cell r="A2907" t="str">
            <v>In service</v>
          </cell>
          <cell r="B2907" t="str">
            <v>Gulfstream Aerospace Gulfstream III</v>
          </cell>
          <cell r="C2907" t="str">
            <v>(SCD)</v>
          </cell>
          <cell r="D2907">
            <v>1986</v>
          </cell>
          <cell r="E2907" t="str">
            <v>Indian Air Force</v>
          </cell>
          <cell r="F2907">
            <v>14</v>
          </cell>
          <cell r="G2907">
            <v>31770</v>
          </cell>
          <cell r="H2907" t="str">
            <v>(SCD)</v>
          </cell>
          <cell r="I2907" t="str">
            <v>Asia</v>
          </cell>
          <cell r="J2907" t="str">
            <v>India</v>
          </cell>
        </row>
        <row r="2908">
          <cell r="A2908" t="str">
            <v>In service</v>
          </cell>
          <cell r="B2908" t="str">
            <v>Gulfstream Aerospace Gulfstream III</v>
          </cell>
          <cell r="C2908" t="str">
            <v>(SCD)</v>
          </cell>
          <cell r="D2908">
            <v>1986</v>
          </cell>
          <cell r="E2908" t="str">
            <v>Indian Air Force</v>
          </cell>
          <cell r="F2908">
            <v>14</v>
          </cell>
          <cell r="G2908">
            <v>31776</v>
          </cell>
          <cell r="H2908" t="str">
            <v>(SCD)</v>
          </cell>
          <cell r="I2908" t="str">
            <v>Asia</v>
          </cell>
          <cell r="J2908" t="str">
            <v>India</v>
          </cell>
        </row>
        <row r="2909">
          <cell r="A2909" t="str">
            <v>In service</v>
          </cell>
          <cell r="B2909" t="str">
            <v>Gulfstream Aerospace Gulfstream III</v>
          </cell>
          <cell r="C2909" t="str">
            <v>C-20A</v>
          </cell>
          <cell r="D2909">
            <v>1983</v>
          </cell>
          <cell r="E2909" t="str">
            <v>US Air Force</v>
          </cell>
          <cell r="F2909">
            <v>17</v>
          </cell>
          <cell r="G2909">
            <v>30619</v>
          </cell>
          <cell r="H2909" t="str">
            <v>C-20A</v>
          </cell>
          <cell r="I2909" t="str">
            <v>North America</v>
          </cell>
          <cell r="J2909" t="str">
            <v>USA</v>
          </cell>
          <cell r="K2909">
            <v>30474</v>
          </cell>
        </row>
        <row r="2910">
          <cell r="A2910" t="str">
            <v>In service</v>
          </cell>
          <cell r="B2910" t="str">
            <v>Gulfstream Aerospace Gulfstream III</v>
          </cell>
          <cell r="C2910" t="str">
            <v>C-20A</v>
          </cell>
          <cell r="D2910">
            <v>1983</v>
          </cell>
          <cell r="E2910" t="str">
            <v>US Air Force</v>
          </cell>
          <cell r="F2910">
            <v>17</v>
          </cell>
          <cell r="G2910">
            <v>30589</v>
          </cell>
          <cell r="H2910" t="str">
            <v>C-20A</v>
          </cell>
          <cell r="I2910" t="str">
            <v>North America</v>
          </cell>
          <cell r="J2910" t="str">
            <v>USA</v>
          </cell>
          <cell r="K2910">
            <v>30474</v>
          </cell>
        </row>
        <row r="2911">
          <cell r="A2911" t="str">
            <v>In service</v>
          </cell>
          <cell r="B2911" t="str">
            <v>Gulfstream Aerospace Gulfstream III</v>
          </cell>
          <cell r="C2911" t="str">
            <v>C-20A</v>
          </cell>
          <cell r="D2911">
            <v>1983</v>
          </cell>
          <cell r="E2911" t="str">
            <v>US Air Force</v>
          </cell>
          <cell r="F2911">
            <v>17</v>
          </cell>
          <cell r="G2911">
            <v>30650</v>
          </cell>
          <cell r="H2911" t="str">
            <v>C-20A</v>
          </cell>
          <cell r="I2911" t="str">
            <v>North America</v>
          </cell>
          <cell r="J2911" t="str">
            <v>USA</v>
          </cell>
          <cell r="K2911">
            <v>30474</v>
          </cell>
        </row>
        <row r="2912">
          <cell r="A2912" t="str">
            <v>In service</v>
          </cell>
          <cell r="B2912" t="str">
            <v>Gulfstream Aerospace Gulfstream III</v>
          </cell>
          <cell r="C2912" t="str">
            <v>C-20B</v>
          </cell>
          <cell r="D2912">
            <v>1985</v>
          </cell>
          <cell r="E2912" t="str">
            <v>Regal Aviation LLC</v>
          </cell>
          <cell r="F2912">
            <v>15</v>
          </cell>
          <cell r="G2912">
            <v>31851</v>
          </cell>
          <cell r="I2912" t="str">
            <v>North America</v>
          </cell>
          <cell r="J2912" t="str">
            <v>USA</v>
          </cell>
          <cell r="K2912">
            <v>31427</v>
          </cell>
        </row>
        <row r="2913">
          <cell r="A2913" t="str">
            <v>In service</v>
          </cell>
          <cell r="B2913" t="str">
            <v>Gulfstream Aerospace Gulfstream III</v>
          </cell>
          <cell r="C2913" t="str">
            <v>C-20B</v>
          </cell>
          <cell r="D2913">
            <v>1985</v>
          </cell>
          <cell r="E2913" t="str">
            <v>US Air Force</v>
          </cell>
          <cell r="F2913">
            <v>15</v>
          </cell>
          <cell r="G2913">
            <v>31882</v>
          </cell>
          <cell r="H2913" t="str">
            <v>C-20B</v>
          </cell>
          <cell r="I2913" t="str">
            <v>North America</v>
          </cell>
          <cell r="J2913" t="str">
            <v>USA</v>
          </cell>
          <cell r="K2913">
            <v>31427</v>
          </cell>
        </row>
        <row r="2914">
          <cell r="A2914" t="str">
            <v>In service</v>
          </cell>
          <cell r="B2914" t="str">
            <v>Gulfstream Aerospace Gulfstream III</v>
          </cell>
          <cell r="C2914" t="str">
            <v>C-20B</v>
          </cell>
          <cell r="D2914">
            <v>1985</v>
          </cell>
          <cell r="E2914" t="str">
            <v>US Air Force</v>
          </cell>
          <cell r="F2914">
            <v>15</v>
          </cell>
          <cell r="G2914">
            <v>31912</v>
          </cell>
          <cell r="H2914" t="str">
            <v>C-20B</v>
          </cell>
          <cell r="I2914" t="str">
            <v>North America</v>
          </cell>
          <cell r="J2914" t="str">
            <v>USA</v>
          </cell>
          <cell r="K2914">
            <v>31427</v>
          </cell>
        </row>
        <row r="2915">
          <cell r="A2915" t="str">
            <v>In service</v>
          </cell>
          <cell r="B2915" t="str">
            <v>Gulfstream Aerospace Gulfstream III</v>
          </cell>
          <cell r="C2915" t="str">
            <v>C-20B</v>
          </cell>
          <cell r="D2915">
            <v>1985</v>
          </cell>
          <cell r="E2915" t="str">
            <v>US Air Force</v>
          </cell>
          <cell r="F2915">
            <v>15</v>
          </cell>
          <cell r="G2915">
            <v>32004</v>
          </cell>
          <cell r="H2915" t="str">
            <v>C-20B</v>
          </cell>
          <cell r="I2915" t="str">
            <v>North America</v>
          </cell>
          <cell r="J2915" t="str">
            <v>USA</v>
          </cell>
          <cell r="K2915">
            <v>31427</v>
          </cell>
        </row>
        <row r="2916">
          <cell r="A2916" t="str">
            <v>In service</v>
          </cell>
          <cell r="B2916" t="str">
            <v>Gulfstream Aerospace Gulfstream III</v>
          </cell>
          <cell r="C2916" t="str">
            <v>C-20B</v>
          </cell>
          <cell r="D2916">
            <v>1985</v>
          </cell>
          <cell r="E2916" t="str">
            <v>US Air Force</v>
          </cell>
          <cell r="F2916">
            <v>15</v>
          </cell>
          <cell r="G2916">
            <v>32035</v>
          </cell>
          <cell r="H2916" t="str">
            <v>C-20B</v>
          </cell>
          <cell r="I2916" t="str">
            <v>North America</v>
          </cell>
          <cell r="J2916" t="str">
            <v>USA</v>
          </cell>
          <cell r="K2916">
            <v>31427</v>
          </cell>
        </row>
        <row r="2917">
          <cell r="A2917" t="str">
            <v>In service</v>
          </cell>
          <cell r="B2917" t="str">
            <v>Gulfstream Aerospace Gulfstream III</v>
          </cell>
          <cell r="C2917" t="str">
            <v>C-20B</v>
          </cell>
          <cell r="D2917">
            <v>1985</v>
          </cell>
          <cell r="E2917" t="str">
            <v>US Coast Guard</v>
          </cell>
          <cell r="F2917">
            <v>15</v>
          </cell>
          <cell r="G2917">
            <v>32065</v>
          </cell>
          <cell r="H2917" t="str">
            <v>C-20B</v>
          </cell>
          <cell r="I2917" t="str">
            <v>North America</v>
          </cell>
          <cell r="J2917" t="str">
            <v>USA</v>
          </cell>
          <cell r="K2917">
            <v>31427</v>
          </cell>
        </row>
        <row r="2918">
          <cell r="A2918" t="str">
            <v>In service</v>
          </cell>
          <cell r="B2918" t="str">
            <v>Gulfstream Aerospace Gulfstream III</v>
          </cell>
          <cell r="C2918" t="str">
            <v>C-20B</v>
          </cell>
          <cell r="D2918">
            <v>1985</v>
          </cell>
          <cell r="E2918" t="str">
            <v>US Air Force</v>
          </cell>
          <cell r="F2918">
            <v>15</v>
          </cell>
          <cell r="G2918">
            <v>31517</v>
          </cell>
          <cell r="H2918" t="str">
            <v>C-20B</v>
          </cell>
          <cell r="I2918" t="str">
            <v>North America</v>
          </cell>
          <cell r="J2918" t="str">
            <v>USA</v>
          </cell>
          <cell r="K2918">
            <v>31427</v>
          </cell>
        </row>
        <row r="2919">
          <cell r="A2919" t="str">
            <v>In service</v>
          </cell>
          <cell r="B2919" t="str">
            <v>Gulfstream Aerospace Gulfstream III</v>
          </cell>
          <cell r="C2919" t="str">
            <v>C-20C</v>
          </cell>
          <cell r="D2919">
            <v>1985</v>
          </cell>
          <cell r="E2919" t="str">
            <v>US Army</v>
          </cell>
          <cell r="F2919">
            <v>15</v>
          </cell>
          <cell r="G2919">
            <v>31593</v>
          </cell>
          <cell r="H2919" t="str">
            <v>C-20C</v>
          </cell>
          <cell r="I2919" t="str">
            <v>North America</v>
          </cell>
          <cell r="J2919" t="str">
            <v>USA</v>
          </cell>
          <cell r="K2919">
            <v>30863</v>
          </cell>
        </row>
        <row r="2920">
          <cell r="A2920" t="str">
            <v>In service</v>
          </cell>
          <cell r="B2920" t="str">
            <v>Gulfstream Aerospace Gulfstream III</v>
          </cell>
          <cell r="C2920" t="str">
            <v>C-20C</v>
          </cell>
          <cell r="D2920">
            <v>1985</v>
          </cell>
          <cell r="E2920" t="str">
            <v>US Army</v>
          </cell>
          <cell r="F2920">
            <v>15</v>
          </cell>
          <cell r="G2920">
            <v>31593</v>
          </cell>
          <cell r="H2920" t="str">
            <v>C-20C</v>
          </cell>
          <cell r="I2920" t="str">
            <v>North America</v>
          </cell>
          <cell r="J2920" t="str">
            <v>USA</v>
          </cell>
          <cell r="K2920">
            <v>30863</v>
          </cell>
        </row>
        <row r="2921">
          <cell r="A2921" t="str">
            <v>In service</v>
          </cell>
          <cell r="B2921" t="str">
            <v>Gulfstream Aerospace Gulfstream III</v>
          </cell>
          <cell r="C2921" t="str">
            <v>C-20C</v>
          </cell>
          <cell r="D2921">
            <v>1985</v>
          </cell>
          <cell r="E2921" t="str">
            <v>US Air Force</v>
          </cell>
          <cell r="F2921">
            <v>15</v>
          </cell>
          <cell r="G2921">
            <v>31973</v>
          </cell>
          <cell r="H2921" t="str">
            <v>C-20C</v>
          </cell>
          <cell r="I2921" t="str">
            <v>North America</v>
          </cell>
          <cell r="J2921" t="str">
            <v>USA</v>
          </cell>
          <cell r="K2921">
            <v>31593</v>
          </cell>
        </row>
        <row r="2922">
          <cell r="A2922" t="str">
            <v>In service</v>
          </cell>
          <cell r="B2922" t="str">
            <v>Gulfstream Aerospace Gulfstream III</v>
          </cell>
          <cell r="C2922" t="str">
            <v>C-20D</v>
          </cell>
          <cell r="D2922">
            <v>1986</v>
          </cell>
          <cell r="E2922" t="str">
            <v>US Navy</v>
          </cell>
          <cell r="F2922">
            <v>14</v>
          </cell>
          <cell r="G2922">
            <v>31578</v>
          </cell>
          <cell r="H2922" t="str">
            <v>C-20D</v>
          </cell>
          <cell r="I2922" t="str">
            <v>North America</v>
          </cell>
          <cell r="J2922" t="str">
            <v>USA</v>
          </cell>
          <cell r="K2922">
            <v>30863</v>
          </cell>
        </row>
        <row r="2923">
          <cell r="A2923" t="str">
            <v>In service</v>
          </cell>
          <cell r="B2923" t="str">
            <v>Gulfstream Aerospace Gulfstream III</v>
          </cell>
          <cell r="C2923" t="str">
            <v>C-20D</v>
          </cell>
          <cell r="D2923">
            <v>1986</v>
          </cell>
          <cell r="E2923" t="str">
            <v>US Navy</v>
          </cell>
          <cell r="F2923">
            <v>14</v>
          </cell>
          <cell r="G2923">
            <v>31578</v>
          </cell>
          <cell r="H2923" t="str">
            <v>C-20D</v>
          </cell>
          <cell r="I2923" t="str">
            <v>North America</v>
          </cell>
          <cell r="J2923" t="str">
            <v>USA</v>
          </cell>
          <cell r="K2923">
            <v>30863</v>
          </cell>
        </row>
        <row r="2924">
          <cell r="A2924" t="str">
            <v>In service</v>
          </cell>
          <cell r="B2924" t="str">
            <v>Gulfstream Aerospace Gulfstream III</v>
          </cell>
          <cell r="C2924" t="str">
            <v>C-20E</v>
          </cell>
          <cell r="D2924">
            <v>1987</v>
          </cell>
          <cell r="E2924" t="str">
            <v>US Army</v>
          </cell>
          <cell r="F2924">
            <v>13</v>
          </cell>
          <cell r="G2924">
            <v>32278</v>
          </cell>
          <cell r="H2924" t="str">
            <v>C-20E</v>
          </cell>
          <cell r="I2924" t="str">
            <v>North America</v>
          </cell>
          <cell r="J2924" t="str">
            <v>USA</v>
          </cell>
          <cell r="K2924">
            <v>31593</v>
          </cell>
        </row>
        <row r="2925">
          <cell r="A2925" t="str">
            <v>In service</v>
          </cell>
          <cell r="B2925" t="str">
            <v>Gulfstream Aerospace Gulfstream III</v>
          </cell>
          <cell r="C2925" t="str">
            <v>C-20E</v>
          </cell>
          <cell r="D2925">
            <v>1987</v>
          </cell>
          <cell r="E2925" t="str">
            <v>US Army</v>
          </cell>
          <cell r="F2925">
            <v>13</v>
          </cell>
          <cell r="G2925">
            <v>32278</v>
          </cell>
          <cell r="H2925" t="str">
            <v>C-20E</v>
          </cell>
          <cell r="I2925" t="str">
            <v>North America</v>
          </cell>
          <cell r="J2925" t="str">
            <v>USA</v>
          </cell>
          <cell r="K2925">
            <v>31593</v>
          </cell>
        </row>
        <row r="2926">
          <cell r="A2926" t="str">
            <v>In service</v>
          </cell>
          <cell r="B2926" t="str">
            <v>Gulfstream Aerospace Gulfstream IV</v>
          </cell>
          <cell r="C2926" t="str">
            <v xml:space="preserve"> </v>
          </cell>
          <cell r="D2926">
            <v>1985</v>
          </cell>
          <cell r="E2926" t="str">
            <v>Skybird Aviation</v>
          </cell>
          <cell r="F2926">
            <v>15</v>
          </cell>
          <cell r="G2926">
            <v>31396</v>
          </cell>
          <cell r="I2926" t="str">
            <v>North America</v>
          </cell>
          <cell r="J2926" t="str">
            <v>USA</v>
          </cell>
        </row>
        <row r="2927">
          <cell r="A2927" t="str">
            <v>In service</v>
          </cell>
          <cell r="B2927" t="str">
            <v>Gulfstream Aerospace Gulfstream IV</v>
          </cell>
          <cell r="C2927" t="str">
            <v xml:space="preserve"> </v>
          </cell>
          <cell r="D2927">
            <v>1986</v>
          </cell>
          <cell r="E2927" t="str">
            <v>Wal-Mart Leasing Inc</v>
          </cell>
          <cell r="F2927">
            <v>14</v>
          </cell>
          <cell r="G2927">
            <v>31756</v>
          </cell>
          <cell r="I2927" t="str">
            <v>North America</v>
          </cell>
          <cell r="J2927" t="str">
            <v>USA</v>
          </cell>
          <cell r="K2927">
            <v>30863</v>
          </cell>
        </row>
        <row r="2928">
          <cell r="A2928" t="str">
            <v>In service</v>
          </cell>
          <cell r="B2928" t="str">
            <v>Gulfstream Aerospace Gulfstream IV</v>
          </cell>
          <cell r="C2928" t="str">
            <v xml:space="preserve"> </v>
          </cell>
          <cell r="D2928">
            <v>1986</v>
          </cell>
          <cell r="E2928" t="str">
            <v>DRW Financial Inc</v>
          </cell>
          <cell r="F2928">
            <v>14</v>
          </cell>
          <cell r="G2928">
            <v>31775</v>
          </cell>
          <cell r="I2928" t="str">
            <v>North America</v>
          </cell>
          <cell r="J2928" t="str">
            <v>USA</v>
          </cell>
          <cell r="K2928">
            <v>30863</v>
          </cell>
        </row>
        <row r="2929">
          <cell r="A2929" t="str">
            <v>In service</v>
          </cell>
          <cell r="B2929" t="str">
            <v>Gulfstream Aerospace Gulfstream IV</v>
          </cell>
          <cell r="C2929" t="str">
            <v xml:space="preserve"> </v>
          </cell>
          <cell r="D2929">
            <v>1986</v>
          </cell>
          <cell r="E2929" t="str">
            <v>G IV Corp</v>
          </cell>
          <cell r="F2929">
            <v>14</v>
          </cell>
          <cell r="G2929">
            <v>31608</v>
          </cell>
          <cell r="I2929" t="str">
            <v>North America</v>
          </cell>
          <cell r="J2929" t="str">
            <v>USA</v>
          </cell>
          <cell r="K2929">
            <v>30863</v>
          </cell>
        </row>
        <row r="2930">
          <cell r="A2930" t="str">
            <v>In service</v>
          </cell>
          <cell r="B2930" t="str">
            <v>Gulfstream Aerospace Gulfstream IV</v>
          </cell>
          <cell r="C2930" t="str">
            <v xml:space="preserve"> </v>
          </cell>
          <cell r="D2930">
            <v>1986</v>
          </cell>
          <cell r="E2930" t="str">
            <v>Paramount Aviation II LLC</v>
          </cell>
          <cell r="F2930">
            <v>14</v>
          </cell>
          <cell r="G2930">
            <v>31653</v>
          </cell>
          <cell r="I2930" t="str">
            <v>North America</v>
          </cell>
          <cell r="J2930" t="str">
            <v>USA</v>
          </cell>
          <cell r="K2930">
            <v>31228</v>
          </cell>
        </row>
        <row r="2931">
          <cell r="A2931" t="str">
            <v>In service</v>
          </cell>
          <cell r="B2931" t="str">
            <v>Gulfstream Aerospace Gulfstream IV</v>
          </cell>
          <cell r="C2931" t="str">
            <v xml:space="preserve"> </v>
          </cell>
          <cell r="D2931">
            <v>1986</v>
          </cell>
          <cell r="E2931" t="str">
            <v>Pratt Industries</v>
          </cell>
          <cell r="F2931">
            <v>14</v>
          </cell>
          <cell r="G2931">
            <v>31700</v>
          </cell>
          <cell r="I2931" t="str">
            <v>Australasia</v>
          </cell>
          <cell r="J2931" t="str">
            <v>Australia</v>
          </cell>
          <cell r="K2931">
            <v>30863</v>
          </cell>
        </row>
        <row r="2932">
          <cell r="A2932" t="str">
            <v>In service</v>
          </cell>
          <cell r="B2932" t="str">
            <v>Gulfstream Aerospace Gulfstream IV</v>
          </cell>
          <cell r="C2932" t="str">
            <v xml:space="preserve"> </v>
          </cell>
          <cell r="D2932">
            <v>1986</v>
          </cell>
          <cell r="E2932" t="str">
            <v>Wilton Investment LC</v>
          </cell>
          <cell r="F2932">
            <v>14</v>
          </cell>
          <cell r="G2932">
            <v>31715</v>
          </cell>
          <cell r="I2932" t="str">
            <v>North America</v>
          </cell>
          <cell r="J2932" t="str">
            <v>USA</v>
          </cell>
          <cell r="K2932">
            <v>30863</v>
          </cell>
        </row>
        <row r="2933">
          <cell r="A2933" t="str">
            <v>In service</v>
          </cell>
          <cell r="B2933" t="str">
            <v>Gulfstream Aerospace Gulfstream IV</v>
          </cell>
          <cell r="C2933" t="str">
            <v xml:space="preserve"> </v>
          </cell>
          <cell r="D2933">
            <v>1986</v>
          </cell>
          <cell r="E2933" t="str">
            <v>Fightertown Inc</v>
          </cell>
          <cell r="F2933">
            <v>14</v>
          </cell>
          <cell r="G2933">
            <v>31749</v>
          </cell>
          <cell r="I2933" t="str">
            <v>North America</v>
          </cell>
          <cell r="J2933" t="str">
            <v>USA</v>
          </cell>
          <cell r="K2933">
            <v>30863</v>
          </cell>
        </row>
        <row r="2934">
          <cell r="A2934" t="str">
            <v>In service</v>
          </cell>
          <cell r="B2934" t="str">
            <v>Gulfstream Aerospace Gulfstream IV</v>
          </cell>
          <cell r="C2934" t="str">
            <v xml:space="preserve"> </v>
          </cell>
          <cell r="D2934">
            <v>1986</v>
          </cell>
          <cell r="E2934" t="str">
            <v>R J Reynolds Tobacco Co</v>
          </cell>
          <cell r="F2934">
            <v>14</v>
          </cell>
          <cell r="G2934">
            <v>31957</v>
          </cell>
          <cell r="I2934" t="str">
            <v>North America</v>
          </cell>
          <cell r="J2934" t="str">
            <v>USA</v>
          </cell>
          <cell r="K2934">
            <v>30863</v>
          </cell>
        </row>
        <row r="2935">
          <cell r="A2935" t="str">
            <v>In service</v>
          </cell>
          <cell r="B2935" t="str">
            <v>Gulfstream Aerospace Gulfstream IV</v>
          </cell>
          <cell r="C2935" t="str">
            <v xml:space="preserve"> </v>
          </cell>
          <cell r="D2935">
            <v>1986</v>
          </cell>
          <cell r="E2935" t="str">
            <v>Royal Netherlands Air Force</v>
          </cell>
          <cell r="F2935">
            <v>14</v>
          </cell>
          <cell r="G2935">
            <v>31766</v>
          </cell>
          <cell r="I2935" t="str">
            <v>Europe</v>
          </cell>
          <cell r="J2935" t="str">
            <v>Netherlands</v>
          </cell>
          <cell r="K2935">
            <v>30863</v>
          </cell>
        </row>
        <row r="2936">
          <cell r="A2936" t="str">
            <v>In service</v>
          </cell>
          <cell r="B2936" t="str">
            <v>Gulfstream Aerospace Gulfstream IV</v>
          </cell>
          <cell r="C2936" t="str">
            <v xml:space="preserve"> </v>
          </cell>
          <cell r="D2936">
            <v>1986</v>
          </cell>
          <cell r="E2936" t="str">
            <v>Fairmont Aviation Inc</v>
          </cell>
          <cell r="F2936">
            <v>14</v>
          </cell>
          <cell r="G2936">
            <v>31787</v>
          </cell>
          <cell r="I2936" t="str">
            <v>North America</v>
          </cell>
          <cell r="J2936" t="str">
            <v>USA</v>
          </cell>
          <cell r="K2936">
            <v>31228</v>
          </cell>
        </row>
        <row r="2937">
          <cell r="A2937" t="str">
            <v>In service</v>
          </cell>
          <cell r="B2937" t="str">
            <v>Gulfstream Aerospace Gulfstream IV</v>
          </cell>
          <cell r="C2937" t="str">
            <v xml:space="preserve"> </v>
          </cell>
          <cell r="D2937">
            <v>1987</v>
          </cell>
          <cell r="E2937" t="str">
            <v>Dubai Air Wing</v>
          </cell>
          <cell r="F2937">
            <v>13</v>
          </cell>
          <cell r="G2937">
            <v>32115</v>
          </cell>
          <cell r="I2937" t="str">
            <v>Middle East</v>
          </cell>
          <cell r="J2937" t="str">
            <v>United Arab Emirates</v>
          </cell>
          <cell r="K2937">
            <v>30863</v>
          </cell>
        </row>
        <row r="2938">
          <cell r="A2938" t="str">
            <v>In service</v>
          </cell>
          <cell r="B2938" t="str">
            <v>Gulfstream Aerospace Gulfstream IV</v>
          </cell>
          <cell r="C2938" t="str">
            <v xml:space="preserve"> </v>
          </cell>
          <cell r="D2938">
            <v>1987</v>
          </cell>
          <cell r="E2938" t="str">
            <v>Lord Aviation Group LLC</v>
          </cell>
          <cell r="F2938">
            <v>13</v>
          </cell>
          <cell r="G2938">
            <v>31868</v>
          </cell>
          <cell r="I2938" t="str">
            <v>North America</v>
          </cell>
          <cell r="J2938" t="str">
            <v>USA</v>
          </cell>
          <cell r="K2938">
            <v>31228</v>
          </cell>
        </row>
        <row r="2939">
          <cell r="A2939" t="str">
            <v>In service</v>
          </cell>
          <cell r="B2939" t="str">
            <v>Gulfstream Aerospace Gulfstream IV</v>
          </cell>
          <cell r="C2939" t="str">
            <v xml:space="preserve"> </v>
          </cell>
          <cell r="D2939">
            <v>1987</v>
          </cell>
          <cell r="E2939" t="str">
            <v>Fidelity National Financial inc</v>
          </cell>
          <cell r="F2939">
            <v>13</v>
          </cell>
          <cell r="G2939">
            <v>31883</v>
          </cell>
          <cell r="I2939" t="str">
            <v>North America</v>
          </cell>
          <cell r="J2939" t="str">
            <v>USA</v>
          </cell>
          <cell r="K2939">
            <v>31228</v>
          </cell>
        </row>
        <row r="2940">
          <cell r="A2940" t="str">
            <v>In service</v>
          </cell>
          <cell r="B2940" t="str">
            <v>Gulfstream Aerospace Gulfstream IV</v>
          </cell>
          <cell r="C2940" t="str">
            <v xml:space="preserve"> </v>
          </cell>
          <cell r="D2940">
            <v>1987</v>
          </cell>
          <cell r="E2940" t="str">
            <v>Swedish Air Force</v>
          </cell>
          <cell r="F2940">
            <v>13</v>
          </cell>
          <cell r="G2940">
            <v>31888</v>
          </cell>
          <cell r="H2940" t="str">
            <v>TP-102</v>
          </cell>
          <cell r="I2940" t="str">
            <v>Europe</v>
          </cell>
          <cell r="J2940" t="str">
            <v>Sweden</v>
          </cell>
          <cell r="K2940">
            <v>31228</v>
          </cell>
        </row>
        <row r="2941">
          <cell r="A2941" t="str">
            <v>In service</v>
          </cell>
          <cell r="B2941" t="str">
            <v>Gulfstream Aerospace Gulfstream IV</v>
          </cell>
          <cell r="C2941" t="str">
            <v xml:space="preserve"> </v>
          </cell>
          <cell r="D2941">
            <v>1987</v>
          </cell>
          <cell r="E2941" t="str">
            <v>Rashid Engineering</v>
          </cell>
          <cell r="F2941">
            <v>13</v>
          </cell>
          <cell r="G2941">
            <v>32006</v>
          </cell>
          <cell r="I2941" t="str">
            <v>Middle East</v>
          </cell>
          <cell r="J2941" t="str">
            <v>Saudi Arabia</v>
          </cell>
          <cell r="K2941">
            <v>31228</v>
          </cell>
        </row>
        <row r="2942">
          <cell r="A2942" t="str">
            <v>In service</v>
          </cell>
          <cell r="B2942" t="str">
            <v>Gulfstream Aerospace Gulfstream IV</v>
          </cell>
          <cell r="C2942" t="str">
            <v xml:space="preserve"> </v>
          </cell>
          <cell r="D2942">
            <v>1987</v>
          </cell>
          <cell r="E2942" t="str">
            <v>Guardian Industries Corp</v>
          </cell>
          <cell r="F2942">
            <v>13</v>
          </cell>
          <cell r="G2942">
            <v>31919</v>
          </cell>
          <cell r="I2942" t="str">
            <v>North America</v>
          </cell>
          <cell r="J2942" t="str">
            <v>USA</v>
          </cell>
          <cell r="K2942">
            <v>31228</v>
          </cell>
        </row>
        <row r="2943">
          <cell r="A2943" t="str">
            <v>In service</v>
          </cell>
          <cell r="B2943" t="str">
            <v>Gulfstream Aerospace Gulfstream IV</v>
          </cell>
          <cell r="C2943" t="str">
            <v xml:space="preserve"> </v>
          </cell>
          <cell r="D2943">
            <v>1987</v>
          </cell>
          <cell r="E2943" t="str">
            <v>Sugra Ltd</v>
          </cell>
          <cell r="F2943">
            <v>13</v>
          </cell>
          <cell r="G2943">
            <v>32203</v>
          </cell>
          <cell r="I2943" t="str">
            <v>Latin America and Caribbean</v>
          </cell>
          <cell r="J2943" t="str">
            <v>Bermuda</v>
          </cell>
          <cell r="K2943">
            <v>31593</v>
          </cell>
        </row>
        <row r="2944">
          <cell r="A2944" t="str">
            <v>In service</v>
          </cell>
          <cell r="B2944" t="str">
            <v>Gulfstream Aerospace Gulfstream IV</v>
          </cell>
          <cell r="C2944" t="str">
            <v xml:space="preserve"> </v>
          </cell>
          <cell r="D2944">
            <v>1987</v>
          </cell>
          <cell r="E2944" t="str">
            <v>Summit Aviation Inc &amp; Quest Software Inc</v>
          </cell>
          <cell r="F2944">
            <v>13</v>
          </cell>
          <cell r="G2944">
            <v>31992</v>
          </cell>
          <cell r="I2944" t="str">
            <v>North America</v>
          </cell>
          <cell r="J2944" t="str">
            <v>USA</v>
          </cell>
          <cell r="K2944">
            <v>31228</v>
          </cell>
        </row>
        <row r="2945">
          <cell r="A2945" t="str">
            <v>In service</v>
          </cell>
          <cell r="B2945" t="str">
            <v>Gulfstream Aerospace Gulfstream IV</v>
          </cell>
          <cell r="C2945" t="str">
            <v xml:space="preserve"> </v>
          </cell>
          <cell r="D2945">
            <v>1987</v>
          </cell>
          <cell r="E2945" t="str">
            <v>Government of Ivory Coast</v>
          </cell>
          <cell r="F2945">
            <v>13</v>
          </cell>
          <cell r="G2945">
            <v>32126</v>
          </cell>
          <cell r="I2945" t="str">
            <v>Africa</v>
          </cell>
          <cell r="J2945" t="str">
            <v>Ivory Coast</v>
          </cell>
          <cell r="K2945">
            <v>31228</v>
          </cell>
        </row>
        <row r="2946">
          <cell r="A2946" t="str">
            <v>In service</v>
          </cell>
          <cell r="B2946" t="str">
            <v>Gulfstream Aerospace Gulfstream IV</v>
          </cell>
          <cell r="C2946" t="str">
            <v xml:space="preserve"> </v>
          </cell>
          <cell r="D2946">
            <v>1987</v>
          </cell>
          <cell r="E2946" t="str">
            <v>The Air Group Inc</v>
          </cell>
          <cell r="F2946">
            <v>13</v>
          </cell>
          <cell r="G2946">
            <v>31957</v>
          </cell>
          <cell r="I2946" t="str">
            <v>North America</v>
          </cell>
          <cell r="J2946" t="str">
            <v>USA</v>
          </cell>
          <cell r="K2946">
            <v>31228</v>
          </cell>
        </row>
        <row r="2947">
          <cell r="A2947" t="str">
            <v>In service</v>
          </cell>
          <cell r="B2947" t="str">
            <v>Gulfstream Aerospace Gulfstream IV</v>
          </cell>
          <cell r="C2947" t="str">
            <v xml:space="preserve"> </v>
          </cell>
          <cell r="D2947">
            <v>1987</v>
          </cell>
          <cell r="E2947" t="str">
            <v>Gestair</v>
          </cell>
          <cell r="F2947">
            <v>13</v>
          </cell>
          <cell r="G2947">
            <v>32134</v>
          </cell>
          <cell r="I2947" t="str">
            <v>Europe</v>
          </cell>
          <cell r="J2947" t="str">
            <v>Spain</v>
          </cell>
          <cell r="K2947">
            <v>31228</v>
          </cell>
        </row>
        <row r="2948">
          <cell r="A2948" t="str">
            <v>In service</v>
          </cell>
          <cell r="B2948" t="str">
            <v>Gulfstream Aerospace Gulfstream IV</v>
          </cell>
          <cell r="C2948" t="str">
            <v xml:space="preserve"> </v>
          </cell>
          <cell r="D2948">
            <v>1987</v>
          </cell>
          <cell r="E2948" t="str">
            <v>N&amp;MD Investment Corp</v>
          </cell>
          <cell r="F2948">
            <v>13</v>
          </cell>
          <cell r="G2948">
            <v>32233</v>
          </cell>
          <cell r="I2948" t="str">
            <v>North America</v>
          </cell>
          <cell r="J2948" t="str">
            <v>USA</v>
          </cell>
          <cell r="K2948">
            <v>31228</v>
          </cell>
        </row>
        <row r="2949">
          <cell r="A2949" t="str">
            <v>In service</v>
          </cell>
          <cell r="B2949" t="str">
            <v>Gulfstream Aerospace Gulfstream IV</v>
          </cell>
          <cell r="C2949" t="str">
            <v xml:space="preserve"> </v>
          </cell>
          <cell r="D2949">
            <v>1987</v>
          </cell>
          <cell r="E2949" t="str">
            <v>MBNA Corp</v>
          </cell>
          <cell r="F2949">
            <v>13</v>
          </cell>
          <cell r="G2949">
            <v>31993</v>
          </cell>
          <cell r="I2949" t="str">
            <v>North America</v>
          </cell>
          <cell r="J2949" t="str">
            <v>USA</v>
          </cell>
          <cell r="K2949">
            <v>30863</v>
          </cell>
        </row>
        <row r="2950">
          <cell r="A2950" t="str">
            <v>In service</v>
          </cell>
          <cell r="B2950" t="str">
            <v>Gulfstream Aerospace Gulfstream IV</v>
          </cell>
          <cell r="C2950" t="str">
            <v xml:space="preserve"> </v>
          </cell>
          <cell r="D2950">
            <v>1987</v>
          </cell>
          <cell r="E2950" t="str">
            <v>Morita Inc</v>
          </cell>
          <cell r="F2950">
            <v>13</v>
          </cell>
          <cell r="G2950">
            <v>32016</v>
          </cell>
          <cell r="I2950" t="str">
            <v>North America</v>
          </cell>
          <cell r="J2950" t="str">
            <v>USA</v>
          </cell>
          <cell r="K2950">
            <v>31228</v>
          </cell>
        </row>
        <row r="2951">
          <cell r="A2951" t="str">
            <v>In service</v>
          </cell>
          <cell r="B2951" t="str">
            <v>Gulfstream Aerospace Gulfstream IV</v>
          </cell>
          <cell r="C2951" t="str">
            <v xml:space="preserve"> </v>
          </cell>
          <cell r="D2951">
            <v>1987</v>
          </cell>
          <cell r="E2951" t="str">
            <v>Eagle Flight Systems Inc</v>
          </cell>
          <cell r="F2951">
            <v>13</v>
          </cell>
          <cell r="G2951">
            <v>32024</v>
          </cell>
          <cell r="I2951" t="str">
            <v>North America</v>
          </cell>
          <cell r="J2951" t="str">
            <v>USA</v>
          </cell>
          <cell r="K2951">
            <v>31228</v>
          </cell>
        </row>
        <row r="2952">
          <cell r="A2952" t="str">
            <v>In service</v>
          </cell>
          <cell r="B2952" t="str">
            <v>Gulfstream Aerospace Gulfstream IV</v>
          </cell>
          <cell r="C2952" t="str">
            <v xml:space="preserve"> </v>
          </cell>
          <cell r="D2952">
            <v>1987</v>
          </cell>
          <cell r="E2952" t="str">
            <v>Petersen Aviation</v>
          </cell>
          <cell r="F2952">
            <v>13</v>
          </cell>
          <cell r="G2952">
            <v>32055</v>
          </cell>
          <cell r="I2952" t="str">
            <v>North America</v>
          </cell>
          <cell r="J2952" t="str">
            <v>USA</v>
          </cell>
          <cell r="K2952">
            <v>31228</v>
          </cell>
        </row>
        <row r="2953">
          <cell r="A2953" t="str">
            <v>In service</v>
          </cell>
          <cell r="B2953" t="str">
            <v>Gulfstream Aerospace Gulfstream IV</v>
          </cell>
          <cell r="C2953" t="str">
            <v xml:space="preserve"> </v>
          </cell>
          <cell r="D2953">
            <v>1987</v>
          </cell>
          <cell r="E2953" t="str">
            <v>Government of Turkey</v>
          </cell>
          <cell r="F2953">
            <v>13</v>
          </cell>
          <cell r="G2953">
            <v>32286</v>
          </cell>
          <cell r="I2953" t="str">
            <v>Europe</v>
          </cell>
          <cell r="J2953" t="str">
            <v>Turkey</v>
          </cell>
          <cell r="K2953">
            <v>31593</v>
          </cell>
        </row>
        <row r="2954">
          <cell r="A2954" t="str">
            <v>In service</v>
          </cell>
          <cell r="B2954" t="str">
            <v>Gulfstream Aerospace Gulfstream IV</v>
          </cell>
          <cell r="C2954" t="str">
            <v xml:space="preserve"> </v>
          </cell>
          <cell r="D2954">
            <v>1987</v>
          </cell>
          <cell r="E2954" t="str">
            <v>SAH Enterprises Inc</v>
          </cell>
          <cell r="F2954">
            <v>13</v>
          </cell>
          <cell r="G2954">
            <v>32134</v>
          </cell>
          <cell r="I2954" t="str">
            <v>North America</v>
          </cell>
          <cell r="J2954" t="str">
            <v>USA</v>
          </cell>
          <cell r="K2954">
            <v>31228</v>
          </cell>
        </row>
        <row r="2955">
          <cell r="A2955" t="str">
            <v>In service</v>
          </cell>
          <cell r="B2955" t="str">
            <v>Gulfstream Aerospace Gulfstream IV</v>
          </cell>
          <cell r="C2955" t="str">
            <v xml:space="preserve"> </v>
          </cell>
          <cell r="D2955">
            <v>1987</v>
          </cell>
          <cell r="E2955" t="str">
            <v>Specialised Transportation (Bermuda) Ltd</v>
          </cell>
          <cell r="F2955">
            <v>13</v>
          </cell>
          <cell r="G2955">
            <v>32078</v>
          </cell>
          <cell r="I2955" t="str">
            <v>Latin America and Caribbean</v>
          </cell>
          <cell r="J2955" t="str">
            <v>Bermuda</v>
          </cell>
          <cell r="K2955">
            <v>31228</v>
          </cell>
        </row>
        <row r="2956">
          <cell r="A2956" t="str">
            <v>In service</v>
          </cell>
          <cell r="B2956" t="str">
            <v>Gulfstream Aerospace Gulfstream IV</v>
          </cell>
          <cell r="C2956" t="str">
            <v xml:space="preserve"> </v>
          </cell>
          <cell r="D2956">
            <v>1987</v>
          </cell>
          <cell r="E2956" t="str">
            <v>WNP Aviation Inc</v>
          </cell>
          <cell r="F2956">
            <v>13</v>
          </cell>
          <cell r="G2956">
            <v>32188</v>
          </cell>
          <cell r="I2956" t="str">
            <v>North America</v>
          </cell>
          <cell r="J2956" t="str">
            <v>USA</v>
          </cell>
          <cell r="K2956">
            <v>31593</v>
          </cell>
        </row>
        <row r="2957">
          <cell r="A2957" t="str">
            <v>In service</v>
          </cell>
          <cell r="B2957" t="str">
            <v>Gulfstream Aerospace Gulfstream IV</v>
          </cell>
          <cell r="C2957" t="str">
            <v xml:space="preserve"> </v>
          </cell>
          <cell r="D2957">
            <v>1987</v>
          </cell>
          <cell r="E2957" t="str">
            <v>Saudi Arabian Airlines</v>
          </cell>
          <cell r="F2957">
            <v>13</v>
          </cell>
          <cell r="G2957">
            <v>32827</v>
          </cell>
          <cell r="I2957" t="str">
            <v>Middle East</v>
          </cell>
          <cell r="J2957" t="str">
            <v>Saudi Arabia</v>
          </cell>
          <cell r="K2957">
            <v>31593</v>
          </cell>
        </row>
        <row r="2958">
          <cell r="A2958" t="str">
            <v>In service</v>
          </cell>
          <cell r="B2958" t="str">
            <v>Gulfstream Aerospace Gulfstream IV</v>
          </cell>
          <cell r="C2958" t="str">
            <v xml:space="preserve"> </v>
          </cell>
          <cell r="D2958">
            <v>1987</v>
          </cell>
          <cell r="E2958" t="str">
            <v>Netjets Middle East</v>
          </cell>
          <cell r="F2958">
            <v>13</v>
          </cell>
          <cell r="G2958">
            <v>31847</v>
          </cell>
          <cell r="I2958" t="str">
            <v>Middle East</v>
          </cell>
          <cell r="J2958" t="str">
            <v>Saudi Arabia</v>
          </cell>
          <cell r="K2958">
            <v>31228</v>
          </cell>
        </row>
        <row r="2959">
          <cell r="A2959" t="str">
            <v>In service</v>
          </cell>
          <cell r="B2959" t="str">
            <v>Gulfstream Aerospace Gulfstream IV</v>
          </cell>
          <cell r="C2959" t="str">
            <v xml:space="preserve"> </v>
          </cell>
          <cell r="D2959">
            <v>1987</v>
          </cell>
          <cell r="E2959" t="str">
            <v>NIKE Inc</v>
          </cell>
          <cell r="F2959">
            <v>13</v>
          </cell>
          <cell r="G2959">
            <v>32278</v>
          </cell>
          <cell r="I2959" t="str">
            <v>North America</v>
          </cell>
          <cell r="J2959" t="str">
            <v>USA</v>
          </cell>
          <cell r="K2959">
            <v>31593</v>
          </cell>
        </row>
        <row r="2960">
          <cell r="A2960" t="str">
            <v>In service</v>
          </cell>
          <cell r="B2960" t="str">
            <v>Gulfstream Aerospace Gulfstream IV</v>
          </cell>
          <cell r="C2960" t="str">
            <v xml:space="preserve"> </v>
          </cell>
          <cell r="D2960">
            <v>1987</v>
          </cell>
          <cell r="E2960" t="str">
            <v>Tenet Healthcare Corp</v>
          </cell>
          <cell r="F2960">
            <v>13</v>
          </cell>
          <cell r="G2960">
            <v>33527</v>
          </cell>
          <cell r="I2960" t="str">
            <v>North America</v>
          </cell>
          <cell r="J2960" t="str">
            <v>USA</v>
          </cell>
        </row>
        <row r="2961">
          <cell r="A2961" t="str">
            <v>In service</v>
          </cell>
          <cell r="B2961" t="str">
            <v>Gulfstream Aerospace Gulfstream IV</v>
          </cell>
          <cell r="C2961" t="str">
            <v xml:space="preserve"> </v>
          </cell>
          <cell r="D2961">
            <v>1988</v>
          </cell>
          <cell r="E2961" t="str">
            <v>Saudi Arabian Airlines</v>
          </cell>
          <cell r="F2961">
            <v>12</v>
          </cell>
          <cell r="G2961">
            <v>32777</v>
          </cell>
          <cell r="I2961" t="str">
            <v>Middle East</v>
          </cell>
          <cell r="J2961" t="str">
            <v>Saudi Arabia</v>
          </cell>
          <cell r="K2961">
            <v>31593</v>
          </cell>
        </row>
        <row r="2962">
          <cell r="A2962" t="str">
            <v>In service</v>
          </cell>
          <cell r="B2962" t="str">
            <v>Gulfstream Aerospace Gulfstream IV</v>
          </cell>
          <cell r="C2962" t="str">
            <v xml:space="preserve"> </v>
          </cell>
          <cell r="D2962">
            <v>1987</v>
          </cell>
          <cell r="E2962" t="str">
            <v>ITT Industries Inc</v>
          </cell>
          <cell r="F2962">
            <v>13</v>
          </cell>
          <cell r="G2962">
            <v>32160</v>
          </cell>
          <cell r="I2962" t="str">
            <v>North America</v>
          </cell>
          <cell r="J2962" t="str">
            <v>USA</v>
          </cell>
          <cell r="K2962">
            <v>31228</v>
          </cell>
        </row>
        <row r="2963">
          <cell r="A2963" t="str">
            <v>In service</v>
          </cell>
          <cell r="B2963" t="str">
            <v>Gulfstream Aerospace Gulfstream IV</v>
          </cell>
          <cell r="C2963" t="str">
            <v xml:space="preserve"> </v>
          </cell>
          <cell r="D2963">
            <v>1987</v>
          </cell>
          <cell r="E2963" t="str">
            <v>Raytheon Middle East Systems</v>
          </cell>
          <cell r="F2963">
            <v>13</v>
          </cell>
          <cell r="G2963">
            <v>32309</v>
          </cell>
          <cell r="I2963" t="str">
            <v>Middle East</v>
          </cell>
          <cell r="J2963" t="str">
            <v>Saudi Arabia</v>
          </cell>
          <cell r="K2963">
            <v>31593</v>
          </cell>
        </row>
        <row r="2964">
          <cell r="A2964" t="str">
            <v>In service</v>
          </cell>
          <cell r="B2964" t="str">
            <v>Gulfstream Aerospace Gulfstream IV</v>
          </cell>
          <cell r="C2964" t="str">
            <v xml:space="preserve"> </v>
          </cell>
          <cell r="D2964">
            <v>1987</v>
          </cell>
          <cell r="E2964" t="str">
            <v>Saudi Arabian Airlines</v>
          </cell>
          <cell r="F2964">
            <v>13</v>
          </cell>
          <cell r="G2964">
            <v>32827</v>
          </cell>
          <cell r="I2964" t="str">
            <v>Middle East</v>
          </cell>
          <cell r="J2964" t="str">
            <v>Saudi Arabia</v>
          </cell>
          <cell r="K2964">
            <v>31593</v>
          </cell>
        </row>
        <row r="2965">
          <cell r="A2965" t="str">
            <v>In service</v>
          </cell>
          <cell r="B2965" t="str">
            <v>Gulfstream Aerospace Gulfstream IV</v>
          </cell>
          <cell r="C2965" t="str">
            <v xml:space="preserve"> </v>
          </cell>
          <cell r="D2965">
            <v>1988</v>
          </cell>
          <cell r="E2965" t="str">
            <v>Pharmacia Corp</v>
          </cell>
          <cell r="F2965">
            <v>12</v>
          </cell>
          <cell r="G2965">
            <v>32335</v>
          </cell>
          <cell r="I2965" t="str">
            <v>North America</v>
          </cell>
          <cell r="J2965" t="str">
            <v>USA</v>
          </cell>
          <cell r="K2965">
            <v>31593</v>
          </cell>
        </row>
        <row r="2966">
          <cell r="A2966" t="str">
            <v>In service</v>
          </cell>
          <cell r="B2966" t="str">
            <v>Gulfstream Aerospace Gulfstream IV</v>
          </cell>
          <cell r="C2966" t="str">
            <v xml:space="preserve"> </v>
          </cell>
          <cell r="D2966">
            <v>1987</v>
          </cell>
          <cell r="E2966" t="str">
            <v>620 Inc</v>
          </cell>
          <cell r="F2966">
            <v>13</v>
          </cell>
          <cell r="G2966">
            <v>32188</v>
          </cell>
          <cell r="I2966" t="str">
            <v>North America</v>
          </cell>
          <cell r="J2966" t="str">
            <v>USA</v>
          </cell>
          <cell r="K2966">
            <v>31593</v>
          </cell>
        </row>
        <row r="2967">
          <cell r="A2967" t="str">
            <v>In service</v>
          </cell>
          <cell r="B2967" t="str">
            <v>Gulfstream Aerospace Gulfstream IV</v>
          </cell>
          <cell r="C2967" t="str">
            <v xml:space="preserve"> </v>
          </cell>
          <cell r="D2967">
            <v>1987</v>
          </cell>
          <cell r="E2967" t="str">
            <v>New World Jet Corp</v>
          </cell>
          <cell r="F2967">
            <v>13</v>
          </cell>
          <cell r="G2967">
            <v>32188</v>
          </cell>
          <cell r="I2967" t="str">
            <v>North America</v>
          </cell>
          <cell r="J2967" t="str">
            <v>USA</v>
          </cell>
          <cell r="K2967">
            <v>31593</v>
          </cell>
        </row>
        <row r="2968">
          <cell r="A2968" t="str">
            <v>In service</v>
          </cell>
          <cell r="B2968" t="str">
            <v>Gulfstream Aerospace Gulfstream IV</v>
          </cell>
          <cell r="C2968" t="str">
            <v xml:space="preserve"> </v>
          </cell>
          <cell r="D2968">
            <v>1987</v>
          </cell>
          <cell r="E2968" t="str">
            <v>Pelican Ltd</v>
          </cell>
          <cell r="F2968">
            <v>13</v>
          </cell>
          <cell r="G2968">
            <v>34288</v>
          </cell>
          <cell r="I2968" t="str">
            <v>Europe</v>
          </cell>
          <cell r="J2968" t="str">
            <v>Gibraltar</v>
          </cell>
        </row>
        <row r="2969">
          <cell r="A2969" t="str">
            <v>In service</v>
          </cell>
          <cell r="B2969" t="str">
            <v>Gulfstream Aerospace Gulfstream IV</v>
          </cell>
          <cell r="C2969" t="str">
            <v xml:space="preserve"> </v>
          </cell>
          <cell r="D2969">
            <v>1988</v>
          </cell>
          <cell r="E2969" t="str">
            <v>Government of Turkey</v>
          </cell>
          <cell r="F2969">
            <v>12</v>
          </cell>
          <cell r="G2969">
            <v>32378</v>
          </cell>
          <cell r="I2969" t="str">
            <v>Europe</v>
          </cell>
          <cell r="J2969" t="str">
            <v>Turkey</v>
          </cell>
          <cell r="K2969">
            <v>31593</v>
          </cell>
        </row>
        <row r="2970">
          <cell r="A2970" t="str">
            <v>In service</v>
          </cell>
          <cell r="B2970" t="str">
            <v>Gulfstream Aerospace Gulfstream IV</v>
          </cell>
          <cell r="C2970" t="str">
            <v xml:space="preserve"> </v>
          </cell>
          <cell r="D2970">
            <v>1988</v>
          </cell>
          <cell r="E2970" t="str">
            <v>Timberland Aviation Inc</v>
          </cell>
          <cell r="F2970">
            <v>12</v>
          </cell>
          <cell r="G2970">
            <v>32380</v>
          </cell>
          <cell r="I2970" t="str">
            <v>North America</v>
          </cell>
          <cell r="J2970" t="str">
            <v>USA</v>
          </cell>
          <cell r="K2970">
            <v>31593</v>
          </cell>
        </row>
        <row r="2971">
          <cell r="A2971" t="str">
            <v>In service</v>
          </cell>
          <cell r="B2971" t="str">
            <v>Gulfstream Aerospace Gulfstream IV</v>
          </cell>
          <cell r="C2971" t="str">
            <v xml:space="preserve"> </v>
          </cell>
          <cell r="D2971">
            <v>1987</v>
          </cell>
          <cell r="E2971" t="str">
            <v>Mariner Management LLC</v>
          </cell>
          <cell r="F2971">
            <v>13</v>
          </cell>
          <cell r="G2971">
            <v>32204</v>
          </cell>
          <cell r="I2971" t="str">
            <v>North America</v>
          </cell>
          <cell r="J2971" t="str">
            <v>USA</v>
          </cell>
          <cell r="K2971">
            <v>31593</v>
          </cell>
        </row>
        <row r="2972">
          <cell r="A2972" t="str">
            <v>In service</v>
          </cell>
          <cell r="B2972" t="str">
            <v>Gulfstream Aerospace Gulfstream IV</v>
          </cell>
          <cell r="C2972" t="str">
            <v xml:space="preserve"> </v>
          </cell>
          <cell r="D2972">
            <v>1988</v>
          </cell>
          <cell r="E2972" t="str">
            <v>KaiserAir Inc</v>
          </cell>
          <cell r="F2972">
            <v>12</v>
          </cell>
          <cell r="G2972">
            <v>32552</v>
          </cell>
          <cell r="I2972" t="str">
            <v>North America</v>
          </cell>
          <cell r="J2972" t="str">
            <v>USA</v>
          </cell>
          <cell r="K2972">
            <v>31958</v>
          </cell>
        </row>
        <row r="2973">
          <cell r="A2973" t="str">
            <v>In service</v>
          </cell>
          <cell r="B2973" t="str">
            <v>Gulfstream Aerospace Gulfstream IV</v>
          </cell>
          <cell r="C2973" t="str">
            <v xml:space="preserve"> </v>
          </cell>
          <cell r="D2973">
            <v>1988</v>
          </cell>
          <cell r="E2973" t="str">
            <v>Government of Egypt</v>
          </cell>
          <cell r="F2973">
            <v>12</v>
          </cell>
          <cell r="G2973">
            <v>32462</v>
          </cell>
          <cell r="I2973" t="str">
            <v>Africa</v>
          </cell>
          <cell r="J2973" t="str">
            <v>Egypt</v>
          </cell>
          <cell r="K2973">
            <v>31593</v>
          </cell>
        </row>
        <row r="2974">
          <cell r="A2974" t="str">
            <v>In service</v>
          </cell>
          <cell r="B2974" t="str">
            <v>Gulfstream Aerospace Gulfstream IV</v>
          </cell>
          <cell r="C2974" t="str">
            <v xml:space="preserve"> </v>
          </cell>
          <cell r="D2974">
            <v>1988</v>
          </cell>
          <cell r="E2974" t="str">
            <v>Cordelia Scaife May</v>
          </cell>
          <cell r="F2974">
            <v>12</v>
          </cell>
          <cell r="G2974">
            <v>32519</v>
          </cell>
          <cell r="I2974" t="str">
            <v>North America</v>
          </cell>
          <cell r="J2974" t="str">
            <v>USA</v>
          </cell>
          <cell r="K2974">
            <v>31958</v>
          </cell>
        </row>
        <row r="2975">
          <cell r="A2975" t="str">
            <v>In service</v>
          </cell>
          <cell r="B2975" t="str">
            <v>Gulfstream Aerospace Gulfstream IV</v>
          </cell>
          <cell r="C2975" t="str">
            <v xml:space="preserve"> </v>
          </cell>
          <cell r="D2975">
            <v>1987</v>
          </cell>
          <cell r="E2975" t="str">
            <v>ITT Flight Operations Inc</v>
          </cell>
          <cell r="F2975">
            <v>13</v>
          </cell>
          <cell r="G2975">
            <v>32233</v>
          </cell>
          <cell r="I2975" t="str">
            <v>North America</v>
          </cell>
          <cell r="J2975" t="str">
            <v>USA</v>
          </cell>
          <cell r="K2975">
            <v>31228</v>
          </cell>
        </row>
        <row r="2976">
          <cell r="A2976" t="str">
            <v>In service</v>
          </cell>
          <cell r="B2976" t="str">
            <v>Gulfstream Aerospace Gulfstream IV</v>
          </cell>
          <cell r="C2976" t="str">
            <v xml:space="preserve"> </v>
          </cell>
          <cell r="D2976">
            <v>1987</v>
          </cell>
          <cell r="E2976" t="str">
            <v>Citiflight Inc</v>
          </cell>
          <cell r="F2976">
            <v>13</v>
          </cell>
          <cell r="G2976">
            <v>32259</v>
          </cell>
          <cell r="I2976" t="str">
            <v>North America</v>
          </cell>
          <cell r="J2976" t="str">
            <v>USA</v>
          </cell>
          <cell r="K2976">
            <v>31593</v>
          </cell>
        </row>
        <row r="2977">
          <cell r="A2977" t="str">
            <v>In service</v>
          </cell>
          <cell r="B2977" t="str">
            <v>Gulfstream Aerospace Gulfstream IV</v>
          </cell>
          <cell r="C2977" t="str">
            <v xml:space="preserve"> </v>
          </cell>
          <cell r="D2977">
            <v>1988</v>
          </cell>
          <cell r="E2977" t="str">
            <v>DaimlerChrysler Corp</v>
          </cell>
          <cell r="F2977">
            <v>12</v>
          </cell>
          <cell r="G2977">
            <v>32741</v>
          </cell>
          <cell r="I2977" t="str">
            <v>North America</v>
          </cell>
          <cell r="J2977" t="str">
            <v>USA</v>
          </cell>
          <cell r="K2977">
            <v>31958</v>
          </cell>
        </row>
        <row r="2978">
          <cell r="A2978" t="str">
            <v>In service</v>
          </cell>
          <cell r="B2978" t="str">
            <v>Gulfstream Aerospace Gulfstream IV</v>
          </cell>
          <cell r="C2978" t="str">
            <v xml:space="preserve"> </v>
          </cell>
          <cell r="D2978">
            <v>1988</v>
          </cell>
          <cell r="E2978" t="str">
            <v>JM Family Enterprises Inc</v>
          </cell>
          <cell r="F2978">
            <v>12</v>
          </cell>
          <cell r="G2978">
            <v>32278</v>
          </cell>
          <cell r="I2978" t="str">
            <v>North America</v>
          </cell>
          <cell r="J2978" t="str">
            <v>USA</v>
          </cell>
          <cell r="K2978">
            <v>31593</v>
          </cell>
        </row>
        <row r="2979">
          <cell r="A2979" t="str">
            <v>In service</v>
          </cell>
          <cell r="B2979" t="str">
            <v>Gulfstream Aerospace Gulfstream IV</v>
          </cell>
          <cell r="C2979" t="str">
            <v xml:space="preserve"> </v>
          </cell>
          <cell r="D2979">
            <v>1988</v>
          </cell>
          <cell r="E2979" t="str">
            <v>Motorola Inc</v>
          </cell>
          <cell r="F2979">
            <v>12</v>
          </cell>
          <cell r="G2979">
            <v>32275</v>
          </cell>
          <cell r="I2979" t="str">
            <v>North America</v>
          </cell>
          <cell r="J2979" t="str">
            <v>USA</v>
          </cell>
          <cell r="K2979">
            <v>31593</v>
          </cell>
        </row>
        <row r="2980">
          <cell r="A2980" t="str">
            <v>In service</v>
          </cell>
          <cell r="B2980" t="str">
            <v>Gulfstream Aerospace Gulfstream IV</v>
          </cell>
          <cell r="C2980" t="str">
            <v xml:space="preserve"> </v>
          </cell>
          <cell r="D2980">
            <v>1988</v>
          </cell>
          <cell r="E2980" t="str">
            <v>Netjets Middle East</v>
          </cell>
          <cell r="F2980">
            <v>12</v>
          </cell>
          <cell r="G2980">
            <v>32731</v>
          </cell>
          <cell r="I2980" t="str">
            <v>Middle East</v>
          </cell>
          <cell r="J2980" t="str">
            <v>Saudi Arabia</v>
          </cell>
          <cell r="K2980">
            <v>31958</v>
          </cell>
        </row>
        <row r="2981">
          <cell r="A2981" t="str">
            <v>In service</v>
          </cell>
          <cell r="B2981" t="str">
            <v>Gulfstream Aerospace Gulfstream IV</v>
          </cell>
          <cell r="C2981" t="str">
            <v xml:space="preserve"> </v>
          </cell>
          <cell r="D2981">
            <v>1988</v>
          </cell>
          <cell r="E2981" t="str">
            <v>STN Aviation Inc</v>
          </cell>
          <cell r="F2981">
            <v>12</v>
          </cell>
          <cell r="G2981">
            <v>32294</v>
          </cell>
          <cell r="I2981" t="str">
            <v>North America</v>
          </cell>
          <cell r="J2981" t="str">
            <v>USA</v>
          </cell>
          <cell r="K2981">
            <v>31228</v>
          </cell>
        </row>
        <row r="2982">
          <cell r="A2982" t="str">
            <v>In service</v>
          </cell>
          <cell r="B2982" t="str">
            <v>Gulfstream Aerospace Gulfstream IV</v>
          </cell>
          <cell r="C2982" t="str">
            <v xml:space="preserve"> </v>
          </cell>
          <cell r="D2982">
            <v>1988</v>
          </cell>
          <cell r="E2982" t="str">
            <v>DWAL LLC</v>
          </cell>
          <cell r="F2982">
            <v>12</v>
          </cell>
          <cell r="G2982">
            <v>32297</v>
          </cell>
          <cell r="I2982" t="str">
            <v>North America</v>
          </cell>
          <cell r="J2982" t="str">
            <v>USA</v>
          </cell>
          <cell r="K2982">
            <v>31228</v>
          </cell>
        </row>
        <row r="2983">
          <cell r="A2983" t="str">
            <v>In service</v>
          </cell>
          <cell r="B2983" t="str">
            <v>Gulfstream Aerospace Gulfstream IV</v>
          </cell>
          <cell r="C2983" t="str">
            <v xml:space="preserve"> </v>
          </cell>
          <cell r="D2983">
            <v>1988</v>
          </cell>
          <cell r="E2983" t="str">
            <v>KC Aviation Inc</v>
          </cell>
          <cell r="F2983">
            <v>12</v>
          </cell>
          <cell r="G2983">
            <v>32310</v>
          </cell>
          <cell r="I2983" t="str">
            <v>North America</v>
          </cell>
          <cell r="J2983" t="str">
            <v>USA</v>
          </cell>
          <cell r="K2983">
            <v>31593</v>
          </cell>
        </row>
        <row r="2984">
          <cell r="A2984" t="str">
            <v>In service</v>
          </cell>
          <cell r="B2984" t="str">
            <v>Gulfstream Aerospace Gulfstream IV</v>
          </cell>
          <cell r="C2984" t="str">
            <v xml:space="preserve"> </v>
          </cell>
          <cell r="D2984">
            <v>1989</v>
          </cell>
          <cell r="E2984" t="str">
            <v>Worldwide Services Ltd</v>
          </cell>
          <cell r="F2984">
            <v>11</v>
          </cell>
          <cell r="G2984">
            <v>32626</v>
          </cell>
          <cell r="I2984" t="str">
            <v>North America</v>
          </cell>
          <cell r="J2984" t="str">
            <v>USA</v>
          </cell>
          <cell r="K2984">
            <v>31958</v>
          </cell>
        </row>
        <row r="2985">
          <cell r="A2985" t="str">
            <v>In service</v>
          </cell>
          <cell r="B2985" t="str">
            <v>Gulfstream Aerospace Gulfstream IV</v>
          </cell>
          <cell r="C2985" t="str">
            <v xml:space="preserve"> </v>
          </cell>
          <cell r="D2985">
            <v>1988</v>
          </cell>
          <cell r="E2985" t="str">
            <v>Reliance Transport &amp; Travel LT</v>
          </cell>
          <cell r="F2985">
            <v>12</v>
          </cell>
          <cell r="G2985">
            <v>32463</v>
          </cell>
          <cell r="I2985" t="str">
            <v>Asia</v>
          </cell>
          <cell r="J2985" t="str">
            <v>India</v>
          </cell>
          <cell r="K2985">
            <v>31593</v>
          </cell>
        </row>
        <row r="2986">
          <cell r="A2986" t="str">
            <v>In service</v>
          </cell>
          <cell r="B2986" t="str">
            <v>Gulfstream Aerospace Gulfstream IV</v>
          </cell>
          <cell r="C2986" t="str">
            <v xml:space="preserve"> </v>
          </cell>
          <cell r="D2986">
            <v>1988</v>
          </cell>
          <cell r="E2986" t="str">
            <v>Prince Karim Aga Khan</v>
          </cell>
          <cell r="F2986">
            <v>12</v>
          </cell>
          <cell r="G2986">
            <v>32330</v>
          </cell>
          <cell r="I2986" t="str">
            <v>Europe</v>
          </cell>
          <cell r="J2986" t="str">
            <v>Switzerland</v>
          </cell>
          <cell r="K2986">
            <v>31958</v>
          </cell>
        </row>
        <row r="2987">
          <cell r="A2987" t="str">
            <v>In service</v>
          </cell>
          <cell r="B2987" t="str">
            <v>Gulfstream Aerospace Gulfstream IV</v>
          </cell>
          <cell r="C2987" t="str">
            <v xml:space="preserve"> </v>
          </cell>
          <cell r="D2987">
            <v>1988</v>
          </cell>
          <cell r="E2987" t="str">
            <v>MSF Aviation Ltd</v>
          </cell>
          <cell r="F2987">
            <v>12</v>
          </cell>
          <cell r="G2987">
            <v>32337</v>
          </cell>
          <cell r="I2987" t="str">
            <v>Latin America and Caribbean</v>
          </cell>
          <cell r="J2987" t="str">
            <v>Cayman Islands</v>
          </cell>
          <cell r="K2987">
            <v>31593</v>
          </cell>
        </row>
        <row r="2988">
          <cell r="A2988" t="str">
            <v>In service</v>
          </cell>
          <cell r="B2988" t="str">
            <v>Gulfstream Aerospace Gulfstream IV</v>
          </cell>
          <cell r="C2988" t="str">
            <v xml:space="preserve"> </v>
          </cell>
          <cell r="D2988">
            <v>1988</v>
          </cell>
          <cell r="E2988" t="str">
            <v>Tyco Healthcare Group LP</v>
          </cell>
          <cell r="F2988">
            <v>12</v>
          </cell>
          <cell r="G2988">
            <v>32489</v>
          </cell>
          <cell r="I2988" t="str">
            <v>North America</v>
          </cell>
          <cell r="J2988" t="str">
            <v>USA</v>
          </cell>
          <cell r="K2988">
            <v>31593</v>
          </cell>
        </row>
        <row r="2989">
          <cell r="A2989" t="str">
            <v>In service</v>
          </cell>
          <cell r="B2989" t="str">
            <v>Gulfstream Aerospace Gulfstream IV</v>
          </cell>
          <cell r="C2989" t="str">
            <v xml:space="preserve"> </v>
          </cell>
          <cell r="D2989">
            <v>1988</v>
          </cell>
          <cell r="E2989" t="str">
            <v>Petersen Aviation</v>
          </cell>
          <cell r="F2989">
            <v>12</v>
          </cell>
          <cell r="G2989">
            <v>32346</v>
          </cell>
          <cell r="I2989" t="str">
            <v>North America</v>
          </cell>
          <cell r="J2989" t="str">
            <v>USA</v>
          </cell>
          <cell r="K2989">
            <v>31593</v>
          </cell>
        </row>
        <row r="2990">
          <cell r="A2990" t="str">
            <v>In service</v>
          </cell>
          <cell r="B2990" t="str">
            <v>Gulfstream Aerospace Gulfstream IV</v>
          </cell>
          <cell r="C2990" t="str">
            <v xml:space="preserve"> </v>
          </cell>
          <cell r="D2990">
            <v>1988</v>
          </cell>
          <cell r="E2990" t="str">
            <v>ConocoPhillips Co</v>
          </cell>
          <cell r="F2990">
            <v>12</v>
          </cell>
          <cell r="G2990">
            <v>32324</v>
          </cell>
          <cell r="I2990" t="str">
            <v>North America</v>
          </cell>
          <cell r="J2990" t="str">
            <v>USA</v>
          </cell>
          <cell r="K2990">
            <v>31593</v>
          </cell>
        </row>
        <row r="2991">
          <cell r="A2991" t="str">
            <v>In service</v>
          </cell>
          <cell r="B2991" t="str">
            <v>Gulfstream Aerospace Gulfstream IV</v>
          </cell>
          <cell r="C2991" t="str">
            <v xml:space="preserve"> </v>
          </cell>
          <cell r="D2991">
            <v>1988</v>
          </cell>
          <cell r="E2991" t="str">
            <v>R J Reynolds Tobacco Co</v>
          </cell>
          <cell r="F2991">
            <v>12</v>
          </cell>
          <cell r="G2991">
            <v>32358</v>
          </cell>
          <cell r="I2991" t="str">
            <v>North America</v>
          </cell>
          <cell r="J2991" t="str">
            <v>USA</v>
          </cell>
          <cell r="K2991">
            <v>31593</v>
          </cell>
        </row>
        <row r="2992">
          <cell r="A2992" t="str">
            <v>In service</v>
          </cell>
          <cell r="B2992" t="str">
            <v>Gulfstream Aerospace Gulfstream IV</v>
          </cell>
          <cell r="C2992" t="str">
            <v xml:space="preserve"> </v>
          </cell>
          <cell r="D2992">
            <v>1988</v>
          </cell>
          <cell r="E2992" t="str">
            <v>Loral SpaceCom Corp</v>
          </cell>
          <cell r="F2992">
            <v>12</v>
          </cell>
          <cell r="G2992">
            <v>32353</v>
          </cell>
          <cell r="I2992" t="str">
            <v>North America</v>
          </cell>
          <cell r="J2992" t="str">
            <v>USA</v>
          </cell>
          <cell r="K2992">
            <v>31593</v>
          </cell>
        </row>
        <row r="2993">
          <cell r="A2993" t="str">
            <v>In service</v>
          </cell>
          <cell r="B2993" t="str">
            <v>Gulfstream Aerospace Gulfstream IV</v>
          </cell>
          <cell r="C2993" t="str">
            <v xml:space="preserve"> </v>
          </cell>
          <cell r="D2993">
            <v>1989</v>
          </cell>
          <cell r="E2993" t="str">
            <v>Prudential Insurance Company of America</v>
          </cell>
          <cell r="F2993">
            <v>11</v>
          </cell>
          <cell r="G2993">
            <v>32821</v>
          </cell>
          <cell r="I2993" t="str">
            <v>North America</v>
          </cell>
          <cell r="J2993" t="str">
            <v>USA</v>
          </cell>
          <cell r="K2993">
            <v>31958</v>
          </cell>
        </row>
        <row r="2994">
          <cell r="A2994" t="str">
            <v>In service</v>
          </cell>
          <cell r="B2994" t="str">
            <v>Gulfstream Aerospace Gulfstream IV</v>
          </cell>
          <cell r="C2994" t="str">
            <v xml:space="preserve"> </v>
          </cell>
          <cell r="D2994">
            <v>1988</v>
          </cell>
          <cell r="E2994" t="str">
            <v>Saudi ARAMCO Aviation</v>
          </cell>
          <cell r="F2994">
            <v>12</v>
          </cell>
          <cell r="G2994">
            <v>32388</v>
          </cell>
          <cell r="I2994" t="str">
            <v>Middle East</v>
          </cell>
          <cell r="J2994" t="str">
            <v>Saudi Arabia</v>
          </cell>
          <cell r="K2994">
            <v>31228</v>
          </cell>
        </row>
        <row r="2995">
          <cell r="A2995" t="str">
            <v>In service</v>
          </cell>
          <cell r="B2995" t="str">
            <v>Gulfstream Aerospace Gulfstream IV</v>
          </cell>
          <cell r="C2995" t="str">
            <v xml:space="preserve"> </v>
          </cell>
          <cell r="D2995">
            <v>1988</v>
          </cell>
          <cell r="E2995" t="str">
            <v>Saudi ARAMCO Aviation</v>
          </cell>
          <cell r="F2995">
            <v>12</v>
          </cell>
          <cell r="G2995">
            <v>32400</v>
          </cell>
          <cell r="I2995" t="str">
            <v>Middle East</v>
          </cell>
          <cell r="J2995" t="str">
            <v>Saudi Arabia</v>
          </cell>
          <cell r="K2995">
            <v>31228</v>
          </cell>
        </row>
        <row r="2996">
          <cell r="A2996" t="str">
            <v>In service</v>
          </cell>
          <cell r="B2996" t="str">
            <v>Gulfstream Aerospace Gulfstream IV</v>
          </cell>
          <cell r="C2996" t="str">
            <v xml:space="preserve"> </v>
          </cell>
          <cell r="D2996">
            <v>1988</v>
          </cell>
          <cell r="E2996" t="str">
            <v>FAA / US DoT</v>
          </cell>
          <cell r="F2996">
            <v>12</v>
          </cell>
          <cell r="G2996">
            <v>32674</v>
          </cell>
          <cell r="I2996" t="str">
            <v>North America</v>
          </cell>
          <cell r="J2996" t="str">
            <v>USA</v>
          </cell>
          <cell r="K2996">
            <v>31943</v>
          </cell>
        </row>
        <row r="2997">
          <cell r="A2997" t="str">
            <v>In service</v>
          </cell>
          <cell r="B2997" t="str">
            <v>Gulfstream Aerospace Gulfstream IV</v>
          </cell>
          <cell r="C2997" t="str">
            <v xml:space="preserve"> </v>
          </cell>
          <cell r="D2997">
            <v>1989</v>
          </cell>
          <cell r="E2997" t="str">
            <v>Exxon Centre Services</v>
          </cell>
          <cell r="F2997">
            <v>11</v>
          </cell>
          <cell r="G2997">
            <v>32652</v>
          </cell>
          <cell r="I2997" t="str">
            <v>North America</v>
          </cell>
          <cell r="J2997" t="str">
            <v>USA</v>
          </cell>
          <cell r="K2997">
            <v>31958</v>
          </cell>
        </row>
        <row r="2998">
          <cell r="A2998" t="str">
            <v>In service</v>
          </cell>
          <cell r="B2998" t="str">
            <v>Gulfstream Aerospace Gulfstream IV</v>
          </cell>
          <cell r="C2998" t="str">
            <v xml:space="preserve"> </v>
          </cell>
          <cell r="D2998">
            <v>1988</v>
          </cell>
          <cell r="E2998" t="str">
            <v>Solar II Inc</v>
          </cell>
          <cell r="F2998">
            <v>12</v>
          </cell>
          <cell r="G2998">
            <v>32423</v>
          </cell>
          <cell r="I2998" t="str">
            <v>North America</v>
          </cell>
          <cell r="J2998" t="str">
            <v>USA</v>
          </cell>
          <cell r="K2998">
            <v>31593</v>
          </cell>
        </row>
        <row r="2999">
          <cell r="A2999" t="str">
            <v>In service</v>
          </cell>
          <cell r="B2999" t="str">
            <v>Gulfstream Aerospace Gulfstream IV</v>
          </cell>
          <cell r="C2999" t="str">
            <v xml:space="preserve"> </v>
          </cell>
          <cell r="D2999">
            <v>1989</v>
          </cell>
          <cell r="E2999" t="str">
            <v>Natascha Establishment Ltd</v>
          </cell>
          <cell r="F2999">
            <v>11</v>
          </cell>
          <cell r="G2999">
            <v>32609</v>
          </cell>
          <cell r="I2999" t="str">
            <v>Latin America and Caribbean</v>
          </cell>
          <cell r="J2999" t="str">
            <v>Bermuda</v>
          </cell>
          <cell r="K2999">
            <v>31958</v>
          </cell>
        </row>
        <row r="3000">
          <cell r="A3000" t="str">
            <v>In service</v>
          </cell>
          <cell r="B3000" t="str">
            <v>Gulfstream Aerospace Gulfstream IV</v>
          </cell>
          <cell r="C3000" t="str">
            <v xml:space="preserve"> </v>
          </cell>
          <cell r="D3000">
            <v>1988</v>
          </cell>
          <cell r="E3000" t="str">
            <v>Liamaj Aviation Inc</v>
          </cell>
          <cell r="F3000">
            <v>12</v>
          </cell>
          <cell r="G3000">
            <v>32426</v>
          </cell>
          <cell r="I3000" t="str">
            <v>North America</v>
          </cell>
          <cell r="J3000" t="str">
            <v>USA</v>
          </cell>
          <cell r="K3000">
            <v>31958</v>
          </cell>
        </row>
        <row r="3001">
          <cell r="A3001" t="str">
            <v>In service</v>
          </cell>
          <cell r="B3001" t="str">
            <v>Gulfstream Aerospace Gulfstream IV</v>
          </cell>
          <cell r="C3001" t="str">
            <v xml:space="preserve"> </v>
          </cell>
          <cell r="D3001">
            <v>1989</v>
          </cell>
          <cell r="E3001" t="str">
            <v>Templeton Asset Management Ltd</v>
          </cell>
          <cell r="F3001">
            <v>11</v>
          </cell>
          <cell r="G3001">
            <v>32829</v>
          </cell>
          <cell r="I3001" t="str">
            <v>Asia</v>
          </cell>
          <cell r="J3001" t="str">
            <v>Singapore</v>
          </cell>
          <cell r="K3001">
            <v>31958</v>
          </cell>
        </row>
        <row r="3002">
          <cell r="A3002" t="str">
            <v>In service</v>
          </cell>
          <cell r="B3002" t="str">
            <v>Gulfstream Aerospace Gulfstream IV</v>
          </cell>
          <cell r="C3002" t="str">
            <v xml:space="preserve"> </v>
          </cell>
          <cell r="D3002">
            <v>1988</v>
          </cell>
          <cell r="E3002" t="str">
            <v>Dankjold Reed Aviation LLC</v>
          </cell>
          <cell r="F3002">
            <v>12</v>
          </cell>
          <cell r="G3002">
            <v>32447</v>
          </cell>
          <cell r="I3002" t="str">
            <v>North America</v>
          </cell>
          <cell r="J3002" t="str">
            <v>USA</v>
          </cell>
          <cell r="K3002">
            <v>31593</v>
          </cell>
        </row>
        <row r="3003">
          <cell r="A3003" t="str">
            <v>In service</v>
          </cell>
          <cell r="B3003" t="str">
            <v>Gulfstream Aerospace Gulfstream IV</v>
          </cell>
          <cell r="C3003" t="str">
            <v xml:space="preserve"> </v>
          </cell>
          <cell r="D3003">
            <v>1989</v>
          </cell>
          <cell r="E3003" t="str">
            <v>Shell Aircraft Ltd</v>
          </cell>
          <cell r="F3003">
            <v>11</v>
          </cell>
          <cell r="G3003">
            <v>32805</v>
          </cell>
          <cell r="I3003" t="str">
            <v>Europe</v>
          </cell>
          <cell r="J3003" t="str">
            <v>United Kingdom</v>
          </cell>
          <cell r="K3003">
            <v>31958</v>
          </cell>
        </row>
        <row r="3004">
          <cell r="A3004" t="str">
            <v>In service</v>
          </cell>
          <cell r="B3004" t="str">
            <v>Gulfstream Aerospace Gulfstream IV</v>
          </cell>
          <cell r="C3004" t="str">
            <v xml:space="preserve"> </v>
          </cell>
          <cell r="D3004">
            <v>1989</v>
          </cell>
          <cell r="E3004" t="str">
            <v>Wham Leasing Corp</v>
          </cell>
          <cell r="F3004">
            <v>11</v>
          </cell>
          <cell r="G3004">
            <v>32689</v>
          </cell>
          <cell r="I3004" t="str">
            <v>North America</v>
          </cell>
          <cell r="J3004" t="str">
            <v>USA</v>
          </cell>
          <cell r="K3004">
            <v>32324</v>
          </cell>
        </row>
        <row r="3005">
          <cell r="A3005" t="str">
            <v>In service</v>
          </cell>
          <cell r="B3005" t="str">
            <v>Gulfstream Aerospace Gulfstream IV</v>
          </cell>
          <cell r="C3005" t="str">
            <v xml:space="preserve"> </v>
          </cell>
          <cell r="D3005">
            <v>1988</v>
          </cell>
          <cell r="E3005" t="str">
            <v>Oxy Petroleum Inc</v>
          </cell>
          <cell r="F3005">
            <v>12</v>
          </cell>
          <cell r="G3005">
            <v>32478</v>
          </cell>
          <cell r="I3005" t="str">
            <v>North America</v>
          </cell>
          <cell r="J3005" t="str">
            <v>USA</v>
          </cell>
          <cell r="K3005">
            <v>31593</v>
          </cell>
        </row>
        <row r="3006">
          <cell r="A3006" t="str">
            <v>In service</v>
          </cell>
          <cell r="B3006" t="str">
            <v>Gulfstream Aerospace Gulfstream IV</v>
          </cell>
          <cell r="C3006" t="str">
            <v xml:space="preserve"> </v>
          </cell>
          <cell r="D3006">
            <v>1988</v>
          </cell>
          <cell r="E3006" t="str">
            <v>Management Investments Enterprises LLC</v>
          </cell>
          <cell r="F3006">
            <v>12</v>
          </cell>
          <cell r="G3006">
            <v>32476</v>
          </cell>
          <cell r="I3006" t="str">
            <v>North America</v>
          </cell>
          <cell r="J3006" t="str">
            <v>USA</v>
          </cell>
          <cell r="K3006">
            <v>31958</v>
          </cell>
        </row>
        <row r="3007">
          <cell r="A3007" t="str">
            <v>In service</v>
          </cell>
          <cell r="B3007" t="str">
            <v>Gulfstream Aerospace Gulfstream IV</v>
          </cell>
          <cell r="C3007" t="str">
            <v xml:space="preserve"> </v>
          </cell>
          <cell r="D3007">
            <v>1988</v>
          </cell>
          <cell r="E3007" t="str">
            <v>Burlington Resources Oil &amp; Gas Co</v>
          </cell>
          <cell r="F3007">
            <v>12</v>
          </cell>
          <cell r="G3007">
            <v>32498</v>
          </cell>
          <cell r="I3007" t="str">
            <v>North America</v>
          </cell>
          <cell r="J3007" t="str">
            <v>USA</v>
          </cell>
          <cell r="K3007">
            <v>31958</v>
          </cell>
        </row>
        <row r="3008">
          <cell r="A3008" t="str">
            <v>In service</v>
          </cell>
          <cell r="B3008" t="str">
            <v>Gulfstream Aerospace Gulfstream IV</v>
          </cell>
          <cell r="C3008" t="str">
            <v xml:space="preserve"> </v>
          </cell>
          <cell r="D3008">
            <v>1988</v>
          </cell>
          <cell r="E3008" t="str">
            <v>Crown Ltd</v>
          </cell>
          <cell r="F3008">
            <v>12</v>
          </cell>
          <cell r="G3008">
            <v>32766</v>
          </cell>
          <cell r="I3008" t="str">
            <v>Australasia</v>
          </cell>
          <cell r="J3008" t="str">
            <v>Australia</v>
          </cell>
          <cell r="K3008">
            <v>31958</v>
          </cell>
        </row>
        <row r="3009">
          <cell r="A3009" t="str">
            <v>In service</v>
          </cell>
          <cell r="B3009" t="str">
            <v>Gulfstream Aerospace Gulfstream IV</v>
          </cell>
          <cell r="C3009" t="str">
            <v xml:space="preserve"> </v>
          </cell>
          <cell r="D3009">
            <v>1989</v>
          </cell>
          <cell r="E3009" t="str">
            <v>Sit-Set Aviation AG</v>
          </cell>
          <cell r="F3009">
            <v>11</v>
          </cell>
          <cell r="G3009">
            <v>32746</v>
          </cell>
          <cell r="I3009" t="str">
            <v>Europe</v>
          </cell>
          <cell r="J3009" t="str">
            <v>Switzerland</v>
          </cell>
          <cell r="K3009">
            <v>31958</v>
          </cell>
        </row>
        <row r="3010">
          <cell r="A3010" t="str">
            <v>In service</v>
          </cell>
          <cell r="B3010" t="str">
            <v>Gulfstream Aerospace Gulfstream IV</v>
          </cell>
          <cell r="C3010" t="str">
            <v xml:space="preserve"> </v>
          </cell>
          <cell r="D3010">
            <v>1988</v>
          </cell>
          <cell r="E3010" t="str">
            <v>Petersen Aviation</v>
          </cell>
          <cell r="F3010">
            <v>12</v>
          </cell>
          <cell r="G3010">
            <v>32506</v>
          </cell>
          <cell r="I3010" t="str">
            <v>North America</v>
          </cell>
          <cell r="J3010" t="str">
            <v>USA</v>
          </cell>
          <cell r="K3010">
            <v>31958</v>
          </cell>
        </row>
        <row r="3011">
          <cell r="A3011" t="str">
            <v>In service</v>
          </cell>
          <cell r="B3011" t="str">
            <v>Gulfstream Aerospace Gulfstream IV</v>
          </cell>
          <cell r="C3011" t="str">
            <v xml:space="preserve"> </v>
          </cell>
          <cell r="D3011">
            <v>1988</v>
          </cell>
          <cell r="E3011" t="str">
            <v>Stockwood Inc</v>
          </cell>
          <cell r="F3011">
            <v>12</v>
          </cell>
          <cell r="G3011">
            <v>32506</v>
          </cell>
          <cell r="I3011" t="str">
            <v>North America</v>
          </cell>
          <cell r="J3011" t="str">
            <v>USA</v>
          </cell>
          <cell r="K3011">
            <v>31958</v>
          </cell>
        </row>
        <row r="3012">
          <cell r="A3012" t="str">
            <v>In service</v>
          </cell>
          <cell r="B3012" t="str">
            <v>Gulfstream Aerospace Gulfstream IV</v>
          </cell>
          <cell r="C3012" t="str">
            <v xml:space="preserve"> </v>
          </cell>
          <cell r="D3012">
            <v>1989</v>
          </cell>
          <cell r="E3012" t="str">
            <v>AirFlite</v>
          </cell>
          <cell r="F3012">
            <v>11</v>
          </cell>
          <cell r="G3012">
            <v>32560</v>
          </cell>
          <cell r="I3012" t="str">
            <v>North America</v>
          </cell>
          <cell r="J3012" t="str">
            <v>USA</v>
          </cell>
          <cell r="K3012">
            <v>31958</v>
          </cell>
        </row>
        <row r="3013">
          <cell r="A3013" t="str">
            <v>In service</v>
          </cell>
          <cell r="B3013" t="str">
            <v>Gulfstream Aerospace Gulfstream IV</v>
          </cell>
          <cell r="C3013" t="str">
            <v xml:space="preserve"> </v>
          </cell>
          <cell r="D3013">
            <v>1989</v>
          </cell>
          <cell r="E3013" t="str">
            <v>Exxon Mobil Corp</v>
          </cell>
          <cell r="F3013">
            <v>11</v>
          </cell>
          <cell r="G3013">
            <v>32561</v>
          </cell>
          <cell r="I3013" t="str">
            <v>North America</v>
          </cell>
          <cell r="J3013" t="str">
            <v>USA</v>
          </cell>
          <cell r="K3013">
            <v>31958</v>
          </cell>
        </row>
        <row r="3014">
          <cell r="A3014" t="str">
            <v>In service</v>
          </cell>
          <cell r="B3014" t="str">
            <v>Gulfstream Aerospace Gulfstream IV</v>
          </cell>
          <cell r="C3014" t="str">
            <v xml:space="preserve"> </v>
          </cell>
          <cell r="D3014">
            <v>1989</v>
          </cell>
          <cell r="E3014" t="str">
            <v>Chilean Air Force</v>
          </cell>
          <cell r="F3014">
            <v>11</v>
          </cell>
          <cell r="G3014">
            <v>32566</v>
          </cell>
          <cell r="I3014" t="str">
            <v>Latin America and Caribbean</v>
          </cell>
          <cell r="J3014" t="str">
            <v>Chile</v>
          </cell>
          <cell r="K3014">
            <v>31593</v>
          </cell>
        </row>
        <row r="3015">
          <cell r="A3015" t="str">
            <v>In service</v>
          </cell>
          <cell r="B3015" t="str">
            <v>Gulfstream Aerospace Gulfstream IV</v>
          </cell>
          <cell r="C3015" t="str">
            <v xml:space="preserve"> </v>
          </cell>
          <cell r="D3015">
            <v>1989</v>
          </cell>
          <cell r="E3015" t="str">
            <v>JetFly Aviation Ltd</v>
          </cell>
          <cell r="F3015">
            <v>11</v>
          </cell>
          <cell r="G3015">
            <v>32947</v>
          </cell>
          <cell r="I3015" t="str">
            <v>Latin America and Caribbean</v>
          </cell>
          <cell r="J3015" t="str">
            <v>Cayman Islands</v>
          </cell>
          <cell r="K3015">
            <v>32324</v>
          </cell>
        </row>
        <row r="3016">
          <cell r="A3016" t="str">
            <v>In service</v>
          </cell>
          <cell r="B3016" t="str">
            <v>Gulfstream Aerospace Gulfstream IV</v>
          </cell>
          <cell r="C3016" t="str">
            <v xml:space="preserve"> </v>
          </cell>
          <cell r="D3016">
            <v>1989</v>
          </cell>
          <cell r="E3016" t="str">
            <v>General Electric Company</v>
          </cell>
          <cell r="F3016">
            <v>11</v>
          </cell>
          <cell r="G3016">
            <v>32583</v>
          </cell>
          <cell r="I3016" t="str">
            <v>North America</v>
          </cell>
          <cell r="J3016" t="str">
            <v>USA</v>
          </cell>
          <cell r="K3016">
            <v>31958</v>
          </cell>
        </row>
        <row r="3017">
          <cell r="A3017" t="str">
            <v>In service</v>
          </cell>
          <cell r="B3017" t="str">
            <v>Gulfstream Aerospace Gulfstream IV</v>
          </cell>
          <cell r="C3017" t="str">
            <v xml:space="preserve"> </v>
          </cell>
          <cell r="D3017">
            <v>1989</v>
          </cell>
          <cell r="E3017" t="str">
            <v>NBL LLC</v>
          </cell>
          <cell r="F3017">
            <v>11</v>
          </cell>
          <cell r="G3017">
            <v>32590</v>
          </cell>
          <cell r="I3017" t="str">
            <v>North America</v>
          </cell>
          <cell r="J3017" t="str">
            <v>USA</v>
          </cell>
          <cell r="K3017">
            <v>31958</v>
          </cell>
        </row>
        <row r="3018">
          <cell r="A3018" t="str">
            <v>In service</v>
          </cell>
          <cell r="B3018" t="str">
            <v>Gulfstream Aerospace Gulfstream IV</v>
          </cell>
          <cell r="C3018" t="str">
            <v xml:space="preserve"> </v>
          </cell>
          <cell r="D3018">
            <v>1989</v>
          </cell>
          <cell r="E3018" t="str">
            <v>Ogden Flight Services Group Inc</v>
          </cell>
          <cell r="F3018">
            <v>11</v>
          </cell>
          <cell r="G3018">
            <v>32857</v>
          </cell>
          <cell r="I3018" t="str">
            <v>North America</v>
          </cell>
          <cell r="J3018" t="str">
            <v>USA</v>
          </cell>
          <cell r="K3018">
            <v>31958</v>
          </cell>
        </row>
        <row r="3019">
          <cell r="A3019" t="str">
            <v>In service</v>
          </cell>
          <cell r="B3019" t="str">
            <v>Gulfstream Aerospace Gulfstream IV</v>
          </cell>
          <cell r="C3019" t="str">
            <v xml:space="preserve"> </v>
          </cell>
          <cell r="D3019">
            <v>1989</v>
          </cell>
          <cell r="E3019" t="str">
            <v>Exxon Mobil Corp</v>
          </cell>
          <cell r="F3019">
            <v>11</v>
          </cell>
          <cell r="G3019">
            <v>32611</v>
          </cell>
          <cell r="I3019" t="str">
            <v>North America</v>
          </cell>
          <cell r="J3019" t="str">
            <v>USA</v>
          </cell>
          <cell r="K3019">
            <v>31958</v>
          </cell>
        </row>
        <row r="3020">
          <cell r="A3020" t="str">
            <v>In service</v>
          </cell>
          <cell r="B3020" t="str">
            <v>Gulfstream Aerospace Gulfstream IV</v>
          </cell>
          <cell r="C3020" t="str">
            <v xml:space="preserve"> </v>
          </cell>
          <cell r="D3020">
            <v>1989</v>
          </cell>
          <cell r="E3020" t="str">
            <v>Eli Lilly International Corp</v>
          </cell>
          <cell r="F3020">
            <v>11</v>
          </cell>
          <cell r="G3020">
            <v>32619</v>
          </cell>
          <cell r="I3020" t="str">
            <v>North America</v>
          </cell>
          <cell r="J3020" t="str">
            <v>USA</v>
          </cell>
          <cell r="K3020">
            <v>31958</v>
          </cell>
        </row>
        <row r="3021">
          <cell r="A3021" t="str">
            <v>In service</v>
          </cell>
          <cell r="B3021" t="str">
            <v>Gulfstream Aerospace Gulfstream IV</v>
          </cell>
          <cell r="C3021" t="str">
            <v xml:space="preserve"> </v>
          </cell>
          <cell r="D3021">
            <v>1989</v>
          </cell>
          <cell r="E3021" t="str">
            <v>Rolls-Royce</v>
          </cell>
          <cell r="F3021">
            <v>11</v>
          </cell>
          <cell r="G3021">
            <v>32857</v>
          </cell>
          <cell r="I3021" t="str">
            <v>Europe</v>
          </cell>
          <cell r="J3021" t="str">
            <v>United Kingdom</v>
          </cell>
          <cell r="K3021">
            <v>31958</v>
          </cell>
        </row>
        <row r="3022">
          <cell r="A3022" t="str">
            <v>In service</v>
          </cell>
          <cell r="B3022" t="str">
            <v>Gulfstream Aerospace Gulfstream IV</v>
          </cell>
          <cell r="C3022" t="str">
            <v xml:space="preserve"> </v>
          </cell>
          <cell r="D3022">
            <v>1989</v>
          </cell>
          <cell r="E3022" t="str">
            <v>ABT Flight Inc</v>
          </cell>
          <cell r="F3022">
            <v>11</v>
          </cell>
          <cell r="G3022">
            <v>32637</v>
          </cell>
          <cell r="I3022" t="str">
            <v>North America</v>
          </cell>
          <cell r="J3022" t="str">
            <v>USA</v>
          </cell>
          <cell r="K3022">
            <v>31958</v>
          </cell>
        </row>
        <row r="3023">
          <cell r="A3023" t="str">
            <v>In service</v>
          </cell>
          <cell r="B3023" t="str">
            <v>Gulfstream Aerospace Gulfstream IV</v>
          </cell>
          <cell r="C3023" t="str">
            <v xml:space="preserve"> </v>
          </cell>
          <cell r="D3023">
            <v>1989</v>
          </cell>
          <cell r="E3023" t="str">
            <v>Wings Venture Ltd</v>
          </cell>
          <cell r="F3023">
            <v>11</v>
          </cell>
          <cell r="G3023">
            <v>32660</v>
          </cell>
          <cell r="I3023" t="str">
            <v>North America</v>
          </cell>
          <cell r="J3023" t="str">
            <v>USA</v>
          </cell>
          <cell r="K3023">
            <v>31958</v>
          </cell>
        </row>
        <row r="3024">
          <cell r="A3024" t="str">
            <v>In service</v>
          </cell>
          <cell r="B3024" t="str">
            <v>Gulfstream Aerospace Gulfstream IV</v>
          </cell>
          <cell r="C3024" t="str">
            <v xml:space="preserve"> </v>
          </cell>
          <cell r="D3024">
            <v>1989</v>
          </cell>
          <cell r="E3024" t="str">
            <v>CKE Associates LLC</v>
          </cell>
          <cell r="F3024">
            <v>11</v>
          </cell>
          <cell r="G3024">
            <v>32780</v>
          </cell>
          <cell r="I3024" t="str">
            <v>North America</v>
          </cell>
          <cell r="J3024" t="str">
            <v>USA</v>
          </cell>
          <cell r="K3024">
            <v>31958</v>
          </cell>
        </row>
        <row r="3025">
          <cell r="A3025" t="str">
            <v>In service</v>
          </cell>
          <cell r="B3025" t="str">
            <v>Gulfstream Aerospace Gulfstream IV</v>
          </cell>
          <cell r="C3025" t="str">
            <v xml:space="preserve"> </v>
          </cell>
          <cell r="D3025">
            <v>1989</v>
          </cell>
          <cell r="E3025" t="str">
            <v>GC Pacific Landing Corp</v>
          </cell>
          <cell r="F3025">
            <v>11</v>
          </cell>
          <cell r="G3025">
            <v>32668</v>
          </cell>
          <cell r="I3025" t="str">
            <v>Latin America and Caribbean</v>
          </cell>
          <cell r="J3025" t="str">
            <v>Bermuda</v>
          </cell>
          <cell r="K3025">
            <v>31958</v>
          </cell>
        </row>
        <row r="3026">
          <cell r="A3026" t="str">
            <v>In service</v>
          </cell>
          <cell r="B3026" t="str">
            <v>Gulfstream Aerospace Gulfstream IV</v>
          </cell>
          <cell r="C3026" t="str">
            <v xml:space="preserve"> </v>
          </cell>
          <cell r="D3026">
            <v>1989</v>
          </cell>
          <cell r="E3026" t="str">
            <v>General Electric Company</v>
          </cell>
          <cell r="F3026">
            <v>11</v>
          </cell>
          <cell r="G3026">
            <v>32675</v>
          </cell>
          <cell r="I3026" t="str">
            <v>North America</v>
          </cell>
          <cell r="J3026" t="str">
            <v>USA</v>
          </cell>
          <cell r="K3026">
            <v>31958</v>
          </cell>
        </row>
        <row r="3027">
          <cell r="A3027" t="str">
            <v>In service</v>
          </cell>
          <cell r="B3027" t="str">
            <v>Gulfstream Aerospace Gulfstream IV</v>
          </cell>
          <cell r="C3027" t="str">
            <v xml:space="preserve"> </v>
          </cell>
          <cell r="D3027">
            <v>1989</v>
          </cell>
          <cell r="E3027" t="str">
            <v>BP Amoco Corp</v>
          </cell>
          <cell r="F3027">
            <v>11</v>
          </cell>
          <cell r="G3027">
            <v>32687</v>
          </cell>
          <cell r="I3027" t="str">
            <v>North America</v>
          </cell>
          <cell r="J3027" t="str">
            <v>USA</v>
          </cell>
          <cell r="K3027">
            <v>31958</v>
          </cell>
        </row>
        <row r="3028">
          <cell r="A3028" t="str">
            <v>In service</v>
          </cell>
          <cell r="B3028" t="str">
            <v>Gulfstream Aerospace Gulfstream IV</v>
          </cell>
          <cell r="C3028" t="str">
            <v xml:space="preserve"> </v>
          </cell>
          <cell r="D3028">
            <v>1989</v>
          </cell>
          <cell r="E3028" t="str">
            <v>Fordair</v>
          </cell>
          <cell r="F3028">
            <v>11</v>
          </cell>
          <cell r="G3028">
            <v>32692</v>
          </cell>
          <cell r="I3028" t="str">
            <v>Europe</v>
          </cell>
          <cell r="J3028" t="str">
            <v>United Kingdom</v>
          </cell>
          <cell r="K3028">
            <v>31958</v>
          </cell>
        </row>
        <row r="3029">
          <cell r="A3029" t="str">
            <v>In service</v>
          </cell>
          <cell r="B3029" t="str">
            <v>Gulfstream Aerospace Gulfstream IV</v>
          </cell>
          <cell r="C3029" t="str">
            <v xml:space="preserve"> </v>
          </cell>
          <cell r="D3029">
            <v>1989</v>
          </cell>
          <cell r="E3029" t="str">
            <v>MC Group</v>
          </cell>
          <cell r="F3029">
            <v>11</v>
          </cell>
          <cell r="G3029">
            <v>32884</v>
          </cell>
          <cell r="I3029" t="str">
            <v>North America</v>
          </cell>
          <cell r="J3029" t="str">
            <v>USA</v>
          </cell>
          <cell r="K3029">
            <v>32324</v>
          </cell>
        </row>
        <row r="3030">
          <cell r="A3030" t="str">
            <v>In service</v>
          </cell>
          <cell r="B3030" t="str">
            <v>Gulfstream Aerospace Gulfstream IV</v>
          </cell>
          <cell r="C3030" t="str">
            <v xml:space="preserve"> </v>
          </cell>
          <cell r="D3030">
            <v>1989</v>
          </cell>
          <cell r="E3030" t="str">
            <v>Eli Lilly International Corp</v>
          </cell>
          <cell r="F3030">
            <v>11</v>
          </cell>
          <cell r="G3030">
            <v>32722</v>
          </cell>
          <cell r="I3030" t="str">
            <v>North America</v>
          </cell>
          <cell r="J3030" t="str">
            <v>USA</v>
          </cell>
          <cell r="K3030">
            <v>31958</v>
          </cell>
        </row>
        <row r="3031">
          <cell r="A3031" t="str">
            <v>In service</v>
          </cell>
          <cell r="B3031" t="str">
            <v>Gulfstream Aerospace Gulfstream IV</v>
          </cell>
          <cell r="C3031" t="str">
            <v xml:space="preserve"> </v>
          </cell>
          <cell r="D3031">
            <v>1990</v>
          </cell>
          <cell r="E3031" t="str">
            <v>Sultanate of Johore Malaysia</v>
          </cell>
          <cell r="F3031">
            <v>10</v>
          </cell>
          <cell r="G3031">
            <v>33312</v>
          </cell>
          <cell r="I3031" t="str">
            <v>Asia</v>
          </cell>
          <cell r="J3031" t="str">
            <v>Malaysia</v>
          </cell>
          <cell r="K3031">
            <v>32689</v>
          </cell>
        </row>
        <row r="3032">
          <cell r="A3032" t="str">
            <v>In service</v>
          </cell>
          <cell r="B3032" t="str">
            <v>Gulfstream Aerospace Gulfstream IV</v>
          </cell>
          <cell r="C3032" t="str">
            <v xml:space="preserve"> </v>
          </cell>
          <cell r="D3032">
            <v>1989</v>
          </cell>
          <cell r="E3032" t="str">
            <v>GSB Aviation LLC</v>
          </cell>
          <cell r="F3032">
            <v>11</v>
          </cell>
          <cell r="G3032">
            <v>32919</v>
          </cell>
          <cell r="I3032" t="str">
            <v>North America</v>
          </cell>
          <cell r="J3032" t="str">
            <v>USA</v>
          </cell>
          <cell r="K3032">
            <v>32324</v>
          </cell>
        </row>
        <row r="3033">
          <cell r="A3033" t="str">
            <v>In service</v>
          </cell>
          <cell r="B3033" t="str">
            <v>Gulfstream Aerospace Gulfstream IV</v>
          </cell>
          <cell r="C3033" t="str">
            <v xml:space="preserve"> </v>
          </cell>
          <cell r="D3033">
            <v>1989</v>
          </cell>
          <cell r="E3033" t="str">
            <v>News Limited</v>
          </cell>
          <cell r="F3033">
            <v>11</v>
          </cell>
          <cell r="G3033">
            <v>32736</v>
          </cell>
          <cell r="I3033" t="str">
            <v>Australasia</v>
          </cell>
          <cell r="J3033" t="str">
            <v>Australia</v>
          </cell>
          <cell r="K3033">
            <v>31958</v>
          </cell>
        </row>
        <row r="3034">
          <cell r="A3034" t="str">
            <v>In service</v>
          </cell>
          <cell r="B3034" t="str">
            <v>Gulfstream Aerospace Gulfstream IV</v>
          </cell>
          <cell r="C3034" t="str">
            <v xml:space="preserve"> </v>
          </cell>
          <cell r="D3034">
            <v>1990</v>
          </cell>
          <cell r="E3034" t="str">
            <v>Gestair</v>
          </cell>
          <cell r="F3034">
            <v>10</v>
          </cell>
          <cell r="G3034">
            <v>33312</v>
          </cell>
          <cell r="I3034" t="str">
            <v>Europe</v>
          </cell>
          <cell r="J3034" t="str">
            <v>Spain</v>
          </cell>
          <cell r="K3034">
            <v>32689</v>
          </cell>
        </row>
        <row r="3035">
          <cell r="A3035" t="str">
            <v>In service</v>
          </cell>
          <cell r="B3035" t="str">
            <v>Gulfstream Aerospace Gulfstream IV</v>
          </cell>
          <cell r="C3035" t="str">
            <v xml:space="preserve"> </v>
          </cell>
          <cell r="D3035">
            <v>1989</v>
          </cell>
          <cell r="E3035" t="str">
            <v>JJSA Aviation LLC</v>
          </cell>
          <cell r="F3035">
            <v>11</v>
          </cell>
          <cell r="G3035">
            <v>32744</v>
          </cell>
          <cell r="I3035" t="str">
            <v>North America</v>
          </cell>
          <cell r="J3035" t="str">
            <v>USA</v>
          </cell>
          <cell r="K3035">
            <v>31958</v>
          </cell>
        </row>
        <row r="3036">
          <cell r="A3036" t="str">
            <v>In service</v>
          </cell>
          <cell r="B3036" t="str">
            <v>Gulfstream Aerospace Gulfstream IV</v>
          </cell>
          <cell r="C3036" t="str">
            <v xml:space="preserve"> </v>
          </cell>
          <cell r="D3036">
            <v>1989</v>
          </cell>
          <cell r="E3036" t="str">
            <v>Apex Oil Co Inc</v>
          </cell>
          <cell r="F3036">
            <v>11</v>
          </cell>
          <cell r="G3036">
            <v>32762</v>
          </cell>
          <cell r="I3036" t="str">
            <v>North America</v>
          </cell>
          <cell r="J3036" t="str">
            <v>USA</v>
          </cell>
          <cell r="K3036">
            <v>31958</v>
          </cell>
        </row>
        <row r="3037">
          <cell r="A3037" t="str">
            <v>In service</v>
          </cell>
          <cell r="B3037" t="str">
            <v>Gulfstream Aerospace Gulfstream IV</v>
          </cell>
          <cell r="C3037" t="str">
            <v xml:space="preserve"> </v>
          </cell>
          <cell r="D3037">
            <v>1989</v>
          </cell>
          <cell r="E3037" t="str">
            <v>United Technologies Corp</v>
          </cell>
          <cell r="F3037">
            <v>11</v>
          </cell>
          <cell r="G3037">
            <v>32770</v>
          </cell>
          <cell r="I3037" t="str">
            <v>North America</v>
          </cell>
          <cell r="J3037" t="str">
            <v>USA</v>
          </cell>
          <cell r="K3037">
            <v>31958</v>
          </cell>
        </row>
        <row r="3038">
          <cell r="A3038" t="str">
            <v>In service</v>
          </cell>
          <cell r="B3038" t="str">
            <v>Gulfstream Aerospace Gulfstream IV</v>
          </cell>
          <cell r="C3038" t="str">
            <v xml:space="preserve"> </v>
          </cell>
          <cell r="D3038">
            <v>1989</v>
          </cell>
          <cell r="E3038" t="str">
            <v>Garthorpe Inc</v>
          </cell>
          <cell r="F3038">
            <v>11</v>
          </cell>
          <cell r="G3038">
            <v>32787</v>
          </cell>
          <cell r="I3038" t="str">
            <v>North America</v>
          </cell>
          <cell r="J3038" t="str">
            <v>USA</v>
          </cell>
          <cell r="K3038">
            <v>32324</v>
          </cell>
        </row>
        <row r="3039">
          <cell r="A3039" t="str">
            <v>In service</v>
          </cell>
          <cell r="B3039" t="str">
            <v>Gulfstream Aerospace Gulfstream IV</v>
          </cell>
          <cell r="C3039" t="str">
            <v xml:space="preserve"> </v>
          </cell>
          <cell r="D3039">
            <v>1989</v>
          </cell>
          <cell r="E3039" t="str">
            <v>Lexair Ltd</v>
          </cell>
          <cell r="F3039">
            <v>11</v>
          </cell>
          <cell r="G3039">
            <v>33012</v>
          </cell>
          <cell r="I3039" t="str">
            <v>North America</v>
          </cell>
          <cell r="J3039" t="str">
            <v>USA</v>
          </cell>
          <cell r="K3039">
            <v>32324</v>
          </cell>
        </row>
        <row r="3040">
          <cell r="A3040" t="str">
            <v>In service</v>
          </cell>
          <cell r="B3040" t="str">
            <v>Gulfstream Aerospace Gulfstream IV</v>
          </cell>
          <cell r="C3040" t="str">
            <v xml:space="preserve"> </v>
          </cell>
          <cell r="D3040">
            <v>1989</v>
          </cell>
          <cell r="E3040" t="str">
            <v>SNS Aviation LLC</v>
          </cell>
          <cell r="F3040">
            <v>11</v>
          </cell>
          <cell r="G3040">
            <v>32799</v>
          </cell>
          <cell r="I3040" t="str">
            <v>North America</v>
          </cell>
          <cell r="J3040" t="str">
            <v>USA</v>
          </cell>
          <cell r="K3040">
            <v>31958</v>
          </cell>
        </row>
        <row r="3041">
          <cell r="A3041" t="str">
            <v>In service</v>
          </cell>
          <cell r="B3041" t="str">
            <v>Gulfstream Aerospace Gulfstream IV</v>
          </cell>
          <cell r="C3041" t="str">
            <v xml:space="preserve"> </v>
          </cell>
          <cell r="D3041">
            <v>1989</v>
          </cell>
          <cell r="E3041" t="str">
            <v>National City Leasing Corp</v>
          </cell>
          <cell r="F3041">
            <v>11</v>
          </cell>
          <cell r="G3041">
            <v>33100</v>
          </cell>
          <cell r="I3041" t="str">
            <v>North America</v>
          </cell>
          <cell r="J3041" t="str">
            <v>USA</v>
          </cell>
          <cell r="K3041">
            <v>32324</v>
          </cell>
        </row>
        <row r="3042">
          <cell r="A3042" t="str">
            <v>In service</v>
          </cell>
          <cell r="B3042" t="str">
            <v>Gulfstream Aerospace Gulfstream IV</v>
          </cell>
          <cell r="C3042" t="str">
            <v xml:space="preserve"> </v>
          </cell>
          <cell r="D3042">
            <v>1991</v>
          </cell>
          <cell r="E3042" t="str">
            <v>Fayair</v>
          </cell>
          <cell r="F3042">
            <v>9</v>
          </cell>
          <cell r="G3042">
            <v>33520</v>
          </cell>
          <cell r="I3042" t="str">
            <v>Europe</v>
          </cell>
          <cell r="J3042" t="str">
            <v>United Kingdom</v>
          </cell>
          <cell r="K3042">
            <v>32689</v>
          </cell>
        </row>
        <row r="3043">
          <cell r="A3043" t="str">
            <v>In service</v>
          </cell>
          <cell r="B3043" t="str">
            <v>Gulfstream Aerospace Gulfstream IV</v>
          </cell>
          <cell r="C3043" t="str">
            <v xml:space="preserve"> </v>
          </cell>
          <cell r="D3043">
            <v>1989</v>
          </cell>
          <cell r="E3043" t="str">
            <v>Pfizer Inc</v>
          </cell>
          <cell r="F3043">
            <v>11</v>
          </cell>
          <cell r="G3043">
            <v>32821</v>
          </cell>
          <cell r="I3043" t="str">
            <v>North America</v>
          </cell>
          <cell r="J3043" t="str">
            <v>USA</v>
          </cell>
          <cell r="K3043">
            <v>31958</v>
          </cell>
        </row>
        <row r="3044">
          <cell r="A3044" t="str">
            <v>In service</v>
          </cell>
          <cell r="B3044" t="str">
            <v>Gulfstream Aerospace Gulfstream IV</v>
          </cell>
          <cell r="C3044" t="str">
            <v xml:space="preserve"> </v>
          </cell>
          <cell r="D3044">
            <v>1989</v>
          </cell>
          <cell r="E3044" t="str">
            <v>Julio Inglesias</v>
          </cell>
          <cell r="F3044">
            <v>11</v>
          </cell>
          <cell r="G3044">
            <v>32834</v>
          </cell>
          <cell r="I3044" t="str">
            <v>Europe</v>
          </cell>
          <cell r="J3044" t="str">
            <v>Spain</v>
          </cell>
          <cell r="K3044">
            <v>32324</v>
          </cell>
        </row>
        <row r="3045">
          <cell r="A3045" t="str">
            <v>In service</v>
          </cell>
          <cell r="B3045" t="str">
            <v>Gulfstream Aerospace Gulfstream IV</v>
          </cell>
          <cell r="C3045" t="str">
            <v xml:space="preserve"> </v>
          </cell>
          <cell r="D3045">
            <v>1990</v>
          </cell>
          <cell r="E3045" t="str">
            <v>Chargers Football Co LLC</v>
          </cell>
          <cell r="F3045">
            <v>10</v>
          </cell>
          <cell r="G3045">
            <v>33082</v>
          </cell>
          <cell r="I3045" t="str">
            <v>North America</v>
          </cell>
          <cell r="J3045" t="str">
            <v>USA</v>
          </cell>
          <cell r="K3045">
            <v>32324</v>
          </cell>
        </row>
        <row r="3046">
          <cell r="A3046" t="str">
            <v>In service</v>
          </cell>
          <cell r="B3046" t="str">
            <v>Gulfstream Aerospace Gulfstream IV</v>
          </cell>
          <cell r="C3046" t="str">
            <v xml:space="preserve"> </v>
          </cell>
          <cell r="D3046">
            <v>1989</v>
          </cell>
          <cell r="E3046" t="str">
            <v>Bombardier Capital Inc</v>
          </cell>
          <cell r="F3046">
            <v>11</v>
          </cell>
          <cell r="G3046">
            <v>32843</v>
          </cell>
          <cell r="I3046" t="str">
            <v>North America</v>
          </cell>
          <cell r="J3046" t="str">
            <v>USA</v>
          </cell>
          <cell r="K3046">
            <v>32324</v>
          </cell>
        </row>
        <row r="3047">
          <cell r="A3047" t="str">
            <v>In service</v>
          </cell>
          <cell r="B3047" t="str">
            <v>Gulfstream Aerospace Gulfstream IV</v>
          </cell>
          <cell r="C3047" t="str">
            <v xml:space="preserve"> </v>
          </cell>
          <cell r="D3047">
            <v>1989</v>
          </cell>
          <cell r="E3047" t="str">
            <v>MBNA Corp</v>
          </cell>
          <cell r="F3047">
            <v>11</v>
          </cell>
          <cell r="G3047">
            <v>32849</v>
          </cell>
          <cell r="I3047" t="str">
            <v>North America</v>
          </cell>
          <cell r="J3047" t="str">
            <v>USA</v>
          </cell>
          <cell r="K3047">
            <v>31958</v>
          </cell>
        </row>
        <row r="3048">
          <cell r="A3048" t="str">
            <v>In service</v>
          </cell>
          <cell r="B3048" t="str">
            <v>Gulfstream Aerospace Gulfstream IV</v>
          </cell>
          <cell r="C3048" t="str">
            <v xml:space="preserve"> </v>
          </cell>
          <cell r="D3048">
            <v>1990</v>
          </cell>
          <cell r="E3048" t="str">
            <v>ALBA Servici Aerotrasporti SpA</v>
          </cell>
          <cell r="F3048">
            <v>10</v>
          </cell>
          <cell r="G3048">
            <v>33222</v>
          </cell>
          <cell r="I3048" t="str">
            <v>Europe</v>
          </cell>
          <cell r="J3048" t="str">
            <v>Italy</v>
          </cell>
          <cell r="K3048">
            <v>32324</v>
          </cell>
        </row>
        <row r="3049">
          <cell r="A3049" t="str">
            <v>In service</v>
          </cell>
          <cell r="B3049" t="str">
            <v>Gulfstream Aerospace Gulfstream IV</v>
          </cell>
          <cell r="C3049" t="str">
            <v xml:space="preserve"> </v>
          </cell>
          <cell r="D3049">
            <v>1990</v>
          </cell>
          <cell r="E3049" t="str">
            <v>Whirlpool Corp</v>
          </cell>
          <cell r="F3049">
            <v>10</v>
          </cell>
          <cell r="G3049">
            <v>33162</v>
          </cell>
          <cell r="I3049" t="str">
            <v>North America</v>
          </cell>
          <cell r="J3049" t="str">
            <v>USA</v>
          </cell>
          <cell r="K3049">
            <v>32324</v>
          </cell>
        </row>
        <row r="3050">
          <cell r="A3050" t="str">
            <v>In service</v>
          </cell>
          <cell r="B3050" t="str">
            <v>Gulfstream Aerospace Gulfstream IV</v>
          </cell>
          <cell r="C3050" t="str">
            <v xml:space="preserve"> </v>
          </cell>
          <cell r="D3050">
            <v>1989</v>
          </cell>
          <cell r="E3050" t="str">
            <v>LVH Corp</v>
          </cell>
          <cell r="F3050">
            <v>11</v>
          </cell>
          <cell r="G3050">
            <v>32869</v>
          </cell>
          <cell r="I3050" t="str">
            <v>North America</v>
          </cell>
          <cell r="J3050" t="str">
            <v>USA</v>
          </cell>
          <cell r="K3050">
            <v>31958</v>
          </cell>
        </row>
        <row r="3051">
          <cell r="A3051" t="str">
            <v>In service</v>
          </cell>
          <cell r="B3051" t="str">
            <v>Gulfstream Aerospace Gulfstream IV</v>
          </cell>
          <cell r="C3051" t="str">
            <v xml:space="preserve"> </v>
          </cell>
          <cell r="D3051">
            <v>1990</v>
          </cell>
          <cell r="E3051" t="str">
            <v>Federal Government of Nigeria</v>
          </cell>
          <cell r="F3051">
            <v>10</v>
          </cell>
          <cell r="G3051">
            <v>33192</v>
          </cell>
          <cell r="I3051" t="str">
            <v>Africa</v>
          </cell>
          <cell r="J3051" t="str">
            <v>Nigeria</v>
          </cell>
          <cell r="K3051">
            <v>31958</v>
          </cell>
        </row>
        <row r="3052">
          <cell r="A3052" t="str">
            <v>In service</v>
          </cell>
          <cell r="B3052" t="str">
            <v>Gulfstream Aerospace Gulfstream IV</v>
          </cell>
          <cell r="C3052" t="str">
            <v xml:space="preserve"> </v>
          </cell>
          <cell r="D3052">
            <v>1990</v>
          </cell>
          <cell r="E3052" t="str">
            <v>AEC International Ltd</v>
          </cell>
          <cell r="F3052">
            <v>10</v>
          </cell>
          <cell r="G3052">
            <v>32912</v>
          </cell>
          <cell r="I3052" t="str">
            <v>Latin America and Caribbean</v>
          </cell>
          <cell r="J3052" t="str">
            <v>Bermuda</v>
          </cell>
          <cell r="K3052">
            <v>32689</v>
          </cell>
        </row>
        <row r="3053">
          <cell r="A3053" t="str">
            <v>In service</v>
          </cell>
          <cell r="B3053" t="str">
            <v>Gulfstream Aerospace Gulfstream IV</v>
          </cell>
          <cell r="C3053" t="str">
            <v xml:space="preserve"> </v>
          </cell>
          <cell r="D3053">
            <v>1990</v>
          </cell>
          <cell r="E3053" t="str">
            <v>Saudi Arabian Airlines</v>
          </cell>
          <cell r="F3053">
            <v>10</v>
          </cell>
          <cell r="G3053">
            <v>33297</v>
          </cell>
          <cell r="I3053" t="str">
            <v>Middle East</v>
          </cell>
          <cell r="J3053" t="str">
            <v>Saudi Arabia</v>
          </cell>
          <cell r="K3053">
            <v>32324</v>
          </cell>
        </row>
        <row r="3054">
          <cell r="A3054" t="str">
            <v>In service</v>
          </cell>
          <cell r="B3054" t="str">
            <v>Gulfstream Aerospace Gulfstream IV</v>
          </cell>
          <cell r="C3054" t="str">
            <v xml:space="preserve"> </v>
          </cell>
          <cell r="D3054">
            <v>1990</v>
          </cell>
          <cell r="E3054" t="str">
            <v>Anglo American Corp of South Africa</v>
          </cell>
          <cell r="F3054">
            <v>10</v>
          </cell>
          <cell r="G3054">
            <v>33131</v>
          </cell>
          <cell r="I3054" t="str">
            <v>Africa</v>
          </cell>
          <cell r="J3054" t="str">
            <v>South Africa</v>
          </cell>
          <cell r="K3054">
            <v>32324</v>
          </cell>
        </row>
        <row r="3055">
          <cell r="A3055" t="str">
            <v>In service</v>
          </cell>
          <cell r="B3055" t="str">
            <v>Gulfstream Aerospace Gulfstream IV</v>
          </cell>
          <cell r="C3055" t="str">
            <v xml:space="preserve"> </v>
          </cell>
          <cell r="D3055">
            <v>1990</v>
          </cell>
          <cell r="E3055" t="str">
            <v>Lockheed Martin Corp</v>
          </cell>
          <cell r="F3055">
            <v>10</v>
          </cell>
          <cell r="G3055">
            <v>32954</v>
          </cell>
          <cell r="I3055" t="str">
            <v>North America</v>
          </cell>
          <cell r="J3055" t="str">
            <v>USA</v>
          </cell>
          <cell r="K3055">
            <v>32324</v>
          </cell>
        </row>
        <row r="3056">
          <cell r="A3056" t="str">
            <v>In service</v>
          </cell>
          <cell r="B3056" t="str">
            <v>Gulfstream Aerospace Gulfstream IV</v>
          </cell>
          <cell r="C3056" t="str">
            <v xml:space="preserve"> </v>
          </cell>
          <cell r="D3056">
            <v>1990</v>
          </cell>
          <cell r="E3056" t="str">
            <v>The Coca-Cola Co</v>
          </cell>
          <cell r="F3056">
            <v>10</v>
          </cell>
          <cell r="G3056">
            <v>32969</v>
          </cell>
          <cell r="I3056" t="str">
            <v>North America</v>
          </cell>
          <cell r="J3056" t="str">
            <v>USA</v>
          </cell>
          <cell r="K3056">
            <v>32324</v>
          </cell>
        </row>
        <row r="3057">
          <cell r="A3057" t="str">
            <v>In service</v>
          </cell>
          <cell r="B3057" t="str">
            <v>Gulfstream Aerospace Gulfstream IV</v>
          </cell>
          <cell r="C3057" t="str">
            <v xml:space="preserve"> </v>
          </cell>
          <cell r="D3057">
            <v>1991</v>
          </cell>
          <cell r="E3057" t="str">
            <v>K-C Aviation Inc</v>
          </cell>
          <cell r="F3057">
            <v>9</v>
          </cell>
          <cell r="G3057">
            <v>33434</v>
          </cell>
          <cell r="I3057" t="str">
            <v>North America</v>
          </cell>
          <cell r="J3057" t="str">
            <v>USA</v>
          </cell>
          <cell r="K3057">
            <v>32689</v>
          </cell>
        </row>
        <row r="3058">
          <cell r="A3058" t="str">
            <v>In service</v>
          </cell>
          <cell r="B3058" t="str">
            <v>Gulfstream Aerospace Gulfstream IV</v>
          </cell>
          <cell r="C3058" t="str">
            <v xml:space="preserve"> </v>
          </cell>
          <cell r="D3058">
            <v>1990</v>
          </cell>
          <cell r="E3058" t="str">
            <v>Copley Press Inc</v>
          </cell>
          <cell r="F3058">
            <v>10</v>
          </cell>
          <cell r="G3058">
            <v>33192</v>
          </cell>
          <cell r="I3058" t="str">
            <v>North America</v>
          </cell>
          <cell r="J3058" t="str">
            <v>USA</v>
          </cell>
          <cell r="K3058">
            <v>32324</v>
          </cell>
        </row>
        <row r="3059">
          <cell r="A3059" t="str">
            <v>In service</v>
          </cell>
          <cell r="B3059" t="str">
            <v>Gulfstream Aerospace Gulfstream IV</v>
          </cell>
          <cell r="C3059" t="str">
            <v xml:space="preserve"> </v>
          </cell>
          <cell r="D3059">
            <v>1990</v>
          </cell>
          <cell r="E3059" t="str">
            <v>Transworld Oil America</v>
          </cell>
          <cell r="F3059">
            <v>10</v>
          </cell>
          <cell r="G3059">
            <v>33193</v>
          </cell>
          <cell r="I3059" t="str">
            <v>North America</v>
          </cell>
          <cell r="J3059" t="str">
            <v>USA</v>
          </cell>
          <cell r="K3059">
            <v>32324</v>
          </cell>
        </row>
        <row r="3060">
          <cell r="A3060" t="str">
            <v>In service</v>
          </cell>
          <cell r="B3060" t="str">
            <v>Gulfstream Aerospace Gulfstream IV</v>
          </cell>
          <cell r="C3060" t="str">
            <v xml:space="preserve"> </v>
          </cell>
          <cell r="D3060">
            <v>1990</v>
          </cell>
          <cell r="E3060" t="str">
            <v>Earth Star Inc</v>
          </cell>
          <cell r="F3060">
            <v>10</v>
          </cell>
          <cell r="G3060">
            <v>33253</v>
          </cell>
          <cell r="I3060" t="str">
            <v>North America</v>
          </cell>
          <cell r="J3060" t="str">
            <v>USA</v>
          </cell>
          <cell r="K3060">
            <v>32689</v>
          </cell>
        </row>
        <row r="3061">
          <cell r="A3061" t="str">
            <v>In service</v>
          </cell>
          <cell r="B3061" t="str">
            <v>Gulfstream Aerospace Gulfstream IV</v>
          </cell>
          <cell r="C3061" t="str">
            <v xml:space="preserve"> </v>
          </cell>
          <cell r="D3061">
            <v>1990</v>
          </cell>
          <cell r="E3061" t="str">
            <v>Schering Plough Corp</v>
          </cell>
          <cell r="F3061">
            <v>10</v>
          </cell>
          <cell r="G3061">
            <v>33207</v>
          </cell>
          <cell r="I3061" t="str">
            <v>North America</v>
          </cell>
          <cell r="J3061" t="str">
            <v>USA</v>
          </cell>
          <cell r="K3061">
            <v>32324</v>
          </cell>
        </row>
        <row r="3062">
          <cell r="A3062" t="str">
            <v>In service</v>
          </cell>
          <cell r="B3062" t="str">
            <v>Gulfstream Aerospace Gulfstream IV</v>
          </cell>
          <cell r="C3062" t="str">
            <v xml:space="preserve"> </v>
          </cell>
          <cell r="D3062">
            <v>1990</v>
          </cell>
          <cell r="E3062" t="str">
            <v xml:space="preserve">I M S Health Transportation Services </v>
          </cell>
          <cell r="F3062">
            <v>10</v>
          </cell>
          <cell r="G3062">
            <v>33161</v>
          </cell>
          <cell r="I3062" t="str">
            <v>North America</v>
          </cell>
          <cell r="J3062" t="str">
            <v>USA</v>
          </cell>
          <cell r="K3062">
            <v>32324</v>
          </cell>
        </row>
        <row r="3063">
          <cell r="A3063" t="str">
            <v>In service</v>
          </cell>
          <cell r="B3063" t="str">
            <v>Gulfstream Aerospace Gulfstream IV</v>
          </cell>
          <cell r="C3063" t="str">
            <v xml:space="preserve"> </v>
          </cell>
          <cell r="D3063">
            <v>1991</v>
          </cell>
          <cell r="E3063" t="str">
            <v>Exxon Mobil Corp</v>
          </cell>
          <cell r="F3063">
            <v>9</v>
          </cell>
          <cell r="G3063">
            <v>33249</v>
          </cell>
          <cell r="I3063" t="str">
            <v>North America</v>
          </cell>
          <cell r="J3063" t="str">
            <v>USA</v>
          </cell>
          <cell r="K3063">
            <v>32689</v>
          </cell>
        </row>
        <row r="3064">
          <cell r="A3064" t="str">
            <v>In service</v>
          </cell>
          <cell r="B3064" t="str">
            <v>Gulfstream Aerospace Gulfstream IV</v>
          </cell>
          <cell r="C3064" t="str">
            <v xml:space="preserve"> </v>
          </cell>
          <cell r="D3064">
            <v>1991</v>
          </cell>
          <cell r="E3064" t="str">
            <v>Comfort Aviation/Bennett Realty</v>
          </cell>
          <cell r="F3064">
            <v>9</v>
          </cell>
          <cell r="G3064">
            <v>33253</v>
          </cell>
          <cell r="I3064" t="str">
            <v>North America</v>
          </cell>
          <cell r="J3064" t="str">
            <v>USA</v>
          </cell>
          <cell r="K3064">
            <v>32689</v>
          </cell>
        </row>
        <row r="3065">
          <cell r="A3065" t="str">
            <v>In service</v>
          </cell>
          <cell r="B3065" t="str">
            <v>Gulfstream Aerospace Gulfstream IV</v>
          </cell>
          <cell r="C3065" t="str">
            <v xml:space="preserve"> </v>
          </cell>
          <cell r="D3065">
            <v>1990</v>
          </cell>
          <cell r="E3065" t="str">
            <v>McDonalds Corp</v>
          </cell>
          <cell r="F3065">
            <v>10</v>
          </cell>
          <cell r="G3065">
            <v>33053</v>
          </cell>
          <cell r="I3065" t="str">
            <v>North America</v>
          </cell>
          <cell r="J3065" t="str">
            <v>USA</v>
          </cell>
          <cell r="K3065">
            <v>32324</v>
          </cell>
        </row>
        <row r="3066">
          <cell r="A3066" t="str">
            <v>In service</v>
          </cell>
          <cell r="B3066" t="str">
            <v>Gulfstream Aerospace Gulfstream IV</v>
          </cell>
          <cell r="C3066" t="str">
            <v xml:space="preserve"> </v>
          </cell>
          <cell r="D3066">
            <v>1990</v>
          </cell>
          <cell r="E3066" t="str">
            <v>Ronin LLC</v>
          </cell>
          <cell r="F3066">
            <v>10</v>
          </cell>
          <cell r="G3066">
            <v>33087</v>
          </cell>
          <cell r="I3066" t="str">
            <v>North America</v>
          </cell>
          <cell r="J3066" t="str">
            <v>USA</v>
          </cell>
          <cell r="K3066">
            <v>32324</v>
          </cell>
        </row>
        <row r="3067">
          <cell r="A3067" t="str">
            <v>In service</v>
          </cell>
          <cell r="B3067" t="str">
            <v>Gulfstream Aerospace Gulfstream IV</v>
          </cell>
          <cell r="C3067" t="str">
            <v xml:space="preserve"> </v>
          </cell>
          <cell r="D3067">
            <v>1991</v>
          </cell>
          <cell r="E3067" t="str">
            <v>Jetstream Inc</v>
          </cell>
          <cell r="F3067">
            <v>9</v>
          </cell>
          <cell r="G3067">
            <v>33343</v>
          </cell>
          <cell r="I3067" t="str">
            <v>North America</v>
          </cell>
          <cell r="J3067" t="str">
            <v>USA</v>
          </cell>
          <cell r="K3067">
            <v>33054</v>
          </cell>
        </row>
        <row r="3068">
          <cell r="A3068" t="str">
            <v>In service</v>
          </cell>
          <cell r="B3068" t="str">
            <v>Gulfstream Aerospace Gulfstream IV</v>
          </cell>
          <cell r="C3068" t="str">
            <v xml:space="preserve"> </v>
          </cell>
          <cell r="D3068">
            <v>1991</v>
          </cell>
          <cell r="E3068" t="str">
            <v>Saudi Arabian Airlines</v>
          </cell>
          <cell r="F3068">
            <v>9</v>
          </cell>
          <cell r="G3068">
            <v>33320</v>
          </cell>
          <cell r="I3068" t="str">
            <v>Middle East</v>
          </cell>
          <cell r="J3068" t="str">
            <v>Saudi Arabia</v>
          </cell>
          <cell r="K3068">
            <v>32689</v>
          </cell>
        </row>
        <row r="3069">
          <cell r="A3069" t="str">
            <v>In service</v>
          </cell>
          <cell r="B3069" t="str">
            <v>Gulfstream Aerospace Gulfstream IV</v>
          </cell>
          <cell r="C3069" t="str">
            <v xml:space="preserve"> </v>
          </cell>
          <cell r="D3069">
            <v>1991</v>
          </cell>
          <cell r="E3069" t="str">
            <v>Gulfstream Aerospace Corp</v>
          </cell>
          <cell r="F3069">
            <v>9</v>
          </cell>
          <cell r="G3069">
            <v>33284</v>
          </cell>
          <cell r="I3069" t="str">
            <v>North America</v>
          </cell>
          <cell r="J3069" t="str">
            <v>USA</v>
          </cell>
          <cell r="K3069">
            <v>32689</v>
          </cell>
        </row>
        <row r="3070">
          <cell r="A3070" t="str">
            <v>In service</v>
          </cell>
          <cell r="B3070" t="str">
            <v>Gulfstream Aerospace Gulfstream IV</v>
          </cell>
          <cell r="C3070" t="str">
            <v xml:space="preserve"> </v>
          </cell>
          <cell r="D3070">
            <v>1991</v>
          </cell>
          <cell r="E3070" t="str">
            <v>Stevens Express Leasing Inc</v>
          </cell>
          <cell r="F3070">
            <v>9</v>
          </cell>
          <cell r="G3070">
            <v>33399</v>
          </cell>
          <cell r="I3070" t="str">
            <v>North America</v>
          </cell>
          <cell r="J3070" t="str">
            <v>USA</v>
          </cell>
          <cell r="K3070">
            <v>32689</v>
          </cell>
        </row>
        <row r="3071">
          <cell r="A3071" t="str">
            <v>In service</v>
          </cell>
          <cell r="B3071" t="str">
            <v>Gulfstream Aerospace Gulfstream IV</v>
          </cell>
          <cell r="C3071" t="str">
            <v xml:space="preserve"> </v>
          </cell>
          <cell r="D3071">
            <v>1990</v>
          </cell>
          <cell r="E3071" t="str">
            <v>Universal Studios Inc</v>
          </cell>
          <cell r="F3071">
            <v>10</v>
          </cell>
          <cell r="G3071">
            <v>33337</v>
          </cell>
          <cell r="I3071" t="str">
            <v>North America</v>
          </cell>
          <cell r="J3071" t="str">
            <v>USA</v>
          </cell>
          <cell r="K3071">
            <v>32689</v>
          </cell>
        </row>
        <row r="3072">
          <cell r="A3072" t="str">
            <v>In service</v>
          </cell>
          <cell r="B3072" t="str">
            <v>Gulfstream Aerospace Gulfstream IV</v>
          </cell>
          <cell r="C3072" t="str">
            <v xml:space="preserve"> </v>
          </cell>
          <cell r="D3072">
            <v>1990</v>
          </cell>
          <cell r="E3072" t="str">
            <v>Altria Corporate Services Inc</v>
          </cell>
          <cell r="F3072">
            <v>10</v>
          </cell>
          <cell r="G3072">
            <v>33161</v>
          </cell>
          <cell r="I3072" t="str">
            <v>North America</v>
          </cell>
          <cell r="J3072" t="str">
            <v>USA</v>
          </cell>
          <cell r="K3072">
            <v>32324</v>
          </cell>
        </row>
        <row r="3073">
          <cell r="A3073" t="str">
            <v>In service</v>
          </cell>
          <cell r="B3073" t="str">
            <v>Gulfstream Aerospace Gulfstream IV</v>
          </cell>
          <cell r="C3073" t="str">
            <v xml:space="preserve"> </v>
          </cell>
          <cell r="D3073">
            <v>1991</v>
          </cell>
          <cell r="E3073" t="str">
            <v>SR Transportation Services SA</v>
          </cell>
          <cell r="F3073">
            <v>9</v>
          </cell>
          <cell r="G3073">
            <v>33511</v>
          </cell>
          <cell r="I3073" t="str">
            <v>Europe</v>
          </cell>
          <cell r="J3073" t="str">
            <v>Switzerland</v>
          </cell>
          <cell r="K3073">
            <v>32689</v>
          </cell>
        </row>
        <row r="3074">
          <cell r="A3074" t="str">
            <v>In service</v>
          </cell>
          <cell r="B3074" t="str">
            <v>Gulfstream Aerospace Gulfstream IV</v>
          </cell>
          <cell r="C3074" t="str">
            <v xml:space="preserve"> </v>
          </cell>
          <cell r="D3074">
            <v>1990</v>
          </cell>
          <cell r="E3074" t="str">
            <v>Blum Capital Partners LP</v>
          </cell>
          <cell r="F3074">
            <v>10</v>
          </cell>
          <cell r="G3074">
            <v>33069</v>
          </cell>
          <cell r="I3074" t="str">
            <v>North America</v>
          </cell>
          <cell r="J3074" t="str">
            <v>USA</v>
          </cell>
          <cell r="K3074">
            <v>32689</v>
          </cell>
        </row>
        <row r="3075">
          <cell r="A3075" t="str">
            <v>In service</v>
          </cell>
          <cell r="B3075" t="str">
            <v>Gulfstream Aerospace Gulfstream IV</v>
          </cell>
          <cell r="C3075" t="str">
            <v xml:space="preserve"> </v>
          </cell>
          <cell r="D3075">
            <v>1991</v>
          </cell>
          <cell r="E3075" t="str">
            <v>Ispat Aviation Ltd</v>
          </cell>
          <cell r="F3075">
            <v>9</v>
          </cell>
          <cell r="G3075">
            <v>33587</v>
          </cell>
          <cell r="I3075" t="str">
            <v>Latin America and Caribbean</v>
          </cell>
          <cell r="J3075" t="str">
            <v>Bermuda</v>
          </cell>
          <cell r="K3075">
            <v>32689</v>
          </cell>
        </row>
        <row r="3076">
          <cell r="A3076" t="str">
            <v>In service</v>
          </cell>
          <cell r="B3076" t="str">
            <v>Gulfstream Aerospace Gulfstream IV</v>
          </cell>
          <cell r="C3076" t="str">
            <v xml:space="preserve"> </v>
          </cell>
          <cell r="D3076">
            <v>1990</v>
          </cell>
          <cell r="E3076" t="str">
            <v>S T Aviation LLC</v>
          </cell>
          <cell r="F3076">
            <v>10</v>
          </cell>
          <cell r="G3076">
            <v>33222</v>
          </cell>
          <cell r="I3076" t="str">
            <v>North America</v>
          </cell>
          <cell r="J3076" t="str">
            <v>USA</v>
          </cell>
          <cell r="K3076">
            <v>32324</v>
          </cell>
        </row>
        <row r="3077">
          <cell r="A3077" t="str">
            <v>In service</v>
          </cell>
          <cell r="B3077" t="str">
            <v>Gulfstream Aerospace Gulfstream IV</v>
          </cell>
          <cell r="C3077" t="str">
            <v xml:space="preserve"> </v>
          </cell>
          <cell r="D3077">
            <v>1990</v>
          </cell>
          <cell r="E3077" t="str">
            <v>International Group Inc</v>
          </cell>
          <cell r="F3077">
            <v>10</v>
          </cell>
          <cell r="G3077">
            <v>33203</v>
          </cell>
          <cell r="I3077" t="str">
            <v>North America</v>
          </cell>
          <cell r="J3077" t="str">
            <v>USA</v>
          </cell>
          <cell r="K3077">
            <v>32324</v>
          </cell>
        </row>
        <row r="3078">
          <cell r="A3078" t="str">
            <v>In service</v>
          </cell>
          <cell r="B3078" t="str">
            <v>Gulfstream Aerospace Gulfstream IV</v>
          </cell>
          <cell r="C3078" t="str">
            <v xml:space="preserve"> </v>
          </cell>
          <cell r="D3078">
            <v>1990</v>
          </cell>
          <cell r="E3078" t="str">
            <v>International Home Foods Inc</v>
          </cell>
          <cell r="F3078">
            <v>10</v>
          </cell>
          <cell r="G3078">
            <v>33224</v>
          </cell>
          <cell r="I3078" t="str">
            <v>North America</v>
          </cell>
          <cell r="J3078" t="str">
            <v>USA</v>
          </cell>
          <cell r="K3078">
            <v>32324</v>
          </cell>
        </row>
        <row r="3079">
          <cell r="A3079" t="str">
            <v>In service</v>
          </cell>
          <cell r="B3079" t="str">
            <v>Gulfstream Aerospace Gulfstream IV</v>
          </cell>
          <cell r="C3079" t="str">
            <v xml:space="preserve"> </v>
          </cell>
          <cell r="D3079">
            <v>1990</v>
          </cell>
          <cell r="E3079" t="str">
            <v>DSC Communications Corp</v>
          </cell>
          <cell r="F3079">
            <v>10</v>
          </cell>
          <cell r="G3079">
            <v>33225</v>
          </cell>
          <cell r="I3079" t="str">
            <v>North America</v>
          </cell>
          <cell r="J3079" t="str">
            <v>USA</v>
          </cell>
        </row>
        <row r="3080">
          <cell r="A3080" t="str">
            <v>In service</v>
          </cell>
          <cell r="B3080" t="str">
            <v>Gulfstream Aerospace Gulfstream IV</v>
          </cell>
          <cell r="C3080" t="str">
            <v xml:space="preserve"> </v>
          </cell>
          <cell r="D3080">
            <v>1990</v>
          </cell>
          <cell r="E3080" t="str">
            <v>BP Amoco Corp</v>
          </cell>
          <cell r="F3080">
            <v>10</v>
          </cell>
          <cell r="G3080">
            <v>33235</v>
          </cell>
          <cell r="I3080" t="str">
            <v>North America</v>
          </cell>
          <cell r="J3080" t="str">
            <v>USA</v>
          </cell>
          <cell r="K3080">
            <v>32324</v>
          </cell>
        </row>
        <row r="3081">
          <cell r="A3081" t="str">
            <v>In service</v>
          </cell>
          <cell r="B3081" t="str">
            <v>Gulfstream Aerospace Gulfstream IV</v>
          </cell>
          <cell r="C3081" t="str">
            <v xml:space="preserve"> </v>
          </cell>
          <cell r="D3081">
            <v>1990</v>
          </cell>
          <cell r="E3081" t="str">
            <v>Gandel Group Pty Ltd</v>
          </cell>
          <cell r="F3081">
            <v>10</v>
          </cell>
          <cell r="G3081">
            <v>33260</v>
          </cell>
          <cell r="I3081" t="str">
            <v>Australasia</v>
          </cell>
          <cell r="J3081" t="str">
            <v>Australia</v>
          </cell>
          <cell r="K3081">
            <v>33054</v>
          </cell>
        </row>
        <row r="3082">
          <cell r="A3082" t="str">
            <v>In service</v>
          </cell>
          <cell r="B3082" t="str">
            <v>Gulfstream Aerospace Gulfstream IV</v>
          </cell>
          <cell r="C3082" t="str">
            <v xml:space="preserve"> </v>
          </cell>
          <cell r="D3082">
            <v>1991</v>
          </cell>
          <cell r="E3082" t="str">
            <v>Kuwait Int'l Aircraft Leasing Sales &amp; Possession</v>
          </cell>
          <cell r="F3082">
            <v>9</v>
          </cell>
          <cell r="G3082">
            <v>33529</v>
          </cell>
          <cell r="I3082" t="str">
            <v>Middle East</v>
          </cell>
          <cell r="J3082" t="str">
            <v>Kuwait</v>
          </cell>
          <cell r="K3082">
            <v>32689</v>
          </cell>
        </row>
        <row r="3083">
          <cell r="A3083" t="str">
            <v>In service</v>
          </cell>
          <cell r="B3083" t="str">
            <v>Gulfstream Aerospace Gulfstream IV</v>
          </cell>
          <cell r="C3083" t="str">
            <v xml:space="preserve"> </v>
          </cell>
          <cell r="D3083">
            <v>1991</v>
          </cell>
          <cell r="E3083" t="str">
            <v>NAVAIR LLC</v>
          </cell>
          <cell r="F3083">
            <v>9</v>
          </cell>
          <cell r="G3083">
            <v>33288</v>
          </cell>
          <cell r="I3083" t="str">
            <v>North America</v>
          </cell>
          <cell r="J3083" t="str">
            <v>USA</v>
          </cell>
          <cell r="K3083">
            <v>32689</v>
          </cell>
        </row>
        <row r="3084">
          <cell r="A3084" t="str">
            <v>In service</v>
          </cell>
          <cell r="B3084" t="str">
            <v>Gulfstream Aerospace Gulfstream IV</v>
          </cell>
          <cell r="C3084" t="str">
            <v xml:space="preserve"> </v>
          </cell>
          <cell r="D3084">
            <v>1991</v>
          </cell>
          <cell r="E3084" t="str">
            <v>Jetclub AG</v>
          </cell>
          <cell r="F3084">
            <v>9</v>
          </cell>
          <cell r="G3084">
            <v>33591</v>
          </cell>
          <cell r="I3084" t="str">
            <v>Europe</v>
          </cell>
          <cell r="J3084" t="str">
            <v>Switzerland</v>
          </cell>
          <cell r="K3084">
            <v>32689</v>
          </cell>
        </row>
        <row r="3085">
          <cell r="A3085" t="str">
            <v>In service</v>
          </cell>
          <cell r="B3085" t="str">
            <v>Gulfstream Aerospace Gulfstream IV</v>
          </cell>
          <cell r="C3085" t="str">
            <v xml:space="preserve"> </v>
          </cell>
          <cell r="D3085">
            <v>1991</v>
          </cell>
          <cell r="E3085" t="str">
            <v>Irish Air Corps</v>
          </cell>
          <cell r="F3085">
            <v>9</v>
          </cell>
          <cell r="G3085">
            <v>33591</v>
          </cell>
          <cell r="I3085" t="str">
            <v>Europe</v>
          </cell>
          <cell r="J3085" t="str">
            <v>Ireland</v>
          </cell>
          <cell r="K3085">
            <v>33054</v>
          </cell>
        </row>
        <row r="3086">
          <cell r="A3086" t="str">
            <v>In service</v>
          </cell>
          <cell r="B3086" t="str">
            <v>Gulfstream Aerospace Gulfstream IV</v>
          </cell>
          <cell r="C3086" t="str">
            <v xml:space="preserve"> </v>
          </cell>
          <cell r="D3086">
            <v>1992</v>
          </cell>
          <cell r="E3086" t="str">
            <v>Executive Fliteways Inc</v>
          </cell>
          <cell r="F3086">
            <v>8</v>
          </cell>
          <cell r="G3086">
            <v>33616</v>
          </cell>
          <cell r="I3086" t="str">
            <v>North America</v>
          </cell>
          <cell r="J3086" t="str">
            <v>USA</v>
          </cell>
          <cell r="K3086">
            <v>32689</v>
          </cell>
        </row>
        <row r="3087">
          <cell r="A3087" t="str">
            <v>In service</v>
          </cell>
          <cell r="B3087" t="str">
            <v>Gulfstream Aerospace Gulfstream IV</v>
          </cell>
          <cell r="C3087" t="str">
            <v xml:space="preserve"> </v>
          </cell>
          <cell r="D3087">
            <v>1991</v>
          </cell>
          <cell r="E3087" t="str">
            <v>Turkish Air Force</v>
          </cell>
          <cell r="F3087">
            <v>9</v>
          </cell>
          <cell r="G3087">
            <v>33587</v>
          </cell>
          <cell r="I3087" t="str">
            <v>Europe</v>
          </cell>
          <cell r="J3087" t="str">
            <v>Turkey</v>
          </cell>
        </row>
        <row r="3088">
          <cell r="A3088" t="str">
            <v>In service</v>
          </cell>
          <cell r="B3088" t="str">
            <v>Gulfstream Aerospace Gulfstream IV</v>
          </cell>
          <cell r="C3088" t="str">
            <v xml:space="preserve"> </v>
          </cell>
          <cell r="D3088">
            <v>1991</v>
          </cell>
          <cell r="E3088" t="str">
            <v>Wells Fargo &amp; Co</v>
          </cell>
          <cell r="F3088">
            <v>9</v>
          </cell>
          <cell r="G3088">
            <v>33353</v>
          </cell>
          <cell r="I3088" t="str">
            <v>North America</v>
          </cell>
          <cell r="J3088" t="str">
            <v>USA</v>
          </cell>
          <cell r="K3088">
            <v>32689</v>
          </cell>
        </row>
        <row r="3089">
          <cell r="A3089" t="str">
            <v>In service</v>
          </cell>
          <cell r="B3089" t="str">
            <v>Gulfstream Aerospace Gulfstream IV</v>
          </cell>
          <cell r="C3089" t="str">
            <v xml:space="preserve"> </v>
          </cell>
          <cell r="D3089">
            <v>1991</v>
          </cell>
          <cell r="E3089" t="str">
            <v>International Business Machines (IBM) Corp</v>
          </cell>
          <cell r="F3089">
            <v>9</v>
          </cell>
          <cell r="G3089">
            <v>33284</v>
          </cell>
          <cell r="I3089" t="str">
            <v>North America</v>
          </cell>
          <cell r="J3089" t="str">
            <v>USA</v>
          </cell>
        </row>
        <row r="3090">
          <cell r="A3090" t="str">
            <v>In service</v>
          </cell>
          <cell r="B3090" t="str">
            <v>Gulfstream Aerospace Gulfstream IV</v>
          </cell>
          <cell r="C3090" t="str">
            <v xml:space="preserve"> </v>
          </cell>
          <cell r="D3090">
            <v>1991</v>
          </cell>
          <cell r="E3090" t="str">
            <v>Saudi Arabian Airlines</v>
          </cell>
          <cell r="F3090">
            <v>9</v>
          </cell>
          <cell r="G3090">
            <v>33526</v>
          </cell>
          <cell r="I3090" t="str">
            <v>Middle East</v>
          </cell>
          <cell r="J3090" t="str">
            <v>Saudi Arabia</v>
          </cell>
        </row>
        <row r="3091">
          <cell r="A3091" t="str">
            <v>In service</v>
          </cell>
          <cell r="B3091" t="str">
            <v>Gulfstream Aerospace Gulfstream IV</v>
          </cell>
          <cell r="C3091" t="str">
            <v xml:space="preserve"> </v>
          </cell>
          <cell r="D3091">
            <v>1991</v>
          </cell>
          <cell r="E3091" t="str">
            <v>Sara Lee Corp</v>
          </cell>
          <cell r="F3091">
            <v>9</v>
          </cell>
          <cell r="G3091">
            <v>33399</v>
          </cell>
          <cell r="I3091" t="str">
            <v>North America</v>
          </cell>
          <cell r="J3091" t="str">
            <v>USA</v>
          </cell>
          <cell r="K3091">
            <v>32689</v>
          </cell>
        </row>
        <row r="3092">
          <cell r="A3092" t="str">
            <v>In service</v>
          </cell>
          <cell r="B3092" t="str">
            <v>Gulfstream Aerospace Gulfstream IV</v>
          </cell>
          <cell r="C3092" t="str">
            <v xml:space="preserve"> </v>
          </cell>
          <cell r="D3092">
            <v>1991</v>
          </cell>
          <cell r="E3092" t="str">
            <v>Oman Royal Flight</v>
          </cell>
          <cell r="F3092">
            <v>9</v>
          </cell>
          <cell r="G3092">
            <v>33395</v>
          </cell>
          <cell r="I3092" t="str">
            <v>Middle East</v>
          </cell>
          <cell r="J3092" t="str">
            <v>Oman</v>
          </cell>
        </row>
        <row r="3093">
          <cell r="A3093" t="str">
            <v>In service</v>
          </cell>
          <cell r="B3093" t="str">
            <v>Gulfstream Aerospace Gulfstream IV</v>
          </cell>
          <cell r="C3093" t="str">
            <v xml:space="preserve"> </v>
          </cell>
          <cell r="D3093">
            <v>1991</v>
          </cell>
          <cell r="E3093" t="str">
            <v>Dreamworks LLC</v>
          </cell>
          <cell r="F3093">
            <v>9</v>
          </cell>
          <cell r="G3093">
            <v>33441</v>
          </cell>
          <cell r="I3093" t="str">
            <v>North America</v>
          </cell>
          <cell r="J3093" t="str">
            <v>USA</v>
          </cell>
          <cell r="K3093">
            <v>32689</v>
          </cell>
        </row>
        <row r="3094">
          <cell r="A3094" t="str">
            <v>In service</v>
          </cell>
          <cell r="B3094" t="str">
            <v>Gulfstream Aerospace Gulfstream IV</v>
          </cell>
          <cell r="C3094" t="str">
            <v xml:space="preserve"> </v>
          </cell>
          <cell r="D3094">
            <v>1991</v>
          </cell>
          <cell r="E3094" t="str">
            <v>Rifton Aviation Services</v>
          </cell>
          <cell r="F3094">
            <v>9</v>
          </cell>
          <cell r="G3094">
            <v>33504</v>
          </cell>
          <cell r="I3094" t="str">
            <v>North America</v>
          </cell>
          <cell r="J3094" t="str">
            <v>USA</v>
          </cell>
          <cell r="K3094">
            <v>33054</v>
          </cell>
        </row>
        <row r="3095">
          <cell r="A3095" t="str">
            <v>In service</v>
          </cell>
          <cell r="B3095" t="str">
            <v>Gulfstream Aerospace Gulfstream IV</v>
          </cell>
          <cell r="C3095" t="str">
            <v xml:space="preserve"> </v>
          </cell>
          <cell r="D3095">
            <v>1991</v>
          </cell>
          <cell r="E3095" t="str">
            <v>SC Leasing Corp Inc</v>
          </cell>
          <cell r="F3095">
            <v>9</v>
          </cell>
          <cell r="G3095">
            <v>33470</v>
          </cell>
          <cell r="I3095" t="str">
            <v>North America</v>
          </cell>
          <cell r="J3095" t="str">
            <v>USA</v>
          </cell>
          <cell r="K3095">
            <v>32689</v>
          </cell>
        </row>
        <row r="3096">
          <cell r="A3096" t="str">
            <v>In service</v>
          </cell>
          <cell r="B3096" t="str">
            <v>Gulfstream Aerospace Gulfstream IV</v>
          </cell>
          <cell r="C3096" t="str">
            <v xml:space="preserve"> </v>
          </cell>
          <cell r="D3096">
            <v>1991</v>
          </cell>
          <cell r="E3096" t="str">
            <v>Aviation Enterprises Inc</v>
          </cell>
          <cell r="F3096">
            <v>9</v>
          </cell>
          <cell r="G3096">
            <v>33526</v>
          </cell>
          <cell r="I3096" t="str">
            <v>North America</v>
          </cell>
          <cell r="J3096" t="str">
            <v>USA</v>
          </cell>
          <cell r="K3096">
            <v>32689</v>
          </cell>
        </row>
        <row r="3097">
          <cell r="A3097" t="str">
            <v>In service</v>
          </cell>
          <cell r="B3097" t="str">
            <v>Gulfstream Aerospace Gulfstream IV</v>
          </cell>
          <cell r="C3097" t="str">
            <v xml:space="preserve"> </v>
          </cell>
          <cell r="D3097">
            <v>1992</v>
          </cell>
          <cell r="E3097" t="str">
            <v>Government of Botswana</v>
          </cell>
          <cell r="F3097">
            <v>8</v>
          </cell>
          <cell r="G3097">
            <v>33636</v>
          </cell>
          <cell r="I3097" t="str">
            <v>Africa</v>
          </cell>
          <cell r="J3097" t="str">
            <v>Botswana</v>
          </cell>
          <cell r="K3097">
            <v>33192</v>
          </cell>
        </row>
        <row r="3098">
          <cell r="A3098" t="str">
            <v>In service</v>
          </cell>
          <cell r="B3098" t="str">
            <v>Gulfstream Aerospace Gulfstream IV</v>
          </cell>
          <cell r="C3098" t="str">
            <v xml:space="preserve"> </v>
          </cell>
          <cell r="D3098">
            <v>1992</v>
          </cell>
          <cell r="E3098" t="str">
            <v>Paramount Pictures Corp</v>
          </cell>
          <cell r="F3098">
            <v>8</v>
          </cell>
          <cell r="G3098">
            <v>33862</v>
          </cell>
          <cell r="I3098" t="str">
            <v>North America</v>
          </cell>
          <cell r="J3098" t="str">
            <v>USA</v>
          </cell>
          <cell r="K3098">
            <v>33054</v>
          </cell>
        </row>
        <row r="3099">
          <cell r="A3099" t="str">
            <v>In service</v>
          </cell>
          <cell r="B3099" t="str">
            <v>Gulfstream Aerospace Gulfstream IV</v>
          </cell>
          <cell r="C3099" t="str">
            <v xml:space="preserve"> </v>
          </cell>
          <cell r="D3099">
            <v>1992</v>
          </cell>
          <cell r="E3099" t="str">
            <v>Westfield Aviation Inc</v>
          </cell>
          <cell r="F3099">
            <v>8</v>
          </cell>
          <cell r="G3099">
            <v>33936</v>
          </cell>
          <cell r="I3099" t="str">
            <v>North America</v>
          </cell>
          <cell r="J3099" t="str">
            <v>USA</v>
          </cell>
          <cell r="K3099">
            <v>33054</v>
          </cell>
        </row>
        <row r="3100">
          <cell r="A3100" t="str">
            <v>In service</v>
          </cell>
          <cell r="B3100" t="str">
            <v>Gulfstream Aerospace Gulfstream IV</v>
          </cell>
          <cell r="C3100" t="str">
            <v xml:space="preserve"> </v>
          </cell>
          <cell r="D3100">
            <v>1992</v>
          </cell>
          <cell r="E3100" t="str">
            <v>PrimAvia</v>
          </cell>
          <cell r="F3100">
            <v>8</v>
          </cell>
          <cell r="G3100">
            <v>33798</v>
          </cell>
          <cell r="I3100" t="str">
            <v>Europe</v>
          </cell>
          <cell r="J3100" t="str">
            <v>United Kingdom</v>
          </cell>
          <cell r="K3100">
            <v>33054</v>
          </cell>
        </row>
        <row r="3101">
          <cell r="A3101" t="str">
            <v>In service</v>
          </cell>
          <cell r="B3101" t="str">
            <v>Gulfstream Aerospace Gulfstream IV</v>
          </cell>
          <cell r="C3101" t="str">
            <v xml:space="preserve"> </v>
          </cell>
          <cell r="D3101">
            <v>1992</v>
          </cell>
          <cell r="E3101" t="str">
            <v>The Coca-Cola Co</v>
          </cell>
          <cell r="F3101">
            <v>8</v>
          </cell>
          <cell r="G3101">
            <v>34010</v>
          </cell>
          <cell r="I3101" t="str">
            <v>North America</v>
          </cell>
          <cell r="J3101" t="str">
            <v>USA</v>
          </cell>
          <cell r="K3101">
            <v>33419</v>
          </cell>
        </row>
        <row r="3102">
          <cell r="A3102" t="str">
            <v>In service</v>
          </cell>
          <cell r="B3102" t="str">
            <v>Gulfstream Aerospace Gulfstream IV</v>
          </cell>
          <cell r="C3102" t="str">
            <v xml:space="preserve"> </v>
          </cell>
          <cell r="D3102">
            <v>1992</v>
          </cell>
          <cell r="E3102" t="str">
            <v>APEX Park One LLC</v>
          </cell>
          <cell r="F3102">
            <v>8</v>
          </cell>
          <cell r="G3102">
            <v>33678</v>
          </cell>
          <cell r="I3102" t="str">
            <v>North America</v>
          </cell>
          <cell r="J3102" t="str">
            <v>USA</v>
          </cell>
          <cell r="K3102">
            <v>33054</v>
          </cell>
        </row>
        <row r="3103">
          <cell r="A3103" t="str">
            <v>In service</v>
          </cell>
          <cell r="B3103" t="str">
            <v>Gulfstream Aerospace Gulfstream IV</v>
          </cell>
          <cell r="C3103" t="str">
            <v xml:space="preserve"> </v>
          </cell>
          <cell r="D3103">
            <v>1991</v>
          </cell>
          <cell r="E3103" t="str">
            <v>JM Family Enterprises Inc</v>
          </cell>
          <cell r="F3103">
            <v>9</v>
          </cell>
          <cell r="G3103">
            <v>33557</v>
          </cell>
          <cell r="I3103" t="str">
            <v>North America</v>
          </cell>
          <cell r="J3103" t="str">
            <v>USA</v>
          </cell>
          <cell r="K3103">
            <v>32689</v>
          </cell>
        </row>
        <row r="3104">
          <cell r="A3104" t="str">
            <v>In service</v>
          </cell>
          <cell r="B3104" t="str">
            <v>Gulfstream Aerospace Gulfstream IV</v>
          </cell>
          <cell r="C3104" t="str">
            <v xml:space="preserve"> </v>
          </cell>
          <cell r="D3104">
            <v>1992</v>
          </cell>
          <cell r="E3104" t="str">
            <v>Beachline LLC</v>
          </cell>
          <cell r="F3104">
            <v>8</v>
          </cell>
          <cell r="G3104">
            <v>33759</v>
          </cell>
          <cell r="I3104" t="str">
            <v>North America</v>
          </cell>
          <cell r="J3104" t="str">
            <v>USA</v>
          </cell>
          <cell r="K3104">
            <v>33054</v>
          </cell>
        </row>
        <row r="3105">
          <cell r="A3105" t="str">
            <v>In service</v>
          </cell>
          <cell r="B3105" t="str">
            <v>Gulfstream Aerospace Gulfstream IV</v>
          </cell>
          <cell r="C3105" t="str">
            <v xml:space="preserve"> </v>
          </cell>
          <cell r="D3105">
            <v>1992</v>
          </cell>
          <cell r="E3105" t="str">
            <v>Limited Service Corp</v>
          </cell>
          <cell r="F3105">
            <v>8</v>
          </cell>
          <cell r="G3105">
            <v>33812</v>
          </cell>
          <cell r="I3105" t="str">
            <v>North America</v>
          </cell>
          <cell r="J3105" t="str">
            <v>USA</v>
          </cell>
          <cell r="K3105">
            <v>33054</v>
          </cell>
        </row>
        <row r="3106">
          <cell r="A3106" t="str">
            <v>In service</v>
          </cell>
          <cell r="B3106" t="str">
            <v>Gulfstream Aerospace Gulfstream IV</v>
          </cell>
          <cell r="C3106" t="str">
            <v xml:space="preserve"> </v>
          </cell>
          <cell r="D3106">
            <v>1992</v>
          </cell>
          <cell r="E3106" t="str">
            <v>Jerome S Moss</v>
          </cell>
          <cell r="F3106">
            <v>8</v>
          </cell>
          <cell r="G3106">
            <v>33680</v>
          </cell>
          <cell r="I3106" t="str">
            <v>North America</v>
          </cell>
          <cell r="J3106" t="str">
            <v>USA</v>
          </cell>
          <cell r="K3106">
            <v>33054</v>
          </cell>
        </row>
        <row r="3107">
          <cell r="A3107" t="str">
            <v>In service</v>
          </cell>
          <cell r="B3107" t="str">
            <v>Gulfstream Aerospace Gulfstream IV</v>
          </cell>
          <cell r="C3107" t="str">
            <v xml:space="preserve"> </v>
          </cell>
          <cell r="D3107">
            <v>1992</v>
          </cell>
          <cell r="E3107" t="str">
            <v>711 Air Corp</v>
          </cell>
          <cell r="F3107">
            <v>8</v>
          </cell>
          <cell r="G3107">
            <v>34150</v>
          </cell>
          <cell r="I3107" t="str">
            <v>North America</v>
          </cell>
          <cell r="J3107" t="str">
            <v>USA</v>
          </cell>
          <cell r="K3107">
            <v>33419</v>
          </cell>
        </row>
        <row r="3108">
          <cell r="A3108" t="str">
            <v>In service</v>
          </cell>
          <cell r="B3108" t="str">
            <v>Gulfstream Aerospace Gulfstream IV</v>
          </cell>
          <cell r="C3108" t="str">
            <v xml:space="preserve"> </v>
          </cell>
          <cell r="D3108">
            <v>1992</v>
          </cell>
          <cell r="E3108" t="str">
            <v>Korean Air</v>
          </cell>
          <cell r="F3108">
            <v>8</v>
          </cell>
          <cell r="G3108">
            <v>34655</v>
          </cell>
          <cell r="I3108" t="str">
            <v>Asia</v>
          </cell>
          <cell r="J3108" t="str">
            <v>South Korea</v>
          </cell>
          <cell r="K3108">
            <v>33785</v>
          </cell>
        </row>
        <row r="3109">
          <cell r="A3109" t="str">
            <v>In service</v>
          </cell>
          <cell r="B3109" t="str">
            <v>Gulfstream Aerospace Gulfstream IV</v>
          </cell>
          <cell r="C3109" t="str">
            <v xml:space="preserve"> </v>
          </cell>
          <cell r="D3109">
            <v>1992</v>
          </cell>
          <cell r="E3109" t="str">
            <v>Japan Civil Aviation Bureau</v>
          </cell>
          <cell r="F3109">
            <v>8</v>
          </cell>
          <cell r="G3109">
            <v>34237</v>
          </cell>
          <cell r="I3109" t="str">
            <v>Asia</v>
          </cell>
          <cell r="J3109" t="str">
            <v>Japan</v>
          </cell>
          <cell r="K3109">
            <v>34150</v>
          </cell>
        </row>
        <row r="3110">
          <cell r="A3110" t="str">
            <v>In service</v>
          </cell>
          <cell r="B3110" t="str">
            <v>Gulfstream Aerospace Gulfstream IV</v>
          </cell>
          <cell r="C3110" t="str">
            <v xml:space="preserve"> </v>
          </cell>
          <cell r="D3110">
            <v>1992</v>
          </cell>
          <cell r="E3110" t="str">
            <v>MBNA Corp</v>
          </cell>
          <cell r="F3110">
            <v>8</v>
          </cell>
          <cell r="G3110">
            <v>34124</v>
          </cell>
          <cell r="I3110" t="str">
            <v>North America</v>
          </cell>
          <cell r="J3110" t="str">
            <v>USA</v>
          </cell>
          <cell r="K3110">
            <v>33419</v>
          </cell>
        </row>
        <row r="3111">
          <cell r="A3111" t="str">
            <v>In service</v>
          </cell>
          <cell r="B3111" t="str">
            <v>Gulfstream Aerospace Gulfstream IV</v>
          </cell>
          <cell r="C3111" t="str">
            <v xml:space="preserve"> </v>
          </cell>
          <cell r="D3111">
            <v>1993</v>
          </cell>
          <cell r="E3111" t="str">
            <v>Newcourt Capital USA Inc</v>
          </cell>
          <cell r="F3111">
            <v>7</v>
          </cell>
          <cell r="G3111">
            <v>34059</v>
          </cell>
          <cell r="I3111" t="str">
            <v>North America</v>
          </cell>
          <cell r="J3111" t="str">
            <v>Canada</v>
          </cell>
          <cell r="K3111">
            <v>33419</v>
          </cell>
        </row>
        <row r="3112">
          <cell r="A3112" t="str">
            <v>In service</v>
          </cell>
          <cell r="B3112" t="str">
            <v>Gulfstream Aerospace Gulfstream IV</v>
          </cell>
          <cell r="C3112" t="str">
            <v xml:space="preserve"> </v>
          </cell>
          <cell r="D3112">
            <v>1992</v>
          </cell>
          <cell r="E3112" t="str">
            <v>Eastman Kodak Co</v>
          </cell>
          <cell r="F3112">
            <v>8</v>
          </cell>
          <cell r="G3112">
            <v>33926</v>
          </cell>
          <cell r="I3112" t="str">
            <v>North America</v>
          </cell>
          <cell r="J3112" t="str">
            <v>USA</v>
          </cell>
          <cell r="K3112">
            <v>33054</v>
          </cell>
        </row>
        <row r="3113">
          <cell r="A3113" t="str">
            <v>In service</v>
          </cell>
          <cell r="B3113" t="str">
            <v>Gulfstream Aerospace Gulfstream IV</v>
          </cell>
          <cell r="C3113" t="str">
            <v xml:space="preserve"> </v>
          </cell>
          <cell r="D3113">
            <v>1992</v>
          </cell>
          <cell r="E3113" t="str">
            <v>Automotive Air Charter</v>
          </cell>
          <cell r="F3113">
            <v>8</v>
          </cell>
          <cell r="G3113">
            <v>33926</v>
          </cell>
          <cell r="I3113" t="str">
            <v>North America</v>
          </cell>
          <cell r="J3113" t="str">
            <v>USA</v>
          </cell>
          <cell r="K3113">
            <v>33054</v>
          </cell>
        </row>
        <row r="3114">
          <cell r="A3114" t="str">
            <v>In service</v>
          </cell>
          <cell r="B3114" t="str">
            <v>Gulfstream Aerospace Gulfstream IV</v>
          </cell>
          <cell r="C3114" t="str">
            <v xml:space="preserve"> </v>
          </cell>
          <cell r="D3114">
            <v>1993</v>
          </cell>
          <cell r="E3114" t="str">
            <v>Red White &amp; Blue Pictures</v>
          </cell>
          <cell r="F3114">
            <v>7</v>
          </cell>
          <cell r="G3114">
            <v>34074</v>
          </cell>
          <cell r="I3114" t="str">
            <v>North America</v>
          </cell>
          <cell r="J3114" t="str">
            <v>USA</v>
          </cell>
          <cell r="K3114">
            <v>33419</v>
          </cell>
        </row>
        <row r="3115">
          <cell r="A3115" t="str">
            <v>In service</v>
          </cell>
          <cell r="B3115" t="str">
            <v>Gulfstream Aerospace Gulfstream IV</v>
          </cell>
          <cell r="C3115" t="str">
            <v xml:space="preserve"> </v>
          </cell>
          <cell r="D3115">
            <v>1992</v>
          </cell>
          <cell r="E3115" t="str">
            <v>Oman Royal Flight</v>
          </cell>
          <cell r="F3115">
            <v>8</v>
          </cell>
          <cell r="G3115">
            <v>33947</v>
          </cell>
          <cell r="I3115" t="str">
            <v>Middle East</v>
          </cell>
          <cell r="J3115" t="str">
            <v>Oman</v>
          </cell>
          <cell r="K3115">
            <v>33054</v>
          </cell>
        </row>
        <row r="3116">
          <cell r="A3116" t="str">
            <v>In service</v>
          </cell>
          <cell r="B3116" t="str">
            <v>Gulfstream Aerospace Gulfstream IV</v>
          </cell>
          <cell r="C3116" t="str">
            <v xml:space="preserve"> </v>
          </cell>
          <cell r="D3116">
            <v>1992</v>
          </cell>
          <cell r="E3116" t="str">
            <v>Moon Doggie Aircraft Services Corp</v>
          </cell>
          <cell r="F3116">
            <v>8</v>
          </cell>
          <cell r="G3116">
            <v>33830</v>
          </cell>
          <cell r="I3116" t="str">
            <v>North America</v>
          </cell>
          <cell r="J3116" t="str">
            <v>USA</v>
          </cell>
          <cell r="K3116">
            <v>33054</v>
          </cell>
        </row>
        <row r="3117">
          <cell r="A3117" t="str">
            <v>In service</v>
          </cell>
          <cell r="B3117" t="str">
            <v>Gulfstream Aerospace Gulfstream IV</v>
          </cell>
          <cell r="C3117" t="str">
            <v xml:space="preserve"> </v>
          </cell>
          <cell r="D3117">
            <v>1992</v>
          </cell>
          <cell r="E3117" t="str">
            <v>Viad Corp</v>
          </cell>
          <cell r="F3117">
            <v>8</v>
          </cell>
          <cell r="G3117">
            <v>33872</v>
          </cell>
          <cell r="I3117" t="str">
            <v>North America</v>
          </cell>
          <cell r="J3117" t="str">
            <v>USA</v>
          </cell>
          <cell r="K3117">
            <v>33054</v>
          </cell>
        </row>
        <row r="3118">
          <cell r="A3118" t="str">
            <v>In service</v>
          </cell>
          <cell r="B3118" t="str">
            <v>Gulfstream Aerospace Gulfstream IV</v>
          </cell>
          <cell r="C3118" t="str">
            <v xml:space="preserve"> </v>
          </cell>
          <cell r="D3118">
            <v>1993</v>
          </cell>
          <cell r="E3118" t="str">
            <v>Roni Capital LLC</v>
          </cell>
          <cell r="F3118">
            <v>7</v>
          </cell>
          <cell r="G3118">
            <v>34165</v>
          </cell>
          <cell r="I3118" t="str">
            <v>North America</v>
          </cell>
          <cell r="J3118" t="str">
            <v>USA</v>
          </cell>
          <cell r="K3118">
            <v>33419</v>
          </cell>
        </row>
        <row r="3119">
          <cell r="A3119" t="str">
            <v>In service</v>
          </cell>
          <cell r="B3119" t="str">
            <v>Gulfstream Aerospace Gulfstream IV</v>
          </cell>
          <cell r="C3119" t="str">
            <v xml:space="preserve"> </v>
          </cell>
          <cell r="D3119">
            <v>1993</v>
          </cell>
          <cell r="E3119" t="str">
            <v>AT&amp;T Corp</v>
          </cell>
          <cell r="F3119">
            <v>7</v>
          </cell>
          <cell r="G3119">
            <v>34213</v>
          </cell>
          <cell r="I3119" t="str">
            <v>North America</v>
          </cell>
          <cell r="J3119" t="str">
            <v>USA</v>
          </cell>
          <cell r="K3119">
            <v>33054</v>
          </cell>
        </row>
        <row r="3120">
          <cell r="A3120" t="str">
            <v>In service</v>
          </cell>
          <cell r="B3120" t="str">
            <v>Gulfstream Aerospace Gulfstream IV</v>
          </cell>
          <cell r="C3120" t="str">
            <v xml:space="preserve"> </v>
          </cell>
          <cell r="D3120">
            <v>1992</v>
          </cell>
          <cell r="E3120" t="str">
            <v>Cox Communications Inc</v>
          </cell>
          <cell r="F3120">
            <v>8</v>
          </cell>
          <cell r="G3120">
            <v>33938</v>
          </cell>
          <cell r="I3120" t="str">
            <v>North America</v>
          </cell>
          <cell r="J3120" t="str">
            <v>USA</v>
          </cell>
          <cell r="K3120">
            <v>33054</v>
          </cell>
        </row>
        <row r="3121">
          <cell r="A3121" t="str">
            <v>In service</v>
          </cell>
          <cell r="B3121" t="str">
            <v>Gulfstream Aerospace Gulfstream IV</v>
          </cell>
          <cell r="C3121" t="str">
            <v xml:space="preserve"> </v>
          </cell>
          <cell r="D3121">
            <v>1993</v>
          </cell>
          <cell r="E3121" t="str">
            <v>Vivendi Universal</v>
          </cell>
          <cell r="F3121">
            <v>7</v>
          </cell>
          <cell r="G3121">
            <v>34204</v>
          </cell>
          <cell r="I3121" t="str">
            <v>North America</v>
          </cell>
          <cell r="J3121" t="str">
            <v>USA</v>
          </cell>
          <cell r="K3121">
            <v>33419</v>
          </cell>
        </row>
        <row r="3122">
          <cell r="A3122" t="str">
            <v>In service</v>
          </cell>
          <cell r="B3122" t="str">
            <v>Gulfstream Aerospace Gulfstream IV</v>
          </cell>
          <cell r="C3122" t="str">
            <v xml:space="preserve"> </v>
          </cell>
          <cell r="D3122">
            <v>1993</v>
          </cell>
          <cell r="E3122" t="str">
            <v>Aviation Methods Inc</v>
          </cell>
          <cell r="F3122">
            <v>7</v>
          </cell>
          <cell r="G3122">
            <v>34229</v>
          </cell>
          <cell r="I3122" t="str">
            <v>Europe</v>
          </cell>
          <cell r="J3122" t="str">
            <v>United Kingdom</v>
          </cell>
          <cell r="K3122">
            <v>33419</v>
          </cell>
        </row>
        <row r="3123">
          <cell r="A3123" t="str">
            <v>In service</v>
          </cell>
          <cell r="B3123" t="str">
            <v>Gulfstream Aerospace Gulfstream IV</v>
          </cell>
          <cell r="C3123" t="str">
            <v xml:space="preserve"> </v>
          </cell>
          <cell r="D3123">
            <v>1993</v>
          </cell>
          <cell r="E3123" t="str">
            <v>H J Heinz Co</v>
          </cell>
          <cell r="F3123">
            <v>7</v>
          </cell>
          <cell r="G3123">
            <v>34380</v>
          </cell>
          <cell r="I3123" t="str">
            <v>North America</v>
          </cell>
          <cell r="J3123" t="str">
            <v>USA</v>
          </cell>
        </row>
        <row r="3124">
          <cell r="A3124" t="str">
            <v>In service</v>
          </cell>
          <cell r="B3124" t="str">
            <v>Gulfstream Aerospace Gulfstream IV</v>
          </cell>
          <cell r="C3124" t="str">
            <v xml:space="preserve"> </v>
          </cell>
          <cell r="D3124">
            <v>1992</v>
          </cell>
          <cell r="E3124" t="str">
            <v>PK Aire Inc</v>
          </cell>
          <cell r="F3124">
            <v>8</v>
          </cell>
          <cell r="G3124">
            <v>33962</v>
          </cell>
          <cell r="I3124" t="str">
            <v>North America</v>
          </cell>
          <cell r="J3124" t="str">
            <v>USA</v>
          </cell>
          <cell r="K3124">
            <v>33054</v>
          </cell>
        </row>
        <row r="3125">
          <cell r="A3125" t="str">
            <v>In service</v>
          </cell>
          <cell r="B3125" t="str">
            <v>Gulfstream Aerospace Gulfstream IV</v>
          </cell>
          <cell r="C3125" t="str">
            <v xml:space="preserve"> </v>
          </cell>
          <cell r="D3125">
            <v>1993</v>
          </cell>
          <cell r="E3125" t="str">
            <v>Luft Aviation Charter Pty Ltd</v>
          </cell>
          <cell r="F3125">
            <v>7</v>
          </cell>
          <cell r="G3125">
            <v>34488</v>
          </cell>
          <cell r="I3125" t="str">
            <v>Australasia</v>
          </cell>
          <cell r="J3125" t="str">
            <v>Australia</v>
          </cell>
          <cell r="K3125">
            <v>33785</v>
          </cell>
        </row>
        <row r="3126">
          <cell r="A3126" t="str">
            <v>In service</v>
          </cell>
          <cell r="B3126" t="str">
            <v>Gulfstream Aerospace Gulfstream IV</v>
          </cell>
          <cell r="C3126" t="str">
            <v xml:space="preserve"> </v>
          </cell>
          <cell r="D3126">
            <v>1993</v>
          </cell>
          <cell r="E3126" t="str">
            <v>Hewlett-Packard Co</v>
          </cell>
          <cell r="F3126">
            <v>7</v>
          </cell>
          <cell r="G3126">
            <v>34194</v>
          </cell>
          <cell r="I3126" t="str">
            <v>North America</v>
          </cell>
          <cell r="J3126" t="str">
            <v>USA</v>
          </cell>
          <cell r="K3126">
            <v>33419</v>
          </cell>
        </row>
        <row r="3127">
          <cell r="A3127" t="str">
            <v>In service</v>
          </cell>
          <cell r="B3127" t="str">
            <v>Gulfstream Aerospace Gulfstream IV</v>
          </cell>
          <cell r="C3127" t="str">
            <v xml:space="preserve"> </v>
          </cell>
          <cell r="D3127">
            <v>1993</v>
          </cell>
          <cell r="E3127" t="str">
            <v>News America Inc</v>
          </cell>
          <cell r="F3127">
            <v>7</v>
          </cell>
          <cell r="G3127">
            <v>34369</v>
          </cell>
          <cell r="I3127" t="str">
            <v>North America</v>
          </cell>
          <cell r="J3127" t="str">
            <v>USA</v>
          </cell>
          <cell r="K3127">
            <v>34150</v>
          </cell>
        </row>
        <row r="3128">
          <cell r="A3128" t="str">
            <v>In service</v>
          </cell>
          <cell r="B3128" t="str">
            <v>Gulfstream Aerospace Gulfstream IV</v>
          </cell>
          <cell r="C3128" t="str">
            <v xml:space="preserve"> </v>
          </cell>
          <cell r="D3128">
            <v>1993</v>
          </cell>
          <cell r="E3128" t="str">
            <v>Exxon Mobil Corp</v>
          </cell>
          <cell r="F3128">
            <v>7</v>
          </cell>
          <cell r="G3128">
            <v>34227</v>
          </cell>
          <cell r="I3128" t="str">
            <v>North America</v>
          </cell>
          <cell r="J3128" t="str">
            <v>USA</v>
          </cell>
          <cell r="K3128">
            <v>33419</v>
          </cell>
        </row>
        <row r="3129">
          <cell r="A3129" t="str">
            <v>In service</v>
          </cell>
          <cell r="B3129" t="str">
            <v>Gulfstream Aerospace Gulfstream IV</v>
          </cell>
          <cell r="C3129" t="str">
            <v xml:space="preserve"> </v>
          </cell>
          <cell r="D3129">
            <v>1993</v>
          </cell>
          <cell r="E3129" t="str">
            <v>Hewlett-Packard Co</v>
          </cell>
          <cell r="F3129">
            <v>7</v>
          </cell>
          <cell r="G3129">
            <v>34311</v>
          </cell>
          <cell r="I3129" t="str">
            <v>North America</v>
          </cell>
          <cell r="J3129" t="str">
            <v>USA</v>
          </cell>
          <cell r="K3129">
            <v>33419</v>
          </cell>
        </row>
        <row r="3130">
          <cell r="A3130" t="str">
            <v>In service</v>
          </cell>
          <cell r="B3130" t="str">
            <v>Gulfstream Aerospace Gulfstream IV</v>
          </cell>
          <cell r="C3130" t="str">
            <v xml:space="preserve"> </v>
          </cell>
          <cell r="D3130">
            <v>1993</v>
          </cell>
          <cell r="E3130" t="str">
            <v>Time Warner Inc</v>
          </cell>
          <cell r="F3130">
            <v>7</v>
          </cell>
          <cell r="G3130">
            <v>34380</v>
          </cell>
          <cell r="I3130" t="str">
            <v>North America</v>
          </cell>
          <cell r="J3130" t="str">
            <v>USA</v>
          </cell>
          <cell r="K3130">
            <v>33785</v>
          </cell>
        </row>
        <row r="3131">
          <cell r="A3131" t="str">
            <v>In service</v>
          </cell>
          <cell r="B3131" t="str">
            <v>Gulfstream Aerospace Gulfstream IV</v>
          </cell>
          <cell r="C3131" t="str">
            <v xml:space="preserve"> </v>
          </cell>
          <cell r="D3131">
            <v>1993</v>
          </cell>
          <cell r="E3131" t="str">
            <v>Dana Commercial Credit Corp</v>
          </cell>
          <cell r="F3131">
            <v>7</v>
          </cell>
          <cell r="G3131">
            <v>34349</v>
          </cell>
          <cell r="I3131" t="str">
            <v>North America</v>
          </cell>
          <cell r="J3131" t="str">
            <v>USA</v>
          </cell>
          <cell r="K3131">
            <v>33785</v>
          </cell>
        </row>
        <row r="3132">
          <cell r="A3132" t="str">
            <v>In service</v>
          </cell>
          <cell r="B3132" t="str">
            <v>Gulfstream Aerospace Gulfstream IV</v>
          </cell>
          <cell r="C3132" t="str">
            <v xml:space="preserve"> </v>
          </cell>
          <cell r="D3132">
            <v>1993</v>
          </cell>
          <cell r="E3132" t="str">
            <v>N171JC LLC</v>
          </cell>
          <cell r="F3132">
            <v>7</v>
          </cell>
          <cell r="G3132">
            <v>34380</v>
          </cell>
          <cell r="I3132" t="str">
            <v>North America</v>
          </cell>
          <cell r="J3132" t="str">
            <v>USA</v>
          </cell>
          <cell r="K3132">
            <v>33785</v>
          </cell>
        </row>
        <row r="3133">
          <cell r="A3133" t="str">
            <v>In service</v>
          </cell>
          <cell r="B3133" t="str">
            <v>Gulfstream Aerospace Gulfstream IV</v>
          </cell>
          <cell r="C3133" t="str">
            <v xml:space="preserve"> </v>
          </cell>
          <cell r="D3133">
            <v>1993</v>
          </cell>
          <cell r="E3133" t="str">
            <v>H J Heinz Co</v>
          </cell>
          <cell r="F3133">
            <v>7</v>
          </cell>
          <cell r="G3133">
            <v>34682</v>
          </cell>
          <cell r="I3133" t="str">
            <v>North America</v>
          </cell>
          <cell r="J3133" t="str">
            <v>USA</v>
          </cell>
          <cell r="K3133">
            <v>33785</v>
          </cell>
        </row>
        <row r="3134">
          <cell r="A3134" t="str">
            <v>In service</v>
          </cell>
          <cell r="B3134" t="str">
            <v>Gulfstream Aerospace Gulfstream IV</v>
          </cell>
          <cell r="C3134" t="str">
            <v xml:space="preserve"> </v>
          </cell>
          <cell r="D3134">
            <v>1993</v>
          </cell>
          <cell r="E3134" t="str">
            <v>SDA Enterprises Inc</v>
          </cell>
          <cell r="F3134">
            <v>7</v>
          </cell>
          <cell r="G3134">
            <v>34318</v>
          </cell>
          <cell r="I3134" t="str">
            <v>North America</v>
          </cell>
          <cell r="J3134" t="str">
            <v>USA</v>
          </cell>
          <cell r="K3134">
            <v>33419</v>
          </cell>
        </row>
        <row r="3135">
          <cell r="A3135" t="str">
            <v>In service</v>
          </cell>
          <cell r="B3135" t="str">
            <v>Gulfstream Aerospace Gulfstream IV</v>
          </cell>
          <cell r="C3135" t="str">
            <v xml:space="preserve"> </v>
          </cell>
          <cell r="D3135">
            <v>1993</v>
          </cell>
          <cell r="E3135" t="str">
            <v>Verochris Corp</v>
          </cell>
          <cell r="F3135">
            <v>7</v>
          </cell>
          <cell r="G3135">
            <v>34212</v>
          </cell>
          <cell r="I3135" t="str">
            <v>North America</v>
          </cell>
          <cell r="J3135" t="str">
            <v>USA</v>
          </cell>
          <cell r="K3135">
            <v>33419</v>
          </cell>
        </row>
        <row r="3136">
          <cell r="A3136" t="str">
            <v>In service</v>
          </cell>
          <cell r="B3136" t="str">
            <v>Gulfstream Aerospace Gulfstream IV</v>
          </cell>
          <cell r="C3136" t="str">
            <v xml:space="preserve"> </v>
          </cell>
          <cell r="D3136">
            <v>1993</v>
          </cell>
          <cell r="E3136" t="str">
            <v>OMG American Inc</v>
          </cell>
          <cell r="F3136">
            <v>7</v>
          </cell>
          <cell r="G3136">
            <v>34515</v>
          </cell>
          <cell r="I3136" t="str">
            <v>North America</v>
          </cell>
          <cell r="J3136" t="str">
            <v>USA</v>
          </cell>
          <cell r="K3136">
            <v>33785</v>
          </cell>
        </row>
        <row r="3137">
          <cell r="A3137" t="str">
            <v>In service</v>
          </cell>
          <cell r="B3137" t="str">
            <v>Gulfstream Aerospace Gulfstream IV</v>
          </cell>
          <cell r="C3137" t="str">
            <v xml:space="preserve"> </v>
          </cell>
          <cell r="D3137">
            <v>1993</v>
          </cell>
          <cell r="E3137" t="str">
            <v>Trillium Leasing LLC</v>
          </cell>
          <cell r="F3137">
            <v>7</v>
          </cell>
          <cell r="G3137">
            <v>34452</v>
          </cell>
          <cell r="I3137" t="str">
            <v>North America</v>
          </cell>
          <cell r="J3137" t="str">
            <v>USA</v>
          </cell>
          <cell r="K3137">
            <v>33785</v>
          </cell>
        </row>
        <row r="3138">
          <cell r="A3138" t="str">
            <v>In service</v>
          </cell>
          <cell r="B3138" t="str">
            <v>Gulfstream Aerospace Gulfstream IV</v>
          </cell>
          <cell r="C3138" t="str">
            <v xml:space="preserve"> </v>
          </cell>
          <cell r="D3138">
            <v>1993</v>
          </cell>
          <cell r="E3138" t="str">
            <v>Trans Exec Air Service</v>
          </cell>
          <cell r="F3138">
            <v>7</v>
          </cell>
          <cell r="G3138">
            <v>34561</v>
          </cell>
          <cell r="I3138" t="str">
            <v>North America</v>
          </cell>
          <cell r="J3138" t="str">
            <v>USA</v>
          </cell>
          <cell r="K3138">
            <v>33785</v>
          </cell>
        </row>
        <row r="3139">
          <cell r="A3139" t="str">
            <v>In service</v>
          </cell>
          <cell r="B3139" t="str">
            <v>Gulfstream Aerospace Gulfstream IV</v>
          </cell>
          <cell r="C3139" t="str">
            <v>C-20F</v>
          </cell>
          <cell r="D3139">
            <v>1991</v>
          </cell>
          <cell r="E3139" t="str">
            <v>US Army</v>
          </cell>
          <cell r="F3139">
            <v>9</v>
          </cell>
          <cell r="G3139">
            <v>33411</v>
          </cell>
          <cell r="H3139" t="str">
            <v>C-20F</v>
          </cell>
          <cell r="I3139" t="str">
            <v>North America</v>
          </cell>
          <cell r="J3139" t="str">
            <v>USA</v>
          </cell>
        </row>
        <row r="3140">
          <cell r="A3140" t="str">
            <v>In service</v>
          </cell>
          <cell r="B3140" t="str">
            <v>Gulfstream Aerospace Gulfstream IV</v>
          </cell>
          <cell r="C3140" t="str">
            <v>C-20G</v>
          </cell>
          <cell r="D3140">
            <v>1994</v>
          </cell>
          <cell r="E3140" t="str">
            <v>US Air Force</v>
          </cell>
          <cell r="F3140">
            <v>6</v>
          </cell>
          <cell r="G3140">
            <v>34622</v>
          </cell>
          <cell r="H3140" t="str">
            <v>C-20G</v>
          </cell>
          <cell r="I3140" t="str">
            <v>North America</v>
          </cell>
          <cell r="J3140" t="str">
            <v>USA</v>
          </cell>
          <cell r="K3140">
            <v>34150</v>
          </cell>
        </row>
        <row r="3141">
          <cell r="A3141" t="str">
            <v>In service</v>
          </cell>
          <cell r="B3141" t="str">
            <v>Gulfstream Aerospace Gulfstream IV</v>
          </cell>
          <cell r="C3141" t="str">
            <v>C-20G</v>
          </cell>
          <cell r="D3141">
            <v>1992</v>
          </cell>
          <cell r="E3141" t="str">
            <v>US Navy</v>
          </cell>
          <cell r="F3141">
            <v>8</v>
          </cell>
          <cell r="G3141">
            <v>34369</v>
          </cell>
          <cell r="H3141" t="str">
            <v>C-20G</v>
          </cell>
          <cell r="I3141" t="str">
            <v>North America</v>
          </cell>
          <cell r="J3141" t="str">
            <v>USA</v>
          </cell>
          <cell r="K3141">
            <v>33284</v>
          </cell>
        </row>
        <row r="3142">
          <cell r="A3142" t="str">
            <v>In service</v>
          </cell>
          <cell r="B3142" t="str">
            <v>Gulfstream Aerospace Gulfstream IV</v>
          </cell>
          <cell r="C3142" t="str">
            <v>C-20G</v>
          </cell>
          <cell r="D3142">
            <v>1992</v>
          </cell>
          <cell r="E3142" t="str">
            <v>US Navy</v>
          </cell>
          <cell r="F3142">
            <v>8</v>
          </cell>
          <cell r="G3142">
            <v>34515</v>
          </cell>
          <cell r="H3142" t="str">
            <v>C-20G</v>
          </cell>
          <cell r="I3142" t="str">
            <v>North America</v>
          </cell>
          <cell r="J3142" t="str">
            <v>USA</v>
          </cell>
          <cell r="K3142">
            <v>33284</v>
          </cell>
        </row>
        <row r="3143">
          <cell r="A3143" t="str">
            <v>In service</v>
          </cell>
          <cell r="B3143" t="str">
            <v>Gulfstream Aerospace Gulfstream IV</v>
          </cell>
          <cell r="C3143" t="str">
            <v>C-20G</v>
          </cell>
          <cell r="D3143">
            <v>1992</v>
          </cell>
          <cell r="E3143" t="str">
            <v>US Navy</v>
          </cell>
          <cell r="F3143">
            <v>8</v>
          </cell>
          <cell r="G3143">
            <v>34683</v>
          </cell>
          <cell r="H3143" t="str">
            <v>C-20G</v>
          </cell>
          <cell r="I3143" t="str">
            <v>North America</v>
          </cell>
          <cell r="J3143" t="str">
            <v>USA</v>
          </cell>
          <cell r="K3143">
            <v>33785</v>
          </cell>
        </row>
        <row r="3144">
          <cell r="A3144" t="str">
            <v>In service</v>
          </cell>
          <cell r="B3144" t="str">
            <v>Gulfstream Aerospace Gulfstream IV</v>
          </cell>
          <cell r="C3144" t="str">
            <v>C-20G</v>
          </cell>
          <cell r="D3144">
            <v>1992</v>
          </cell>
          <cell r="E3144" t="str">
            <v>US Marine Corps</v>
          </cell>
          <cell r="F3144">
            <v>8</v>
          </cell>
          <cell r="G3144">
            <v>34653</v>
          </cell>
          <cell r="H3144" t="str">
            <v>C-20G</v>
          </cell>
          <cell r="I3144" t="str">
            <v>North America</v>
          </cell>
          <cell r="J3144" t="str">
            <v>USA</v>
          </cell>
          <cell r="K3144">
            <v>33785</v>
          </cell>
        </row>
        <row r="3145">
          <cell r="A3145" t="str">
            <v>In service</v>
          </cell>
          <cell r="B3145" t="str">
            <v>Gulfstream Aerospace Gulfstream IV</v>
          </cell>
          <cell r="C3145" t="str">
            <v>C-20H</v>
          </cell>
          <cell r="D3145">
            <v>1995</v>
          </cell>
          <cell r="E3145" t="str">
            <v>US Air Force</v>
          </cell>
          <cell r="F3145">
            <v>5</v>
          </cell>
          <cell r="G3145">
            <v>35110</v>
          </cell>
          <cell r="H3145" t="str">
            <v>C-20H</v>
          </cell>
          <cell r="I3145" t="str">
            <v>North America</v>
          </cell>
          <cell r="J3145" t="str">
            <v>USA</v>
          </cell>
          <cell r="K3145">
            <v>33785</v>
          </cell>
        </row>
        <row r="3146">
          <cell r="A3146" t="str">
            <v>In service</v>
          </cell>
          <cell r="B3146" t="str">
            <v>Gulfstream Aerospace Gulfstream IV</v>
          </cell>
          <cell r="C3146" t="str">
            <v>S 102B</v>
          </cell>
          <cell r="D3146">
            <v>1993</v>
          </cell>
          <cell r="E3146" t="str">
            <v>Swedish Air Force</v>
          </cell>
          <cell r="F3146">
            <v>7</v>
          </cell>
          <cell r="G3146">
            <v>34935</v>
          </cell>
          <cell r="H3146" t="str">
            <v>S 102B</v>
          </cell>
          <cell r="I3146" t="str">
            <v>Europe</v>
          </cell>
          <cell r="J3146" t="str">
            <v>Sweden</v>
          </cell>
          <cell r="K3146">
            <v>33784</v>
          </cell>
        </row>
        <row r="3147">
          <cell r="A3147" t="str">
            <v>In service</v>
          </cell>
          <cell r="B3147" t="str">
            <v>Gulfstream Aerospace Gulfstream IV</v>
          </cell>
          <cell r="C3147" t="str">
            <v>S 102B</v>
          </cell>
          <cell r="D3147">
            <v>1993</v>
          </cell>
          <cell r="E3147" t="str">
            <v>Swedish Air Force</v>
          </cell>
          <cell r="F3147">
            <v>7</v>
          </cell>
          <cell r="G3147">
            <v>34987</v>
          </cell>
          <cell r="H3147" t="str">
            <v>S 102B</v>
          </cell>
          <cell r="I3147" t="str">
            <v>Europe</v>
          </cell>
          <cell r="J3147" t="str">
            <v>Sweden</v>
          </cell>
          <cell r="K3147">
            <v>33784</v>
          </cell>
        </row>
        <row r="3148">
          <cell r="A3148" t="str">
            <v>In service</v>
          </cell>
          <cell r="B3148" t="str">
            <v>Gulfstream Aerospace Gulfstream IV</v>
          </cell>
          <cell r="C3148" t="str">
            <v>SP</v>
          </cell>
          <cell r="D3148">
            <v>1991</v>
          </cell>
          <cell r="E3148" t="str">
            <v>Jetclub AG</v>
          </cell>
          <cell r="F3148">
            <v>9</v>
          </cell>
          <cell r="G3148">
            <v>34380</v>
          </cell>
          <cell r="H3148" t="str">
            <v>SP</v>
          </cell>
          <cell r="I3148" t="str">
            <v>Europe</v>
          </cell>
          <cell r="J3148" t="str">
            <v>Switzerland</v>
          </cell>
        </row>
        <row r="3149">
          <cell r="A3149" t="str">
            <v>In service</v>
          </cell>
          <cell r="B3149" t="str">
            <v>Gulfstream Aerospace Gulfstream IV</v>
          </cell>
          <cell r="C3149" t="str">
            <v>SP</v>
          </cell>
          <cell r="D3149">
            <v>1992</v>
          </cell>
          <cell r="E3149" t="str">
            <v>The Air Group Inc</v>
          </cell>
          <cell r="F3149">
            <v>8</v>
          </cell>
          <cell r="G3149">
            <v>33785</v>
          </cell>
          <cell r="H3149" t="str">
            <v>SP</v>
          </cell>
          <cell r="I3149" t="str">
            <v>North America</v>
          </cell>
          <cell r="J3149" t="str">
            <v>USA</v>
          </cell>
        </row>
        <row r="3150">
          <cell r="A3150" t="str">
            <v>In service</v>
          </cell>
          <cell r="B3150" t="str">
            <v>Gulfstream Aerospace Gulfstream IV</v>
          </cell>
          <cell r="C3150" t="str">
            <v>SP</v>
          </cell>
          <cell r="D3150">
            <v>1992</v>
          </cell>
          <cell r="E3150" t="str">
            <v>Zeno Air Inc</v>
          </cell>
          <cell r="F3150">
            <v>8</v>
          </cell>
          <cell r="G3150">
            <v>33907</v>
          </cell>
          <cell r="H3150" t="str">
            <v>SP</v>
          </cell>
          <cell r="I3150" t="str">
            <v>North America</v>
          </cell>
          <cell r="J3150" t="str">
            <v>USA</v>
          </cell>
          <cell r="K3150">
            <v>33419</v>
          </cell>
        </row>
        <row r="3151">
          <cell r="A3151" t="str">
            <v>In service</v>
          </cell>
          <cell r="B3151" t="str">
            <v>Gulfstream Aerospace Gulfstream IV</v>
          </cell>
          <cell r="C3151" t="str">
            <v>SP</v>
          </cell>
          <cell r="D3151">
            <v>1993</v>
          </cell>
          <cell r="E3151" t="str">
            <v>USA Video Distribution LLC &amp; Nineteen Forty CC Inc</v>
          </cell>
          <cell r="F3151">
            <v>7</v>
          </cell>
          <cell r="G3151">
            <v>34200</v>
          </cell>
          <cell r="H3151" t="str">
            <v>SP</v>
          </cell>
          <cell r="I3151" t="str">
            <v>North America</v>
          </cell>
          <cell r="J3151" t="str">
            <v>USA</v>
          </cell>
          <cell r="K3151">
            <v>33785</v>
          </cell>
        </row>
        <row r="3152">
          <cell r="A3152" t="str">
            <v>In service</v>
          </cell>
          <cell r="B3152" t="str">
            <v>Gulfstream Aerospace Gulfstream IV</v>
          </cell>
          <cell r="C3152" t="str">
            <v>SP</v>
          </cell>
          <cell r="D3152">
            <v>1993</v>
          </cell>
          <cell r="E3152" t="str">
            <v>Harrahs Operating Co Inc</v>
          </cell>
          <cell r="F3152">
            <v>7</v>
          </cell>
          <cell r="G3152">
            <v>34058</v>
          </cell>
          <cell r="H3152" t="str">
            <v>SP</v>
          </cell>
          <cell r="I3152" t="str">
            <v>North America</v>
          </cell>
          <cell r="J3152" t="str">
            <v>USA</v>
          </cell>
          <cell r="K3152">
            <v>33419</v>
          </cell>
        </row>
        <row r="3153">
          <cell r="A3153" t="str">
            <v>In service</v>
          </cell>
          <cell r="B3153" t="str">
            <v>Gulfstream Aerospace Gulfstream IV</v>
          </cell>
          <cell r="C3153" t="str">
            <v>SP</v>
          </cell>
          <cell r="D3153">
            <v>1993</v>
          </cell>
          <cell r="E3153" t="str">
            <v>Georgetown Interstate Aviation Inc</v>
          </cell>
          <cell r="F3153">
            <v>7</v>
          </cell>
          <cell r="G3153">
            <v>34096</v>
          </cell>
          <cell r="H3153" t="str">
            <v>SP</v>
          </cell>
          <cell r="I3153" t="str">
            <v>North America</v>
          </cell>
          <cell r="J3153" t="str">
            <v>USA</v>
          </cell>
          <cell r="K3153">
            <v>33419</v>
          </cell>
        </row>
        <row r="3154">
          <cell r="A3154" t="str">
            <v>In service</v>
          </cell>
          <cell r="B3154" t="str">
            <v>Gulfstream Aerospace Gulfstream IV</v>
          </cell>
          <cell r="C3154" t="str">
            <v>SP</v>
          </cell>
          <cell r="D3154">
            <v>1993</v>
          </cell>
          <cell r="E3154" t="str">
            <v>AON Service Corporation</v>
          </cell>
          <cell r="F3154">
            <v>7</v>
          </cell>
          <cell r="G3154">
            <v>34495</v>
          </cell>
          <cell r="H3154" t="str">
            <v>SP</v>
          </cell>
          <cell r="I3154" t="str">
            <v>North America</v>
          </cell>
          <cell r="J3154" t="str">
            <v>USA</v>
          </cell>
          <cell r="K3154">
            <v>33785</v>
          </cell>
        </row>
        <row r="3155">
          <cell r="A3155" t="str">
            <v>In service</v>
          </cell>
          <cell r="B3155" t="str">
            <v>Gulfstream Aerospace Gulfstream IV</v>
          </cell>
          <cell r="C3155" t="str">
            <v>SP</v>
          </cell>
          <cell r="D3155">
            <v>1993</v>
          </cell>
          <cell r="E3155" t="str">
            <v>CSC Transport Inc</v>
          </cell>
          <cell r="F3155">
            <v>7</v>
          </cell>
          <cell r="G3155">
            <v>34564</v>
          </cell>
          <cell r="H3155" t="str">
            <v>SP</v>
          </cell>
          <cell r="I3155" t="str">
            <v>North America</v>
          </cell>
          <cell r="J3155" t="str">
            <v>USA</v>
          </cell>
          <cell r="K3155">
            <v>33785</v>
          </cell>
        </row>
        <row r="3156">
          <cell r="A3156" t="str">
            <v>In service</v>
          </cell>
          <cell r="B3156" t="str">
            <v>Gulfstream Aerospace Gulfstream IV</v>
          </cell>
          <cell r="C3156" t="str">
            <v>SP</v>
          </cell>
          <cell r="D3156">
            <v>1993</v>
          </cell>
          <cell r="E3156" t="str">
            <v>Dacion Corp</v>
          </cell>
          <cell r="F3156">
            <v>7</v>
          </cell>
          <cell r="G3156">
            <v>34333</v>
          </cell>
          <cell r="H3156" t="str">
            <v>SP</v>
          </cell>
          <cell r="I3156" t="str">
            <v>North America</v>
          </cell>
          <cell r="J3156" t="str">
            <v>USA</v>
          </cell>
          <cell r="K3156">
            <v>33419</v>
          </cell>
        </row>
        <row r="3157">
          <cell r="A3157" t="str">
            <v>In service</v>
          </cell>
          <cell r="B3157" t="str">
            <v>Gulfstream Aerospace Gulfstream IV</v>
          </cell>
          <cell r="C3157" t="str">
            <v>SP</v>
          </cell>
          <cell r="D3157">
            <v>1993</v>
          </cell>
          <cell r="E3157" t="str">
            <v>KaiserAir Inc</v>
          </cell>
          <cell r="F3157">
            <v>7</v>
          </cell>
          <cell r="G3157">
            <v>34522</v>
          </cell>
          <cell r="H3157" t="str">
            <v>SP</v>
          </cell>
          <cell r="I3157" t="str">
            <v>North America</v>
          </cell>
          <cell r="J3157" t="str">
            <v>USA</v>
          </cell>
          <cell r="K3157">
            <v>33785</v>
          </cell>
        </row>
        <row r="3158">
          <cell r="A3158" t="str">
            <v>In service</v>
          </cell>
          <cell r="B3158" t="str">
            <v>Gulfstream Aerospace Gulfstream IV</v>
          </cell>
          <cell r="C3158" t="str">
            <v>SP</v>
          </cell>
          <cell r="D3158">
            <v>1994</v>
          </cell>
          <cell r="E3158" t="str">
            <v>ChevronTexaco Corp</v>
          </cell>
          <cell r="F3158">
            <v>6</v>
          </cell>
          <cell r="G3158">
            <v>34590</v>
          </cell>
          <cell r="H3158" t="str">
            <v>SP</v>
          </cell>
          <cell r="I3158" t="str">
            <v>North America</v>
          </cell>
          <cell r="J3158" t="str">
            <v>USA</v>
          </cell>
          <cell r="K3158">
            <v>33785</v>
          </cell>
        </row>
        <row r="3159">
          <cell r="A3159" t="str">
            <v>In service</v>
          </cell>
          <cell r="B3159" t="str">
            <v>Gulfstream Aerospace Gulfstream IV</v>
          </cell>
          <cell r="C3159" t="str">
            <v>SP</v>
          </cell>
          <cell r="D3159">
            <v>1994</v>
          </cell>
          <cell r="E3159" t="str">
            <v>Sirio</v>
          </cell>
          <cell r="F3159">
            <v>6</v>
          </cell>
          <cell r="G3159">
            <v>34592</v>
          </cell>
          <cell r="H3159" t="str">
            <v>SP</v>
          </cell>
          <cell r="I3159" t="str">
            <v>Europe</v>
          </cell>
          <cell r="J3159" t="str">
            <v>Italy</v>
          </cell>
          <cell r="K3159">
            <v>34150</v>
          </cell>
        </row>
        <row r="3160">
          <cell r="A3160" t="str">
            <v>In service</v>
          </cell>
          <cell r="B3160" t="str">
            <v>Gulfstream Aerospace Gulfstream IV</v>
          </cell>
          <cell r="C3160" t="str">
            <v>SP</v>
          </cell>
          <cell r="D3160">
            <v>1994</v>
          </cell>
          <cell r="E3160" t="str">
            <v>Exxon Mobil Corp</v>
          </cell>
          <cell r="F3160">
            <v>6</v>
          </cell>
          <cell r="G3160">
            <v>34611</v>
          </cell>
          <cell r="H3160" t="str">
            <v>SP</v>
          </cell>
          <cell r="I3160" t="str">
            <v>North America</v>
          </cell>
          <cell r="J3160" t="str">
            <v>USA</v>
          </cell>
          <cell r="K3160">
            <v>33785</v>
          </cell>
        </row>
        <row r="3161">
          <cell r="A3161" t="str">
            <v>In service</v>
          </cell>
          <cell r="B3161" t="str">
            <v>Gulfstream Aerospace Gulfstream IV</v>
          </cell>
          <cell r="C3161" t="str">
            <v>SP</v>
          </cell>
          <cell r="D3161">
            <v>1994</v>
          </cell>
          <cell r="E3161" t="str">
            <v>Gannett Co Inc</v>
          </cell>
          <cell r="F3161">
            <v>6</v>
          </cell>
          <cell r="G3161">
            <v>34773</v>
          </cell>
          <cell r="H3161" t="str">
            <v>SP</v>
          </cell>
          <cell r="I3161" t="str">
            <v>North America</v>
          </cell>
          <cell r="J3161" t="str">
            <v>USA</v>
          </cell>
          <cell r="K3161">
            <v>34150</v>
          </cell>
        </row>
        <row r="3162">
          <cell r="A3162" t="str">
            <v>In service</v>
          </cell>
          <cell r="B3162" t="str">
            <v>Gulfstream Aerospace Gulfstream IV</v>
          </cell>
          <cell r="C3162" t="str">
            <v>SP</v>
          </cell>
          <cell r="D3162">
            <v>1994</v>
          </cell>
          <cell r="E3162" t="str">
            <v>Whirlpool Corp</v>
          </cell>
          <cell r="F3162">
            <v>6</v>
          </cell>
          <cell r="G3162">
            <v>34421</v>
          </cell>
          <cell r="H3162" t="str">
            <v>SP</v>
          </cell>
          <cell r="I3162" t="str">
            <v>North America</v>
          </cell>
          <cell r="J3162" t="str">
            <v>USA</v>
          </cell>
          <cell r="K3162">
            <v>33785</v>
          </cell>
        </row>
        <row r="3163">
          <cell r="A3163" t="str">
            <v>In service</v>
          </cell>
          <cell r="B3163" t="str">
            <v>Gulfstream Aerospace Gulfstream IV</v>
          </cell>
          <cell r="C3163" t="str">
            <v>SP</v>
          </cell>
          <cell r="D3163">
            <v>1994</v>
          </cell>
          <cell r="E3163" t="str">
            <v>Leucadia Aviation Inc</v>
          </cell>
          <cell r="F3163">
            <v>6</v>
          </cell>
          <cell r="G3163">
            <v>34764</v>
          </cell>
          <cell r="H3163" t="str">
            <v>SP</v>
          </cell>
          <cell r="I3163" t="str">
            <v>North America</v>
          </cell>
          <cell r="J3163" t="str">
            <v>USA</v>
          </cell>
          <cell r="K3163">
            <v>34515</v>
          </cell>
        </row>
        <row r="3164">
          <cell r="A3164" t="str">
            <v>In service</v>
          </cell>
          <cell r="B3164" t="str">
            <v>Gulfstream Aerospace Gulfstream IV</v>
          </cell>
          <cell r="C3164" t="str">
            <v>SP</v>
          </cell>
          <cell r="D3164">
            <v>1994</v>
          </cell>
          <cell r="E3164" t="str">
            <v>Hoescht Marion Roussel Inc</v>
          </cell>
          <cell r="F3164">
            <v>6</v>
          </cell>
          <cell r="G3164">
            <v>34653</v>
          </cell>
          <cell r="H3164" t="str">
            <v>SP</v>
          </cell>
          <cell r="I3164" t="str">
            <v>North America</v>
          </cell>
          <cell r="J3164" t="str">
            <v>USA</v>
          </cell>
          <cell r="K3164">
            <v>33785</v>
          </cell>
        </row>
        <row r="3165">
          <cell r="A3165" t="str">
            <v>In service</v>
          </cell>
          <cell r="B3165" t="str">
            <v>Gulfstream Aerospace Gulfstream IV</v>
          </cell>
          <cell r="C3165" t="str">
            <v>SP</v>
          </cell>
          <cell r="D3165">
            <v>1994</v>
          </cell>
          <cell r="E3165" t="str">
            <v>Gulfstream Aerospace Corp</v>
          </cell>
          <cell r="F3165">
            <v>6</v>
          </cell>
          <cell r="G3165">
            <v>34696</v>
          </cell>
          <cell r="H3165" t="str">
            <v>SP</v>
          </cell>
          <cell r="I3165" t="str">
            <v>North America</v>
          </cell>
          <cell r="J3165" t="str">
            <v>USA</v>
          </cell>
          <cell r="K3165">
            <v>33785</v>
          </cell>
        </row>
        <row r="3166">
          <cell r="A3166" t="str">
            <v>In service</v>
          </cell>
          <cell r="B3166" t="str">
            <v>Gulfstream Aerospace Gulfstream IV</v>
          </cell>
          <cell r="C3166" t="str">
            <v>SP</v>
          </cell>
          <cell r="D3166">
            <v>1994</v>
          </cell>
          <cell r="E3166" t="str">
            <v>Computer Associates International Inc</v>
          </cell>
          <cell r="F3166">
            <v>6</v>
          </cell>
          <cell r="G3166">
            <v>34782</v>
          </cell>
          <cell r="H3166" t="str">
            <v>SP</v>
          </cell>
          <cell r="I3166" t="str">
            <v>North America</v>
          </cell>
          <cell r="J3166" t="str">
            <v>USA</v>
          </cell>
          <cell r="K3166">
            <v>34150</v>
          </cell>
        </row>
        <row r="3167">
          <cell r="A3167" t="str">
            <v>In service</v>
          </cell>
          <cell r="B3167" t="str">
            <v>Gulfstream Aerospace Gulfstream IV</v>
          </cell>
          <cell r="C3167" t="str">
            <v>SP</v>
          </cell>
          <cell r="D3167">
            <v>1994</v>
          </cell>
          <cell r="E3167" t="str">
            <v>Penobscot Properties LLC</v>
          </cell>
          <cell r="F3167">
            <v>6</v>
          </cell>
          <cell r="G3167">
            <v>34859</v>
          </cell>
          <cell r="H3167" t="str">
            <v>SP</v>
          </cell>
          <cell r="I3167" t="str">
            <v>North America</v>
          </cell>
          <cell r="J3167" t="str">
            <v>USA</v>
          </cell>
          <cell r="K3167">
            <v>34150</v>
          </cell>
        </row>
        <row r="3168">
          <cell r="A3168" t="str">
            <v>In service</v>
          </cell>
          <cell r="B3168" t="str">
            <v>Gulfstream Aerospace Gulfstream IV</v>
          </cell>
          <cell r="C3168" t="str">
            <v>SP</v>
          </cell>
          <cell r="D3168">
            <v>1995</v>
          </cell>
          <cell r="E3168" t="str">
            <v>Huizenga Holdings</v>
          </cell>
          <cell r="F3168">
            <v>5</v>
          </cell>
          <cell r="G3168">
            <v>35292</v>
          </cell>
          <cell r="H3168" t="str">
            <v>SP</v>
          </cell>
          <cell r="I3168" t="str">
            <v>North America</v>
          </cell>
          <cell r="J3168" t="str">
            <v>USA</v>
          </cell>
        </row>
        <row r="3169">
          <cell r="A3169" t="str">
            <v>In service</v>
          </cell>
          <cell r="B3169" t="str">
            <v>Gulfstream Aerospace Gulfstream IV</v>
          </cell>
          <cell r="C3169" t="str">
            <v>SP</v>
          </cell>
          <cell r="D3169">
            <v>1994</v>
          </cell>
          <cell r="E3169" t="str">
            <v>Japan Civil Aviation Bureau</v>
          </cell>
          <cell r="F3169">
            <v>6</v>
          </cell>
          <cell r="G3169">
            <v>35016</v>
          </cell>
          <cell r="H3169" t="str">
            <v>SP</v>
          </cell>
          <cell r="I3169" t="str">
            <v>Asia</v>
          </cell>
          <cell r="J3169" t="str">
            <v>Japan</v>
          </cell>
          <cell r="K3169">
            <v>34150</v>
          </cell>
        </row>
        <row r="3170">
          <cell r="A3170" t="str">
            <v>In service</v>
          </cell>
          <cell r="B3170" t="str">
            <v>Gulfstream Aerospace Gulfstream IV</v>
          </cell>
          <cell r="C3170" t="str">
            <v>SP</v>
          </cell>
          <cell r="D3170">
            <v>1994</v>
          </cell>
          <cell r="E3170" t="str">
            <v>Unocal</v>
          </cell>
          <cell r="F3170">
            <v>6</v>
          </cell>
          <cell r="G3170">
            <v>34829</v>
          </cell>
          <cell r="H3170" t="str">
            <v>SP</v>
          </cell>
          <cell r="I3170" t="str">
            <v>North America</v>
          </cell>
          <cell r="J3170" t="str">
            <v>USA</v>
          </cell>
          <cell r="K3170">
            <v>34515</v>
          </cell>
        </row>
        <row r="3171">
          <cell r="A3171" t="str">
            <v>In service</v>
          </cell>
          <cell r="B3171" t="str">
            <v>Gulfstream Aerospace Gulfstream IV</v>
          </cell>
          <cell r="C3171" t="str">
            <v>SP</v>
          </cell>
          <cell r="D3171">
            <v>1994</v>
          </cell>
          <cell r="E3171" t="str">
            <v>US Department of Commerce - NOAA</v>
          </cell>
          <cell r="F3171">
            <v>6</v>
          </cell>
          <cell r="G3171">
            <v>34682</v>
          </cell>
          <cell r="H3171" t="str">
            <v>SP</v>
          </cell>
          <cell r="I3171" t="str">
            <v>North America</v>
          </cell>
          <cell r="J3171" t="str">
            <v>USA</v>
          </cell>
          <cell r="K3171">
            <v>33785</v>
          </cell>
        </row>
        <row r="3172">
          <cell r="A3172" t="str">
            <v>In service</v>
          </cell>
          <cell r="B3172" t="str">
            <v>Gulfstream Aerospace Gulfstream IV</v>
          </cell>
          <cell r="C3172" t="str">
            <v>SP</v>
          </cell>
          <cell r="D3172">
            <v>1994</v>
          </cell>
          <cell r="E3172" t="str">
            <v>Petersen Aviation</v>
          </cell>
          <cell r="F3172">
            <v>6</v>
          </cell>
          <cell r="G3172">
            <v>34871</v>
          </cell>
          <cell r="H3172" t="str">
            <v>SP</v>
          </cell>
          <cell r="I3172" t="str">
            <v>North America</v>
          </cell>
          <cell r="J3172" t="str">
            <v>USA</v>
          </cell>
          <cell r="K3172">
            <v>34150</v>
          </cell>
        </row>
        <row r="3173">
          <cell r="A3173" t="str">
            <v>In service</v>
          </cell>
          <cell r="B3173" t="str">
            <v>Gulfstream Aerospace Gulfstream IV</v>
          </cell>
          <cell r="C3173" t="str">
            <v>SP</v>
          </cell>
          <cell r="D3173">
            <v>1994</v>
          </cell>
          <cell r="E3173" t="str">
            <v>Melvin Simon &amp; Associates</v>
          </cell>
          <cell r="F3173">
            <v>6</v>
          </cell>
          <cell r="G3173">
            <v>34698</v>
          </cell>
          <cell r="H3173" t="str">
            <v>SP</v>
          </cell>
          <cell r="I3173" t="str">
            <v>North America</v>
          </cell>
          <cell r="J3173" t="str">
            <v>USA</v>
          </cell>
          <cell r="K3173">
            <v>33785</v>
          </cell>
        </row>
        <row r="3174">
          <cell r="A3174" t="str">
            <v>In service</v>
          </cell>
          <cell r="B3174" t="str">
            <v>Gulfstream Aerospace Gulfstream IV</v>
          </cell>
          <cell r="C3174" t="str">
            <v>SP</v>
          </cell>
          <cell r="D3174">
            <v>1994</v>
          </cell>
          <cell r="E3174" t="str">
            <v>Air Simon Inc</v>
          </cell>
          <cell r="F3174">
            <v>6</v>
          </cell>
          <cell r="G3174">
            <v>34908</v>
          </cell>
          <cell r="H3174" t="str">
            <v>SP</v>
          </cell>
          <cell r="I3174" t="str">
            <v>North America</v>
          </cell>
          <cell r="J3174" t="str">
            <v>USA</v>
          </cell>
          <cell r="K3174">
            <v>33785</v>
          </cell>
        </row>
        <row r="3175">
          <cell r="A3175" t="str">
            <v>In service</v>
          </cell>
          <cell r="B3175" t="str">
            <v>Gulfstream Aerospace Gulfstream IV</v>
          </cell>
          <cell r="C3175" t="str">
            <v>SP</v>
          </cell>
          <cell r="D3175">
            <v>1994</v>
          </cell>
          <cell r="E3175" t="str">
            <v>The Laredo National Bank</v>
          </cell>
          <cell r="F3175">
            <v>6</v>
          </cell>
          <cell r="G3175">
            <v>34963</v>
          </cell>
          <cell r="H3175" t="str">
            <v>SP</v>
          </cell>
          <cell r="I3175" t="str">
            <v>North America</v>
          </cell>
          <cell r="J3175" t="str">
            <v>USA</v>
          </cell>
          <cell r="K3175">
            <v>34150</v>
          </cell>
        </row>
        <row r="3176">
          <cell r="A3176" t="str">
            <v>In service</v>
          </cell>
          <cell r="B3176" t="str">
            <v>Gulfstream Aerospace Gulfstream IV</v>
          </cell>
          <cell r="C3176" t="str">
            <v>SP</v>
          </cell>
          <cell r="D3176">
            <v>1994</v>
          </cell>
          <cell r="E3176" t="str">
            <v>Jet Flight Corp</v>
          </cell>
          <cell r="F3176">
            <v>6</v>
          </cell>
          <cell r="G3176">
            <v>35004</v>
          </cell>
          <cell r="H3176" t="str">
            <v>SP</v>
          </cell>
          <cell r="I3176" t="str">
            <v>North America</v>
          </cell>
          <cell r="J3176" t="str">
            <v>USA</v>
          </cell>
          <cell r="K3176">
            <v>34150</v>
          </cell>
        </row>
        <row r="3177">
          <cell r="A3177" t="str">
            <v>In service</v>
          </cell>
          <cell r="B3177" t="str">
            <v>Gulfstream Aerospace Gulfstream IV</v>
          </cell>
          <cell r="C3177" t="str">
            <v>SP</v>
          </cell>
          <cell r="D3177">
            <v>1994</v>
          </cell>
          <cell r="E3177" t="str">
            <v>Cargill Inc</v>
          </cell>
          <cell r="F3177">
            <v>6</v>
          </cell>
          <cell r="G3177">
            <v>34972</v>
          </cell>
          <cell r="H3177" t="str">
            <v>SP</v>
          </cell>
          <cell r="I3177" t="str">
            <v>North America</v>
          </cell>
          <cell r="J3177" t="str">
            <v>USA</v>
          </cell>
          <cell r="K3177">
            <v>34150</v>
          </cell>
        </row>
        <row r="3178">
          <cell r="A3178" t="str">
            <v>In service</v>
          </cell>
          <cell r="B3178" t="str">
            <v>Gulfstream Aerospace Gulfstream IV</v>
          </cell>
          <cell r="C3178" t="str">
            <v>SP</v>
          </cell>
          <cell r="D3178">
            <v>1994</v>
          </cell>
          <cell r="E3178" t="str">
            <v>The Coca-Cola Co</v>
          </cell>
          <cell r="F3178">
            <v>6</v>
          </cell>
          <cell r="G3178">
            <v>34901</v>
          </cell>
          <cell r="H3178" t="str">
            <v>SP</v>
          </cell>
          <cell r="I3178" t="str">
            <v>North America</v>
          </cell>
          <cell r="J3178" t="str">
            <v>USA</v>
          </cell>
          <cell r="K3178">
            <v>34150</v>
          </cell>
        </row>
        <row r="3179">
          <cell r="A3179" t="str">
            <v>In service</v>
          </cell>
          <cell r="B3179" t="str">
            <v>Gulfstream Aerospace Gulfstream IV</v>
          </cell>
          <cell r="C3179" t="str">
            <v>SP</v>
          </cell>
          <cell r="D3179">
            <v>1995</v>
          </cell>
          <cell r="E3179" t="str">
            <v>DaimlerChrysler Corp</v>
          </cell>
          <cell r="F3179">
            <v>5</v>
          </cell>
          <cell r="G3179">
            <v>34926</v>
          </cell>
          <cell r="H3179" t="str">
            <v>SP</v>
          </cell>
          <cell r="I3179" t="str">
            <v>North America</v>
          </cell>
          <cell r="J3179" t="str">
            <v>USA</v>
          </cell>
          <cell r="K3179">
            <v>34150</v>
          </cell>
        </row>
        <row r="3180">
          <cell r="A3180" t="str">
            <v>In service</v>
          </cell>
          <cell r="B3180" t="str">
            <v>Gulfstream Aerospace Gulfstream IV</v>
          </cell>
          <cell r="C3180" t="str">
            <v>SP</v>
          </cell>
          <cell r="D3180">
            <v>1994</v>
          </cell>
          <cell r="E3180" t="str">
            <v>Altria Corporate Services Inc</v>
          </cell>
          <cell r="F3180">
            <v>6</v>
          </cell>
          <cell r="G3180">
            <v>34729</v>
          </cell>
          <cell r="H3180" t="str">
            <v>SP</v>
          </cell>
          <cell r="I3180" t="str">
            <v>North America</v>
          </cell>
          <cell r="J3180" t="str">
            <v>USA</v>
          </cell>
          <cell r="K3180">
            <v>34150</v>
          </cell>
        </row>
        <row r="3181">
          <cell r="A3181" t="str">
            <v>In service</v>
          </cell>
          <cell r="B3181" t="str">
            <v>Gulfstream Aerospace Gulfstream IV</v>
          </cell>
          <cell r="C3181" t="str">
            <v>SP</v>
          </cell>
          <cell r="D3181">
            <v>1994</v>
          </cell>
          <cell r="E3181" t="str">
            <v>Pfizer Inc</v>
          </cell>
          <cell r="F3181">
            <v>6</v>
          </cell>
          <cell r="G3181">
            <v>34941</v>
          </cell>
          <cell r="H3181" t="str">
            <v>SP</v>
          </cell>
          <cell r="I3181" t="str">
            <v>North America</v>
          </cell>
          <cell r="J3181" t="str">
            <v>USA</v>
          </cell>
          <cell r="K3181">
            <v>34150</v>
          </cell>
        </row>
        <row r="3182">
          <cell r="A3182" t="str">
            <v>In service</v>
          </cell>
          <cell r="B3182" t="str">
            <v>Gulfstream Aerospace Gulfstream IV</v>
          </cell>
          <cell r="C3182" t="str">
            <v>SP</v>
          </cell>
          <cell r="D3182">
            <v>1995</v>
          </cell>
          <cell r="E3182" t="str">
            <v>E I DuPont de Nemours &amp; Co</v>
          </cell>
          <cell r="F3182">
            <v>5</v>
          </cell>
          <cell r="G3182">
            <v>34950</v>
          </cell>
          <cell r="H3182" t="str">
            <v>SP</v>
          </cell>
          <cell r="I3182" t="str">
            <v>North America</v>
          </cell>
          <cell r="J3182" t="str">
            <v>USA</v>
          </cell>
          <cell r="K3182">
            <v>34150</v>
          </cell>
        </row>
        <row r="3183">
          <cell r="A3183" t="str">
            <v>In service</v>
          </cell>
          <cell r="B3183" t="str">
            <v>Gulfstream Aerospace Gulfstream IV</v>
          </cell>
          <cell r="C3183" t="str">
            <v>SP</v>
          </cell>
          <cell r="D3183">
            <v>1995</v>
          </cell>
          <cell r="E3183" t="str">
            <v>The Proctor &amp; Gamble Co</v>
          </cell>
          <cell r="F3183">
            <v>5</v>
          </cell>
          <cell r="G3183">
            <v>34975</v>
          </cell>
          <cell r="H3183" t="str">
            <v>SP</v>
          </cell>
          <cell r="I3183" t="str">
            <v>North America</v>
          </cell>
          <cell r="J3183" t="str">
            <v>USA</v>
          </cell>
          <cell r="K3183">
            <v>34150</v>
          </cell>
        </row>
        <row r="3184">
          <cell r="A3184" t="str">
            <v>In service</v>
          </cell>
          <cell r="B3184" t="str">
            <v>Gulfstream Aerospace Gulfstream IV</v>
          </cell>
          <cell r="C3184" t="str">
            <v>SP</v>
          </cell>
          <cell r="D3184">
            <v>1995</v>
          </cell>
          <cell r="E3184" t="str">
            <v>Citiflight Inc</v>
          </cell>
          <cell r="F3184">
            <v>5</v>
          </cell>
          <cell r="G3184">
            <v>34758</v>
          </cell>
          <cell r="H3184" t="str">
            <v>SP</v>
          </cell>
          <cell r="I3184" t="str">
            <v>North America</v>
          </cell>
          <cell r="J3184" t="str">
            <v>USA</v>
          </cell>
          <cell r="K3184">
            <v>34150</v>
          </cell>
        </row>
        <row r="3185">
          <cell r="A3185" t="str">
            <v>In service</v>
          </cell>
          <cell r="B3185" t="str">
            <v>Gulfstream Aerospace Gulfstream IV</v>
          </cell>
          <cell r="C3185" t="str">
            <v>SP</v>
          </cell>
          <cell r="D3185">
            <v>1995</v>
          </cell>
          <cell r="E3185" t="str">
            <v>Netjets International</v>
          </cell>
          <cell r="F3185">
            <v>5</v>
          </cell>
          <cell r="G3185">
            <v>35039</v>
          </cell>
          <cell r="H3185" t="str">
            <v>SP</v>
          </cell>
          <cell r="I3185" t="str">
            <v>North America</v>
          </cell>
          <cell r="J3185" t="str">
            <v>USA</v>
          </cell>
          <cell r="K3185">
            <v>34716</v>
          </cell>
        </row>
        <row r="3186">
          <cell r="A3186" t="str">
            <v>In service</v>
          </cell>
          <cell r="B3186" t="str">
            <v>Gulfstream Aerospace Gulfstream IV</v>
          </cell>
          <cell r="C3186" t="str">
            <v>SP</v>
          </cell>
          <cell r="D3186">
            <v>1995</v>
          </cell>
          <cell r="E3186" t="str">
            <v>Shamrock Aviation Inc</v>
          </cell>
          <cell r="F3186">
            <v>5</v>
          </cell>
          <cell r="G3186">
            <v>34927</v>
          </cell>
          <cell r="H3186" t="str">
            <v>SP</v>
          </cell>
          <cell r="I3186" t="str">
            <v>North America</v>
          </cell>
          <cell r="J3186" t="str">
            <v>USA</v>
          </cell>
          <cell r="K3186">
            <v>34150</v>
          </cell>
        </row>
        <row r="3187">
          <cell r="A3187" t="str">
            <v>In service</v>
          </cell>
          <cell r="B3187" t="str">
            <v>Gulfstream Aerospace Gulfstream IV</v>
          </cell>
          <cell r="C3187" t="str">
            <v>SP</v>
          </cell>
          <cell r="D3187">
            <v>1995</v>
          </cell>
          <cell r="E3187" t="str">
            <v>Netjets International</v>
          </cell>
          <cell r="F3187">
            <v>5</v>
          </cell>
          <cell r="G3187">
            <v>35061</v>
          </cell>
          <cell r="H3187" t="str">
            <v>SP</v>
          </cell>
          <cell r="I3187" t="str">
            <v>North America</v>
          </cell>
          <cell r="J3187" t="str">
            <v>USA</v>
          </cell>
          <cell r="K3187">
            <v>34716</v>
          </cell>
        </row>
        <row r="3188">
          <cell r="A3188" t="str">
            <v>In service</v>
          </cell>
          <cell r="B3188" t="str">
            <v>Gulfstream Aerospace Gulfstream IV</v>
          </cell>
          <cell r="C3188" t="str">
            <v>SP</v>
          </cell>
          <cell r="D3188">
            <v>1995</v>
          </cell>
          <cell r="E3188" t="str">
            <v>Harpo Inc</v>
          </cell>
          <cell r="F3188">
            <v>5</v>
          </cell>
          <cell r="G3188">
            <v>35046</v>
          </cell>
          <cell r="H3188" t="str">
            <v>SP</v>
          </cell>
          <cell r="I3188" t="str">
            <v>North America</v>
          </cell>
          <cell r="J3188" t="str">
            <v>USA</v>
          </cell>
          <cell r="K3188">
            <v>34150</v>
          </cell>
        </row>
        <row r="3189">
          <cell r="A3189" t="str">
            <v>In service</v>
          </cell>
          <cell r="B3189" t="str">
            <v>Gulfstream Aerospace Gulfstream IV</v>
          </cell>
          <cell r="C3189" t="str">
            <v>SP</v>
          </cell>
          <cell r="D3189">
            <v>1995</v>
          </cell>
          <cell r="E3189" t="str">
            <v>Leucadia Aviation Inc</v>
          </cell>
          <cell r="F3189">
            <v>5</v>
          </cell>
          <cell r="G3189">
            <v>35046</v>
          </cell>
          <cell r="H3189" t="str">
            <v>SP</v>
          </cell>
          <cell r="I3189" t="str">
            <v>North America</v>
          </cell>
          <cell r="J3189" t="str">
            <v>USA</v>
          </cell>
          <cell r="K3189">
            <v>34895</v>
          </cell>
        </row>
        <row r="3190">
          <cell r="A3190" t="str">
            <v>In service</v>
          </cell>
          <cell r="B3190" t="str">
            <v>Gulfstream Aerospace Gulfstream IV</v>
          </cell>
          <cell r="C3190" t="str">
            <v>SP</v>
          </cell>
          <cell r="D3190">
            <v>1995</v>
          </cell>
          <cell r="E3190" t="str">
            <v>Peregrine Aviation LLC</v>
          </cell>
          <cell r="F3190">
            <v>5</v>
          </cell>
          <cell r="G3190">
            <v>35053</v>
          </cell>
          <cell r="H3190" t="str">
            <v>SP</v>
          </cell>
          <cell r="I3190" t="str">
            <v>North America</v>
          </cell>
          <cell r="J3190" t="str">
            <v>USA</v>
          </cell>
          <cell r="K3190">
            <v>34895</v>
          </cell>
        </row>
        <row r="3191">
          <cell r="A3191" t="str">
            <v>In service</v>
          </cell>
          <cell r="B3191" t="str">
            <v>Gulfstream Aerospace Gulfstream IV</v>
          </cell>
          <cell r="C3191" t="str">
            <v>SP</v>
          </cell>
          <cell r="D3191">
            <v>1995</v>
          </cell>
          <cell r="E3191" t="str">
            <v>Warnaco Corp</v>
          </cell>
          <cell r="F3191">
            <v>5</v>
          </cell>
          <cell r="G3191">
            <v>34871</v>
          </cell>
          <cell r="H3191" t="str">
            <v>SP</v>
          </cell>
          <cell r="I3191" t="str">
            <v>North America</v>
          </cell>
          <cell r="J3191" t="str">
            <v>USA</v>
          </cell>
          <cell r="K3191">
            <v>34515</v>
          </cell>
        </row>
        <row r="3192">
          <cell r="A3192" t="str">
            <v>In service</v>
          </cell>
          <cell r="B3192" t="str">
            <v>Gulfstream Aerospace Gulfstream IV</v>
          </cell>
          <cell r="C3192" t="str">
            <v>SP</v>
          </cell>
          <cell r="D3192">
            <v>1995</v>
          </cell>
          <cell r="E3192" t="str">
            <v>Vivendi Universal</v>
          </cell>
          <cell r="F3192">
            <v>5</v>
          </cell>
          <cell r="G3192">
            <v>35053</v>
          </cell>
          <cell r="H3192" t="str">
            <v>SP</v>
          </cell>
          <cell r="I3192" t="str">
            <v>North America</v>
          </cell>
          <cell r="J3192" t="str">
            <v>USA</v>
          </cell>
          <cell r="K3192">
            <v>34515</v>
          </cell>
        </row>
        <row r="3193">
          <cell r="A3193" t="str">
            <v>In service</v>
          </cell>
          <cell r="B3193" t="str">
            <v>Gulfstream Aerospace Gulfstream IV</v>
          </cell>
          <cell r="C3193" t="str">
            <v>SP</v>
          </cell>
          <cell r="D3193">
            <v>1995</v>
          </cell>
          <cell r="E3193" t="str">
            <v>Huntsman Petrochemical Corp</v>
          </cell>
          <cell r="F3193">
            <v>5</v>
          </cell>
          <cell r="G3193">
            <v>34942</v>
          </cell>
          <cell r="H3193" t="str">
            <v>SP</v>
          </cell>
          <cell r="I3193" t="str">
            <v>North America</v>
          </cell>
          <cell r="J3193" t="str">
            <v>USA</v>
          </cell>
          <cell r="K3193">
            <v>34515</v>
          </cell>
        </row>
        <row r="3194">
          <cell r="A3194" t="str">
            <v>In service</v>
          </cell>
          <cell r="B3194" t="str">
            <v>Gulfstream Aerospace Gulfstream IV</v>
          </cell>
          <cell r="C3194" t="str">
            <v>SP</v>
          </cell>
          <cell r="D3194">
            <v>1995</v>
          </cell>
          <cell r="E3194" t="str">
            <v>Berwind Corp</v>
          </cell>
          <cell r="F3194">
            <v>5</v>
          </cell>
          <cell r="G3194">
            <v>34935</v>
          </cell>
          <cell r="H3194" t="str">
            <v>SP</v>
          </cell>
          <cell r="I3194" t="str">
            <v>North America</v>
          </cell>
          <cell r="J3194" t="str">
            <v>USA</v>
          </cell>
          <cell r="K3194">
            <v>34515</v>
          </cell>
        </row>
        <row r="3195">
          <cell r="A3195" t="str">
            <v>In service</v>
          </cell>
          <cell r="B3195" t="str">
            <v>Gulfstream Aerospace Gulfstream IV</v>
          </cell>
          <cell r="C3195" t="str">
            <v>SP</v>
          </cell>
          <cell r="D3195">
            <v>1995</v>
          </cell>
          <cell r="E3195" t="str">
            <v>Swedish Air Force</v>
          </cell>
          <cell r="F3195">
            <v>5</v>
          </cell>
          <cell r="G3195">
            <v>35150</v>
          </cell>
          <cell r="H3195" t="str">
            <v>TP-102</v>
          </cell>
          <cell r="I3195" t="str">
            <v>Europe</v>
          </cell>
          <cell r="J3195" t="str">
            <v>Sweden</v>
          </cell>
          <cell r="K3195">
            <v>34515</v>
          </cell>
        </row>
        <row r="3196">
          <cell r="A3196" t="str">
            <v>In service</v>
          </cell>
          <cell r="B3196" t="str">
            <v>Gulfstream Aerospace Gulfstream IV</v>
          </cell>
          <cell r="C3196" t="str">
            <v>SP</v>
          </cell>
          <cell r="D3196">
            <v>1995</v>
          </cell>
          <cell r="E3196" t="str">
            <v>Netjets International</v>
          </cell>
          <cell r="F3196">
            <v>5</v>
          </cell>
          <cell r="G3196">
            <v>35149</v>
          </cell>
          <cell r="H3196" t="str">
            <v>SP</v>
          </cell>
          <cell r="I3196" t="str">
            <v>North America</v>
          </cell>
          <cell r="J3196" t="str">
            <v>USA</v>
          </cell>
          <cell r="K3196">
            <v>34716</v>
          </cell>
        </row>
        <row r="3197">
          <cell r="A3197" t="str">
            <v>In service</v>
          </cell>
          <cell r="B3197" t="str">
            <v>Gulfstream Aerospace Gulfstream IV</v>
          </cell>
          <cell r="C3197" t="str">
            <v>SP</v>
          </cell>
          <cell r="D3197">
            <v>1995</v>
          </cell>
          <cell r="E3197" t="str">
            <v>McDonalds Corp</v>
          </cell>
          <cell r="F3197">
            <v>5</v>
          </cell>
          <cell r="G3197">
            <v>35153</v>
          </cell>
          <cell r="H3197" t="str">
            <v>SP</v>
          </cell>
          <cell r="I3197" t="str">
            <v>North America</v>
          </cell>
          <cell r="J3197" t="str">
            <v>USA</v>
          </cell>
          <cell r="K3197">
            <v>34515</v>
          </cell>
        </row>
        <row r="3198">
          <cell r="A3198" t="str">
            <v>In service</v>
          </cell>
          <cell r="B3198" t="str">
            <v>Gulfstream Aerospace Gulfstream IV</v>
          </cell>
          <cell r="C3198" t="str">
            <v>SP</v>
          </cell>
          <cell r="D3198">
            <v>1996</v>
          </cell>
          <cell r="E3198" t="str">
            <v>American Home Products Inc</v>
          </cell>
          <cell r="F3198">
            <v>4</v>
          </cell>
          <cell r="G3198">
            <v>35200</v>
          </cell>
          <cell r="H3198" t="str">
            <v>SP</v>
          </cell>
          <cell r="I3198" t="str">
            <v>North America</v>
          </cell>
          <cell r="J3198" t="str">
            <v>USA</v>
          </cell>
          <cell r="K3198">
            <v>34880</v>
          </cell>
        </row>
        <row r="3199">
          <cell r="A3199" t="str">
            <v>In service</v>
          </cell>
          <cell r="B3199" t="str">
            <v>Gulfstream Aerospace Gulfstream IV</v>
          </cell>
          <cell r="C3199" t="str">
            <v>SP</v>
          </cell>
          <cell r="D3199">
            <v>1996</v>
          </cell>
          <cell r="E3199" t="str">
            <v>Lucent Technologies Inc</v>
          </cell>
          <cell r="F3199">
            <v>4</v>
          </cell>
          <cell r="G3199">
            <v>35200</v>
          </cell>
          <cell r="H3199" t="str">
            <v>SP</v>
          </cell>
          <cell r="I3199" t="str">
            <v>North America</v>
          </cell>
          <cell r="J3199" t="str">
            <v>USA</v>
          </cell>
          <cell r="K3199">
            <v>34515</v>
          </cell>
        </row>
        <row r="3200">
          <cell r="A3200" t="str">
            <v>In service</v>
          </cell>
          <cell r="B3200" t="str">
            <v>Gulfstream Aerospace Gulfstream IV</v>
          </cell>
          <cell r="C3200" t="str">
            <v>SP</v>
          </cell>
          <cell r="D3200">
            <v>1995</v>
          </cell>
          <cell r="E3200" t="str">
            <v>J C Penney Company Inc</v>
          </cell>
          <cell r="F3200">
            <v>5</v>
          </cell>
          <cell r="G3200">
            <v>35240</v>
          </cell>
          <cell r="H3200" t="str">
            <v>SP</v>
          </cell>
          <cell r="I3200" t="str">
            <v>North America</v>
          </cell>
          <cell r="J3200" t="str">
            <v>USA</v>
          </cell>
          <cell r="K3200">
            <v>34515</v>
          </cell>
        </row>
        <row r="3201">
          <cell r="A3201" t="str">
            <v>In service</v>
          </cell>
          <cell r="B3201" t="str">
            <v>Gulfstream Aerospace Gulfstream IV</v>
          </cell>
          <cell r="C3201" t="str">
            <v>SP</v>
          </cell>
          <cell r="D3201">
            <v>1995</v>
          </cell>
          <cell r="E3201" t="str">
            <v>Open Road Airways Inc</v>
          </cell>
          <cell r="F3201">
            <v>5</v>
          </cell>
          <cell r="G3201">
            <v>35051</v>
          </cell>
          <cell r="H3201" t="str">
            <v>SP</v>
          </cell>
          <cell r="I3201" t="str">
            <v>North America</v>
          </cell>
          <cell r="J3201" t="str">
            <v>USA</v>
          </cell>
          <cell r="K3201">
            <v>34503</v>
          </cell>
        </row>
        <row r="3202">
          <cell r="A3202" t="str">
            <v>In service</v>
          </cell>
          <cell r="B3202" t="str">
            <v>Gulfstream Aerospace Gulfstream IV</v>
          </cell>
          <cell r="C3202" t="str">
            <v>SP</v>
          </cell>
          <cell r="D3202">
            <v>1996</v>
          </cell>
          <cell r="E3202" t="str">
            <v>Netjets International</v>
          </cell>
          <cell r="F3202">
            <v>4</v>
          </cell>
          <cell r="G3202">
            <v>35237</v>
          </cell>
          <cell r="H3202" t="str">
            <v>SP</v>
          </cell>
          <cell r="I3202" t="str">
            <v>North America</v>
          </cell>
          <cell r="J3202" t="str">
            <v>USA</v>
          </cell>
          <cell r="K3202">
            <v>34716</v>
          </cell>
        </row>
        <row r="3203">
          <cell r="A3203" t="str">
            <v>In service</v>
          </cell>
          <cell r="B3203" t="str">
            <v>Gulfstream Aerospace Gulfstream IV</v>
          </cell>
          <cell r="C3203" t="str">
            <v>SP</v>
          </cell>
          <cell r="D3203">
            <v>1996</v>
          </cell>
          <cell r="E3203" t="str">
            <v>Med Services Overseas Ltd</v>
          </cell>
          <cell r="F3203">
            <v>4</v>
          </cell>
          <cell r="G3203">
            <v>35231</v>
          </cell>
          <cell r="H3203" t="str">
            <v>SP</v>
          </cell>
          <cell r="I3203" t="str">
            <v>Europe</v>
          </cell>
          <cell r="J3203" t="str">
            <v>United Kingdom</v>
          </cell>
          <cell r="K3203">
            <v>34515</v>
          </cell>
        </row>
        <row r="3204">
          <cell r="A3204" t="str">
            <v>In service</v>
          </cell>
          <cell r="B3204" t="str">
            <v>Gulfstream Aerospace Gulfstream IV</v>
          </cell>
          <cell r="C3204" t="str">
            <v>SP</v>
          </cell>
          <cell r="D3204">
            <v>1996</v>
          </cell>
          <cell r="E3204" t="str">
            <v>Colleen Corp</v>
          </cell>
          <cell r="F3204">
            <v>4</v>
          </cell>
          <cell r="G3204">
            <v>35195</v>
          </cell>
          <cell r="H3204" t="str">
            <v>SP</v>
          </cell>
          <cell r="I3204" t="str">
            <v>North America</v>
          </cell>
          <cell r="J3204" t="str">
            <v>USA</v>
          </cell>
          <cell r="K3204">
            <v>34515</v>
          </cell>
        </row>
        <row r="3205">
          <cell r="A3205" t="str">
            <v>In service</v>
          </cell>
          <cell r="B3205" t="str">
            <v>Gulfstream Aerospace Gulfstream IV</v>
          </cell>
          <cell r="C3205" t="str">
            <v>SP</v>
          </cell>
          <cell r="D3205">
            <v>1996</v>
          </cell>
          <cell r="E3205" t="str">
            <v>ChevronTexaco Corp</v>
          </cell>
          <cell r="F3205">
            <v>4</v>
          </cell>
          <cell r="G3205">
            <v>35123</v>
          </cell>
          <cell r="H3205" t="str">
            <v>SP</v>
          </cell>
          <cell r="I3205" t="str">
            <v>North America</v>
          </cell>
          <cell r="J3205" t="str">
            <v>USA</v>
          </cell>
          <cell r="K3205">
            <v>34515</v>
          </cell>
        </row>
        <row r="3206">
          <cell r="A3206" t="str">
            <v>In service</v>
          </cell>
          <cell r="B3206" t="str">
            <v>Gulfstream Aerospace Gulfstream IV</v>
          </cell>
          <cell r="C3206" t="str">
            <v>SP</v>
          </cell>
          <cell r="D3206">
            <v>1996</v>
          </cell>
          <cell r="E3206" t="str">
            <v>Anadarko Petroleum Corp</v>
          </cell>
          <cell r="F3206">
            <v>4</v>
          </cell>
          <cell r="G3206">
            <v>35129</v>
          </cell>
          <cell r="H3206" t="str">
            <v>SP</v>
          </cell>
          <cell r="I3206" t="str">
            <v>North America</v>
          </cell>
          <cell r="J3206" t="str">
            <v>USA</v>
          </cell>
          <cell r="K3206">
            <v>34515</v>
          </cell>
        </row>
        <row r="3207">
          <cell r="A3207" t="str">
            <v>In service</v>
          </cell>
          <cell r="B3207" t="str">
            <v>Gulfstream Aerospace Gulfstream IV</v>
          </cell>
          <cell r="C3207" t="str">
            <v>SP</v>
          </cell>
          <cell r="D3207">
            <v>1996</v>
          </cell>
          <cell r="E3207" t="str">
            <v>GFSC Aircraft Acquisition Financing Corp</v>
          </cell>
          <cell r="F3207">
            <v>4</v>
          </cell>
          <cell r="G3207">
            <v>35430</v>
          </cell>
          <cell r="H3207" t="str">
            <v>SP</v>
          </cell>
          <cell r="I3207" t="str">
            <v>North America</v>
          </cell>
          <cell r="J3207" t="str">
            <v>USA</v>
          </cell>
        </row>
        <row r="3208">
          <cell r="A3208" t="str">
            <v>In service</v>
          </cell>
          <cell r="B3208" t="str">
            <v>Gulfstream Aerospace Gulfstream IV</v>
          </cell>
          <cell r="C3208" t="str">
            <v>SP</v>
          </cell>
          <cell r="D3208">
            <v>1996</v>
          </cell>
          <cell r="E3208" t="str">
            <v>Netjets International</v>
          </cell>
          <cell r="F3208">
            <v>4</v>
          </cell>
          <cell r="G3208">
            <v>35277</v>
          </cell>
          <cell r="H3208" t="str">
            <v>SP</v>
          </cell>
          <cell r="I3208" t="str">
            <v>North America</v>
          </cell>
          <cell r="J3208" t="str">
            <v>USA</v>
          </cell>
          <cell r="K3208">
            <v>34716</v>
          </cell>
        </row>
        <row r="3209">
          <cell r="A3209" t="str">
            <v>In service</v>
          </cell>
          <cell r="B3209" t="str">
            <v>Gulfstream Aerospace Gulfstream IV</v>
          </cell>
          <cell r="C3209" t="str">
            <v>SP</v>
          </cell>
          <cell r="D3209">
            <v>1996</v>
          </cell>
          <cell r="E3209" t="str">
            <v>Government of Algeria</v>
          </cell>
          <cell r="F3209">
            <v>4</v>
          </cell>
          <cell r="G3209">
            <v>35353</v>
          </cell>
          <cell r="H3209" t="str">
            <v>SP</v>
          </cell>
          <cell r="I3209" t="str">
            <v>Africa</v>
          </cell>
          <cell r="J3209" t="str">
            <v>Algeria</v>
          </cell>
          <cell r="K3209">
            <v>35246</v>
          </cell>
        </row>
        <row r="3210">
          <cell r="A3210" t="str">
            <v>In service</v>
          </cell>
          <cell r="B3210" t="str">
            <v>Gulfstream Aerospace Gulfstream IV</v>
          </cell>
          <cell r="C3210" t="str">
            <v>SP</v>
          </cell>
          <cell r="D3210">
            <v>1996</v>
          </cell>
          <cell r="E3210" t="str">
            <v>MCI Transcom Corp</v>
          </cell>
          <cell r="F3210">
            <v>4</v>
          </cell>
          <cell r="G3210">
            <v>35328</v>
          </cell>
          <cell r="H3210" t="str">
            <v>SP</v>
          </cell>
          <cell r="I3210" t="str">
            <v>North America</v>
          </cell>
          <cell r="J3210" t="str">
            <v>USA</v>
          </cell>
          <cell r="K3210">
            <v>34515</v>
          </cell>
        </row>
        <row r="3211">
          <cell r="A3211" t="str">
            <v>In service</v>
          </cell>
          <cell r="B3211" t="str">
            <v>Gulfstream Aerospace Gulfstream IV</v>
          </cell>
          <cell r="C3211" t="str">
            <v>SP</v>
          </cell>
          <cell r="D3211">
            <v>1996</v>
          </cell>
          <cell r="E3211" t="str">
            <v>Bank of America Corp</v>
          </cell>
          <cell r="F3211">
            <v>4</v>
          </cell>
          <cell r="G3211">
            <v>35366</v>
          </cell>
          <cell r="H3211" t="str">
            <v>SP</v>
          </cell>
          <cell r="I3211" t="str">
            <v>North America</v>
          </cell>
          <cell r="J3211" t="str">
            <v>USA</v>
          </cell>
          <cell r="K3211">
            <v>34515</v>
          </cell>
        </row>
        <row r="3212">
          <cell r="A3212" t="str">
            <v>In service</v>
          </cell>
          <cell r="B3212" t="str">
            <v>Gulfstream Aerospace Gulfstream IV</v>
          </cell>
          <cell r="C3212" t="str">
            <v>SP</v>
          </cell>
          <cell r="D3212">
            <v>1996</v>
          </cell>
          <cell r="E3212" t="str">
            <v>Government of Algeria</v>
          </cell>
          <cell r="F3212">
            <v>4</v>
          </cell>
          <cell r="G3212">
            <v>35384</v>
          </cell>
          <cell r="H3212" t="str">
            <v>SP</v>
          </cell>
          <cell r="I3212" t="str">
            <v>Africa</v>
          </cell>
          <cell r="J3212" t="str">
            <v>Algeria</v>
          </cell>
          <cell r="K3212">
            <v>35246</v>
          </cell>
        </row>
        <row r="3213">
          <cell r="A3213" t="str">
            <v>In service</v>
          </cell>
          <cell r="B3213" t="str">
            <v>Gulfstream Aerospace Gulfstream IV</v>
          </cell>
          <cell r="C3213" t="str">
            <v>SP</v>
          </cell>
          <cell r="D3213">
            <v>1996</v>
          </cell>
          <cell r="E3213" t="str">
            <v>GTE Service Corp</v>
          </cell>
          <cell r="F3213">
            <v>4</v>
          </cell>
          <cell r="G3213">
            <v>35381</v>
          </cell>
          <cell r="H3213" t="str">
            <v>SP</v>
          </cell>
          <cell r="I3213" t="str">
            <v>North America</v>
          </cell>
          <cell r="J3213" t="str">
            <v>USA</v>
          </cell>
          <cell r="K3213">
            <v>34515</v>
          </cell>
        </row>
        <row r="3214">
          <cell r="A3214" t="str">
            <v>In service</v>
          </cell>
          <cell r="B3214" t="str">
            <v>Gulfstream Aerospace Gulfstream IV</v>
          </cell>
          <cell r="C3214" t="str">
            <v>SP</v>
          </cell>
          <cell r="D3214">
            <v>1996</v>
          </cell>
          <cell r="E3214" t="str">
            <v>Netjets International</v>
          </cell>
          <cell r="F3214">
            <v>4</v>
          </cell>
          <cell r="G3214">
            <v>35383</v>
          </cell>
          <cell r="H3214" t="str">
            <v>SP</v>
          </cell>
          <cell r="I3214" t="str">
            <v>North America</v>
          </cell>
          <cell r="J3214" t="str">
            <v>USA</v>
          </cell>
          <cell r="K3214">
            <v>34716</v>
          </cell>
        </row>
        <row r="3215">
          <cell r="A3215" t="str">
            <v>In service</v>
          </cell>
          <cell r="B3215" t="str">
            <v>Gulfstream Aerospace Gulfstream IV</v>
          </cell>
          <cell r="C3215" t="str">
            <v>SP</v>
          </cell>
          <cell r="D3215">
            <v>1996</v>
          </cell>
          <cell r="E3215" t="str">
            <v>Mawarid Ltd</v>
          </cell>
          <cell r="F3215">
            <v>4</v>
          </cell>
          <cell r="G3215">
            <v>35384</v>
          </cell>
          <cell r="H3215" t="str">
            <v>SP</v>
          </cell>
          <cell r="I3215" t="str">
            <v>Middle East</v>
          </cell>
          <cell r="J3215" t="str">
            <v>Saudi Arabia</v>
          </cell>
          <cell r="K3215">
            <v>34880</v>
          </cell>
        </row>
        <row r="3216">
          <cell r="A3216" t="str">
            <v>In service</v>
          </cell>
          <cell r="B3216" t="str">
            <v>Gulfstream Aerospace Gulfstream IV</v>
          </cell>
          <cell r="C3216" t="str">
            <v>SP</v>
          </cell>
          <cell r="D3216">
            <v>1997</v>
          </cell>
          <cell r="E3216" t="str">
            <v>Netjets International</v>
          </cell>
          <cell r="F3216">
            <v>3</v>
          </cell>
          <cell r="G3216">
            <v>35446</v>
          </cell>
          <cell r="H3216" t="str">
            <v>SP</v>
          </cell>
          <cell r="I3216" t="str">
            <v>North America</v>
          </cell>
          <cell r="J3216" t="str">
            <v>USA</v>
          </cell>
          <cell r="K3216">
            <v>34716</v>
          </cell>
        </row>
        <row r="3217">
          <cell r="A3217" t="str">
            <v>In service</v>
          </cell>
          <cell r="B3217" t="str">
            <v>Gulfstream Aerospace Gulfstream IV</v>
          </cell>
          <cell r="C3217" t="str">
            <v>SP</v>
          </cell>
          <cell r="D3217">
            <v>1996</v>
          </cell>
          <cell r="E3217" t="str">
            <v>Shoreline Aviation Inc</v>
          </cell>
          <cell r="F3217">
            <v>4</v>
          </cell>
          <cell r="G3217">
            <v>35282</v>
          </cell>
          <cell r="H3217" t="str">
            <v>SP</v>
          </cell>
          <cell r="I3217" t="str">
            <v>North America</v>
          </cell>
          <cell r="J3217" t="str">
            <v>USA</v>
          </cell>
          <cell r="K3217">
            <v>34515</v>
          </cell>
        </row>
        <row r="3218">
          <cell r="A3218" t="str">
            <v>In service</v>
          </cell>
          <cell r="B3218" t="str">
            <v>Gulfstream Aerospace Gulfstream IV</v>
          </cell>
          <cell r="C3218" t="str">
            <v>SP</v>
          </cell>
          <cell r="D3218">
            <v>1996</v>
          </cell>
          <cell r="E3218" t="str">
            <v>Aguilla Del Sur SA</v>
          </cell>
          <cell r="F3218">
            <v>4</v>
          </cell>
          <cell r="G3218">
            <v>35476</v>
          </cell>
          <cell r="H3218" t="str">
            <v>SP</v>
          </cell>
          <cell r="I3218" t="str">
            <v>Latin America and Caribbean</v>
          </cell>
          <cell r="J3218" t="str">
            <v>Argentina</v>
          </cell>
          <cell r="K3218">
            <v>35246</v>
          </cell>
        </row>
        <row r="3219">
          <cell r="A3219" t="str">
            <v>In service</v>
          </cell>
          <cell r="B3219" t="str">
            <v>Gulfstream Aerospace Gulfstream IV</v>
          </cell>
          <cell r="C3219" t="str">
            <v>SP</v>
          </cell>
          <cell r="D3219">
            <v>1996</v>
          </cell>
          <cell r="E3219" t="str">
            <v>PepsiCo Inc</v>
          </cell>
          <cell r="F3219">
            <v>4</v>
          </cell>
          <cell r="G3219">
            <v>35480</v>
          </cell>
          <cell r="H3219" t="str">
            <v>SP</v>
          </cell>
          <cell r="I3219" t="str">
            <v>North America</v>
          </cell>
          <cell r="J3219" t="str">
            <v>USA</v>
          </cell>
          <cell r="K3219">
            <v>35246</v>
          </cell>
        </row>
        <row r="3220">
          <cell r="A3220" t="str">
            <v>In service</v>
          </cell>
          <cell r="B3220" t="str">
            <v>Gulfstream Aerospace Gulfstream IV</v>
          </cell>
          <cell r="C3220" t="str">
            <v>SP</v>
          </cell>
          <cell r="D3220">
            <v>1997</v>
          </cell>
          <cell r="E3220" t="str">
            <v>Netjets International</v>
          </cell>
          <cell r="F3220">
            <v>3</v>
          </cell>
          <cell r="G3220">
            <v>35515</v>
          </cell>
          <cell r="H3220" t="str">
            <v>SP</v>
          </cell>
          <cell r="I3220" t="str">
            <v>North America</v>
          </cell>
          <cell r="J3220" t="str">
            <v>USA</v>
          </cell>
          <cell r="K3220">
            <v>35311</v>
          </cell>
        </row>
        <row r="3221">
          <cell r="A3221" t="str">
            <v>In service</v>
          </cell>
          <cell r="B3221" t="str">
            <v>Gulfstream Aerospace Gulfstream IV</v>
          </cell>
          <cell r="C3221" t="str">
            <v>SP</v>
          </cell>
          <cell r="D3221">
            <v>1996</v>
          </cell>
          <cell r="E3221" t="str">
            <v>Odyssey Aviation Inc</v>
          </cell>
          <cell r="F3221">
            <v>4</v>
          </cell>
          <cell r="G3221">
            <v>35506</v>
          </cell>
          <cell r="H3221" t="str">
            <v>SP</v>
          </cell>
          <cell r="I3221" t="str">
            <v>North America</v>
          </cell>
          <cell r="J3221" t="str">
            <v>USA</v>
          </cell>
          <cell r="K3221">
            <v>35246</v>
          </cell>
        </row>
        <row r="3222">
          <cell r="A3222" t="str">
            <v>In service</v>
          </cell>
          <cell r="B3222" t="str">
            <v>Gulfstream Aerospace Gulfstream IV</v>
          </cell>
          <cell r="C3222" t="str">
            <v>SP</v>
          </cell>
          <cell r="D3222">
            <v>1997</v>
          </cell>
          <cell r="E3222" t="str">
            <v>American Express</v>
          </cell>
          <cell r="F3222">
            <v>3</v>
          </cell>
          <cell r="G3222">
            <v>35598</v>
          </cell>
          <cell r="H3222" t="str">
            <v>SP</v>
          </cell>
          <cell r="I3222" t="str">
            <v>North America</v>
          </cell>
          <cell r="J3222" t="str">
            <v>USA</v>
          </cell>
          <cell r="K3222">
            <v>35414</v>
          </cell>
        </row>
        <row r="3223">
          <cell r="A3223" t="str">
            <v>In service</v>
          </cell>
          <cell r="B3223" t="str">
            <v>Gulfstream Aerospace Gulfstream IV</v>
          </cell>
          <cell r="C3223" t="str">
            <v>SP</v>
          </cell>
          <cell r="D3223">
            <v>1997</v>
          </cell>
          <cell r="E3223" t="str">
            <v>National Express Co</v>
          </cell>
          <cell r="F3223">
            <v>3</v>
          </cell>
          <cell r="G3223">
            <v>35611</v>
          </cell>
          <cell r="H3223" t="str">
            <v>SP</v>
          </cell>
          <cell r="I3223" t="str">
            <v>North America</v>
          </cell>
          <cell r="J3223" t="str">
            <v>USA</v>
          </cell>
          <cell r="K3223">
            <v>35414</v>
          </cell>
        </row>
        <row r="3224">
          <cell r="A3224" t="str">
            <v>In service</v>
          </cell>
          <cell r="B3224" t="str">
            <v>Gulfstream Aerospace Gulfstream IV</v>
          </cell>
          <cell r="C3224" t="str">
            <v>SP</v>
          </cell>
          <cell r="D3224">
            <v>1997</v>
          </cell>
          <cell r="E3224" t="str">
            <v>Netjets International</v>
          </cell>
          <cell r="F3224">
            <v>3</v>
          </cell>
          <cell r="G3224">
            <v>35605</v>
          </cell>
          <cell r="H3224" t="str">
            <v>SP</v>
          </cell>
          <cell r="I3224" t="str">
            <v>North America</v>
          </cell>
          <cell r="J3224" t="str">
            <v>USA</v>
          </cell>
          <cell r="K3224">
            <v>35311</v>
          </cell>
        </row>
        <row r="3225">
          <cell r="A3225" t="str">
            <v>In service</v>
          </cell>
          <cell r="B3225" t="str">
            <v>Gulfstream Aerospace Gulfstream IV</v>
          </cell>
          <cell r="C3225" t="str">
            <v>SP</v>
          </cell>
          <cell r="D3225">
            <v>1997</v>
          </cell>
          <cell r="E3225" t="str">
            <v>Sprint-United Management Co</v>
          </cell>
          <cell r="F3225">
            <v>3</v>
          </cell>
          <cell r="G3225">
            <v>35604</v>
          </cell>
          <cell r="H3225" t="str">
            <v>SP</v>
          </cell>
          <cell r="I3225" t="str">
            <v>North America</v>
          </cell>
          <cell r="J3225" t="str">
            <v>USA</v>
          </cell>
          <cell r="K3225">
            <v>35414</v>
          </cell>
        </row>
        <row r="3226">
          <cell r="A3226" t="str">
            <v>In service</v>
          </cell>
          <cell r="B3226" t="str">
            <v>Gulfstream Aerospace Gulfstream IV</v>
          </cell>
          <cell r="C3226" t="str">
            <v>SP</v>
          </cell>
          <cell r="D3226">
            <v>1997</v>
          </cell>
          <cell r="E3226" t="str">
            <v>New World Jet Corp</v>
          </cell>
          <cell r="F3226">
            <v>3</v>
          </cell>
          <cell r="G3226">
            <v>35692</v>
          </cell>
          <cell r="H3226" t="str">
            <v>SP</v>
          </cell>
          <cell r="I3226" t="str">
            <v>North America</v>
          </cell>
          <cell r="J3226" t="str">
            <v>USA</v>
          </cell>
          <cell r="K3226">
            <v>34880</v>
          </cell>
        </row>
        <row r="3227">
          <cell r="A3227" t="str">
            <v>In service</v>
          </cell>
          <cell r="B3227" t="str">
            <v>Gulfstream Aerospace Gulfstream IV</v>
          </cell>
          <cell r="C3227" t="str">
            <v>SP</v>
          </cell>
          <cell r="D3227">
            <v>1997</v>
          </cell>
          <cell r="E3227" t="str">
            <v>American Express</v>
          </cell>
          <cell r="F3227">
            <v>3</v>
          </cell>
          <cell r="G3227">
            <v>35644</v>
          </cell>
          <cell r="H3227" t="str">
            <v>SP</v>
          </cell>
          <cell r="I3227" t="str">
            <v>North America</v>
          </cell>
          <cell r="J3227" t="str">
            <v>USA</v>
          </cell>
          <cell r="K3227">
            <v>35414</v>
          </cell>
        </row>
        <row r="3228">
          <cell r="A3228" t="str">
            <v>In service</v>
          </cell>
          <cell r="B3228" t="str">
            <v>Gulfstream Aerospace Gulfstream IV</v>
          </cell>
          <cell r="C3228" t="str">
            <v>SP</v>
          </cell>
          <cell r="D3228">
            <v>1997</v>
          </cell>
          <cell r="E3228" t="str">
            <v>Netjets International</v>
          </cell>
          <cell r="F3228">
            <v>3</v>
          </cell>
          <cell r="G3228">
            <v>35698</v>
          </cell>
          <cell r="H3228" t="str">
            <v>SP</v>
          </cell>
          <cell r="I3228" t="str">
            <v>North America</v>
          </cell>
          <cell r="J3228" t="str">
            <v>USA</v>
          </cell>
          <cell r="K3228">
            <v>35311</v>
          </cell>
        </row>
        <row r="3229">
          <cell r="A3229" t="str">
            <v>In service</v>
          </cell>
          <cell r="B3229" t="str">
            <v>Gulfstream Aerospace Gulfstream IV</v>
          </cell>
          <cell r="C3229" t="str">
            <v>SP</v>
          </cell>
          <cell r="D3229">
            <v>1997</v>
          </cell>
          <cell r="E3229" t="str">
            <v>IHFG4 Corp</v>
          </cell>
          <cell r="F3229">
            <v>3</v>
          </cell>
          <cell r="G3229">
            <v>35650</v>
          </cell>
          <cell r="H3229" t="str">
            <v>SP</v>
          </cell>
          <cell r="I3229" t="str">
            <v>North America</v>
          </cell>
          <cell r="J3229" t="str">
            <v>USA</v>
          </cell>
          <cell r="K3229">
            <v>35246</v>
          </cell>
        </row>
        <row r="3230">
          <cell r="A3230" t="str">
            <v>In service</v>
          </cell>
          <cell r="B3230" t="str">
            <v>Gulfstream Aerospace Gulfstream IV</v>
          </cell>
          <cell r="C3230" t="str">
            <v>SP</v>
          </cell>
          <cell r="D3230">
            <v>1997</v>
          </cell>
          <cell r="E3230" t="str">
            <v>Owens-Illinois Inc</v>
          </cell>
          <cell r="F3230">
            <v>3</v>
          </cell>
          <cell r="G3230">
            <v>35794</v>
          </cell>
          <cell r="H3230" t="str">
            <v>SP</v>
          </cell>
          <cell r="I3230" t="str">
            <v>North America</v>
          </cell>
          <cell r="J3230" t="str">
            <v>USA</v>
          </cell>
          <cell r="K3230">
            <v>35246</v>
          </cell>
        </row>
        <row r="3231">
          <cell r="A3231" t="str">
            <v>In service</v>
          </cell>
          <cell r="B3231" t="str">
            <v>Gulfstream Aerospace Gulfstream IV</v>
          </cell>
          <cell r="C3231" t="str">
            <v>SP</v>
          </cell>
          <cell r="D3231">
            <v>1997</v>
          </cell>
          <cell r="E3231" t="str">
            <v>Netjets International</v>
          </cell>
          <cell r="F3231">
            <v>3</v>
          </cell>
          <cell r="G3231">
            <v>35782</v>
          </cell>
          <cell r="H3231" t="str">
            <v>SP</v>
          </cell>
          <cell r="I3231" t="str">
            <v>North America</v>
          </cell>
          <cell r="J3231" t="str">
            <v>USA</v>
          </cell>
          <cell r="K3231">
            <v>35311</v>
          </cell>
        </row>
        <row r="3232">
          <cell r="A3232" t="str">
            <v>In service</v>
          </cell>
          <cell r="B3232" t="str">
            <v>Gulfstream Aerospace Gulfstream IV</v>
          </cell>
          <cell r="C3232" t="str">
            <v>SP</v>
          </cell>
          <cell r="D3232">
            <v>1997</v>
          </cell>
          <cell r="E3232" t="str">
            <v>Jet Club Ltd Bermuda</v>
          </cell>
          <cell r="F3232">
            <v>3</v>
          </cell>
          <cell r="G3232">
            <v>35832</v>
          </cell>
          <cell r="H3232" t="str">
            <v>SP</v>
          </cell>
          <cell r="I3232" t="str">
            <v>Latin America and Caribbean</v>
          </cell>
          <cell r="J3232" t="str">
            <v>Bermuda</v>
          </cell>
          <cell r="K3232">
            <v>35246</v>
          </cell>
        </row>
        <row r="3233">
          <cell r="A3233" t="str">
            <v>In service</v>
          </cell>
          <cell r="B3233" t="str">
            <v>Gulfstream Aerospace Gulfstream IV</v>
          </cell>
          <cell r="C3233" t="str">
            <v>SP</v>
          </cell>
          <cell r="D3233">
            <v>1997</v>
          </cell>
          <cell r="E3233" t="str">
            <v>Lucent Technologies Inc</v>
          </cell>
          <cell r="F3233">
            <v>3</v>
          </cell>
          <cell r="G3233">
            <v>35807</v>
          </cell>
          <cell r="H3233" t="str">
            <v>SP</v>
          </cell>
          <cell r="I3233" t="str">
            <v>North America</v>
          </cell>
          <cell r="J3233" t="str">
            <v>USA</v>
          </cell>
          <cell r="K3233">
            <v>35246</v>
          </cell>
        </row>
        <row r="3234">
          <cell r="A3234" t="str">
            <v>In service</v>
          </cell>
          <cell r="B3234" t="str">
            <v>Gulfstream Aerospace Gulfstream IV</v>
          </cell>
          <cell r="C3234" t="str">
            <v>SP</v>
          </cell>
          <cell r="D3234">
            <v>1997</v>
          </cell>
          <cell r="E3234" t="str">
            <v>United States Automobile Assoc</v>
          </cell>
          <cell r="F3234">
            <v>3</v>
          </cell>
          <cell r="G3234">
            <v>35793</v>
          </cell>
          <cell r="H3234" t="str">
            <v>SP</v>
          </cell>
          <cell r="I3234" t="str">
            <v>North America</v>
          </cell>
          <cell r="J3234" t="str">
            <v>USA</v>
          </cell>
          <cell r="K3234">
            <v>35246</v>
          </cell>
        </row>
        <row r="3235">
          <cell r="A3235" t="str">
            <v>In service</v>
          </cell>
          <cell r="B3235" t="str">
            <v>Gulfstream Aerospace Gulfstream IV</v>
          </cell>
          <cell r="C3235" t="str">
            <v>SP</v>
          </cell>
          <cell r="D3235">
            <v>1997</v>
          </cell>
          <cell r="E3235" t="str">
            <v>Electronic Data Systems Corp</v>
          </cell>
          <cell r="F3235">
            <v>3</v>
          </cell>
          <cell r="G3235">
            <v>35783</v>
          </cell>
          <cell r="H3235" t="str">
            <v>SP</v>
          </cell>
          <cell r="I3235" t="str">
            <v>North America</v>
          </cell>
          <cell r="J3235" t="str">
            <v>USA</v>
          </cell>
          <cell r="K3235">
            <v>35246</v>
          </cell>
        </row>
        <row r="3236">
          <cell r="A3236" t="str">
            <v>In service</v>
          </cell>
          <cell r="B3236" t="str">
            <v>Gulfstream Aerospace Gulfstream IV</v>
          </cell>
          <cell r="C3236" t="str">
            <v>SP</v>
          </cell>
          <cell r="D3236">
            <v>1997</v>
          </cell>
          <cell r="E3236" t="str">
            <v>Netjets International</v>
          </cell>
          <cell r="F3236">
            <v>3</v>
          </cell>
          <cell r="G3236">
            <v>35794</v>
          </cell>
          <cell r="H3236" t="str">
            <v>SP</v>
          </cell>
          <cell r="I3236" t="str">
            <v>North America</v>
          </cell>
          <cell r="J3236" t="str">
            <v>USA</v>
          </cell>
          <cell r="K3236">
            <v>35311</v>
          </cell>
        </row>
        <row r="3237">
          <cell r="A3237" t="str">
            <v>In service</v>
          </cell>
          <cell r="B3237" t="str">
            <v>Gulfstream Aerospace Gulfstream IV</v>
          </cell>
          <cell r="C3237" t="str">
            <v>SP</v>
          </cell>
          <cell r="D3237">
            <v>1997</v>
          </cell>
          <cell r="E3237" t="str">
            <v>LKM Inc &amp; Eeyore Aviation LLC</v>
          </cell>
          <cell r="F3237">
            <v>3</v>
          </cell>
          <cell r="G3237">
            <v>35821</v>
          </cell>
          <cell r="H3237" t="str">
            <v>SP</v>
          </cell>
          <cell r="I3237" t="str">
            <v>North America</v>
          </cell>
          <cell r="J3237" t="str">
            <v>USA</v>
          </cell>
          <cell r="K3237">
            <v>35246</v>
          </cell>
        </row>
        <row r="3238">
          <cell r="A3238" t="str">
            <v>In service</v>
          </cell>
          <cell r="B3238" t="str">
            <v>Gulfstream Aerospace Gulfstream IV</v>
          </cell>
          <cell r="C3238" t="str">
            <v>SP</v>
          </cell>
          <cell r="D3238">
            <v>1998</v>
          </cell>
          <cell r="E3238" t="str">
            <v>Texaco Inc</v>
          </cell>
          <cell r="F3238">
            <v>2</v>
          </cell>
          <cell r="G3238">
            <v>35991</v>
          </cell>
          <cell r="H3238" t="str">
            <v>SP</v>
          </cell>
          <cell r="I3238" t="str">
            <v>North America</v>
          </cell>
          <cell r="J3238" t="str">
            <v>USA</v>
          </cell>
          <cell r="K3238">
            <v>35246</v>
          </cell>
        </row>
        <row r="3239">
          <cell r="A3239" t="str">
            <v>In service</v>
          </cell>
          <cell r="B3239" t="str">
            <v>Gulfstream Aerospace Gulfstream IV</v>
          </cell>
          <cell r="C3239" t="str">
            <v>SP</v>
          </cell>
          <cell r="D3239">
            <v>1998</v>
          </cell>
          <cell r="E3239" t="str">
            <v>Symax Aviation LLC</v>
          </cell>
          <cell r="F3239">
            <v>2</v>
          </cell>
          <cell r="G3239">
            <v>35885</v>
          </cell>
          <cell r="H3239" t="str">
            <v>SP</v>
          </cell>
          <cell r="I3239" t="str">
            <v>North America</v>
          </cell>
          <cell r="J3239" t="str">
            <v>USA</v>
          </cell>
          <cell r="K3239">
            <v>35246</v>
          </cell>
        </row>
        <row r="3240">
          <cell r="A3240" t="str">
            <v>In service</v>
          </cell>
          <cell r="B3240" t="str">
            <v>Gulfstream Aerospace Gulfstream IV</v>
          </cell>
          <cell r="C3240" t="str">
            <v>SP</v>
          </cell>
          <cell r="D3240">
            <v>1998</v>
          </cell>
          <cell r="E3240" t="str">
            <v>Netjets International</v>
          </cell>
          <cell r="F3240">
            <v>2</v>
          </cell>
          <cell r="G3240">
            <v>35908</v>
          </cell>
          <cell r="H3240" t="str">
            <v>SP</v>
          </cell>
          <cell r="I3240" t="str">
            <v>North America</v>
          </cell>
          <cell r="J3240" t="str">
            <v>USA</v>
          </cell>
          <cell r="K3240">
            <v>35311</v>
          </cell>
        </row>
        <row r="3241">
          <cell r="A3241" t="str">
            <v>In service</v>
          </cell>
          <cell r="B3241" t="str">
            <v>Gulfstream Aerospace Gulfstream IV</v>
          </cell>
          <cell r="C3241" t="str">
            <v>SP</v>
          </cell>
          <cell r="D3241">
            <v>1998</v>
          </cell>
          <cell r="E3241" t="str">
            <v>New World Jet Corp</v>
          </cell>
          <cell r="F3241">
            <v>2</v>
          </cell>
          <cell r="G3241">
            <v>35989</v>
          </cell>
          <cell r="H3241" t="str">
            <v>SP</v>
          </cell>
          <cell r="I3241" t="str">
            <v>North America</v>
          </cell>
          <cell r="J3241" t="str">
            <v>USA</v>
          </cell>
          <cell r="K3241">
            <v>35246</v>
          </cell>
        </row>
        <row r="3242">
          <cell r="A3242" t="str">
            <v>In service</v>
          </cell>
          <cell r="B3242" t="str">
            <v>Gulfstream Aerospace Gulfstream IV</v>
          </cell>
          <cell r="C3242" t="str">
            <v>SP</v>
          </cell>
          <cell r="D3242">
            <v>1998</v>
          </cell>
          <cell r="E3242" t="str">
            <v>Netjets International</v>
          </cell>
          <cell r="F3242">
            <v>2</v>
          </cell>
          <cell r="G3242">
            <v>35964</v>
          </cell>
          <cell r="H3242" t="str">
            <v>SP</v>
          </cell>
          <cell r="I3242" t="str">
            <v>North America</v>
          </cell>
          <cell r="J3242" t="str">
            <v>USA</v>
          </cell>
          <cell r="K3242">
            <v>35311</v>
          </cell>
        </row>
        <row r="3243">
          <cell r="A3243" t="str">
            <v>In service</v>
          </cell>
          <cell r="B3243" t="str">
            <v>Gulfstream Aerospace Gulfstream IV</v>
          </cell>
          <cell r="C3243" t="str">
            <v>SP</v>
          </cell>
          <cell r="D3243">
            <v>1998</v>
          </cell>
          <cell r="E3243" t="str">
            <v>PepsiCo Inc</v>
          </cell>
          <cell r="F3243">
            <v>2</v>
          </cell>
          <cell r="G3243">
            <v>35944</v>
          </cell>
          <cell r="H3243" t="str">
            <v>SP</v>
          </cell>
          <cell r="I3243" t="str">
            <v>North America</v>
          </cell>
          <cell r="J3243" t="str">
            <v>USA</v>
          </cell>
          <cell r="K3243">
            <v>35246</v>
          </cell>
        </row>
        <row r="3244">
          <cell r="A3244" t="str">
            <v>In service</v>
          </cell>
          <cell r="B3244" t="str">
            <v>Gulfstream Aerospace Gulfstream IV</v>
          </cell>
          <cell r="C3244" t="str">
            <v>SP</v>
          </cell>
          <cell r="D3244">
            <v>1998</v>
          </cell>
          <cell r="E3244" t="str">
            <v>Netjets International</v>
          </cell>
          <cell r="F3244">
            <v>2</v>
          </cell>
          <cell r="G3244">
            <v>36013</v>
          </cell>
          <cell r="H3244" t="str">
            <v>SP</v>
          </cell>
          <cell r="I3244" t="str">
            <v>North America</v>
          </cell>
          <cell r="J3244" t="str">
            <v>USA</v>
          </cell>
          <cell r="K3244">
            <v>35311</v>
          </cell>
        </row>
        <row r="3245">
          <cell r="A3245" t="str">
            <v>In service</v>
          </cell>
          <cell r="B3245" t="str">
            <v>Gulfstream Aerospace Gulfstream IV</v>
          </cell>
          <cell r="C3245" t="str">
            <v>SP</v>
          </cell>
          <cell r="D3245">
            <v>1997</v>
          </cell>
          <cell r="E3245" t="str">
            <v>Federal Mogul Corp</v>
          </cell>
          <cell r="F3245">
            <v>3</v>
          </cell>
          <cell r="G3245">
            <v>35794</v>
          </cell>
          <cell r="H3245" t="str">
            <v>SP</v>
          </cell>
          <cell r="I3245" t="str">
            <v>North America</v>
          </cell>
          <cell r="J3245" t="str">
            <v>USA</v>
          </cell>
          <cell r="K3245">
            <v>35611</v>
          </cell>
        </row>
        <row r="3246">
          <cell r="A3246" t="str">
            <v>In service</v>
          </cell>
          <cell r="B3246" t="str">
            <v>Gulfstream Aerospace Gulfstream IV</v>
          </cell>
          <cell r="C3246" t="str">
            <v>SP</v>
          </cell>
          <cell r="D3246">
            <v>1998</v>
          </cell>
          <cell r="E3246" t="str">
            <v>Government of Gabon</v>
          </cell>
          <cell r="F3246">
            <v>2</v>
          </cell>
          <cell r="G3246">
            <v>36114</v>
          </cell>
          <cell r="H3246" t="str">
            <v>SP</v>
          </cell>
          <cell r="I3246" t="str">
            <v>Africa</v>
          </cell>
          <cell r="J3246" t="str">
            <v>Gabon</v>
          </cell>
          <cell r="K3246">
            <v>35976</v>
          </cell>
        </row>
        <row r="3247">
          <cell r="A3247" t="str">
            <v>In service</v>
          </cell>
          <cell r="B3247" t="str">
            <v>Gulfstream Aerospace Gulfstream IV</v>
          </cell>
          <cell r="C3247" t="str">
            <v>SP</v>
          </cell>
          <cell r="D3247">
            <v>1998</v>
          </cell>
          <cell r="E3247" t="str">
            <v>Netjets International</v>
          </cell>
          <cell r="F3247">
            <v>2</v>
          </cell>
          <cell r="G3247">
            <v>36056</v>
          </cell>
          <cell r="H3247" t="str">
            <v>SP</v>
          </cell>
          <cell r="I3247" t="str">
            <v>North America</v>
          </cell>
          <cell r="J3247" t="str">
            <v>USA</v>
          </cell>
          <cell r="K3247">
            <v>35311</v>
          </cell>
        </row>
        <row r="3248">
          <cell r="A3248" t="str">
            <v>In service</v>
          </cell>
          <cell r="B3248" t="str">
            <v>Gulfstream Aerospace Gulfstream IV</v>
          </cell>
          <cell r="C3248" t="str">
            <v>SP</v>
          </cell>
          <cell r="D3248">
            <v>1998</v>
          </cell>
          <cell r="E3248" t="str">
            <v>Government of Egypt</v>
          </cell>
          <cell r="F3248">
            <v>2</v>
          </cell>
          <cell r="G3248">
            <v>36114</v>
          </cell>
          <cell r="H3248" t="str">
            <v>SP</v>
          </cell>
          <cell r="I3248" t="str">
            <v>Africa</v>
          </cell>
          <cell r="J3248" t="str">
            <v>Egypt</v>
          </cell>
          <cell r="K3248">
            <v>35976</v>
          </cell>
        </row>
        <row r="3249">
          <cell r="A3249" t="str">
            <v>In service</v>
          </cell>
          <cell r="B3249" t="str">
            <v>Gulfstream Aerospace Gulfstream IV</v>
          </cell>
          <cell r="C3249" t="str">
            <v>SP</v>
          </cell>
          <cell r="D3249">
            <v>1998</v>
          </cell>
          <cell r="E3249" t="str">
            <v>Johnson &amp; Johnson</v>
          </cell>
          <cell r="F3249">
            <v>2</v>
          </cell>
          <cell r="G3249">
            <v>36080</v>
          </cell>
          <cell r="H3249" t="str">
            <v>SP</v>
          </cell>
          <cell r="I3249" t="str">
            <v>North America</v>
          </cell>
          <cell r="J3249" t="str">
            <v>USA</v>
          </cell>
          <cell r="K3249">
            <v>35611</v>
          </cell>
        </row>
        <row r="3250">
          <cell r="A3250" t="str">
            <v>In service</v>
          </cell>
          <cell r="B3250" t="str">
            <v>Gulfstream Aerospace Gulfstream IV</v>
          </cell>
          <cell r="C3250" t="str">
            <v>SP</v>
          </cell>
          <cell r="D3250">
            <v>1998</v>
          </cell>
          <cell r="E3250" t="str">
            <v>General Dynamics Corp</v>
          </cell>
          <cell r="F3250">
            <v>2</v>
          </cell>
          <cell r="G3250">
            <v>36133</v>
          </cell>
          <cell r="H3250" t="str">
            <v>SP</v>
          </cell>
          <cell r="I3250" t="str">
            <v>North America</v>
          </cell>
          <cell r="J3250" t="str">
            <v>USA</v>
          </cell>
          <cell r="K3250">
            <v>35611</v>
          </cell>
        </row>
        <row r="3251">
          <cell r="A3251" t="str">
            <v>In service</v>
          </cell>
          <cell r="B3251" t="str">
            <v>Gulfstream Aerospace Gulfstream IV</v>
          </cell>
          <cell r="C3251" t="str">
            <v>SP</v>
          </cell>
          <cell r="D3251">
            <v>1998</v>
          </cell>
          <cell r="E3251" t="str">
            <v>Government of Egypt</v>
          </cell>
          <cell r="F3251">
            <v>2</v>
          </cell>
          <cell r="G3251">
            <v>36144</v>
          </cell>
          <cell r="H3251" t="str">
            <v>SP</v>
          </cell>
          <cell r="I3251" t="str">
            <v>Africa</v>
          </cell>
          <cell r="J3251" t="str">
            <v>Egypt</v>
          </cell>
          <cell r="K3251">
            <v>35976</v>
          </cell>
        </row>
        <row r="3252">
          <cell r="A3252" t="str">
            <v>In service</v>
          </cell>
          <cell r="B3252" t="str">
            <v>Gulfstream Aerospace Gulfstream IV</v>
          </cell>
          <cell r="C3252" t="str">
            <v>SP</v>
          </cell>
          <cell r="D3252">
            <v>1998</v>
          </cell>
          <cell r="E3252" t="str">
            <v>Johnson &amp; Johnson</v>
          </cell>
          <cell r="F3252">
            <v>2</v>
          </cell>
          <cell r="G3252">
            <v>36123</v>
          </cell>
          <cell r="H3252" t="str">
            <v>SP</v>
          </cell>
          <cell r="I3252" t="str">
            <v>North America</v>
          </cell>
          <cell r="J3252" t="str">
            <v>USA</v>
          </cell>
          <cell r="K3252">
            <v>35611</v>
          </cell>
        </row>
        <row r="3253">
          <cell r="A3253" t="str">
            <v>In service</v>
          </cell>
          <cell r="B3253" t="str">
            <v>Gulfstream Aerospace Gulfstream IV</v>
          </cell>
          <cell r="C3253" t="str">
            <v>SP</v>
          </cell>
          <cell r="D3253">
            <v>1998</v>
          </cell>
          <cell r="E3253" t="str">
            <v>Netjets International</v>
          </cell>
          <cell r="F3253">
            <v>2</v>
          </cell>
          <cell r="G3253">
            <v>36123</v>
          </cell>
          <cell r="H3253" t="str">
            <v>SP</v>
          </cell>
          <cell r="I3253" t="str">
            <v>North America</v>
          </cell>
          <cell r="J3253" t="str">
            <v>USA</v>
          </cell>
          <cell r="K3253">
            <v>35521</v>
          </cell>
        </row>
        <row r="3254">
          <cell r="A3254" t="str">
            <v>In service</v>
          </cell>
          <cell r="B3254" t="str">
            <v>Gulfstream Aerospace Gulfstream IV</v>
          </cell>
          <cell r="C3254" t="str">
            <v>SP</v>
          </cell>
          <cell r="D3254">
            <v>1998</v>
          </cell>
          <cell r="E3254" t="str">
            <v>Bank of America NA</v>
          </cell>
          <cell r="F3254">
            <v>2</v>
          </cell>
          <cell r="G3254">
            <v>36151</v>
          </cell>
          <cell r="H3254" t="str">
            <v>SP</v>
          </cell>
          <cell r="I3254" t="str">
            <v>North America</v>
          </cell>
          <cell r="J3254" t="str">
            <v>USA</v>
          </cell>
          <cell r="K3254">
            <v>35611</v>
          </cell>
        </row>
        <row r="3255">
          <cell r="A3255" t="str">
            <v>In service</v>
          </cell>
          <cell r="B3255" t="str">
            <v>Gulfstream Aerospace Gulfstream IV</v>
          </cell>
          <cell r="C3255" t="str">
            <v>SP</v>
          </cell>
          <cell r="D3255">
            <v>1998</v>
          </cell>
          <cell r="E3255" t="str">
            <v>Pfizer Inc</v>
          </cell>
          <cell r="F3255">
            <v>2</v>
          </cell>
          <cell r="G3255">
            <v>36339</v>
          </cell>
          <cell r="H3255" t="str">
            <v>SP</v>
          </cell>
          <cell r="I3255" t="str">
            <v>North America</v>
          </cell>
          <cell r="J3255" t="str">
            <v>USA</v>
          </cell>
          <cell r="K3255">
            <v>35976</v>
          </cell>
        </row>
        <row r="3256">
          <cell r="A3256" t="str">
            <v>In service</v>
          </cell>
          <cell r="B3256" t="str">
            <v>Gulfstream Aerospace Gulfstream IV</v>
          </cell>
          <cell r="C3256" t="str">
            <v>SP</v>
          </cell>
          <cell r="D3256">
            <v>1999</v>
          </cell>
          <cell r="E3256" t="str">
            <v>Michael J Kittredge</v>
          </cell>
          <cell r="F3256">
            <v>1</v>
          </cell>
          <cell r="G3256">
            <v>36215</v>
          </cell>
          <cell r="H3256" t="str">
            <v>SP</v>
          </cell>
          <cell r="I3256" t="str">
            <v>North America</v>
          </cell>
          <cell r="J3256" t="str">
            <v>USA</v>
          </cell>
          <cell r="K3256">
            <v>35611</v>
          </cell>
        </row>
        <row r="3257">
          <cell r="A3257" t="str">
            <v>In service</v>
          </cell>
          <cell r="B3257" t="str">
            <v>Gulfstream Aerospace Gulfstream IV</v>
          </cell>
          <cell r="C3257" t="str">
            <v>SP</v>
          </cell>
          <cell r="D3257">
            <v>1999</v>
          </cell>
          <cell r="E3257" t="str">
            <v>MESH Inc</v>
          </cell>
          <cell r="F3257">
            <v>1</v>
          </cell>
          <cell r="G3257">
            <v>36210</v>
          </cell>
          <cell r="H3257" t="str">
            <v>SP</v>
          </cell>
          <cell r="I3257" t="str">
            <v>North America</v>
          </cell>
          <cell r="J3257" t="str">
            <v>USA</v>
          </cell>
          <cell r="K3257">
            <v>35611</v>
          </cell>
        </row>
        <row r="3258">
          <cell r="A3258" t="str">
            <v>In service</v>
          </cell>
          <cell r="B3258" t="str">
            <v>Gulfstream Aerospace Gulfstream IV</v>
          </cell>
          <cell r="C3258" t="str">
            <v>SP</v>
          </cell>
          <cell r="D3258">
            <v>1998</v>
          </cell>
          <cell r="E3258" t="str">
            <v>TAL Leasing Co LLC</v>
          </cell>
          <cell r="F3258">
            <v>2</v>
          </cell>
          <cell r="G3258">
            <v>36158</v>
          </cell>
          <cell r="H3258" t="str">
            <v>SP</v>
          </cell>
          <cell r="I3258" t="str">
            <v>North America</v>
          </cell>
          <cell r="J3258" t="str">
            <v>USA</v>
          </cell>
          <cell r="K3258">
            <v>35611</v>
          </cell>
        </row>
        <row r="3259">
          <cell r="A3259" t="str">
            <v>In service</v>
          </cell>
          <cell r="B3259" t="str">
            <v>Gulfstream Aerospace Gulfstream IV</v>
          </cell>
          <cell r="C3259" t="str">
            <v>SP</v>
          </cell>
          <cell r="D3259">
            <v>1999</v>
          </cell>
          <cell r="E3259" t="str">
            <v>Abbott Laboratories Inc</v>
          </cell>
          <cell r="F3259">
            <v>1</v>
          </cell>
          <cell r="G3259">
            <v>36221</v>
          </cell>
          <cell r="H3259" t="str">
            <v>SP</v>
          </cell>
          <cell r="I3259" t="str">
            <v>North America</v>
          </cell>
          <cell r="J3259" t="str">
            <v>USA</v>
          </cell>
          <cell r="K3259">
            <v>35611</v>
          </cell>
        </row>
        <row r="3260">
          <cell r="A3260" t="str">
            <v>In service</v>
          </cell>
          <cell r="B3260" t="str">
            <v>Gulfstream Aerospace Gulfstream IV</v>
          </cell>
          <cell r="C3260" t="str">
            <v>SP</v>
          </cell>
          <cell r="D3260">
            <v>1998</v>
          </cell>
          <cell r="E3260" t="str">
            <v>Netjets International</v>
          </cell>
          <cell r="F3260">
            <v>2</v>
          </cell>
          <cell r="G3260">
            <v>36152</v>
          </cell>
          <cell r="H3260" t="str">
            <v>SP</v>
          </cell>
          <cell r="I3260" t="str">
            <v>North America</v>
          </cell>
          <cell r="J3260" t="str">
            <v>USA</v>
          </cell>
          <cell r="K3260">
            <v>35521</v>
          </cell>
        </row>
        <row r="3261">
          <cell r="A3261" t="str">
            <v>In service</v>
          </cell>
          <cell r="B3261" t="str">
            <v>Gulfstream Aerospace Gulfstream IV</v>
          </cell>
          <cell r="C3261" t="str">
            <v>SP</v>
          </cell>
          <cell r="D3261">
            <v>1998</v>
          </cell>
          <cell r="E3261" t="str">
            <v>Avjet Corp</v>
          </cell>
          <cell r="F3261">
            <v>2</v>
          </cell>
          <cell r="G3261">
            <v>36000</v>
          </cell>
          <cell r="H3261" t="str">
            <v>SP</v>
          </cell>
          <cell r="I3261" t="str">
            <v>North America</v>
          </cell>
          <cell r="J3261" t="str">
            <v>USA</v>
          </cell>
          <cell r="K3261">
            <v>35611</v>
          </cell>
        </row>
        <row r="3262">
          <cell r="A3262" t="str">
            <v>In service</v>
          </cell>
          <cell r="B3262" t="str">
            <v>Gulfstream Aerospace Gulfstream IV</v>
          </cell>
          <cell r="C3262" t="str">
            <v>SP</v>
          </cell>
          <cell r="D3262">
            <v>1999</v>
          </cell>
          <cell r="E3262" t="str">
            <v>SS Platinum Limited Liabilty Co</v>
          </cell>
          <cell r="F3262">
            <v>1</v>
          </cell>
          <cell r="G3262">
            <v>36339</v>
          </cell>
          <cell r="H3262" t="str">
            <v>SP</v>
          </cell>
          <cell r="I3262" t="str">
            <v>North America</v>
          </cell>
          <cell r="J3262" t="str">
            <v>USA</v>
          </cell>
          <cell r="K3262">
            <v>35611</v>
          </cell>
        </row>
        <row r="3263">
          <cell r="A3263" t="str">
            <v>In service</v>
          </cell>
          <cell r="B3263" t="str">
            <v>Gulfstream Aerospace Gulfstream IV</v>
          </cell>
          <cell r="C3263" t="str">
            <v>SP</v>
          </cell>
          <cell r="D3263">
            <v>1999</v>
          </cell>
          <cell r="E3263" t="str">
            <v>Eighteen LLC</v>
          </cell>
          <cell r="F3263">
            <v>1</v>
          </cell>
          <cell r="G3263">
            <v>36390</v>
          </cell>
          <cell r="H3263" t="str">
            <v>SP</v>
          </cell>
          <cell r="I3263" t="str">
            <v>Latin America and Caribbean</v>
          </cell>
          <cell r="J3263" t="str">
            <v>Bermuda</v>
          </cell>
          <cell r="K3263">
            <v>35611</v>
          </cell>
        </row>
        <row r="3264">
          <cell r="A3264" t="str">
            <v>In service</v>
          </cell>
          <cell r="B3264" t="str">
            <v>Gulfstream Aerospace Gulfstream IV</v>
          </cell>
          <cell r="C3264" t="str">
            <v>SP</v>
          </cell>
          <cell r="D3264">
            <v>1999</v>
          </cell>
          <cell r="E3264" t="str">
            <v>Seminole Tribe of Florida</v>
          </cell>
          <cell r="F3264">
            <v>1</v>
          </cell>
          <cell r="G3264">
            <v>36342</v>
          </cell>
          <cell r="H3264" t="str">
            <v>SP</v>
          </cell>
          <cell r="I3264" t="str">
            <v>North America</v>
          </cell>
          <cell r="J3264" t="str">
            <v>USA</v>
          </cell>
          <cell r="K3264">
            <v>35976</v>
          </cell>
        </row>
        <row r="3265">
          <cell r="A3265" t="str">
            <v>In service</v>
          </cell>
          <cell r="B3265" t="str">
            <v>Gulfstream Aerospace Gulfstream IV</v>
          </cell>
          <cell r="C3265" t="str">
            <v>SP</v>
          </cell>
          <cell r="D3265">
            <v>1998</v>
          </cell>
          <cell r="E3265" t="str">
            <v>Andalex Resources</v>
          </cell>
          <cell r="F3265">
            <v>2</v>
          </cell>
          <cell r="G3265">
            <v>36048</v>
          </cell>
          <cell r="H3265" t="str">
            <v>SP</v>
          </cell>
          <cell r="I3265" t="str">
            <v>North America</v>
          </cell>
          <cell r="J3265" t="str">
            <v>USA</v>
          </cell>
          <cell r="K3265">
            <v>35611</v>
          </cell>
        </row>
        <row r="3266">
          <cell r="A3266" t="str">
            <v>In service</v>
          </cell>
          <cell r="B3266" t="str">
            <v>Gulfstream Aerospace Gulfstream IV</v>
          </cell>
          <cell r="C3266" t="str">
            <v>SP</v>
          </cell>
          <cell r="D3266">
            <v>1998</v>
          </cell>
          <cell r="E3266" t="str">
            <v>Coanda Inc</v>
          </cell>
          <cell r="F3266">
            <v>2</v>
          </cell>
          <cell r="G3266">
            <v>36073</v>
          </cell>
          <cell r="H3266" t="str">
            <v>SP</v>
          </cell>
          <cell r="I3266" t="str">
            <v>North America</v>
          </cell>
          <cell r="J3266" t="str">
            <v>USA</v>
          </cell>
          <cell r="K3266">
            <v>35611</v>
          </cell>
        </row>
        <row r="3267">
          <cell r="A3267" t="str">
            <v>In service</v>
          </cell>
          <cell r="B3267" t="str">
            <v>Gulfstream Aerospace Gulfstream IV</v>
          </cell>
          <cell r="C3267" t="str">
            <v>SP</v>
          </cell>
          <cell r="D3267">
            <v>1999</v>
          </cell>
          <cell r="E3267" t="str">
            <v>USX Corp</v>
          </cell>
          <cell r="F3267">
            <v>1</v>
          </cell>
          <cell r="G3267">
            <v>36495</v>
          </cell>
          <cell r="H3267" t="str">
            <v>SP</v>
          </cell>
          <cell r="I3267" t="str">
            <v>North America</v>
          </cell>
          <cell r="J3267" t="str">
            <v>USA</v>
          </cell>
          <cell r="K3267">
            <v>35976</v>
          </cell>
        </row>
        <row r="3268">
          <cell r="A3268" t="str">
            <v>In service</v>
          </cell>
          <cell r="B3268" t="str">
            <v>Gulfstream Aerospace Gulfstream IV</v>
          </cell>
          <cell r="C3268" t="str">
            <v>SP</v>
          </cell>
          <cell r="D3268">
            <v>1999</v>
          </cell>
          <cell r="E3268" t="str">
            <v>DJW Aviation LLC</v>
          </cell>
          <cell r="F3268">
            <v>1</v>
          </cell>
          <cell r="G3268">
            <v>36461</v>
          </cell>
          <cell r="H3268" t="str">
            <v>SP</v>
          </cell>
          <cell r="I3268" t="str">
            <v>North America</v>
          </cell>
          <cell r="J3268" t="str">
            <v>USA</v>
          </cell>
          <cell r="K3268">
            <v>35869</v>
          </cell>
        </row>
        <row r="3269">
          <cell r="A3269" t="str">
            <v>In service</v>
          </cell>
          <cell r="B3269" t="str">
            <v>Gulfstream Aerospace Gulfstream IV</v>
          </cell>
          <cell r="C3269" t="str">
            <v>SP</v>
          </cell>
          <cell r="D3269">
            <v>1998</v>
          </cell>
          <cell r="E3269" t="str">
            <v>Unisys Corp</v>
          </cell>
          <cell r="F3269">
            <v>2</v>
          </cell>
          <cell r="G3269">
            <v>36144</v>
          </cell>
          <cell r="H3269" t="str">
            <v>SP</v>
          </cell>
          <cell r="I3269" t="str">
            <v>North America</v>
          </cell>
          <cell r="J3269" t="str">
            <v>USA</v>
          </cell>
          <cell r="K3269">
            <v>35611</v>
          </cell>
        </row>
        <row r="3270">
          <cell r="A3270" t="str">
            <v>In service</v>
          </cell>
          <cell r="B3270" t="str">
            <v>Gulfstream Aerospace Gulfstream IV</v>
          </cell>
          <cell r="C3270" t="str">
            <v>SP</v>
          </cell>
          <cell r="D3270">
            <v>1999</v>
          </cell>
          <cell r="E3270" t="str">
            <v>Netjets International</v>
          </cell>
          <cell r="F3270">
            <v>1</v>
          </cell>
          <cell r="G3270">
            <v>36299</v>
          </cell>
          <cell r="H3270" t="str">
            <v>SP</v>
          </cell>
          <cell r="I3270" t="str">
            <v>North America</v>
          </cell>
          <cell r="J3270" t="str">
            <v>USA</v>
          </cell>
          <cell r="K3270">
            <v>35521</v>
          </cell>
        </row>
        <row r="3271">
          <cell r="A3271" t="str">
            <v>In service</v>
          </cell>
          <cell r="B3271" t="str">
            <v>Gulfstream Aerospace Gulfstream IV</v>
          </cell>
          <cell r="C3271" t="str">
            <v>SP</v>
          </cell>
          <cell r="D3271">
            <v>1999</v>
          </cell>
          <cell r="E3271" t="str">
            <v>Netjets International</v>
          </cell>
          <cell r="F3271">
            <v>1</v>
          </cell>
          <cell r="G3271">
            <v>36249</v>
          </cell>
          <cell r="H3271" t="str">
            <v>SP</v>
          </cell>
          <cell r="I3271" t="str">
            <v>North America</v>
          </cell>
          <cell r="J3271" t="str">
            <v>USA</v>
          </cell>
          <cell r="K3271">
            <v>35521</v>
          </cell>
        </row>
        <row r="3272">
          <cell r="A3272" t="str">
            <v>In service</v>
          </cell>
          <cell r="B3272" t="str">
            <v>Gulfstream Aerospace Gulfstream IV</v>
          </cell>
          <cell r="C3272" t="str">
            <v>SP</v>
          </cell>
          <cell r="D3272">
            <v>1999</v>
          </cell>
          <cell r="E3272" t="str">
            <v>Government of Bahrain</v>
          </cell>
          <cell r="F3272">
            <v>1</v>
          </cell>
          <cell r="G3272">
            <v>36364</v>
          </cell>
          <cell r="H3272" t="str">
            <v>SP</v>
          </cell>
          <cell r="I3272" t="str">
            <v>Middle East</v>
          </cell>
          <cell r="J3272" t="str">
            <v>Bahrain</v>
          </cell>
          <cell r="K3272">
            <v>35976</v>
          </cell>
        </row>
        <row r="3273">
          <cell r="A3273" t="str">
            <v>In service</v>
          </cell>
          <cell r="B3273" t="str">
            <v>Gulfstream Aerospace Gulfstream IV</v>
          </cell>
          <cell r="C3273" t="str">
            <v>SP</v>
          </cell>
          <cell r="D3273">
            <v>1998</v>
          </cell>
          <cell r="E3273" t="str">
            <v>Recovery Services International Inc</v>
          </cell>
          <cell r="F3273">
            <v>2</v>
          </cell>
          <cell r="G3273">
            <v>36139</v>
          </cell>
          <cell r="H3273" t="str">
            <v>SP</v>
          </cell>
          <cell r="I3273" t="str">
            <v>North America</v>
          </cell>
          <cell r="J3273" t="str">
            <v>USA</v>
          </cell>
          <cell r="K3273">
            <v>35611</v>
          </cell>
        </row>
        <row r="3274">
          <cell r="A3274" t="str">
            <v>In service</v>
          </cell>
          <cell r="B3274" t="str">
            <v>Gulfstream Aerospace Gulfstream IV</v>
          </cell>
          <cell r="C3274" t="str">
            <v>SP</v>
          </cell>
          <cell r="D3274">
            <v>1998</v>
          </cell>
          <cell r="E3274" t="str">
            <v>Thrall Car Manufacturing Co and Duchossois Ind</v>
          </cell>
          <cell r="F3274">
            <v>2</v>
          </cell>
          <cell r="G3274">
            <v>36192</v>
          </cell>
          <cell r="H3274" t="str">
            <v>SP</v>
          </cell>
          <cell r="I3274" t="str">
            <v>North America</v>
          </cell>
          <cell r="J3274" t="str">
            <v>USA</v>
          </cell>
          <cell r="K3274">
            <v>35976</v>
          </cell>
        </row>
        <row r="3275">
          <cell r="A3275" t="str">
            <v>In service</v>
          </cell>
          <cell r="B3275" t="str">
            <v>Gulfstream Aerospace Gulfstream IV</v>
          </cell>
          <cell r="C3275" t="str">
            <v>SP</v>
          </cell>
          <cell r="D3275">
            <v>1999</v>
          </cell>
          <cell r="E3275" t="str">
            <v>Dominion Resources Inc</v>
          </cell>
          <cell r="F3275">
            <v>1</v>
          </cell>
          <cell r="G3275">
            <v>36388</v>
          </cell>
          <cell r="H3275" t="str">
            <v>SP</v>
          </cell>
          <cell r="I3275" t="str">
            <v>North America</v>
          </cell>
          <cell r="J3275" t="str">
            <v>USA</v>
          </cell>
          <cell r="K3275">
            <v>35976</v>
          </cell>
        </row>
        <row r="3276">
          <cell r="A3276" t="str">
            <v>In service</v>
          </cell>
          <cell r="B3276" t="str">
            <v>Gulfstream Aerospace Gulfstream IV</v>
          </cell>
          <cell r="C3276" t="str">
            <v>SP</v>
          </cell>
          <cell r="D3276">
            <v>1999</v>
          </cell>
          <cell r="E3276" t="str">
            <v>K Services Inc</v>
          </cell>
          <cell r="F3276">
            <v>1</v>
          </cell>
          <cell r="G3276">
            <v>36524</v>
          </cell>
          <cell r="H3276" t="str">
            <v>SP</v>
          </cell>
          <cell r="I3276" t="str">
            <v>North America</v>
          </cell>
          <cell r="J3276" t="str">
            <v>USA</v>
          </cell>
          <cell r="K3276">
            <v>35976</v>
          </cell>
        </row>
        <row r="3277">
          <cell r="A3277" t="str">
            <v>In service</v>
          </cell>
          <cell r="B3277" t="str">
            <v>Gulfstream Aerospace Gulfstream IV</v>
          </cell>
          <cell r="C3277" t="str">
            <v>SP</v>
          </cell>
          <cell r="D3277">
            <v>1999</v>
          </cell>
          <cell r="E3277" t="str">
            <v>Texaco Inc</v>
          </cell>
          <cell r="F3277">
            <v>1</v>
          </cell>
          <cell r="G3277">
            <v>36516</v>
          </cell>
          <cell r="H3277" t="str">
            <v>SP</v>
          </cell>
          <cell r="I3277" t="str">
            <v>North America</v>
          </cell>
          <cell r="J3277" t="str">
            <v>USA</v>
          </cell>
          <cell r="K3277">
            <v>35246</v>
          </cell>
        </row>
        <row r="3278">
          <cell r="A3278" t="str">
            <v>In service</v>
          </cell>
          <cell r="B3278" t="str">
            <v>Gulfstream Aerospace Gulfstream IV</v>
          </cell>
          <cell r="C3278" t="str">
            <v>SP</v>
          </cell>
          <cell r="D3278">
            <v>1999</v>
          </cell>
          <cell r="E3278" t="str">
            <v>Netjets International</v>
          </cell>
          <cell r="F3278">
            <v>1</v>
          </cell>
          <cell r="G3278">
            <v>36333</v>
          </cell>
          <cell r="H3278" t="str">
            <v>SP</v>
          </cell>
          <cell r="I3278" t="str">
            <v>North America</v>
          </cell>
          <cell r="J3278" t="str">
            <v>USA</v>
          </cell>
          <cell r="K3278">
            <v>35521</v>
          </cell>
        </row>
        <row r="3279">
          <cell r="A3279" t="str">
            <v>In service</v>
          </cell>
          <cell r="B3279" t="str">
            <v>Gulfstream Aerospace Gulfstream IV</v>
          </cell>
          <cell r="C3279" t="str">
            <v>SP</v>
          </cell>
          <cell r="D3279">
            <v>1999</v>
          </cell>
          <cell r="E3279" t="str">
            <v>Campbell Sales Co</v>
          </cell>
          <cell r="F3279">
            <v>1</v>
          </cell>
          <cell r="G3279">
            <v>36364</v>
          </cell>
          <cell r="H3279" t="str">
            <v>SP</v>
          </cell>
          <cell r="I3279" t="str">
            <v>North America</v>
          </cell>
          <cell r="J3279" t="str">
            <v>USA</v>
          </cell>
          <cell r="K3279">
            <v>35976</v>
          </cell>
        </row>
        <row r="3280">
          <cell r="A3280" t="str">
            <v>In service</v>
          </cell>
          <cell r="B3280" t="str">
            <v>Gulfstream Aerospace Gulfstream IV</v>
          </cell>
          <cell r="C3280" t="str">
            <v>SP</v>
          </cell>
          <cell r="D3280">
            <v>2000</v>
          </cell>
          <cell r="E3280" t="str">
            <v>Deerport Aviation Corp</v>
          </cell>
          <cell r="F3280">
            <v>0</v>
          </cell>
          <cell r="G3280">
            <v>36643</v>
          </cell>
          <cell r="H3280" t="str">
            <v>SP</v>
          </cell>
          <cell r="I3280" t="str">
            <v>North America</v>
          </cell>
          <cell r="J3280" t="str">
            <v>USA</v>
          </cell>
          <cell r="K3280">
            <v>35976</v>
          </cell>
        </row>
        <row r="3281">
          <cell r="A3281" t="str">
            <v>In service</v>
          </cell>
          <cell r="B3281" t="str">
            <v>Gulfstream Aerospace Gulfstream IV</v>
          </cell>
          <cell r="C3281" t="str">
            <v>SP</v>
          </cell>
          <cell r="D3281">
            <v>1999</v>
          </cell>
          <cell r="E3281" t="str">
            <v>Netjets International</v>
          </cell>
          <cell r="F3281">
            <v>1</v>
          </cell>
          <cell r="G3281">
            <v>36370</v>
          </cell>
          <cell r="H3281" t="str">
            <v>SP</v>
          </cell>
          <cell r="I3281" t="str">
            <v>North America</v>
          </cell>
          <cell r="J3281" t="str">
            <v>USA</v>
          </cell>
          <cell r="K3281">
            <v>35521</v>
          </cell>
        </row>
        <row r="3282">
          <cell r="A3282" t="str">
            <v>In service</v>
          </cell>
          <cell r="B3282" t="str">
            <v>Gulfstream Aerospace Gulfstream IV</v>
          </cell>
          <cell r="C3282" t="str">
            <v>SP</v>
          </cell>
          <cell r="D3282">
            <v>2000</v>
          </cell>
          <cell r="E3282" t="str">
            <v>Spectacor Inc &amp; Kalco Corp</v>
          </cell>
          <cell r="F3282">
            <v>0</v>
          </cell>
          <cell r="G3282">
            <v>36615</v>
          </cell>
          <cell r="H3282" t="str">
            <v>SP</v>
          </cell>
          <cell r="I3282" t="str">
            <v>North America</v>
          </cell>
          <cell r="J3282" t="str">
            <v>USA</v>
          </cell>
          <cell r="K3282">
            <v>36053</v>
          </cell>
        </row>
        <row r="3283">
          <cell r="A3283" t="str">
            <v>In service</v>
          </cell>
          <cell r="B3283" t="str">
            <v>Gulfstream Aerospace Gulfstream IV</v>
          </cell>
          <cell r="C3283" t="str">
            <v>SP</v>
          </cell>
          <cell r="D3283">
            <v>2000</v>
          </cell>
          <cell r="E3283" t="str">
            <v>Saudi Aeromedical Evacuation</v>
          </cell>
          <cell r="F3283">
            <v>0</v>
          </cell>
          <cell r="G3283">
            <v>36666</v>
          </cell>
          <cell r="H3283" t="str">
            <v>SP</v>
          </cell>
          <cell r="I3283" t="str">
            <v>Middle East</v>
          </cell>
          <cell r="J3283" t="str">
            <v>Saudi Arabia</v>
          </cell>
          <cell r="K3283">
            <v>36341</v>
          </cell>
        </row>
        <row r="3284">
          <cell r="A3284" t="str">
            <v>In service</v>
          </cell>
          <cell r="B3284" t="str">
            <v>Gulfstream Aerospace Gulfstream IV</v>
          </cell>
          <cell r="C3284" t="str">
            <v>SP</v>
          </cell>
          <cell r="D3284">
            <v>1999</v>
          </cell>
          <cell r="E3284" t="str">
            <v>Bristol-Myers Squibb Company</v>
          </cell>
          <cell r="F3284">
            <v>1</v>
          </cell>
          <cell r="G3284">
            <v>36455</v>
          </cell>
          <cell r="H3284" t="str">
            <v>SP</v>
          </cell>
          <cell r="I3284" t="str">
            <v>North America</v>
          </cell>
          <cell r="J3284" t="str">
            <v>USA</v>
          </cell>
          <cell r="K3284">
            <v>35976</v>
          </cell>
        </row>
        <row r="3285">
          <cell r="A3285" t="str">
            <v>In service</v>
          </cell>
          <cell r="B3285" t="str">
            <v>Gulfstream Aerospace Gulfstream IV</v>
          </cell>
          <cell r="C3285" t="str">
            <v>SP</v>
          </cell>
          <cell r="D3285">
            <v>1999</v>
          </cell>
          <cell r="E3285" t="str">
            <v>Premiere Radio Networks</v>
          </cell>
          <cell r="F3285">
            <v>1</v>
          </cell>
          <cell r="G3285">
            <v>36523</v>
          </cell>
          <cell r="H3285" t="str">
            <v>SP</v>
          </cell>
          <cell r="I3285" t="str">
            <v>North America</v>
          </cell>
          <cell r="J3285" t="str">
            <v>USA</v>
          </cell>
          <cell r="K3285">
            <v>35869</v>
          </cell>
        </row>
        <row r="3286">
          <cell r="A3286" t="str">
            <v>In service</v>
          </cell>
          <cell r="B3286" t="str">
            <v>Gulfstream Aerospace Gulfstream IV</v>
          </cell>
          <cell r="C3286" t="str">
            <v>SP</v>
          </cell>
          <cell r="D3286">
            <v>2000</v>
          </cell>
          <cell r="E3286" t="str">
            <v>McDonalds Corp</v>
          </cell>
          <cell r="F3286">
            <v>0</v>
          </cell>
          <cell r="G3286">
            <v>36685</v>
          </cell>
          <cell r="H3286" t="str">
            <v>SP</v>
          </cell>
          <cell r="I3286" t="str">
            <v>North America</v>
          </cell>
          <cell r="J3286" t="str">
            <v>USA</v>
          </cell>
          <cell r="K3286">
            <v>35611</v>
          </cell>
        </row>
        <row r="3287">
          <cell r="A3287" t="str">
            <v>In service</v>
          </cell>
          <cell r="B3287" t="str">
            <v>Gulfstream Aerospace Gulfstream IV</v>
          </cell>
          <cell r="C3287" t="str">
            <v>SP</v>
          </cell>
          <cell r="D3287">
            <v>1999</v>
          </cell>
          <cell r="E3287" t="str">
            <v>Netjets International</v>
          </cell>
          <cell r="F3287">
            <v>1</v>
          </cell>
          <cell r="G3287">
            <v>36416</v>
          </cell>
          <cell r="H3287" t="str">
            <v>SP</v>
          </cell>
          <cell r="I3287" t="str">
            <v>North America</v>
          </cell>
          <cell r="J3287" t="str">
            <v>USA</v>
          </cell>
          <cell r="K3287">
            <v>35521</v>
          </cell>
        </row>
        <row r="3288">
          <cell r="A3288" t="str">
            <v>In service</v>
          </cell>
          <cell r="B3288" t="str">
            <v>Gulfstream Aerospace Gulfstream IV</v>
          </cell>
          <cell r="C3288" t="str">
            <v>SP</v>
          </cell>
          <cell r="D3288">
            <v>1999</v>
          </cell>
          <cell r="E3288" t="str">
            <v>Skyaire Inc</v>
          </cell>
          <cell r="F3288">
            <v>1</v>
          </cell>
          <cell r="G3288">
            <v>36279</v>
          </cell>
          <cell r="H3288" t="str">
            <v>SP</v>
          </cell>
          <cell r="I3288" t="str">
            <v>North America</v>
          </cell>
          <cell r="J3288" t="str">
            <v>USA</v>
          </cell>
          <cell r="K3288">
            <v>35976</v>
          </cell>
        </row>
        <row r="3289">
          <cell r="A3289" t="str">
            <v>In service</v>
          </cell>
          <cell r="B3289" t="str">
            <v>Gulfstream Aerospace Gulfstream IV</v>
          </cell>
          <cell r="C3289" t="str">
            <v>SP</v>
          </cell>
          <cell r="D3289">
            <v>1999</v>
          </cell>
          <cell r="E3289" t="str">
            <v>TAG Aviation USA</v>
          </cell>
          <cell r="F3289">
            <v>1</v>
          </cell>
          <cell r="G3289">
            <v>36631</v>
          </cell>
          <cell r="H3289" t="str">
            <v>SP</v>
          </cell>
          <cell r="I3289" t="str">
            <v>North America</v>
          </cell>
          <cell r="J3289" t="str">
            <v>USA</v>
          </cell>
          <cell r="K3289">
            <v>35976</v>
          </cell>
        </row>
        <row r="3290">
          <cell r="A3290" t="str">
            <v>In service</v>
          </cell>
          <cell r="B3290" t="str">
            <v>Gulfstream Aerospace Gulfstream IV</v>
          </cell>
          <cell r="C3290" t="str">
            <v>SP</v>
          </cell>
          <cell r="D3290">
            <v>1999</v>
          </cell>
          <cell r="E3290" t="str">
            <v>Netjets International</v>
          </cell>
          <cell r="F3290">
            <v>1</v>
          </cell>
          <cell r="G3290">
            <v>36452</v>
          </cell>
          <cell r="H3290" t="str">
            <v>SP</v>
          </cell>
          <cell r="I3290" t="str">
            <v>North America</v>
          </cell>
          <cell r="J3290" t="str">
            <v>USA</v>
          </cell>
          <cell r="K3290">
            <v>35521</v>
          </cell>
        </row>
        <row r="3291">
          <cell r="A3291" t="str">
            <v>In service</v>
          </cell>
          <cell r="B3291" t="str">
            <v>Gulfstream Aerospace Gulfstream IV</v>
          </cell>
          <cell r="C3291" t="str">
            <v>SP</v>
          </cell>
          <cell r="D3291">
            <v>1999</v>
          </cell>
          <cell r="E3291" t="str">
            <v>Kodi Air LLC</v>
          </cell>
          <cell r="F3291">
            <v>1</v>
          </cell>
          <cell r="G3291">
            <v>36314</v>
          </cell>
          <cell r="H3291" t="str">
            <v>SP</v>
          </cell>
          <cell r="I3291" t="str">
            <v>North America</v>
          </cell>
          <cell r="J3291" t="str">
            <v>USA</v>
          </cell>
          <cell r="K3291">
            <v>35611</v>
          </cell>
        </row>
        <row r="3292">
          <cell r="A3292" t="str">
            <v>In service</v>
          </cell>
          <cell r="B3292" t="str">
            <v>Gulfstream Aerospace Gulfstream IV</v>
          </cell>
          <cell r="C3292" t="str">
            <v>SP</v>
          </cell>
          <cell r="D3292">
            <v>2000</v>
          </cell>
          <cell r="E3292" t="str">
            <v>The Proctor &amp; Gamble Co</v>
          </cell>
          <cell r="F3292">
            <v>0</v>
          </cell>
          <cell r="G3292">
            <v>36648</v>
          </cell>
          <cell r="H3292" t="str">
            <v>SP</v>
          </cell>
          <cell r="I3292" t="str">
            <v>North America</v>
          </cell>
          <cell r="J3292" t="str">
            <v>USA</v>
          </cell>
          <cell r="K3292">
            <v>36341</v>
          </cell>
        </row>
        <row r="3293">
          <cell r="A3293" t="str">
            <v>In service</v>
          </cell>
          <cell r="B3293" t="str">
            <v>Gulfstream Aerospace Gulfstream IV</v>
          </cell>
          <cell r="C3293" t="str">
            <v>SP</v>
          </cell>
          <cell r="D3293">
            <v>1999</v>
          </cell>
          <cell r="E3293" t="str">
            <v>United Healthcare Services Inc</v>
          </cell>
          <cell r="F3293">
            <v>1</v>
          </cell>
          <cell r="G3293">
            <v>36524</v>
          </cell>
          <cell r="H3293" t="str">
            <v>SP</v>
          </cell>
          <cell r="I3293" t="str">
            <v>North America</v>
          </cell>
          <cell r="J3293" t="str">
            <v>USA</v>
          </cell>
          <cell r="K3293">
            <v>36045</v>
          </cell>
        </row>
        <row r="3294">
          <cell r="A3294" t="str">
            <v>In service</v>
          </cell>
          <cell r="B3294" t="str">
            <v>Gulfstream Aerospace Gulfstream IV</v>
          </cell>
          <cell r="C3294" t="str">
            <v>SP</v>
          </cell>
          <cell r="D3294">
            <v>1999</v>
          </cell>
          <cell r="E3294" t="str">
            <v>New World Jet Corp</v>
          </cell>
          <cell r="F3294">
            <v>1</v>
          </cell>
          <cell r="G3294">
            <v>36572</v>
          </cell>
          <cell r="H3294" t="str">
            <v>SP</v>
          </cell>
          <cell r="I3294" t="str">
            <v>North America</v>
          </cell>
          <cell r="J3294" t="str">
            <v>USA</v>
          </cell>
          <cell r="K3294">
            <v>35976</v>
          </cell>
        </row>
        <row r="3295">
          <cell r="A3295" t="str">
            <v>In service</v>
          </cell>
          <cell r="B3295" t="str">
            <v>Gulfstream Aerospace Gulfstream IV</v>
          </cell>
          <cell r="C3295" t="str">
            <v>SP</v>
          </cell>
          <cell r="D3295">
            <v>1999</v>
          </cell>
          <cell r="E3295" t="str">
            <v>Netjets International</v>
          </cell>
          <cell r="F3295">
            <v>1</v>
          </cell>
          <cell r="G3295">
            <v>36486</v>
          </cell>
          <cell r="H3295" t="str">
            <v>SP</v>
          </cell>
          <cell r="I3295" t="str">
            <v>North America</v>
          </cell>
          <cell r="J3295" t="str">
            <v>USA</v>
          </cell>
          <cell r="K3295">
            <v>35521</v>
          </cell>
        </row>
        <row r="3296">
          <cell r="A3296" t="str">
            <v>In service</v>
          </cell>
          <cell r="B3296" t="str">
            <v>Gulfstream Aerospace Gulfstream IV</v>
          </cell>
          <cell r="C3296" t="str">
            <v>SP</v>
          </cell>
          <cell r="D3296">
            <v>2000</v>
          </cell>
          <cell r="E3296" t="str">
            <v>The Proctor &amp; Gamble Co</v>
          </cell>
          <cell r="F3296">
            <v>0</v>
          </cell>
          <cell r="G3296">
            <v>36668</v>
          </cell>
          <cell r="H3296" t="str">
            <v>SP</v>
          </cell>
          <cell r="I3296" t="str">
            <v>North America</v>
          </cell>
          <cell r="J3296" t="str">
            <v>USA</v>
          </cell>
          <cell r="K3296">
            <v>36341</v>
          </cell>
        </row>
        <row r="3297">
          <cell r="A3297" t="str">
            <v>In service</v>
          </cell>
          <cell r="B3297" t="str">
            <v>Gulfstream Aerospace Gulfstream IV</v>
          </cell>
          <cell r="C3297" t="str">
            <v>SP</v>
          </cell>
          <cell r="D3297">
            <v>1999</v>
          </cell>
          <cell r="E3297" t="str">
            <v>Penske Jet Inc</v>
          </cell>
          <cell r="F3297">
            <v>1</v>
          </cell>
          <cell r="G3297">
            <v>36430</v>
          </cell>
          <cell r="H3297" t="str">
            <v>SP</v>
          </cell>
          <cell r="I3297" t="str">
            <v>North America</v>
          </cell>
          <cell r="J3297" t="str">
            <v>USA</v>
          </cell>
          <cell r="K3297">
            <v>35976</v>
          </cell>
        </row>
        <row r="3298">
          <cell r="A3298" t="str">
            <v>In service</v>
          </cell>
          <cell r="B3298" t="str">
            <v>Gulfstream Aerospace Gulfstream IV</v>
          </cell>
          <cell r="C3298" t="str">
            <v>SP</v>
          </cell>
          <cell r="D3298">
            <v>1999</v>
          </cell>
          <cell r="E3298" t="str">
            <v>Netjets International</v>
          </cell>
          <cell r="F3298">
            <v>1</v>
          </cell>
          <cell r="G3298">
            <v>36516</v>
          </cell>
          <cell r="H3298" t="str">
            <v>SP</v>
          </cell>
          <cell r="I3298" t="str">
            <v>North America</v>
          </cell>
          <cell r="J3298" t="str">
            <v>USA</v>
          </cell>
          <cell r="K3298">
            <v>35521</v>
          </cell>
        </row>
        <row r="3299">
          <cell r="A3299" t="str">
            <v>In service</v>
          </cell>
          <cell r="B3299" t="str">
            <v>Gulfstream Aerospace Gulfstream IV</v>
          </cell>
          <cell r="C3299" t="str">
            <v>SP</v>
          </cell>
          <cell r="D3299">
            <v>2000</v>
          </cell>
          <cell r="E3299" t="str">
            <v>Palmarina Investments</v>
          </cell>
          <cell r="F3299">
            <v>0</v>
          </cell>
          <cell r="G3299">
            <v>36790</v>
          </cell>
          <cell r="H3299" t="str">
            <v>SP</v>
          </cell>
          <cell r="I3299" t="str">
            <v>Latin America and Caribbean</v>
          </cell>
          <cell r="J3299" t="str">
            <v>Bermuda</v>
          </cell>
          <cell r="K3299">
            <v>35976</v>
          </cell>
        </row>
        <row r="3300">
          <cell r="A3300" t="str">
            <v>In service</v>
          </cell>
          <cell r="B3300" t="str">
            <v>Gulfstream Aerospace Gulfstream IV</v>
          </cell>
          <cell r="C3300" t="str">
            <v>SP</v>
          </cell>
          <cell r="D3300">
            <v>2000</v>
          </cell>
          <cell r="E3300" t="str">
            <v>Friedkin Aviation/Gulf States Toyota/Friedkin Co</v>
          </cell>
          <cell r="F3300">
            <v>0</v>
          </cell>
          <cell r="G3300">
            <v>36630</v>
          </cell>
          <cell r="H3300" t="str">
            <v>SP</v>
          </cell>
          <cell r="I3300" t="str">
            <v>North America</v>
          </cell>
          <cell r="J3300" t="str">
            <v>USA</v>
          </cell>
          <cell r="K3300">
            <v>35611</v>
          </cell>
        </row>
        <row r="3301">
          <cell r="A3301" t="str">
            <v>In service</v>
          </cell>
          <cell r="B3301" t="str">
            <v>Gulfstream Aerospace Gulfstream IV</v>
          </cell>
          <cell r="C3301" t="str">
            <v>SP</v>
          </cell>
          <cell r="D3301">
            <v>2000</v>
          </cell>
          <cell r="E3301" t="str">
            <v>Honeywell Inc</v>
          </cell>
          <cell r="F3301">
            <v>0</v>
          </cell>
          <cell r="G3301">
            <v>36594</v>
          </cell>
          <cell r="H3301" t="str">
            <v>SP</v>
          </cell>
          <cell r="I3301" t="str">
            <v>North America</v>
          </cell>
          <cell r="J3301" t="str">
            <v>USA</v>
          </cell>
          <cell r="K3301">
            <v>35976</v>
          </cell>
        </row>
        <row r="3302">
          <cell r="A3302" t="str">
            <v>In service</v>
          </cell>
          <cell r="B3302" t="str">
            <v>Gulfstream Aerospace Gulfstream IV</v>
          </cell>
          <cell r="C3302" t="str">
            <v>SP</v>
          </cell>
          <cell r="D3302">
            <v>1999</v>
          </cell>
          <cell r="E3302" t="str">
            <v>Vivendi Universal</v>
          </cell>
          <cell r="F3302">
            <v>1</v>
          </cell>
          <cell r="G3302">
            <v>36433</v>
          </cell>
          <cell r="H3302" t="str">
            <v>SP</v>
          </cell>
          <cell r="I3302" t="str">
            <v>North America</v>
          </cell>
          <cell r="J3302" t="str">
            <v>USA</v>
          </cell>
          <cell r="K3302">
            <v>35976</v>
          </cell>
        </row>
        <row r="3303">
          <cell r="A3303" t="str">
            <v>In service</v>
          </cell>
          <cell r="B3303" t="str">
            <v>Gulfstream Aerospace Gulfstream IV</v>
          </cell>
          <cell r="C3303" t="str">
            <v>SP</v>
          </cell>
          <cell r="D3303">
            <v>2000</v>
          </cell>
          <cell r="E3303" t="str">
            <v>Netjets International</v>
          </cell>
          <cell r="F3303">
            <v>0</v>
          </cell>
          <cell r="G3303">
            <v>36580</v>
          </cell>
          <cell r="H3303" t="str">
            <v>SP</v>
          </cell>
          <cell r="I3303" t="str">
            <v>North America</v>
          </cell>
          <cell r="J3303" t="str">
            <v>USA</v>
          </cell>
          <cell r="K3303">
            <v>35521</v>
          </cell>
        </row>
        <row r="3304">
          <cell r="A3304" t="str">
            <v>In service</v>
          </cell>
          <cell r="B3304" t="str">
            <v>Gulfstream Aerospace Gulfstream IV</v>
          </cell>
          <cell r="C3304" t="str">
            <v>SP</v>
          </cell>
          <cell r="D3304">
            <v>2000</v>
          </cell>
          <cell r="E3304" t="str">
            <v>John M Moores</v>
          </cell>
          <cell r="F3304">
            <v>0</v>
          </cell>
          <cell r="G3304">
            <v>36649</v>
          </cell>
          <cell r="H3304" t="str">
            <v>SP</v>
          </cell>
          <cell r="I3304" t="str">
            <v>North America</v>
          </cell>
          <cell r="J3304" t="str">
            <v>USA</v>
          </cell>
          <cell r="K3304">
            <v>35976</v>
          </cell>
        </row>
        <row r="3305">
          <cell r="A3305" t="str">
            <v>In service</v>
          </cell>
          <cell r="B3305" t="str">
            <v>Gulfstream Aerospace Gulfstream IV</v>
          </cell>
          <cell r="C3305" t="str">
            <v>SP</v>
          </cell>
          <cell r="D3305">
            <v>1999</v>
          </cell>
          <cell r="E3305" t="str">
            <v>Gulfstream Aerospace Corp</v>
          </cell>
          <cell r="F3305">
            <v>1</v>
          </cell>
          <cell r="G3305">
            <v>36705</v>
          </cell>
          <cell r="H3305" t="str">
            <v>SP</v>
          </cell>
          <cell r="I3305" t="str">
            <v>North America</v>
          </cell>
          <cell r="J3305" t="str">
            <v>USA</v>
          </cell>
          <cell r="K3305">
            <v>35976</v>
          </cell>
        </row>
        <row r="3306">
          <cell r="A3306" t="str">
            <v>In service</v>
          </cell>
          <cell r="B3306" t="str">
            <v>Gulfstream Aerospace Gulfstream IV</v>
          </cell>
          <cell r="C3306" t="str">
            <v>SP</v>
          </cell>
          <cell r="D3306">
            <v>2000</v>
          </cell>
          <cell r="E3306" t="str">
            <v>Netjets International</v>
          </cell>
          <cell r="F3306">
            <v>0</v>
          </cell>
          <cell r="G3306">
            <v>36613</v>
          </cell>
          <cell r="H3306" t="str">
            <v>SP</v>
          </cell>
          <cell r="I3306" t="str">
            <v>North America</v>
          </cell>
          <cell r="J3306" t="str">
            <v>USA</v>
          </cell>
          <cell r="K3306">
            <v>36045</v>
          </cell>
        </row>
        <row r="3307">
          <cell r="A3307" t="str">
            <v>In service</v>
          </cell>
          <cell r="B3307" t="str">
            <v>Gulfstream Aerospace Gulfstream IV</v>
          </cell>
          <cell r="C3307" t="str">
            <v>SP</v>
          </cell>
          <cell r="D3307">
            <v>2000</v>
          </cell>
          <cell r="E3307" t="str">
            <v>United Air Group LLC</v>
          </cell>
          <cell r="F3307">
            <v>0</v>
          </cell>
          <cell r="G3307">
            <v>36706</v>
          </cell>
          <cell r="H3307" t="str">
            <v>SP</v>
          </cell>
          <cell r="I3307" t="str">
            <v>North America</v>
          </cell>
          <cell r="J3307" t="str">
            <v>USA</v>
          </cell>
          <cell r="K3307">
            <v>36341</v>
          </cell>
        </row>
        <row r="3308">
          <cell r="A3308" t="str">
            <v>In service</v>
          </cell>
          <cell r="B3308" t="str">
            <v>Gulfstream Aerospace Gulfstream IV</v>
          </cell>
          <cell r="C3308" t="str">
            <v>SP</v>
          </cell>
          <cell r="D3308">
            <v>2000</v>
          </cell>
          <cell r="E3308" t="str">
            <v>PPG Industries Properties LLC</v>
          </cell>
          <cell r="F3308">
            <v>0</v>
          </cell>
          <cell r="G3308">
            <v>36706</v>
          </cell>
          <cell r="H3308" t="str">
            <v>SP</v>
          </cell>
          <cell r="I3308" t="str">
            <v>North America</v>
          </cell>
          <cell r="J3308" t="str">
            <v>USA</v>
          </cell>
          <cell r="K3308">
            <v>36341</v>
          </cell>
        </row>
        <row r="3309">
          <cell r="A3309" t="str">
            <v>In service</v>
          </cell>
          <cell r="B3309" t="str">
            <v>Gulfstream Aerospace Gulfstream IV</v>
          </cell>
          <cell r="C3309" t="str">
            <v>SP</v>
          </cell>
          <cell r="D3309">
            <v>2000</v>
          </cell>
          <cell r="E3309" t="str">
            <v>Netjets International</v>
          </cell>
          <cell r="F3309">
            <v>0</v>
          </cell>
          <cell r="G3309">
            <v>36644</v>
          </cell>
          <cell r="H3309" t="str">
            <v>SP</v>
          </cell>
          <cell r="I3309" t="str">
            <v>North America</v>
          </cell>
          <cell r="J3309" t="str">
            <v>USA</v>
          </cell>
          <cell r="K3309">
            <v>36045</v>
          </cell>
        </row>
        <row r="3310">
          <cell r="A3310" t="str">
            <v>In service</v>
          </cell>
          <cell r="B3310" t="str">
            <v>Gulfstream Aerospace Gulfstream IV</v>
          </cell>
          <cell r="C3310" t="str">
            <v>SP</v>
          </cell>
          <cell r="D3310">
            <v>1999</v>
          </cell>
          <cell r="E3310" t="str">
            <v>Frontliner Inc</v>
          </cell>
          <cell r="F3310">
            <v>1</v>
          </cell>
          <cell r="G3310">
            <v>36497</v>
          </cell>
          <cell r="H3310" t="str">
            <v>SP</v>
          </cell>
          <cell r="I3310" t="str">
            <v>North America</v>
          </cell>
          <cell r="J3310" t="str">
            <v>USA</v>
          </cell>
          <cell r="K3310">
            <v>35976</v>
          </cell>
        </row>
        <row r="3311">
          <cell r="A3311" t="str">
            <v>In service</v>
          </cell>
          <cell r="B3311" t="str">
            <v>Gulfstream Aerospace Gulfstream IV</v>
          </cell>
          <cell r="C3311" t="str">
            <v>SP</v>
          </cell>
          <cell r="D3311">
            <v>2000</v>
          </cell>
          <cell r="E3311" t="str">
            <v>High Tech Aircraft Corp</v>
          </cell>
          <cell r="F3311">
            <v>0</v>
          </cell>
          <cell r="G3311">
            <v>36825</v>
          </cell>
          <cell r="H3311" t="str">
            <v>SP</v>
          </cell>
          <cell r="I3311" t="str">
            <v>North America</v>
          </cell>
          <cell r="J3311" t="str">
            <v>USA</v>
          </cell>
          <cell r="K3311">
            <v>36341</v>
          </cell>
        </row>
        <row r="3312">
          <cell r="A3312" t="str">
            <v>In service</v>
          </cell>
          <cell r="B3312" t="str">
            <v>Gulfstream Aerospace Gulfstream IV</v>
          </cell>
          <cell r="C3312" t="str">
            <v>SP</v>
          </cell>
          <cell r="D3312">
            <v>2000</v>
          </cell>
          <cell r="E3312" t="str">
            <v>Harmony Management Inc</v>
          </cell>
          <cell r="F3312">
            <v>0</v>
          </cell>
          <cell r="G3312">
            <v>36768</v>
          </cell>
          <cell r="H3312" t="str">
            <v>SP</v>
          </cell>
          <cell r="I3312" t="str">
            <v>North America</v>
          </cell>
          <cell r="J3312" t="str">
            <v>USA</v>
          </cell>
          <cell r="K3312">
            <v>36341</v>
          </cell>
        </row>
        <row r="3313">
          <cell r="A3313" t="str">
            <v>In service</v>
          </cell>
          <cell r="B3313" t="str">
            <v>Gulfstream Aerospace Gulfstream IV</v>
          </cell>
          <cell r="C3313" t="str">
            <v>SP</v>
          </cell>
          <cell r="D3313">
            <v>2000</v>
          </cell>
          <cell r="E3313" t="str">
            <v>Alcoa Aircraft Operations</v>
          </cell>
          <cell r="F3313">
            <v>0</v>
          </cell>
          <cell r="G3313">
            <v>36769</v>
          </cell>
          <cell r="H3313" t="str">
            <v>SP</v>
          </cell>
          <cell r="I3313" t="str">
            <v>North America</v>
          </cell>
          <cell r="J3313" t="str">
            <v>USA</v>
          </cell>
          <cell r="K3313">
            <v>36341</v>
          </cell>
        </row>
        <row r="3314">
          <cell r="A3314" t="str">
            <v>In service</v>
          </cell>
          <cell r="B3314" t="str">
            <v>Gulfstream Aerospace Gulfstream IV</v>
          </cell>
          <cell r="C3314" t="str">
            <v>SP</v>
          </cell>
          <cell r="D3314">
            <v>2000</v>
          </cell>
          <cell r="E3314" t="str">
            <v>Hutching Automotive Products Inc</v>
          </cell>
          <cell r="F3314">
            <v>0</v>
          </cell>
          <cell r="G3314">
            <v>36725</v>
          </cell>
          <cell r="H3314" t="str">
            <v>SP</v>
          </cell>
          <cell r="I3314" t="str">
            <v>North America</v>
          </cell>
          <cell r="J3314" t="str">
            <v>USA</v>
          </cell>
          <cell r="K3314">
            <v>36341</v>
          </cell>
        </row>
        <row r="3315">
          <cell r="A3315" t="str">
            <v>In service</v>
          </cell>
          <cell r="B3315" t="str">
            <v>Gulfstream Aerospace Gulfstream IV</v>
          </cell>
          <cell r="C3315" t="str">
            <v>SP</v>
          </cell>
          <cell r="D3315">
            <v>2000</v>
          </cell>
          <cell r="E3315" t="str">
            <v>Netjets International</v>
          </cell>
          <cell r="F3315">
            <v>0</v>
          </cell>
          <cell r="G3315">
            <v>36699</v>
          </cell>
          <cell r="H3315" t="str">
            <v>SP</v>
          </cell>
          <cell r="I3315" t="str">
            <v>North America</v>
          </cell>
          <cell r="J3315" t="str">
            <v>USA</v>
          </cell>
          <cell r="K3315">
            <v>36045</v>
          </cell>
        </row>
        <row r="3316">
          <cell r="A3316" t="str">
            <v>In service</v>
          </cell>
          <cell r="B3316" t="str">
            <v>Gulfstream Aerospace Gulfstream IV</v>
          </cell>
          <cell r="C3316" t="str">
            <v>SP</v>
          </cell>
          <cell r="D3316">
            <v>2000</v>
          </cell>
          <cell r="E3316" t="str">
            <v>Rim Air LLC</v>
          </cell>
          <cell r="F3316">
            <v>0</v>
          </cell>
          <cell r="G3316">
            <v>36843</v>
          </cell>
          <cell r="H3316" t="str">
            <v>SP</v>
          </cell>
          <cell r="I3316" t="str">
            <v>North America</v>
          </cell>
          <cell r="J3316" t="str">
            <v>USA</v>
          </cell>
          <cell r="K3316">
            <v>36045</v>
          </cell>
        </row>
        <row r="3317">
          <cell r="A3317" t="str">
            <v>In service</v>
          </cell>
          <cell r="B3317" t="str">
            <v>Gulfstream Aerospace Gulfstream IV</v>
          </cell>
          <cell r="C3317" t="str">
            <v>SP</v>
          </cell>
          <cell r="D3317">
            <v>2000</v>
          </cell>
          <cell r="E3317" t="str">
            <v>Masanori Honjo &amp; Teruko Honjo</v>
          </cell>
          <cell r="F3317">
            <v>0</v>
          </cell>
          <cell r="G3317">
            <v>36797</v>
          </cell>
          <cell r="H3317" t="str">
            <v>SP</v>
          </cell>
          <cell r="I3317" t="str">
            <v>North America</v>
          </cell>
          <cell r="J3317" t="str">
            <v>USA</v>
          </cell>
          <cell r="K3317">
            <v>36045</v>
          </cell>
        </row>
        <row r="3318">
          <cell r="A3318" t="str">
            <v>In service</v>
          </cell>
          <cell r="B3318" t="str">
            <v>Gulfstream Aerospace Gulfstream IV</v>
          </cell>
          <cell r="C3318" t="str">
            <v>SP</v>
          </cell>
          <cell r="D3318">
            <v>2000</v>
          </cell>
          <cell r="E3318" t="str">
            <v>Limited Service Corp</v>
          </cell>
          <cell r="F3318">
            <v>0</v>
          </cell>
          <cell r="G3318">
            <v>36889</v>
          </cell>
          <cell r="H3318" t="str">
            <v>SP</v>
          </cell>
          <cell r="I3318" t="str">
            <v>North America</v>
          </cell>
          <cell r="J3318" t="str">
            <v>USA</v>
          </cell>
          <cell r="K3318">
            <v>36341</v>
          </cell>
        </row>
        <row r="3319">
          <cell r="A3319" t="str">
            <v>In service</v>
          </cell>
          <cell r="B3319" t="str">
            <v>Gulfstream Aerospace Gulfstream IV</v>
          </cell>
          <cell r="C3319" t="str">
            <v>SP</v>
          </cell>
          <cell r="D3319">
            <v>2000</v>
          </cell>
          <cell r="E3319" t="str">
            <v>Altria Corporate Services Inc</v>
          </cell>
          <cell r="F3319">
            <v>0</v>
          </cell>
          <cell r="G3319">
            <v>36790</v>
          </cell>
          <cell r="H3319" t="str">
            <v>SP</v>
          </cell>
          <cell r="I3319" t="str">
            <v>North America</v>
          </cell>
          <cell r="J3319" t="str">
            <v>USA</v>
          </cell>
          <cell r="K3319">
            <v>36045</v>
          </cell>
        </row>
        <row r="3320">
          <cell r="A3320" t="str">
            <v>In service</v>
          </cell>
          <cell r="B3320" t="str">
            <v>Gulfstream Aerospace Gulfstream IV</v>
          </cell>
          <cell r="C3320" t="str">
            <v>SP</v>
          </cell>
          <cell r="D3320">
            <v>2000</v>
          </cell>
          <cell r="E3320" t="str">
            <v>Netjets International</v>
          </cell>
          <cell r="F3320">
            <v>0</v>
          </cell>
          <cell r="G3320">
            <v>36733</v>
          </cell>
          <cell r="H3320" t="str">
            <v>SP</v>
          </cell>
          <cell r="I3320" t="str">
            <v>North America</v>
          </cell>
          <cell r="J3320" t="str">
            <v>USA</v>
          </cell>
          <cell r="K3320">
            <v>36087</v>
          </cell>
        </row>
        <row r="3321">
          <cell r="A3321" t="str">
            <v>In service</v>
          </cell>
          <cell r="B3321" t="str">
            <v>Gulfstream Aerospace Gulfstream IV</v>
          </cell>
          <cell r="C3321" t="str">
            <v>SP</v>
          </cell>
          <cell r="D3321">
            <v>2000</v>
          </cell>
          <cell r="E3321" t="str">
            <v>H &amp; S Ventures LLC</v>
          </cell>
          <cell r="F3321">
            <v>0</v>
          </cell>
          <cell r="G3321">
            <v>36880</v>
          </cell>
          <cell r="H3321" t="str">
            <v>SP</v>
          </cell>
          <cell r="I3321" t="str">
            <v>North America</v>
          </cell>
          <cell r="J3321" t="str">
            <v>USA</v>
          </cell>
          <cell r="K3321">
            <v>35976</v>
          </cell>
        </row>
        <row r="3322">
          <cell r="A3322" t="str">
            <v>In service</v>
          </cell>
          <cell r="B3322" t="str">
            <v>Gulfstream Aerospace Gulfstream IV</v>
          </cell>
          <cell r="C3322" t="str">
            <v>SP</v>
          </cell>
          <cell r="D3322">
            <v>2000</v>
          </cell>
          <cell r="E3322" t="str">
            <v>Bright Flight Inc</v>
          </cell>
          <cell r="F3322">
            <v>0</v>
          </cell>
          <cell r="G3322">
            <v>36829</v>
          </cell>
          <cell r="H3322" t="str">
            <v>SP</v>
          </cell>
          <cell r="I3322" t="str">
            <v>North America</v>
          </cell>
          <cell r="J3322" t="str">
            <v>USA</v>
          </cell>
          <cell r="K3322">
            <v>35976</v>
          </cell>
        </row>
        <row r="3323">
          <cell r="A3323" t="str">
            <v>In service</v>
          </cell>
          <cell r="B3323" t="str">
            <v>Gulfstream Aerospace Gulfstream IV</v>
          </cell>
          <cell r="C3323" t="str">
            <v>SP</v>
          </cell>
          <cell r="D3323">
            <v>2000</v>
          </cell>
          <cell r="E3323" t="str">
            <v>Dennis Vanguard (Switchgear) Ltd</v>
          </cell>
          <cell r="F3323">
            <v>0</v>
          </cell>
          <cell r="G3323">
            <v>36840</v>
          </cell>
          <cell r="H3323" t="str">
            <v>SP</v>
          </cell>
          <cell r="I3323" t="str">
            <v>Europe</v>
          </cell>
          <cell r="J3323" t="str">
            <v>United Kingdom</v>
          </cell>
          <cell r="K3323">
            <v>35976</v>
          </cell>
        </row>
        <row r="3324">
          <cell r="A3324" t="str">
            <v>In service</v>
          </cell>
          <cell r="B3324" t="str">
            <v>Gulfstream Aerospace Gulfstream IV</v>
          </cell>
          <cell r="C3324" t="str">
            <v>SP</v>
          </cell>
          <cell r="D3324">
            <v>2000</v>
          </cell>
          <cell r="E3324" t="str">
            <v>Netjets International</v>
          </cell>
          <cell r="F3324">
            <v>0</v>
          </cell>
          <cell r="G3324">
            <v>36839</v>
          </cell>
          <cell r="H3324" t="str">
            <v>SP</v>
          </cell>
          <cell r="I3324" t="str">
            <v>North America</v>
          </cell>
          <cell r="J3324" t="str">
            <v>USA</v>
          </cell>
          <cell r="K3324">
            <v>36087</v>
          </cell>
        </row>
        <row r="3325">
          <cell r="A3325" t="str">
            <v>In service</v>
          </cell>
          <cell r="B3325" t="str">
            <v>Gulfstream Aerospace Gulfstream IV</v>
          </cell>
          <cell r="C3325" t="str">
            <v>SP</v>
          </cell>
          <cell r="D3325">
            <v>2000</v>
          </cell>
          <cell r="E3325" t="str">
            <v>Netjets International</v>
          </cell>
          <cell r="F3325">
            <v>0</v>
          </cell>
          <cell r="G3325">
            <v>36780</v>
          </cell>
          <cell r="H3325" t="str">
            <v>SP</v>
          </cell>
          <cell r="I3325" t="str">
            <v>North America</v>
          </cell>
          <cell r="J3325" t="str">
            <v>USA</v>
          </cell>
          <cell r="K3325">
            <v>36087</v>
          </cell>
        </row>
        <row r="3326">
          <cell r="A3326" t="str">
            <v>In service</v>
          </cell>
          <cell r="B3326" t="str">
            <v>Gulfstream Aerospace Gulfstream IV</v>
          </cell>
          <cell r="C3326" t="str">
            <v>SP</v>
          </cell>
          <cell r="D3326">
            <v>2000</v>
          </cell>
          <cell r="E3326" t="str">
            <v>EMC Corp</v>
          </cell>
          <cell r="F3326">
            <v>0</v>
          </cell>
          <cell r="G3326">
            <v>36838</v>
          </cell>
          <cell r="H3326" t="str">
            <v>SP</v>
          </cell>
          <cell r="I3326" t="str">
            <v>North America</v>
          </cell>
          <cell r="J3326" t="str">
            <v>USA</v>
          </cell>
          <cell r="K3326">
            <v>36341</v>
          </cell>
        </row>
        <row r="3327">
          <cell r="A3327" t="str">
            <v>In service</v>
          </cell>
          <cell r="B3327" t="str">
            <v>Gulfstream Aerospace Gulfstream IV</v>
          </cell>
          <cell r="C3327" t="str">
            <v>SP</v>
          </cell>
          <cell r="D3327">
            <v>2000</v>
          </cell>
          <cell r="E3327" t="str">
            <v>Taubman Enterprises Inc</v>
          </cell>
          <cell r="F3327">
            <v>0</v>
          </cell>
          <cell r="G3327">
            <v>36864</v>
          </cell>
          <cell r="H3327" t="str">
            <v>SP</v>
          </cell>
          <cell r="I3327" t="str">
            <v>North America</v>
          </cell>
          <cell r="J3327" t="str">
            <v>USA</v>
          </cell>
          <cell r="K3327">
            <v>35976</v>
          </cell>
        </row>
        <row r="3328">
          <cell r="A3328" t="str">
            <v>In service</v>
          </cell>
          <cell r="B3328" t="str">
            <v>Gulfstream Aerospace Gulfstream IV</v>
          </cell>
          <cell r="C3328" t="str">
            <v>SP</v>
          </cell>
          <cell r="D3328">
            <v>2000</v>
          </cell>
          <cell r="E3328" t="str">
            <v>Snowbird Aviation LLC</v>
          </cell>
          <cell r="F3328">
            <v>0</v>
          </cell>
          <cell r="G3328">
            <v>36669</v>
          </cell>
          <cell r="H3328" t="str">
            <v>SP</v>
          </cell>
          <cell r="I3328" t="str">
            <v>North America</v>
          </cell>
          <cell r="J3328" t="str">
            <v>USA</v>
          </cell>
          <cell r="K3328">
            <v>36341</v>
          </cell>
        </row>
        <row r="3329">
          <cell r="A3329" t="str">
            <v>In service</v>
          </cell>
          <cell r="B3329" t="str">
            <v>Gulfstream Aerospace Gulfstream IV</v>
          </cell>
          <cell r="C3329" t="str">
            <v>SP</v>
          </cell>
          <cell r="D3329">
            <v>2000</v>
          </cell>
          <cell r="E3329" t="str">
            <v>Government of Uganda</v>
          </cell>
          <cell r="F3329">
            <v>0</v>
          </cell>
          <cell r="G3329">
            <v>36878</v>
          </cell>
          <cell r="H3329" t="str">
            <v>SP</v>
          </cell>
          <cell r="I3329" t="str">
            <v>Africa</v>
          </cell>
          <cell r="J3329" t="str">
            <v>Uganda</v>
          </cell>
          <cell r="K3329">
            <v>36707</v>
          </cell>
        </row>
        <row r="3330">
          <cell r="A3330" t="str">
            <v>In service</v>
          </cell>
          <cell r="B3330" t="str">
            <v>Gulfstream Aerospace Gulfstream IV</v>
          </cell>
          <cell r="C3330" t="str">
            <v>SP</v>
          </cell>
          <cell r="D3330">
            <v>2000</v>
          </cell>
          <cell r="E3330" t="str">
            <v>General Electric Credit Corp of Tennessee</v>
          </cell>
          <cell r="F3330">
            <v>0</v>
          </cell>
          <cell r="G3330">
            <v>36881</v>
          </cell>
          <cell r="H3330" t="str">
            <v>SP</v>
          </cell>
          <cell r="I3330" t="str">
            <v>North America</v>
          </cell>
          <cell r="J3330" t="str">
            <v>USA</v>
          </cell>
          <cell r="K3330">
            <v>36341</v>
          </cell>
        </row>
        <row r="3331">
          <cell r="A3331" t="str">
            <v>In service</v>
          </cell>
          <cell r="B3331" t="str">
            <v>Gulfstream Aerospace Gulfstream IV</v>
          </cell>
          <cell r="C3331" t="str">
            <v>U-4</v>
          </cell>
          <cell r="D3331">
            <v>1995</v>
          </cell>
          <cell r="E3331" t="str">
            <v>Japanese Air Self Defence Force</v>
          </cell>
          <cell r="F3331">
            <v>5</v>
          </cell>
          <cell r="G3331">
            <v>35384</v>
          </cell>
          <cell r="H3331" t="str">
            <v>U-4</v>
          </cell>
          <cell r="I3331" t="str">
            <v>Asia</v>
          </cell>
          <cell r="J3331" t="str">
            <v>Japan</v>
          </cell>
          <cell r="K3331">
            <v>34880</v>
          </cell>
        </row>
        <row r="3332">
          <cell r="A3332" t="str">
            <v>In service</v>
          </cell>
          <cell r="B3332" t="str">
            <v>Gulfstream Aerospace Gulfstream IV</v>
          </cell>
          <cell r="C3332" t="str">
            <v>U-4</v>
          </cell>
          <cell r="D3332">
            <v>1995</v>
          </cell>
          <cell r="E3332" t="str">
            <v>Japanese Air Self Defence Force</v>
          </cell>
          <cell r="F3332">
            <v>5</v>
          </cell>
          <cell r="G3332">
            <v>35504</v>
          </cell>
          <cell r="H3332" t="str">
            <v>U-4</v>
          </cell>
          <cell r="I3332" t="str">
            <v>Asia</v>
          </cell>
          <cell r="J3332" t="str">
            <v>Japan</v>
          </cell>
          <cell r="K3332">
            <v>34880</v>
          </cell>
        </row>
        <row r="3333">
          <cell r="A3333" t="str">
            <v>In service</v>
          </cell>
          <cell r="B3333" t="str">
            <v>Gulfstream Aerospace Gulfstream IV</v>
          </cell>
          <cell r="C3333" t="str">
            <v>U-4</v>
          </cell>
          <cell r="D3333">
            <v>1997</v>
          </cell>
          <cell r="E3333" t="str">
            <v>Japanese Air Self Defence Force</v>
          </cell>
          <cell r="F3333">
            <v>3</v>
          </cell>
          <cell r="G3333">
            <v>35688</v>
          </cell>
          <cell r="H3333" t="str">
            <v>U-4</v>
          </cell>
          <cell r="I3333" t="str">
            <v>Asia</v>
          </cell>
          <cell r="J3333" t="str">
            <v>Japan</v>
          </cell>
          <cell r="K3333">
            <v>35246</v>
          </cell>
        </row>
        <row r="3334">
          <cell r="A3334" t="str">
            <v>In service</v>
          </cell>
          <cell r="B3334" t="str">
            <v>Gulfstream Aerospace Gulfstream IV</v>
          </cell>
          <cell r="C3334" t="str">
            <v>U-4</v>
          </cell>
          <cell r="D3334">
            <v>1999</v>
          </cell>
          <cell r="E3334" t="str">
            <v>Japanese Air Self Defence Force</v>
          </cell>
          <cell r="F3334">
            <v>1</v>
          </cell>
          <cell r="G3334">
            <v>36234</v>
          </cell>
          <cell r="H3334" t="str">
            <v>U-4</v>
          </cell>
          <cell r="I3334" t="str">
            <v>Asia</v>
          </cell>
          <cell r="J3334" t="str">
            <v>Japan</v>
          </cell>
          <cell r="K3334">
            <v>35611</v>
          </cell>
        </row>
        <row r="3335">
          <cell r="A3335" t="str">
            <v>In service</v>
          </cell>
          <cell r="B3335" t="str">
            <v>Gulfstream Aerospace Gulfstream IV</v>
          </cell>
          <cell r="C3335" t="str">
            <v>U-4</v>
          </cell>
          <cell r="D3335">
            <v>1999</v>
          </cell>
          <cell r="E3335" t="str">
            <v>Japanese Air Self Defence Force</v>
          </cell>
          <cell r="F3335">
            <v>1</v>
          </cell>
          <cell r="G3335">
            <v>36586</v>
          </cell>
          <cell r="H3335" t="str">
            <v>U-4</v>
          </cell>
          <cell r="I3335" t="str">
            <v>Asia</v>
          </cell>
          <cell r="J3335" t="str">
            <v>Japan</v>
          </cell>
          <cell r="K3335">
            <v>35976</v>
          </cell>
        </row>
        <row r="3336">
          <cell r="A3336" t="str">
            <v>In service</v>
          </cell>
          <cell r="B3336" t="str">
            <v>Gulfstream Aerospace Gulfstream V</v>
          </cell>
          <cell r="C3336" t="str">
            <v xml:space="preserve"> </v>
          </cell>
          <cell r="D3336">
            <v>1995</v>
          </cell>
          <cell r="E3336" t="str">
            <v>Ford Air Services LLC</v>
          </cell>
          <cell r="F3336">
            <v>5</v>
          </cell>
          <cell r="G3336">
            <v>35864</v>
          </cell>
          <cell r="I3336" t="str">
            <v>North America</v>
          </cell>
          <cell r="J3336" t="str">
            <v>USA</v>
          </cell>
        </row>
        <row r="3337">
          <cell r="A3337" t="str">
            <v>In service</v>
          </cell>
          <cell r="B3337" t="str">
            <v>Gulfstream Aerospace Gulfstream V</v>
          </cell>
          <cell r="C3337" t="str">
            <v xml:space="preserve"> </v>
          </cell>
          <cell r="D3337">
            <v>1996</v>
          </cell>
          <cell r="E3337" t="str">
            <v>Skyflight Leasing Ltd</v>
          </cell>
          <cell r="F3337">
            <v>4</v>
          </cell>
          <cell r="G3337">
            <v>36405</v>
          </cell>
          <cell r="I3337" t="str">
            <v>North America</v>
          </cell>
          <cell r="J3337" t="str">
            <v>USA</v>
          </cell>
        </row>
        <row r="3338">
          <cell r="A3338" t="str">
            <v>In service</v>
          </cell>
          <cell r="B3338" t="str">
            <v>Gulfstream Aerospace Gulfstream V</v>
          </cell>
          <cell r="C3338" t="str">
            <v xml:space="preserve"> </v>
          </cell>
          <cell r="D3338">
            <v>1996</v>
          </cell>
          <cell r="E3338" t="str">
            <v>FL Aviation Group Inc</v>
          </cell>
          <cell r="F3338">
            <v>4</v>
          </cell>
          <cell r="G3338">
            <v>35976</v>
          </cell>
          <cell r="I3338" t="str">
            <v>North America</v>
          </cell>
          <cell r="J3338" t="str">
            <v>USA</v>
          </cell>
        </row>
        <row r="3339">
          <cell r="A3339" t="str">
            <v>In service</v>
          </cell>
          <cell r="B3339" t="str">
            <v>Gulfstream Aerospace Gulfstream V</v>
          </cell>
          <cell r="C3339" t="str">
            <v xml:space="preserve"> </v>
          </cell>
          <cell r="D3339">
            <v>1996</v>
          </cell>
          <cell r="E3339" t="str">
            <v>Renco Group Inc</v>
          </cell>
          <cell r="F3339">
            <v>4</v>
          </cell>
          <cell r="G3339">
            <v>35685</v>
          </cell>
          <cell r="I3339" t="str">
            <v>North America</v>
          </cell>
          <cell r="J3339" t="str">
            <v>USA</v>
          </cell>
        </row>
        <row r="3340">
          <cell r="A3340" t="str">
            <v>In service</v>
          </cell>
          <cell r="B3340" t="str">
            <v>Gulfstream Aerospace Gulfstream V</v>
          </cell>
          <cell r="C3340" t="str">
            <v xml:space="preserve"> </v>
          </cell>
          <cell r="D3340">
            <v>1996</v>
          </cell>
          <cell r="E3340" t="str">
            <v>Westair Aviation</v>
          </cell>
          <cell r="F3340">
            <v>4</v>
          </cell>
          <cell r="G3340">
            <v>35756</v>
          </cell>
          <cell r="I3340" t="str">
            <v>Europe</v>
          </cell>
          <cell r="J3340" t="str">
            <v>Ireland</v>
          </cell>
        </row>
        <row r="3341">
          <cell r="A3341" t="str">
            <v>In service</v>
          </cell>
          <cell r="B3341" t="str">
            <v>Gulfstream Aerospace Gulfstream V</v>
          </cell>
          <cell r="C3341" t="str">
            <v xml:space="preserve"> </v>
          </cell>
          <cell r="D3341">
            <v>1997</v>
          </cell>
          <cell r="E3341" t="str">
            <v>Loma Negra CIASA</v>
          </cell>
          <cell r="F3341">
            <v>3</v>
          </cell>
          <cell r="G3341">
            <v>35648</v>
          </cell>
          <cell r="I3341" t="str">
            <v>Latin America and Caribbean</v>
          </cell>
          <cell r="J3341" t="str">
            <v>Argentina</v>
          </cell>
          <cell r="K3341">
            <v>35246</v>
          </cell>
        </row>
        <row r="3342">
          <cell r="A3342" t="str">
            <v>In service</v>
          </cell>
          <cell r="B3342" t="str">
            <v>Gulfstream Aerospace Gulfstream V</v>
          </cell>
          <cell r="C3342" t="str">
            <v xml:space="preserve"> </v>
          </cell>
          <cell r="D3342">
            <v>1997</v>
          </cell>
          <cell r="E3342" t="str">
            <v>JB Air Corp</v>
          </cell>
          <cell r="F3342">
            <v>3</v>
          </cell>
          <cell r="G3342">
            <v>35612</v>
          </cell>
          <cell r="I3342" t="str">
            <v>North America</v>
          </cell>
          <cell r="J3342" t="str">
            <v>USA</v>
          </cell>
          <cell r="K3342">
            <v>34880</v>
          </cell>
        </row>
        <row r="3343">
          <cell r="A3343" t="str">
            <v>In service</v>
          </cell>
          <cell r="B3343" t="str">
            <v>Gulfstream Aerospace Gulfstream V</v>
          </cell>
          <cell r="C3343" t="str">
            <v xml:space="preserve"> </v>
          </cell>
          <cell r="D3343">
            <v>1996</v>
          </cell>
          <cell r="E3343" t="str">
            <v>BancBoston Transport Leasing Inc</v>
          </cell>
          <cell r="F3343">
            <v>4</v>
          </cell>
          <cell r="G3343">
            <v>35461</v>
          </cell>
          <cell r="I3343" t="str">
            <v>North America</v>
          </cell>
          <cell r="J3343" t="str">
            <v>USA</v>
          </cell>
          <cell r="K3343">
            <v>34880</v>
          </cell>
        </row>
        <row r="3344">
          <cell r="A3344" t="str">
            <v>In service</v>
          </cell>
          <cell r="B3344" t="str">
            <v>Gulfstream Aerospace Gulfstream V</v>
          </cell>
          <cell r="C3344" t="str">
            <v xml:space="preserve"> </v>
          </cell>
          <cell r="D3344">
            <v>1997</v>
          </cell>
          <cell r="E3344" t="str">
            <v>Gulfstream Aerospace Corp</v>
          </cell>
          <cell r="F3344">
            <v>3</v>
          </cell>
          <cell r="G3344">
            <v>35476</v>
          </cell>
          <cell r="I3344" t="str">
            <v>North America</v>
          </cell>
          <cell r="J3344" t="str">
            <v>USA</v>
          </cell>
          <cell r="K3344">
            <v>35246</v>
          </cell>
        </row>
        <row r="3345">
          <cell r="A3345" t="str">
            <v>In service</v>
          </cell>
          <cell r="B3345" t="str">
            <v>Gulfstream Aerospace Gulfstream V</v>
          </cell>
          <cell r="C3345" t="str">
            <v xml:space="preserve"> </v>
          </cell>
          <cell r="D3345">
            <v>1997</v>
          </cell>
          <cell r="E3345" t="str">
            <v>BMW Flugdienst</v>
          </cell>
          <cell r="F3345">
            <v>3</v>
          </cell>
          <cell r="G3345">
            <v>35802</v>
          </cell>
          <cell r="I3345" t="str">
            <v>Europe</v>
          </cell>
          <cell r="J3345" t="str">
            <v>Germany</v>
          </cell>
          <cell r="K3345">
            <v>35246</v>
          </cell>
        </row>
        <row r="3346">
          <cell r="A3346" t="str">
            <v>In service</v>
          </cell>
          <cell r="B3346" t="str">
            <v>Gulfstream Aerospace Gulfstream V</v>
          </cell>
          <cell r="C3346" t="str">
            <v xml:space="preserve"> </v>
          </cell>
          <cell r="D3346">
            <v>1997</v>
          </cell>
          <cell r="E3346" t="str">
            <v>Rolls-Royce</v>
          </cell>
          <cell r="F3346">
            <v>3</v>
          </cell>
          <cell r="G3346">
            <v>35749</v>
          </cell>
          <cell r="I3346" t="str">
            <v>Europe</v>
          </cell>
          <cell r="J3346" t="str">
            <v>United Kingdom</v>
          </cell>
          <cell r="K3346">
            <v>34880</v>
          </cell>
        </row>
        <row r="3347">
          <cell r="A3347" t="str">
            <v>In service</v>
          </cell>
          <cell r="B3347" t="str">
            <v>Gulfstream Aerospace Gulfstream V</v>
          </cell>
          <cell r="C3347" t="str">
            <v xml:space="preserve"> </v>
          </cell>
          <cell r="D3347">
            <v>1997</v>
          </cell>
          <cell r="E3347" t="str">
            <v>Ropa Two Corp</v>
          </cell>
          <cell r="F3347">
            <v>3</v>
          </cell>
          <cell r="G3347">
            <v>35515</v>
          </cell>
          <cell r="I3347" t="str">
            <v>North America</v>
          </cell>
          <cell r="J3347" t="str">
            <v>USA</v>
          </cell>
          <cell r="K3347">
            <v>34880</v>
          </cell>
        </row>
        <row r="3348">
          <cell r="A3348" t="str">
            <v>In service</v>
          </cell>
          <cell r="B3348" t="str">
            <v>Gulfstream Aerospace Gulfstream V</v>
          </cell>
          <cell r="C3348" t="str">
            <v xml:space="preserve"> </v>
          </cell>
          <cell r="D3348">
            <v>1997</v>
          </cell>
          <cell r="E3348" t="str">
            <v>Jet Aviation Business Jets</v>
          </cell>
          <cell r="F3348">
            <v>3</v>
          </cell>
          <cell r="G3348">
            <v>35587</v>
          </cell>
          <cell r="I3348" t="str">
            <v>Europe</v>
          </cell>
          <cell r="J3348" t="str">
            <v>Switzerland</v>
          </cell>
          <cell r="K3348">
            <v>35246</v>
          </cell>
        </row>
        <row r="3349">
          <cell r="A3349" t="str">
            <v>In service</v>
          </cell>
          <cell r="B3349" t="str">
            <v>Gulfstream Aerospace Gulfstream V</v>
          </cell>
          <cell r="C3349" t="str">
            <v xml:space="preserve"> </v>
          </cell>
          <cell r="D3349">
            <v>1997</v>
          </cell>
          <cell r="E3349" t="str">
            <v>Ford Motor Co</v>
          </cell>
          <cell r="F3349">
            <v>3</v>
          </cell>
          <cell r="G3349">
            <v>35565</v>
          </cell>
          <cell r="I3349" t="str">
            <v>North America</v>
          </cell>
          <cell r="J3349" t="str">
            <v>USA</v>
          </cell>
          <cell r="K3349">
            <v>35246</v>
          </cell>
        </row>
        <row r="3350">
          <cell r="A3350" t="str">
            <v>In service</v>
          </cell>
          <cell r="B3350" t="str">
            <v>Gulfstream Aerospace Gulfstream V</v>
          </cell>
          <cell r="C3350" t="str">
            <v xml:space="preserve"> </v>
          </cell>
          <cell r="D3350">
            <v>1997</v>
          </cell>
          <cell r="E3350" t="str">
            <v>Government of Brunei</v>
          </cell>
          <cell r="F3350">
            <v>3</v>
          </cell>
          <cell r="G3350">
            <v>35688</v>
          </cell>
          <cell r="I3350" t="str">
            <v>Asia</v>
          </cell>
          <cell r="J3350" t="str">
            <v>Brunei</v>
          </cell>
          <cell r="K3350">
            <v>35246</v>
          </cell>
        </row>
        <row r="3351">
          <cell r="A3351" t="str">
            <v>In service</v>
          </cell>
          <cell r="B3351" t="str">
            <v>Gulfstream Aerospace Gulfstream V</v>
          </cell>
          <cell r="C3351" t="str">
            <v xml:space="preserve"> </v>
          </cell>
          <cell r="D3351">
            <v>1997</v>
          </cell>
          <cell r="E3351" t="str">
            <v>Bank of America Special Assets Corp</v>
          </cell>
          <cell r="F3351">
            <v>3</v>
          </cell>
          <cell r="G3351">
            <v>35611</v>
          </cell>
          <cell r="I3351" t="str">
            <v>North America</v>
          </cell>
          <cell r="J3351" t="str">
            <v>USA</v>
          </cell>
          <cell r="K3351">
            <v>34880</v>
          </cell>
        </row>
        <row r="3352">
          <cell r="A3352" t="str">
            <v>In service</v>
          </cell>
          <cell r="B3352" t="str">
            <v>Gulfstream Aerospace Gulfstream V</v>
          </cell>
          <cell r="C3352" t="str">
            <v xml:space="preserve"> </v>
          </cell>
          <cell r="D3352">
            <v>1997</v>
          </cell>
          <cell r="E3352" t="str">
            <v>G5 Executive</v>
          </cell>
          <cell r="F3352">
            <v>3</v>
          </cell>
          <cell r="G3352">
            <v>35657</v>
          </cell>
          <cell r="I3352" t="str">
            <v>Europe</v>
          </cell>
          <cell r="J3352" t="str">
            <v>Switzerland</v>
          </cell>
          <cell r="K3352">
            <v>34880</v>
          </cell>
        </row>
        <row r="3353">
          <cell r="A3353" t="str">
            <v>In service</v>
          </cell>
          <cell r="B3353" t="str">
            <v>Gulfstream Aerospace Gulfstream V</v>
          </cell>
          <cell r="C3353" t="str">
            <v xml:space="preserve"> </v>
          </cell>
          <cell r="D3353">
            <v>1997</v>
          </cell>
          <cell r="E3353" t="str">
            <v>Gulfstream Aerospace Corp</v>
          </cell>
          <cell r="F3353">
            <v>3</v>
          </cell>
          <cell r="G3353">
            <v>35991</v>
          </cell>
          <cell r="I3353" t="str">
            <v>North America</v>
          </cell>
          <cell r="J3353" t="str">
            <v>USA</v>
          </cell>
          <cell r="K3353">
            <v>35246</v>
          </cell>
        </row>
        <row r="3354">
          <cell r="A3354" t="str">
            <v>In service</v>
          </cell>
          <cell r="B3354" t="str">
            <v>Gulfstream Aerospace Gulfstream V</v>
          </cell>
          <cell r="C3354" t="str">
            <v xml:space="preserve"> </v>
          </cell>
          <cell r="D3354">
            <v>1997</v>
          </cell>
          <cell r="E3354" t="str">
            <v>Trans World Oil</v>
          </cell>
          <cell r="F3354">
            <v>3</v>
          </cell>
          <cell r="G3354">
            <v>35836</v>
          </cell>
          <cell r="I3354" t="str">
            <v>Latin America and Caribbean</v>
          </cell>
          <cell r="J3354" t="str">
            <v>Cayman Islands</v>
          </cell>
          <cell r="K3354">
            <v>35246</v>
          </cell>
        </row>
        <row r="3355">
          <cell r="A3355" t="str">
            <v>In service</v>
          </cell>
          <cell r="B3355" t="str">
            <v>Gulfstream Aerospace Gulfstream V</v>
          </cell>
          <cell r="C3355" t="str">
            <v xml:space="preserve"> </v>
          </cell>
          <cell r="D3355">
            <v>1998</v>
          </cell>
          <cell r="E3355" t="str">
            <v>Wing and A Prayer Inc</v>
          </cell>
          <cell r="F3355">
            <v>2</v>
          </cell>
          <cell r="G3355">
            <v>35872</v>
          </cell>
          <cell r="I3355" t="str">
            <v>North America</v>
          </cell>
          <cell r="J3355" t="str">
            <v>USA</v>
          </cell>
          <cell r="K3355">
            <v>35246</v>
          </cell>
        </row>
        <row r="3356">
          <cell r="A3356" t="str">
            <v>In service</v>
          </cell>
          <cell r="B3356" t="str">
            <v>Gulfstream Aerospace Gulfstream V</v>
          </cell>
          <cell r="C3356" t="str">
            <v xml:space="preserve"> </v>
          </cell>
          <cell r="D3356">
            <v>1998</v>
          </cell>
          <cell r="E3356" t="str">
            <v>US Air Force</v>
          </cell>
          <cell r="F3356">
            <v>2</v>
          </cell>
          <cell r="G3356">
            <v>36082</v>
          </cell>
          <cell r="H3356" t="str">
            <v>C-37A</v>
          </cell>
          <cell r="I3356" t="str">
            <v>North America</v>
          </cell>
          <cell r="J3356" t="str">
            <v>USA</v>
          </cell>
          <cell r="K3356">
            <v>35559</v>
          </cell>
        </row>
        <row r="3357">
          <cell r="A3357" t="str">
            <v>In service</v>
          </cell>
          <cell r="B3357" t="str">
            <v>Gulfstream Aerospace Gulfstream V</v>
          </cell>
          <cell r="C3357" t="str">
            <v xml:space="preserve"> </v>
          </cell>
          <cell r="D3357">
            <v>1998</v>
          </cell>
          <cell r="E3357" t="str">
            <v>Hubbard Broadcasting Inc</v>
          </cell>
          <cell r="F3357">
            <v>2</v>
          </cell>
          <cell r="G3357">
            <v>35905</v>
          </cell>
          <cell r="I3357" t="str">
            <v>North America</v>
          </cell>
          <cell r="J3357" t="str">
            <v>USA</v>
          </cell>
          <cell r="K3357">
            <v>34880</v>
          </cell>
        </row>
        <row r="3358">
          <cell r="A3358" t="str">
            <v>In service</v>
          </cell>
          <cell r="B3358" t="str">
            <v>Gulfstream Aerospace Gulfstream V</v>
          </cell>
          <cell r="C3358" t="str">
            <v xml:space="preserve"> </v>
          </cell>
          <cell r="D3358">
            <v>1997</v>
          </cell>
          <cell r="E3358" t="str">
            <v>McLeodUSA &amp; C&amp;M Consulting LLC</v>
          </cell>
          <cell r="F3358">
            <v>3</v>
          </cell>
          <cell r="G3358">
            <v>36342</v>
          </cell>
          <cell r="I3358" t="str">
            <v>North America</v>
          </cell>
          <cell r="J3358" t="str">
            <v>USA</v>
          </cell>
          <cell r="K3358">
            <v>35246</v>
          </cell>
        </row>
        <row r="3359">
          <cell r="A3359" t="str">
            <v>In service</v>
          </cell>
          <cell r="B3359" t="str">
            <v>Gulfstream Aerospace Gulfstream V</v>
          </cell>
          <cell r="C3359" t="str">
            <v xml:space="preserve"> </v>
          </cell>
          <cell r="D3359">
            <v>1997</v>
          </cell>
          <cell r="E3359" t="str">
            <v>Deere &amp; Co</v>
          </cell>
          <cell r="F3359">
            <v>3</v>
          </cell>
          <cell r="G3359">
            <v>35668</v>
          </cell>
          <cell r="I3359" t="str">
            <v>North America</v>
          </cell>
          <cell r="J3359" t="str">
            <v>USA</v>
          </cell>
          <cell r="K3359">
            <v>35246</v>
          </cell>
        </row>
        <row r="3360">
          <cell r="A3360" t="str">
            <v>In service</v>
          </cell>
          <cell r="B3360" t="str">
            <v>Gulfstream Aerospace Gulfstream V</v>
          </cell>
          <cell r="C3360" t="str">
            <v xml:space="preserve"> </v>
          </cell>
          <cell r="D3360">
            <v>1997</v>
          </cell>
          <cell r="E3360" t="str">
            <v>Jefferson Smurfit Corp</v>
          </cell>
          <cell r="F3360">
            <v>3</v>
          </cell>
          <cell r="G3360">
            <v>35697</v>
          </cell>
          <cell r="I3360" t="str">
            <v>North America</v>
          </cell>
          <cell r="J3360" t="str">
            <v>USA</v>
          </cell>
          <cell r="K3360">
            <v>35246</v>
          </cell>
        </row>
        <row r="3361">
          <cell r="A3361" t="str">
            <v>In service</v>
          </cell>
          <cell r="B3361" t="str">
            <v>Gulfstream Aerospace Gulfstream V</v>
          </cell>
          <cell r="C3361" t="str">
            <v xml:space="preserve"> </v>
          </cell>
          <cell r="D3361">
            <v>1998</v>
          </cell>
          <cell r="E3361" t="str">
            <v>The Coca-Cola Co</v>
          </cell>
          <cell r="F3361">
            <v>2</v>
          </cell>
          <cell r="G3361">
            <v>36031</v>
          </cell>
          <cell r="I3361" t="str">
            <v>North America</v>
          </cell>
          <cell r="J3361" t="str">
            <v>USA</v>
          </cell>
          <cell r="K3361">
            <v>35246</v>
          </cell>
        </row>
        <row r="3362">
          <cell r="A3362" t="str">
            <v>In service</v>
          </cell>
          <cell r="B3362" t="str">
            <v>Gulfstream Aerospace Gulfstream V</v>
          </cell>
          <cell r="C3362" t="str">
            <v xml:space="preserve"> </v>
          </cell>
          <cell r="D3362">
            <v>1998</v>
          </cell>
          <cell r="E3362" t="str">
            <v>Wekel SA</v>
          </cell>
          <cell r="F3362">
            <v>2</v>
          </cell>
          <cell r="G3362">
            <v>36068</v>
          </cell>
          <cell r="I3362" t="str">
            <v>Latin America and Caribbean</v>
          </cell>
          <cell r="J3362" t="str">
            <v>Colombia</v>
          </cell>
          <cell r="K3362">
            <v>35246</v>
          </cell>
        </row>
        <row r="3363">
          <cell r="A3363" t="str">
            <v>In service</v>
          </cell>
          <cell r="B3363" t="str">
            <v>Gulfstream Aerospace Gulfstream V</v>
          </cell>
          <cell r="C3363" t="str">
            <v xml:space="preserve"> </v>
          </cell>
          <cell r="D3363">
            <v>1997</v>
          </cell>
          <cell r="E3363" t="str">
            <v>Consortium of AOL Time Warner Companies</v>
          </cell>
          <cell r="F3363">
            <v>3</v>
          </cell>
          <cell r="G3363">
            <v>35969</v>
          </cell>
          <cell r="I3363" t="str">
            <v>North America</v>
          </cell>
          <cell r="J3363" t="str">
            <v>USA</v>
          </cell>
          <cell r="K3363">
            <v>35246</v>
          </cell>
        </row>
        <row r="3364">
          <cell r="A3364" t="str">
            <v>In service</v>
          </cell>
          <cell r="B3364" t="str">
            <v>Gulfstream Aerospace Gulfstream V</v>
          </cell>
          <cell r="C3364" t="str">
            <v xml:space="preserve"> </v>
          </cell>
          <cell r="D3364">
            <v>1997</v>
          </cell>
          <cell r="E3364" t="str">
            <v>Consortium of AOL Time Warner Companies</v>
          </cell>
          <cell r="F3364">
            <v>3</v>
          </cell>
          <cell r="G3364">
            <v>35969</v>
          </cell>
          <cell r="I3364" t="str">
            <v>North America</v>
          </cell>
          <cell r="J3364" t="str">
            <v>USA</v>
          </cell>
          <cell r="K3364">
            <v>35246</v>
          </cell>
        </row>
        <row r="3365">
          <cell r="A3365" t="str">
            <v>In service</v>
          </cell>
          <cell r="B3365" t="str">
            <v>Gulfstream Aerospace Gulfstream V</v>
          </cell>
          <cell r="C3365" t="str">
            <v xml:space="preserve"> </v>
          </cell>
          <cell r="D3365">
            <v>1998</v>
          </cell>
          <cell r="E3365" t="str">
            <v>IBM Corp</v>
          </cell>
          <cell r="F3365">
            <v>2</v>
          </cell>
          <cell r="G3365">
            <v>36062</v>
          </cell>
          <cell r="I3365" t="str">
            <v>North America</v>
          </cell>
          <cell r="J3365" t="str">
            <v>USA</v>
          </cell>
          <cell r="K3365">
            <v>35246</v>
          </cell>
        </row>
        <row r="3366">
          <cell r="A3366" t="str">
            <v>In service</v>
          </cell>
          <cell r="B3366" t="str">
            <v>Gulfstream Aerospace Gulfstream V</v>
          </cell>
          <cell r="C3366" t="str">
            <v xml:space="preserve"> </v>
          </cell>
          <cell r="D3366">
            <v>1997</v>
          </cell>
          <cell r="E3366" t="str">
            <v>The Air Group Inc</v>
          </cell>
          <cell r="F3366">
            <v>3</v>
          </cell>
          <cell r="G3366">
            <v>35741</v>
          </cell>
          <cell r="I3366" t="str">
            <v>North America</v>
          </cell>
          <cell r="J3366" t="str">
            <v>USA</v>
          </cell>
          <cell r="K3366">
            <v>35246</v>
          </cell>
        </row>
        <row r="3367">
          <cell r="A3367" t="str">
            <v>In service</v>
          </cell>
          <cell r="B3367" t="str">
            <v>Gulfstream Aerospace Gulfstream V</v>
          </cell>
          <cell r="C3367" t="str">
            <v xml:space="preserve"> </v>
          </cell>
          <cell r="D3367">
            <v>1997</v>
          </cell>
          <cell r="E3367" t="str">
            <v>North Carolina Air &amp; Travel LLC</v>
          </cell>
          <cell r="F3367">
            <v>3</v>
          </cell>
          <cell r="G3367">
            <v>35759</v>
          </cell>
          <cell r="I3367" t="str">
            <v>North America</v>
          </cell>
          <cell r="J3367" t="str">
            <v>USA</v>
          </cell>
          <cell r="K3367">
            <v>35246</v>
          </cell>
        </row>
        <row r="3368">
          <cell r="A3368" t="str">
            <v>In service</v>
          </cell>
          <cell r="B3368" t="str">
            <v>Gulfstream Aerospace Gulfstream V</v>
          </cell>
          <cell r="C3368" t="str">
            <v xml:space="preserve"> </v>
          </cell>
          <cell r="D3368">
            <v>1997</v>
          </cell>
          <cell r="E3368" t="str">
            <v>Commander Mexicana SA de CV</v>
          </cell>
          <cell r="F3368">
            <v>3</v>
          </cell>
          <cell r="G3368">
            <v>35807</v>
          </cell>
          <cell r="I3368" t="str">
            <v>Latin America and Caribbean</v>
          </cell>
          <cell r="J3368" t="str">
            <v>Mexico</v>
          </cell>
          <cell r="K3368">
            <v>35246</v>
          </cell>
        </row>
        <row r="3369">
          <cell r="A3369" t="str">
            <v>In service</v>
          </cell>
          <cell r="B3369" t="str">
            <v>Gulfstream Aerospace Gulfstream V</v>
          </cell>
          <cell r="C3369" t="str">
            <v xml:space="preserve"> </v>
          </cell>
          <cell r="D3369">
            <v>1998</v>
          </cell>
          <cell r="E3369" t="str">
            <v>Automotive Air Charter</v>
          </cell>
          <cell r="F3369">
            <v>2</v>
          </cell>
          <cell r="G3369">
            <v>36076</v>
          </cell>
          <cell r="I3369" t="str">
            <v>North America</v>
          </cell>
          <cell r="J3369" t="str">
            <v>USA</v>
          </cell>
          <cell r="K3369">
            <v>35611</v>
          </cell>
        </row>
        <row r="3370">
          <cell r="A3370" t="str">
            <v>In service</v>
          </cell>
          <cell r="B3370" t="str">
            <v>Gulfstream Aerospace Gulfstream V</v>
          </cell>
          <cell r="C3370" t="str">
            <v xml:space="preserve"> </v>
          </cell>
          <cell r="D3370">
            <v>1997</v>
          </cell>
          <cell r="E3370" t="str">
            <v>Vivendi Universal</v>
          </cell>
          <cell r="F3370">
            <v>3</v>
          </cell>
          <cell r="G3370">
            <v>35804</v>
          </cell>
          <cell r="I3370" t="str">
            <v>North America</v>
          </cell>
          <cell r="J3370" t="str">
            <v>USA</v>
          </cell>
          <cell r="K3370">
            <v>35246</v>
          </cell>
        </row>
        <row r="3371">
          <cell r="A3371" t="str">
            <v>In service</v>
          </cell>
          <cell r="B3371" t="str">
            <v>Gulfstream Aerospace Gulfstream V</v>
          </cell>
          <cell r="C3371" t="str">
            <v xml:space="preserve"> </v>
          </cell>
          <cell r="D3371">
            <v>1998</v>
          </cell>
          <cell r="E3371" t="str">
            <v>United Healthcare Services Inc</v>
          </cell>
          <cell r="F3371">
            <v>2</v>
          </cell>
          <cell r="G3371">
            <v>35830</v>
          </cell>
          <cell r="I3371" t="str">
            <v>North America</v>
          </cell>
          <cell r="J3371" t="str">
            <v>USA</v>
          </cell>
          <cell r="K3371">
            <v>35246</v>
          </cell>
        </row>
        <row r="3372">
          <cell r="A3372" t="str">
            <v>In service</v>
          </cell>
          <cell r="B3372" t="str">
            <v>Gulfstream Aerospace Gulfstream V</v>
          </cell>
          <cell r="C3372" t="str">
            <v xml:space="preserve"> </v>
          </cell>
          <cell r="D3372">
            <v>1999</v>
          </cell>
          <cell r="E3372" t="str">
            <v>Helicol</v>
          </cell>
          <cell r="F3372">
            <v>1</v>
          </cell>
          <cell r="G3372">
            <v>36234</v>
          </cell>
          <cell r="I3372" t="str">
            <v>Latin America and Caribbean</v>
          </cell>
          <cell r="J3372" t="str">
            <v>Colombia</v>
          </cell>
          <cell r="K3372">
            <v>35611</v>
          </cell>
        </row>
        <row r="3373">
          <cell r="A3373" t="str">
            <v>In service</v>
          </cell>
          <cell r="B3373" t="str">
            <v>Gulfstream Aerospace Gulfstream V</v>
          </cell>
          <cell r="C3373" t="str">
            <v xml:space="preserve"> </v>
          </cell>
          <cell r="D3373">
            <v>1998</v>
          </cell>
          <cell r="E3373" t="str">
            <v>Open Road Airways Inc</v>
          </cell>
          <cell r="F3373">
            <v>2</v>
          </cell>
          <cell r="G3373">
            <v>35845</v>
          </cell>
          <cell r="I3373" t="str">
            <v>North America</v>
          </cell>
          <cell r="J3373" t="str">
            <v>USA</v>
          </cell>
          <cell r="K3373">
            <v>35611</v>
          </cell>
        </row>
        <row r="3374">
          <cell r="A3374" t="str">
            <v>In service</v>
          </cell>
          <cell r="B3374" t="str">
            <v>Gulfstream Aerospace Gulfstream V</v>
          </cell>
          <cell r="C3374" t="str">
            <v xml:space="preserve"> </v>
          </cell>
          <cell r="D3374">
            <v>1998</v>
          </cell>
          <cell r="E3374" t="str">
            <v>Flight Management LLC</v>
          </cell>
          <cell r="F3374">
            <v>2</v>
          </cell>
          <cell r="G3374">
            <v>36307</v>
          </cell>
          <cell r="I3374" t="str">
            <v>North America</v>
          </cell>
          <cell r="J3374" t="str">
            <v>USA</v>
          </cell>
          <cell r="K3374">
            <v>35611</v>
          </cell>
        </row>
        <row r="3375">
          <cell r="A3375" t="str">
            <v>In service</v>
          </cell>
          <cell r="B3375" t="str">
            <v>Gulfstream Aerospace Gulfstream V</v>
          </cell>
          <cell r="C3375" t="str">
            <v xml:space="preserve"> </v>
          </cell>
          <cell r="D3375">
            <v>1998</v>
          </cell>
          <cell r="E3375" t="str">
            <v>Organizacion Editorial Mexicana SA de CV</v>
          </cell>
          <cell r="F3375">
            <v>2</v>
          </cell>
          <cell r="G3375">
            <v>36265</v>
          </cell>
          <cell r="I3375" t="str">
            <v>Latin America and Caribbean</v>
          </cell>
          <cell r="J3375" t="str">
            <v>Mexico</v>
          </cell>
          <cell r="K3375">
            <v>35246</v>
          </cell>
        </row>
        <row r="3376">
          <cell r="A3376" t="str">
            <v>In service</v>
          </cell>
          <cell r="B3376" t="str">
            <v>Gulfstream Aerospace Gulfstream V</v>
          </cell>
          <cell r="C3376" t="str">
            <v xml:space="preserve"> </v>
          </cell>
          <cell r="D3376">
            <v>1999</v>
          </cell>
          <cell r="E3376" t="str">
            <v>Lockheed Martin Corp</v>
          </cell>
          <cell r="F3376">
            <v>1</v>
          </cell>
          <cell r="G3376">
            <v>36266</v>
          </cell>
          <cell r="I3376" t="str">
            <v>North America</v>
          </cell>
          <cell r="J3376" t="str">
            <v>USA</v>
          </cell>
          <cell r="K3376">
            <v>35611</v>
          </cell>
        </row>
        <row r="3377">
          <cell r="A3377" t="str">
            <v>In service</v>
          </cell>
          <cell r="B3377" t="str">
            <v>Gulfstream Aerospace Gulfstream V</v>
          </cell>
          <cell r="C3377" t="str">
            <v xml:space="preserve"> </v>
          </cell>
          <cell r="D3377">
            <v>1998</v>
          </cell>
          <cell r="E3377" t="str">
            <v>US Air Force</v>
          </cell>
          <cell r="F3377">
            <v>2</v>
          </cell>
          <cell r="G3377">
            <v>36175</v>
          </cell>
          <cell r="H3377" t="str">
            <v>C-37A</v>
          </cell>
          <cell r="I3377" t="str">
            <v>North America</v>
          </cell>
          <cell r="J3377" t="str">
            <v>USA</v>
          </cell>
          <cell r="K3377">
            <v>35559</v>
          </cell>
        </row>
        <row r="3378">
          <cell r="A3378" t="str">
            <v>In service</v>
          </cell>
          <cell r="B3378" t="str">
            <v>Gulfstream Aerospace Gulfstream V</v>
          </cell>
          <cell r="C3378" t="str">
            <v xml:space="preserve"> </v>
          </cell>
          <cell r="D3378">
            <v>1998</v>
          </cell>
          <cell r="E3378" t="str">
            <v>Foreign Manufacturers Finance Corp</v>
          </cell>
          <cell r="F3378">
            <v>2</v>
          </cell>
          <cell r="G3378">
            <v>35928</v>
          </cell>
          <cell r="I3378" t="str">
            <v>North America</v>
          </cell>
          <cell r="J3378" t="str">
            <v>USA</v>
          </cell>
          <cell r="K3378">
            <v>35611</v>
          </cell>
        </row>
        <row r="3379">
          <cell r="A3379" t="str">
            <v>In service</v>
          </cell>
          <cell r="B3379" t="str">
            <v>Gulfstream Aerospace Gulfstream V</v>
          </cell>
          <cell r="C3379" t="str">
            <v xml:space="preserve"> </v>
          </cell>
          <cell r="D3379">
            <v>1998</v>
          </cell>
          <cell r="E3379" t="str">
            <v>Automotive Air Charter</v>
          </cell>
          <cell r="F3379">
            <v>2</v>
          </cell>
          <cell r="G3379">
            <v>35921</v>
          </cell>
          <cell r="I3379" t="str">
            <v>North America</v>
          </cell>
          <cell r="J3379" t="str">
            <v>USA</v>
          </cell>
          <cell r="K3379">
            <v>35246</v>
          </cell>
        </row>
        <row r="3380">
          <cell r="A3380" t="str">
            <v>In service</v>
          </cell>
          <cell r="B3380" t="str">
            <v>Gulfstream Aerospace Gulfstream V</v>
          </cell>
          <cell r="C3380" t="str">
            <v xml:space="preserve"> </v>
          </cell>
          <cell r="D3380">
            <v>1998</v>
          </cell>
          <cell r="E3380" t="str">
            <v>United States Aviation Co</v>
          </cell>
          <cell r="F3380">
            <v>2</v>
          </cell>
          <cell r="G3380">
            <v>35933</v>
          </cell>
          <cell r="I3380" t="str">
            <v>North America</v>
          </cell>
          <cell r="J3380" t="str">
            <v>USA</v>
          </cell>
          <cell r="K3380">
            <v>35611</v>
          </cell>
        </row>
        <row r="3381">
          <cell r="A3381" t="str">
            <v>In service</v>
          </cell>
          <cell r="B3381" t="str">
            <v>Gulfstream Aerospace Gulfstream V</v>
          </cell>
          <cell r="C3381" t="str">
            <v xml:space="preserve"> </v>
          </cell>
          <cell r="D3381">
            <v>1999</v>
          </cell>
          <cell r="E3381" t="str">
            <v>Aerovics SA</v>
          </cell>
          <cell r="F3381">
            <v>1</v>
          </cell>
          <cell r="G3381">
            <v>36353</v>
          </cell>
          <cell r="I3381" t="str">
            <v>Latin America and Caribbean</v>
          </cell>
          <cell r="J3381" t="str">
            <v>Mexico</v>
          </cell>
          <cell r="K3381">
            <v>35611</v>
          </cell>
        </row>
        <row r="3382">
          <cell r="A3382" t="str">
            <v>In service</v>
          </cell>
          <cell r="B3382" t="str">
            <v>Gulfstream Aerospace Gulfstream V</v>
          </cell>
          <cell r="C3382" t="str">
            <v xml:space="preserve"> </v>
          </cell>
          <cell r="D3382">
            <v>1999</v>
          </cell>
          <cell r="E3382" t="str">
            <v>3M Co</v>
          </cell>
          <cell r="F3382">
            <v>1</v>
          </cell>
          <cell r="G3382">
            <v>36286</v>
          </cell>
          <cell r="I3382" t="str">
            <v>North America</v>
          </cell>
          <cell r="J3382" t="str">
            <v>USA</v>
          </cell>
          <cell r="K3382">
            <v>35976</v>
          </cell>
        </row>
        <row r="3383">
          <cell r="A3383" t="str">
            <v>In service</v>
          </cell>
          <cell r="B3383" t="str">
            <v>Gulfstream Aerospace Gulfstream V</v>
          </cell>
          <cell r="C3383" t="str">
            <v xml:space="preserve"> </v>
          </cell>
          <cell r="D3383">
            <v>1999</v>
          </cell>
          <cell r="E3383" t="str">
            <v>Wotan America Inc</v>
          </cell>
          <cell r="F3383">
            <v>1</v>
          </cell>
          <cell r="G3383">
            <v>36293</v>
          </cell>
          <cell r="I3383" t="str">
            <v>North America</v>
          </cell>
          <cell r="J3383" t="str">
            <v>USA</v>
          </cell>
          <cell r="K3383">
            <v>35611</v>
          </cell>
        </row>
        <row r="3384">
          <cell r="A3384" t="str">
            <v>In service</v>
          </cell>
          <cell r="B3384" t="str">
            <v>Gulfstream Aerospace Gulfstream V</v>
          </cell>
          <cell r="C3384" t="str">
            <v xml:space="preserve"> </v>
          </cell>
          <cell r="D3384">
            <v>1998</v>
          </cell>
          <cell r="E3384" t="str">
            <v>Radical Ventures LLC</v>
          </cell>
          <cell r="F3384">
            <v>2</v>
          </cell>
          <cell r="G3384">
            <v>36101</v>
          </cell>
          <cell r="I3384" t="str">
            <v>North America</v>
          </cell>
          <cell r="J3384" t="str">
            <v>USA</v>
          </cell>
          <cell r="K3384">
            <v>35611</v>
          </cell>
        </row>
        <row r="3385">
          <cell r="A3385" t="str">
            <v>In service</v>
          </cell>
          <cell r="B3385" t="str">
            <v>Gulfstream Aerospace Gulfstream V</v>
          </cell>
          <cell r="C3385" t="str">
            <v xml:space="preserve"> </v>
          </cell>
          <cell r="D3385">
            <v>1999</v>
          </cell>
          <cell r="E3385" t="str">
            <v>Automotive Air Charter</v>
          </cell>
          <cell r="F3385">
            <v>1</v>
          </cell>
          <cell r="G3385">
            <v>36297</v>
          </cell>
          <cell r="I3385" t="str">
            <v>North America</v>
          </cell>
          <cell r="J3385" t="str">
            <v>USA</v>
          </cell>
          <cell r="K3385">
            <v>35611</v>
          </cell>
        </row>
        <row r="3386">
          <cell r="A3386" t="str">
            <v>In service</v>
          </cell>
          <cell r="B3386" t="str">
            <v>Gulfstream Aerospace Gulfstream V</v>
          </cell>
          <cell r="C3386" t="str">
            <v xml:space="preserve"> </v>
          </cell>
          <cell r="D3386">
            <v>1999</v>
          </cell>
          <cell r="E3386" t="str">
            <v>Automotive Air Charter</v>
          </cell>
          <cell r="F3386">
            <v>1</v>
          </cell>
          <cell r="G3386">
            <v>36333</v>
          </cell>
          <cell r="I3386" t="str">
            <v>North America</v>
          </cell>
          <cell r="J3386" t="str">
            <v>USA</v>
          </cell>
          <cell r="K3386">
            <v>35611</v>
          </cell>
        </row>
        <row r="3387">
          <cell r="A3387" t="str">
            <v>In service</v>
          </cell>
          <cell r="B3387" t="str">
            <v>Gulfstream Aerospace Gulfstream V</v>
          </cell>
          <cell r="C3387" t="str">
            <v xml:space="preserve"> </v>
          </cell>
          <cell r="D3387">
            <v>1999</v>
          </cell>
          <cell r="E3387" t="str">
            <v>SCI Texas Funeral Services Inc</v>
          </cell>
          <cell r="F3387">
            <v>1</v>
          </cell>
          <cell r="G3387">
            <v>36403</v>
          </cell>
          <cell r="I3387" t="str">
            <v>North America</v>
          </cell>
          <cell r="J3387" t="str">
            <v>USA</v>
          </cell>
          <cell r="K3387">
            <v>35611</v>
          </cell>
        </row>
        <row r="3388">
          <cell r="A3388" t="str">
            <v>In service</v>
          </cell>
          <cell r="B3388" t="str">
            <v>Gulfstream Aerospace Gulfstream V</v>
          </cell>
          <cell r="C3388" t="str">
            <v xml:space="preserve"> </v>
          </cell>
          <cell r="D3388">
            <v>1999</v>
          </cell>
          <cell r="E3388" t="str">
            <v>MDL Consulting Associates LLC</v>
          </cell>
          <cell r="F3388">
            <v>1</v>
          </cell>
          <cell r="G3388">
            <v>36405</v>
          </cell>
          <cell r="I3388" t="str">
            <v>North America</v>
          </cell>
          <cell r="J3388" t="str">
            <v>USA</v>
          </cell>
          <cell r="K3388">
            <v>35611</v>
          </cell>
        </row>
        <row r="3389">
          <cell r="A3389" t="str">
            <v>In service</v>
          </cell>
          <cell r="B3389" t="str">
            <v>Gulfstream Aerospace Gulfstream V</v>
          </cell>
          <cell r="C3389" t="str">
            <v xml:space="preserve"> </v>
          </cell>
          <cell r="D3389">
            <v>1999</v>
          </cell>
          <cell r="E3389" t="str">
            <v>Cirrus GAS 5 LLC</v>
          </cell>
          <cell r="F3389">
            <v>1</v>
          </cell>
          <cell r="G3389">
            <v>36472</v>
          </cell>
          <cell r="I3389" t="str">
            <v>North America</v>
          </cell>
          <cell r="J3389" t="str">
            <v>USA</v>
          </cell>
          <cell r="K3389">
            <v>35611</v>
          </cell>
        </row>
        <row r="3390">
          <cell r="A3390" t="str">
            <v>In service</v>
          </cell>
          <cell r="B3390" t="str">
            <v>Gulfstream Aerospace Gulfstream V</v>
          </cell>
          <cell r="C3390" t="str">
            <v xml:space="preserve"> </v>
          </cell>
          <cell r="D3390">
            <v>1998</v>
          </cell>
          <cell r="E3390" t="str">
            <v>Rashid Engineering</v>
          </cell>
          <cell r="F3390">
            <v>2</v>
          </cell>
          <cell r="G3390">
            <v>36144</v>
          </cell>
          <cell r="I3390" t="str">
            <v>Middle East</v>
          </cell>
          <cell r="J3390" t="str">
            <v>Saudi Arabia</v>
          </cell>
          <cell r="K3390">
            <v>35611</v>
          </cell>
        </row>
        <row r="3391">
          <cell r="A3391" t="str">
            <v>In service</v>
          </cell>
          <cell r="B3391" t="str">
            <v>Gulfstream Aerospace Gulfstream V</v>
          </cell>
          <cell r="C3391" t="str">
            <v xml:space="preserve"> </v>
          </cell>
          <cell r="D3391">
            <v>1999</v>
          </cell>
          <cell r="E3391" t="str">
            <v>Rigg Bank NA</v>
          </cell>
          <cell r="F3391">
            <v>1</v>
          </cell>
          <cell r="G3391">
            <v>36432</v>
          </cell>
          <cell r="I3391" t="str">
            <v>North America</v>
          </cell>
          <cell r="J3391" t="str">
            <v>USA</v>
          </cell>
          <cell r="K3391">
            <v>35976</v>
          </cell>
        </row>
        <row r="3392">
          <cell r="A3392" t="str">
            <v>In service</v>
          </cell>
          <cell r="B3392" t="str">
            <v>Gulfstream Aerospace Gulfstream V</v>
          </cell>
          <cell r="C3392" t="str">
            <v xml:space="preserve"> </v>
          </cell>
          <cell r="D3392">
            <v>1999</v>
          </cell>
          <cell r="E3392" t="str">
            <v>3M Co</v>
          </cell>
          <cell r="F3392">
            <v>1</v>
          </cell>
          <cell r="G3392">
            <v>36341</v>
          </cell>
          <cell r="I3392" t="str">
            <v>North America</v>
          </cell>
          <cell r="J3392" t="str">
            <v>USA</v>
          </cell>
          <cell r="K3392">
            <v>35976</v>
          </cell>
        </row>
        <row r="3393">
          <cell r="A3393" t="str">
            <v>In service</v>
          </cell>
          <cell r="B3393" t="str">
            <v>Gulfstream Aerospace Gulfstream V</v>
          </cell>
          <cell r="C3393" t="str">
            <v xml:space="preserve"> </v>
          </cell>
          <cell r="D3393">
            <v>1999</v>
          </cell>
          <cell r="E3393" t="str">
            <v>BancAmerica Special Assets Corp</v>
          </cell>
          <cell r="F3393">
            <v>1</v>
          </cell>
          <cell r="G3393">
            <v>36385</v>
          </cell>
          <cell r="I3393" t="str">
            <v>North America</v>
          </cell>
          <cell r="J3393" t="str">
            <v>USA</v>
          </cell>
          <cell r="K3393">
            <v>35976</v>
          </cell>
        </row>
        <row r="3394">
          <cell r="A3394" t="str">
            <v>In service</v>
          </cell>
          <cell r="B3394" t="str">
            <v>Gulfstream Aerospace Gulfstream V</v>
          </cell>
          <cell r="C3394" t="str">
            <v xml:space="preserve"> </v>
          </cell>
          <cell r="D3394">
            <v>1999</v>
          </cell>
          <cell r="E3394" t="str">
            <v>Grand Warehouse Inc</v>
          </cell>
          <cell r="F3394">
            <v>1</v>
          </cell>
          <cell r="G3394">
            <v>36377</v>
          </cell>
          <cell r="I3394" t="str">
            <v>Asia</v>
          </cell>
          <cell r="J3394" t="str">
            <v>Japan</v>
          </cell>
          <cell r="K3394">
            <v>35976</v>
          </cell>
        </row>
        <row r="3395">
          <cell r="A3395" t="str">
            <v>In service</v>
          </cell>
          <cell r="B3395" t="str">
            <v>Gulfstream Aerospace Gulfstream V</v>
          </cell>
          <cell r="C3395" t="str">
            <v xml:space="preserve"> </v>
          </cell>
          <cell r="D3395">
            <v>1999</v>
          </cell>
          <cell r="E3395" t="str">
            <v>Government of Kuwait</v>
          </cell>
          <cell r="F3395">
            <v>1</v>
          </cell>
          <cell r="G3395">
            <v>36448</v>
          </cell>
          <cell r="I3395" t="str">
            <v>Middle East</v>
          </cell>
          <cell r="J3395" t="str">
            <v>Kuwait</v>
          </cell>
          <cell r="K3395">
            <v>35864</v>
          </cell>
        </row>
        <row r="3396">
          <cell r="A3396" t="str">
            <v>In service</v>
          </cell>
          <cell r="B3396" t="str">
            <v>Gulfstream Aerospace Gulfstream V</v>
          </cell>
          <cell r="C3396" t="str">
            <v xml:space="preserve"> </v>
          </cell>
          <cell r="D3396">
            <v>1999</v>
          </cell>
          <cell r="E3396" t="str">
            <v>DaimlerChrysler Aviation</v>
          </cell>
          <cell r="F3396">
            <v>1</v>
          </cell>
          <cell r="G3396">
            <v>36516</v>
          </cell>
          <cell r="I3396" t="str">
            <v>Europe</v>
          </cell>
          <cell r="J3396" t="str">
            <v>Germany</v>
          </cell>
          <cell r="K3396">
            <v>36206</v>
          </cell>
        </row>
        <row r="3397">
          <cell r="A3397" t="str">
            <v>In service</v>
          </cell>
          <cell r="B3397" t="str">
            <v>Gulfstream Aerospace Gulfstream V</v>
          </cell>
          <cell r="C3397" t="str">
            <v xml:space="preserve"> </v>
          </cell>
          <cell r="D3397">
            <v>2000</v>
          </cell>
          <cell r="E3397" t="str">
            <v>American Express</v>
          </cell>
          <cell r="F3397">
            <v>0</v>
          </cell>
          <cell r="G3397">
            <v>36649</v>
          </cell>
          <cell r="I3397" t="str">
            <v>North America</v>
          </cell>
          <cell r="J3397" t="str">
            <v>USA</v>
          </cell>
          <cell r="K3397">
            <v>35976</v>
          </cell>
        </row>
        <row r="3398">
          <cell r="A3398" t="str">
            <v>In service</v>
          </cell>
          <cell r="B3398" t="str">
            <v>Gulfstream Aerospace Gulfstream V</v>
          </cell>
          <cell r="C3398" t="str">
            <v xml:space="preserve"> </v>
          </cell>
          <cell r="D3398">
            <v>1999</v>
          </cell>
          <cell r="E3398" t="str">
            <v>Computer Associates International Inc</v>
          </cell>
          <cell r="F3398">
            <v>1</v>
          </cell>
          <cell r="G3398">
            <v>36518</v>
          </cell>
          <cell r="I3398" t="str">
            <v>North America</v>
          </cell>
          <cell r="J3398" t="str">
            <v>USA</v>
          </cell>
          <cell r="K3398">
            <v>35976</v>
          </cell>
        </row>
        <row r="3399">
          <cell r="A3399" t="str">
            <v>In service</v>
          </cell>
          <cell r="B3399" t="str">
            <v>Gulfstream Aerospace Gulfstream V</v>
          </cell>
          <cell r="C3399" t="str">
            <v xml:space="preserve"> </v>
          </cell>
          <cell r="D3399">
            <v>1999</v>
          </cell>
          <cell r="E3399" t="str">
            <v>Prime Resources LLC</v>
          </cell>
          <cell r="F3399">
            <v>1</v>
          </cell>
          <cell r="I3399" t="str">
            <v>North America</v>
          </cell>
          <cell r="J3399" t="str">
            <v>USA</v>
          </cell>
        </row>
        <row r="3400">
          <cell r="A3400" t="str">
            <v>In service</v>
          </cell>
          <cell r="B3400" t="str">
            <v>Gulfstream Aerospace Gulfstream V</v>
          </cell>
          <cell r="C3400" t="str">
            <v xml:space="preserve"> </v>
          </cell>
          <cell r="D3400">
            <v>1999</v>
          </cell>
          <cell r="E3400" t="str">
            <v>Pfizer Inc</v>
          </cell>
          <cell r="F3400">
            <v>1</v>
          </cell>
          <cell r="G3400">
            <v>36426</v>
          </cell>
          <cell r="I3400" t="str">
            <v>North America</v>
          </cell>
          <cell r="J3400" t="str">
            <v>USA</v>
          </cell>
          <cell r="K3400">
            <v>35976</v>
          </cell>
        </row>
        <row r="3401">
          <cell r="A3401" t="str">
            <v>In service</v>
          </cell>
          <cell r="B3401" t="str">
            <v>Gulfstream Aerospace Gulfstream V</v>
          </cell>
          <cell r="C3401" t="str">
            <v xml:space="preserve"> </v>
          </cell>
          <cell r="D3401">
            <v>1999</v>
          </cell>
          <cell r="E3401" t="str">
            <v>US Army</v>
          </cell>
          <cell r="F3401">
            <v>1</v>
          </cell>
          <cell r="G3401">
            <v>36448</v>
          </cell>
          <cell r="H3401" t="str">
            <v>C-37A</v>
          </cell>
          <cell r="I3401" t="str">
            <v>North America</v>
          </cell>
          <cell r="J3401" t="str">
            <v>USA</v>
          </cell>
          <cell r="K3401">
            <v>35880</v>
          </cell>
        </row>
        <row r="3402">
          <cell r="A3402" t="str">
            <v>In service</v>
          </cell>
          <cell r="B3402" t="str">
            <v>Gulfstream Aerospace Gulfstream V</v>
          </cell>
          <cell r="C3402" t="str">
            <v xml:space="preserve"> </v>
          </cell>
          <cell r="D3402">
            <v>1999</v>
          </cell>
          <cell r="E3402" t="str">
            <v>3M Co</v>
          </cell>
          <cell r="F3402">
            <v>1</v>
          </cell>
          <cell r="G3402">
            <v>36426</v>
          </cell>
          <cell r="I3402" t="str">
            <v>North America</v>
          </cell>
          <cell r="J3402" t="str">
            <v>USA</v>
          </cell>
          <cell r="K3402">
            <v>35976</v>
          </cell>
        </row>
        <row r="3403">
          <cell r="A3403" t="str">
            <v>In service</v>
          </cell>
          <cell r="B3403" t="str">
            <v>Gulfstream Aerospace Gulfstream V</v>
          </cell>
          <cell r="C3403" t="str">
            <v xml:space="preserve"> </v>
          </cell>
          <cell r="D3403">
            <v>1999</v>
          </cell>
          <cell r="E3403" t="str">
            <v>HealthSouth Corp</v>
          </cell>
          <cell r="F3403">
            <v>1</v>
          </cell>
          <cell r="G3403">
            <v>36462</v>
          </cell>
          <cell r="I3403" t="str">
            <v>North America</v>
          </cell>
          <cell r="J3403" t="str">
            <v>USA</v>
          </cell>
          <cell r="K3403">
            <v>35611</v>
          </cell>
        </row>
        <row r="3404">
          <cell r="A3404" t="str">
            <v>In service</v>
          </cell>
          <cell r="B3404" t="str">
            <v>Gulfstream Aerospace Gulfstream V</v>
          </cell>
          <cell r="C3404" t="str">
            <v xml:space="preserve"> </v>
          </cell>
          <cell r="D3404">
            <v>1999</v>
          </cell>
          <cell r="E3404" t="str">
            <v>Government of Kuwait</v>
          </cell>
          <cell r="F3404">
            <v>1</v>
          </cell>
          <cell r="G3404">
            <v>36514</v>
          </cell>
          <cell r="I3404" t="str">
            <v>Middle East</v>
          </cell>
          <cell r="J3404" t="str">
            <v>Kuwait</v>
          </cell>
          <cell r="K3404">
            <v>35841</v>
          </cell>
        </row>
        <row r="3405">
          <cell r="A3405" t="str">
            <v>In service</v>
          </cell>
          <cell r="B3405" t="str">
            <v>Gulfstream Aerospace Gulfstream V</v>
          </cell>
          <cell r="C3405" t="str">
            <v xml:space="preserve"> </v>
          </cell>
          <cell r="D3405">
            <v>1999</v>
          </cell>
          <cell r="E3405" t="str">
            <v>Avjet Corp</v>
          </cell>
          <cell r="F3405">
            <v>1</v>
          </cell>
          <cell r="G3405">
            <v>36523</v>
          </cell>
          <cell r="I3405" t="str">
            <v>North America</v>
          </cell>
          <cell r="J3405" t="str">
            <v>USA</v>
          </cell>
          <cell r="K3405">
            <v>35611</v>
          </cell>
        </row>
        <row r="3406">
          <cell r="A3406" t="str">
            <v>In service</v>
          </cell>
          <cell r="B3406" t="str">
            <v>Gulfstream Aerospace Gulfstream V</v>
          </cell>
          <cell r="C3406" t="str">
            <v xml:space="preserve"> </v>
          </cell>
          <cell r="D3406">
            <v>1999</v>
          </cell>
          <cell r="E3406" t="str">
            <v>US Air Force</v>
          </cell>
          <cell r="F3406">
            <v>1</v>
          </cell>
          <cell r="G3406">
            <v>36579</v>
          </cell>
          <cell r="H3406" t="str">
            <v>C-37A</v>
          </cell>
          <cell r="I3406" t="str">
            <v>North America</v>
          </cell>
          <cell r="J3406" t="str">
            <v>USA</v>
          </cell>
          <cell r="K3406">
            <v>36222</v>
          </cell>
        </row>
        <row r="3407">
          <cell r="A3407" t="str">
            <v>In service</v>
          </cell>
          <cell r="B3407" t="str">
            <v>Gulfstream Aerospace Gulfstream V</v>
          </cell>
          <cell r="C3407" t="str">
            <v xml:space="preserve"> </v>
          </cell>
          <cell r="D3407">
            <v>1999</v>
          </cell>
          <cell r="E3407" t="str">
            <v>Bowman Aviation LLC</v>
          </cell>
          <cell r="F3407">
            <v>1</v>
          </cell>
          <cell r="G3407">
            <v>36573</v>
          </cell>
          <cell r="I3407" t="str">
            <v>North America</v>
          </cell>
          <cell r="J3407" t="str">
            <v>USA</v>
          </cell>
          <cell r="K3407">
            <v>36206</v>
          </cell>
        </row>
        <row r="3408">
          <cell r="A3408" t="str">
            <v>In service</v>
          </cell>
          <cell r="B3408" t="str">
            <v>Gulfstream Aerospace Gulfstream V</v>
          </cell>
          <cell r="C3408" t="str">
            <v xml:space="preserve"> </v>
          </cell>
          <cell r="D3408">
            <v>1999</v>
          </cell>
          <cell r="E3408" t="str">
            <v>Government of Kuwait</v>
          </cell>
          <cell r="F3408">
            <v>1</v>
          </cell>
          <cell r="G3408">
            <v>36567</v>
          </cell>
          <cell r="I3408" t="str">
            <v>Middle East</v>
          </cell>
          <cell r="J3408" t="str">
            <v>Kuwait</v>
          </cell>
          <cell r="K3408">
            <v>35864</v>
          </cell>
        </row>
        <row r="3409">
          <cell r="A3409" t="str">
            <v>In service</v>
          </cell>
          <cell r="B3409" t="str">
            <v>Gulfstream Aerospace Gulfstream V</v>
          </cell>
          <cell r="C3409" t="str">
            <v xml:space="preserve"> </v>
          </cell>
          <cell r="D3409">
            <v>1999</v>
          </cell>
          <cell r="E3409" t="str">
            <v>NIKE Inc</v>
          </cell>
          <cell r="F3409">
            <v>1</v>
          </cell>
          <cell r="G3409">
            <v>36560</v>
          </cell>
          <cell r="I3409" t="str">
            <v>North America</v>
          </cell>
          <cell r="J3409" t="str">
            <v>USA</v>
          </cell>
          <cell r="K3409">
            <v>35611</v>
          </cell>
        </row>
        <row r="3410">
          <cell r="A3410" t="str">
            <v>In service</v>
          </cell>
          <cell r="B3410" t="str">
            <v>Gulfstream Aerospace Gulfstream V</v>
          </cell>
          <cell r="C3410" t="str">
            <v xml:space="preserve"> </v>
          </cell>
          <cell r="D3410">
            <v>1999</v>
          </cell>
          <cell r="E3410" t="str">
            <v>Bristol-Myers Squibb Company</v>
          </cell>
          <cell r="F3410">
            <v>1</v>
          </cell>
          <cell r="G3410">
            <v>36530</v>
          </cell>
          <cell r="I3410" t="str">
            <v>North America</v>
          </cell>
          <cell r="J3410" t="str">
            <v>USA</v>
          </cell>
          <cell r="K3410">
            <v>35611</v>
          </cell>
        </row>
        <row r="3411">
          <cell r="A3411" t="str">
            <v>In service</v>
          </cell>
          <cell r="B3411" t="str">
            <v>Gulfstream Aerospace Gulfstream V</v>
          </cell>
          <cell r="C3411" t="str">
            <v xml:space="preserve"> </v>
          </cell>
          <cell r="D3411">
            <v>1999</v>
          </cell>
          <cell r="E3411" t="str">
            <v>The Air Group Inc</v>
          </cell>
          <cell r="F3411">
            <v>1</v>
          </cell>
          <cell r="G3411">
            <v>36517</v>
          </cell>
          <cell r="I3411" t="str">
            <v>North America</v>
          </cell>
          <cell r="J3411" t="str">
            <v>USA</v>
          </cell>
          <cell r="K3411">
            <v>36341</v>
          </cell>
        </row>
        <row r="3412">
          <cell r="A3412" t="str">
            <v>In service</v>
          </cell>
          <cell r="B3412" t="str">
            <v>Gulfstream Aerospace Gulfstream V</v>
          </cell>
          <cell r="C3412" t="str">
            <v xml:space="preserve"> </v>
          </cell>
          <cell r="D3412">
            <v>2000</v>
          </cell>
          <cell r="E3412" t="str">
            <v>Neet Air AG</v>
          </cell>
          <cell r="F3412">
            <v>0</v>
          </cell>
          <cell r="G3412">
            <v>36574</v>
          </cell>
          <cell r="I3412" t="str">
            <v>Europe</v>
          </cell>
          <cell r="J3412" t="str">
            <v>Switzerland</v>
          </cell>
          <cell r="K3412">
            <v>35611</v>
          </cell>
        </row>
        <row r="3413">
          <cell r="A3413" t="str">
            <v>In service</v>
          </cell>
          <cell r="B3413" t="str">
            <v>Gulfstream Aerospace Gulfstream V</v>
          </cell>
          <cell r="C3413" t="str">
            <v xml:space="preserve"> </v>
          </cell>
          <cell r="D3413">
            <v>1999</v>
          </cell>
          <cell r="E3413" t="str">
            <v>Gulfstream Aerospace Corp</v>
          </cell>
          <cell r="F3413">
            <v>1</v>
          </cell>
          <cell r="G3413">
            <v>36529</v>
          </cell>
          <cell r="I3413" t="str">
            <v>North America</v>
          </cell>
          <cell r="J3413" t="str">
            <v>USA</v>
          </cell>
          <cell r="K3413">
            <v>35976</v>
          </cell>
        </row>
        <row r="3414">
          <cell r="A3414" t="str">
            <v>In service</v>
          </cell>
          <cell r="B3414" t="str">
            <v>Gulfstream Aerospace Gulfstream V</v>
          </cell>
          <cell r="C3414" t="str">
            <v xml:space="preserve"> </v>
          </cell>
          <cell r="D3414">
            <v>1999</v>
          </cell>
          <cell r="E3414" t="str">
            <v>3M Co</v>
          </cell>
          <cell r="F3414">
            <v>1</v>
          </cell>
          <cell r="G3414">
            <v>36516</v>
          </cell>
          <cell r="I3414" t="str">
            <v>North America</v>
          </cell>
          <cell r="J3414" t="str">
            <v>USA</v>
          </cell>
          <cell r="K3414">
            <v>35611</v>
          </cell>
        </row>
        <row r="3415">
          <cell r="A3415" t="str">
            <v>In service</v>
          </cell>
          <cell r="B3415" t="str">
            <v>Gulfstream Aerospace Gulfstream V</v>
          </cell>
          <cell r="C3415" t="str">
            <v xml:space="preserve"> </v>
          </cell>
          <cell r="D3415">
            <v>1999</v>
          </cell>
          <cell r="E3415" t="str">
            <v>Cox Aviation Inc</v>
          </cell>
          <cell r="F3415">
            <v>1</v>
          </cell>
          <cell r="G3415">
            <v>36602</v>
          </cell>
          <cell r="I3415" t="str">
            <v>North America</v>
          </cell>
          <cell r="J3415" t="str">
            <v>USA</v>
          </cell>
          <cell r="K3415">
            <v>35976</v>
          </cell>
        </row>
        <row r="3416">
          <cell r="A3416" t="str">
            <v>In service</v>
          </cell>
          <cell r="B3416" t="str">
            <v>Gulfstream Aerospace Gulfstream V</v>
          </cell>
          <cell r="C3416" t="str">
            <v xml:space="preserve"> </v>
          </cell>
          <cell r="D3416">
            <v>1999</v>
          </cell>
          <cell r="E3416" t="str">
            <v>Premier Executive Transport Services Inc</v>
          </cell>
          <cell r="F3416">
            <v>1</v>
          </cell>
          <cell r="G3416">
            <v>36482</v>
          </cell>
          <cell r="I3416" t="str">
            <v>North America</v>
          </cell>
          <cell r="J3416" t="str">
            <v>USA</v>
          </cell>
          <cell r="K3416">
            <v>35976</v>
          </cell>
        </row>
        <row r="3417">
          <cell r="A3417" t="str">
            <v>In service</v>
          </cell>
          <cell r="B3417" t="str">
            <v>Gulfstream Aerospace Gulfstream V</v>
          </cell>
          <cell r="C3417" t="str">
            <v xml:space="preserve"> </v>
          </cell>
          <cell r="D3417">
            <v>2000</v>
          </cell>
          <cell r="E3417" t="str">
            <v>Telefonica Internacional SA</v>
          </cell>
          <cell r="F3417">
            <v>0</v>
          </cell>
          <cell r="G3417">
            <v>36703</v>
          </cell>
          <cell r="I3417" t="str">
            <v>Europe</v>
          </cell>
          <cell r="J3417" t="str">
            <v>Spain</v>
          </cell>
          <cell r="K3417">
            <v>35976</v>
          </cell>
        </row>
        <row r="3418">
          <cell r="A3418" t="str">
            <v>In service</v>
          </cell>
          <cell r="B3418" t="str">
            <v>Gulfstream Aerospace Gulfstream V</v>
          </cell>
          <cell r="C3418" t="str">
            <v xml:space="preserve"> </v>
          </cell>
          <cell r="D3418">
            <v>2000</v>
          </cell>
          <cell r="E3418" t="str">
            <v>Saudi Aeromedical Evacuation</v>
          </cell>
          <cell r="F3418">
            <v>0</v>
          </cell>
          <cell r="G3418">
            <v>36762</v>
          </cell>
          <cell r="I3418" t="str">
            <v>Middle East</v>
          </cell>
          <cell r="J3418" t="str">
            <v>Saudi Arabia</v>
          </cell>
          <cell r="K3418">
            <v>36707</v>
          </cell>
        </row>
        <row r="3419">
          <cell r="A3419" t="str">
            <v>In service</v>
          </cell>
          <cell r="B3419" t="str">
            <v>Gulfstream Aerospace Gulfstream V</v>
          </cell>
          <cell r="C3419" t="str">
            <v xml:space="preserve"> </v>
          </cell>
          <cell r="D3419">
            <v>2000</v>
          </cell>
          <cell r="E3419" t="str">
            <v>Electronic Data Systems Corp</v>
          </cell>
          <cell r="F3419">
            <v>0</v>
          </cell>
          <cell r="G3419">
            <v>36644</v>
          </cell>
          <cell r="I3419" t="str">
            <v>North America</v>
          </cell>
          <cell r="J3419" t="str">
            <v>USA</v>
          </cell>
          <cell r="K3419">
            <v>35976</v>
          </cell>
        </row>
        <row r="3420">
          <cell r="A3420" t="str">
            <v>In service</v>
          </cell>
          <cell r="B3420" t="str">
            <v>Gulfstream Aerospace Gulfstream V</v>
          </cell>
          <cell r="C3420" t="str">
            <v xml:space="preserve"> </v>
          </cell>
          <cell r="D3420">
            <v>1999</v>
          </cell>
          <cell r="E3420" t="str">
            <v>Business Aircraft Corp</v>
          </cell>
          <cell r="F3420">
            <v>1</v>
          </cell>
          <cell r="G3420">
            <v>36446</v>
          </cell>
          <cell r="I3420" t="str">
            <v>North America</v>
          </cell>
          <cell r="J3420" t="str">
            <v>USA</v>
          </cell>
          <cell r="K3420">
            <v>35976</v>
          </cell>
        </row>
        <row r="3421">
          <cell r="A3421" t="str">
            <v>In service</v>
          </cell>
          <cell r="B3421" t="str">
            <v>Gulfstream Aerospace Gulfstream V</v>
          </cell>
          <cell r="C3421" t="str">
            <v xml:space="preserve"> </v>
          </cell>
          <cell r="D3421">
            <v>2000</v>
          </cell>
          <cell r="E3421" t="str">
            <v>Ford Motor Co</v>
          </cell>
          <cell r="F3421">
            <v>0</v>
          </cell>
          <cell r="G3421">
            <v>36696</v>
          </cell>
          <cell r="I3421" t="str">
            <v>North America</v>
          </cell>
          <cell r="J3421" t="str">
            <v>USA</v>
          </cell>
          <cell r="K3421">
            <v>36341</v>
          </cell>
        </row>
        <row r="3422">
          <cell r="A3422" t="str">
            <v>In service</v>
          </cell>
          <cell r="B3422" t="str">
            <v>Gulfstream Aerospace Gulfstream V</v>
          </cell>
          <cell r="C3422" t="str">
            <v xml:space="preserve"> </v>
          </cell>
          <cell r="D3422">
            <v>2000</v>
          </cell>
          <cell r="E3422" t="str">
            <v>Johnson Controls Inc</v>
          </cell>
          <cell r="F3422">
            <v>0</v>
          </cell>
          <cell r="G3422">
            <v>36699</v>
          </cell>
          <cell r="I3422" t="str">
            <v>North America</v>
          </cell>
          <cell r="J3422" t="str">
            <v>USA</v>
          </cell>
          <cell r="K3422">
            <v>36045</v>
          </cell>
        </row>
        <row r="3423">
          <cell r="A3423" t="str">
            <v>In service</v>
          </cell>
          <cell r="B3423" t="str">
            <v>Gulfstream Aerospace Gulfstream V</v>
          </cell>
          <cell r="C3423" t="str">
            <v xml:space="preserve"> </v>
          </cell>
          <cell r="D3423">
            <v>2000</v>
          </cell>
          <cell r="E3423" t="str">
            <v>United Coal Co</v>
          </cell>
          <cell r="F3423">
            <v>0</v>
          </cell>
          <cell r="G3423">
            <v>36707</v>
          </cell>
          <cell r="I3423" t="str">
            <v>North America</v>
          </cell>
          <cell r="J3423" t="str">
            <v>USA</v>
          </cell>
          <cell r="K3423">
            <v>35976</v>
          </cell>
        </row>
        <row r="3424">
          <cell r="A3424" t="str">
            <v>In service</v>
          </cell>
          <cell r="B3424" t="str">
            <v>Gulfstream Aerospace Gulfstream V</v>
          </cell>
          <cell r="C3424" t="str">
            <v xml:space="preserve"> </v>
          </cell>
          <cell r="D3424">
            <v>2000</v>
          </cell>
          <cell r="E3424" t="str">
            <v>US Air Force</v>
          </cell>
          <cell r="F3424">
            <v>0</v>
          </cell>
          <cell r="G3424">
            <v>36862</v>
          </cell>
          <cell r="H3424" t="str">
            <v>C-37A</v>
          </cell>
          <cell r="I3424" t="str">
            <v>North America</v>
          </cell>
          <cell r="J3424" t="str">
            <v>USA</v>
          </cell>
          <cell r="K3424">
            <v>36256</v>
          </cell>
        </row>
        <row r="3425">
          <cell r="A3425" t="str">
            <v>In service</v>
          </cell>
          <cell r="B3425" t="str">
            <v>Gulfstream Aerospace Gulfstream V</v>
          </cell>
          <cell r="C3425" t="str">
            <v xml:space="preserve"> </v>
          </cell>
          <cell r="D3425">
            <v>2000</v>
          </cell>
          <cell r="E3425" t="str">
            <v>Ford Motor Co</v>
          </cell>
          <cell r="F3425">
            <v>0</v>
          </cell>
          <cell r="G3425">
            <v>36739</v>
          </cell>
          <cell r="I3425" t="str">
            <v>North America</v>
          </cell>
          <cell r="J3425" t="str">
            <v>USA</v>
          </cell>
          <cell r="K3425">
            <v>36341</v>
          </cell>
        </row>
        <row r="3426">
          <cell r="A3426" t="str">
            <v>In service</v>
          </cell>
          <cell r="B3426" t="str">
            <v>Gulfstream Aerospace Gulfstream V</v>
          </cell>
          <cell r="C3426" t="str">
            <v xml:space="preserve"> </v>
          </cell>
          <cell r="D3426">
            <v>2000</v>
          </cell>
          <cell r="E3426" t="str">
            <v>Raven Acquisitions Inc</v>
          </cell>
          <cell r="F3426">
            <v>0</v>
          </cell>
          <cell r="G3426">
            <v>36760</v>
          </cell>
          <cell r="I3426" t="str">
            <v>North America</v>
          </cell>
          <cell r="J3426" t="str">
            <v>USA</v>
          </cell>
          <cell r="K3426">
            <v>35976</v>
          </cell>
        </row>
        <row r="3427">
          <cell r="A3427" t="str">
            <v>In service</v>
          </cell>
          <cell r="B3427" t="str">
            <v>Gulfstream Aerospace Gulfstream V</v>
          </cell>
          <cell r="C3427" t="str">
            <v xml:space="preserve"> </v>
          </cell>
          <cell r="D3427">
            <v>1999</v>
          </cell>
          <cell r="E3427" t="str">
            <v>ALBA Servici Aerotrasporti SpA</v>
          </cell>
          <cell r="F3427">
            <v>1</v>
          </cell>
          <cell r="G3427">
            <v>36517</v>
          </cell>
          <cell r="I3427" t="str">
            <v>Europe</v>
          </cell>
          <cell r="J3427" t="str">
            <v>Italy</v>
          </cell>
          <cell r="K3427">
            <v>35976</v>
          </cell>
        </row>
        <row r="3428">
          <cell r="A3428" t="str">
            <v>In service</v>
          </cell>
          <cell r="B3428" t="str">
            <v>Gulfstream Aerospace Gulfstream V</v>
          </cell>
          <cell r="C3428" t="str">
            <v xml:space="preserve"> </v>
          </cell>
          <cell r="D3428">
            <v>2000</v>
          </cell>
          <cell r="E3428" t="str">
            <v>3M Co</v>
          </cell>
          <cell r="F3428">
            <v>0</v>
          </cell>
          <cell r="G3428">
            <v>36797</v>
          </cell>
          <cell r="I3428" t="str">
            <v>North America</v>
          </cell>
          <cell r="J3428" t="str">
            <v>USA</v>
          </cell>
          <cell r="K3428">
            <v>35611</v>
          </cell>
        </row>
        <row r="3429">
          <cell r="A3429" t="str">
            <v>In service</v>
          </cell>
          <cell r="B3429" t="str">
            <v>Gulfstream Aerospace Gulfstream V</v>
          </cell>
          <cell r="C3429" t="str">
            <v xml:space="preserve"> </v>
          </cell>
          <cell r="D3429">
            <v>2000</v>
          </cell>
          <cell r="E3429" t="str">
            <v>El Paso Natural Gas Co</v>
          </cell>
          <cell r="F3429">
            <v>0</v>
          </cell>
          <cell r="G3429">
            <v>36777</v>
          </cell>
          <cell r="I3429" t="str">
            <v>North America</v>
          </cell>
          <cell r="J3429" t="str">
            <v>USA</v>
          </cell>
          <cell r="K3429">
            <v>35611</v>
          </cell>
        </row>
        <row r="3430">
          <cell r="A3430" t="str">
            <v>In service</v>
          </cell>
          <cell r="B3430" t="str">
            <v>Gulfstream Aerospace Gulfstream V</v>
          </cell>
          <cell r="C3430" t="str">
            <v xml:space="preserve"> </v>
          </cell>
          <cell r="D3430">
            <v>2000</v>
          </cell>
          <cell r="E3430" t="str">
            <v>Mac Holdings (America) Inc</v>
          </cell>
          <cell r="F3430">
            <v>0</v>
          </cell>
          <cell r="G3430">
            <v>36850</v>
          </cell>
          <cell r="I3430" t="str">
            <v>North America</v>
          </cell>
          <cell r="J3430" t="str">
            <v>USA</v>
          </cell>
          <cell r="K3430">
            <v>35976</v>
          </cell>
        </row>
        <row r="3431">
          <cell r="A3431" t="str">
            <v>In service</v>
          </cell>
          <cell r="B3431" t="str">
            <v>Gulfstream Aerospace Gulfstream V</v>
          </cell>
          <cell r="C3431" t="str">
            <v xml:space="preserve"> </v>
          </cell>
          <cell r="D3431">
            <v>2000</v>
          </cell>
          <cell r="E3431" t="str">
            <v>Netjets International</v>
          </cell>
          <cell r="F3431">
            <v>0</v>
          </cell>
          <cell r="G3431">
            <v>36882</v>
          </cell>
          <cell r="I3431" t="str">
            <v>North America</v>
          </cell>
          <cell r="J3431" t="str">
            <v>USA</v>
          </cell>
          <cell r="K3431">
            <v>35311</v>
          </cell>
        </row>
        <row r="3432">
          <cell r="A3432" t="str">
            <v>In service</v>
          </cell>
          <cell r="B3432" t="str">
            <v>Gulfstream Aerospace Gulfstream V</v>
          </cell>
          <cell r="C3432" t="str">
            <v xml:space="preserve"> </v>
          </cell>
          <cell r="D3432">
            <v>2000</v>
          </cell>
          <cell r="E3432" t="str">
            <v>BP Amoco Corp</v>
          </cell>
          <cell r="F3432">
            <v>0</v>
          </cell>
          <cell r="G3432">
            <v>36860</v>
          </cell>
          <cell r="I3432" t="str">
            <v>North America</v>
          </cell>
          <cell r="J3432" t="str">
            <v>USA</v>
          </cell>
          <cell r="K3432">
            <v>36045</v>
          </cell>
        </row>
        <row r="3433">
          <cell r="A3433" t="str">
            <v>In service</v>
          </cell>
          <cell r="B3433" t="str">
            <v>Gulfstream Aerospace Gulfstream V</v>
          </cell>
          <cell r="C3433" t="str">
            <v xml:space="preserve"> </v>
          </cell>
          <cell r="D3433">
            <v>2000</v>
          </cell>
          <cell r="E3433" t="str">
            <v>Schering Plough Corp</v>
          </cell>
          <cell r="F3433">
            <v>0</v>
          </cell>
          <cell r="G3433">
            <v>36889</v>
          </cell>
          <cell r="I3433" t="str">
            <v>North America</v>
          </cell>
          <cell r="J3433" t="str">
            <v>USA</v>
          </cell>
          <cell r="K3433">
            <v>35976</v>
          </cell>
        </row>
        <row r="3434">
          <cell r="A3434" t="str">
            <v>In service</v>
          </cell>
          <cell r="B3434" t="str">
            <v>Gulfstream Aerospace Gulfstream V</v>
          </cell>
          <cell r="C3434" t="str">
            <v xml:space="preserve"> </v>
          </cell>
          <cell r="D3434">
            <v>2000</v>
          </cell>
          <cell r="E3434" t="str">
            <v>Macair Jet SA</v>
          </cell>
          <cell r="F3434">
            <v>0</v>
          </cell>
          <cell r="G3434">
            <v>36880</v>
          </cell>
          <cell r="I3434" t="str">
            <v>Latin America and Caribbean</v>
          </cell>
          <cell r="J3434" t="str">
            <v>Argentina</v>
          </cell>
          <cell r="K3434">
            <v>35976</v>
          </cell>
        </row>
      </sheetData>
      <sheetData sheetId="21"/>
      <sheetData sheetId="22"/>
      <sheetData sheetId="23"/>
      <sheetData sheetId="24">
        <row r="1">
          <cell r="AE1" t="str">
            <v>GD Combat Systems Team:</v>
          </cell>
          <cell r="AI1" t="str">
            <v>President</v>
          </cell>
          <cell r="AK1" t="str">
            <v>Charles Hall</v>
          </cell>
        </row>
        <row r="2">
          <cell r="AI2" t="str">
            <v>Land systems</v>
          </cell>
        </row>
        <row r="3">
          <cell r="AI3" t="str">
            <v>Arm/Tech Prods</v>
          </cell>
        </row>
        <row r="4">
          <cell r="AI4" t="str">
            <v>Euro Land Combat</v>
          </cell>
          <cell r="AK4" t="str">
            <v>Michael Malzacher</v>
          </cell>
        </row>
        <row r="5">
          <cell r="AI5" t="str">
            <v>Ordnance/Tact</v>
          </cell>
          <cell r="AK5" t="str">
            <v>Mike Wilson</v>
          </cell>
        </row>
        <row r="8">
          <cell r="A8" t="str">
            <v>General Dynamics' Combat Vehicles Division P&amp;L ($MM)</v>
          </cell>
          <cell r="AC8" t="str">
            <v>General Dynamics' Combat Vehicles Revenues By Program  ($MM)</v>
          </cell>
          <cell r="AN8" t="str">
            <v>last updated 4/04</v>
          </cell>
        </row>
        <row r="9">
          <cell r="J9" t="str">
            <v>heidi - update 4/04</v>
          </cell>
        </row>
        <row r="10">
          <cell r="A10" t="str">
            <v>Armored Vehicles</v>
          </cell>
          <cell r="C10" t="str">
            <v xml:space="preserve"> </v>
          </cell>
          <cell r="F10" t="str">
            <v xml:space="preserve"> </v>
          </cell>
          <cell r="U10" t="str">
            <v>Combat Sales</v>
          </cell>
        </row>
        <row r="11">
          <cell r="B11" t="str">
            <v>1986</v>
          </cell>
          <cell r="C11" t="str">
            <v>1987</v>
          </cell>
          <cell r="D11" t="str">
            <v>1988</v>
          </cell>
          <cell r="E11" t="str">
            <v>1989</v>
          </cell>
          <cell r="F11" t="str">
            <v>1990</v>
          </cell>
          <cell r="G11" t="str">
            <v>1991</v>
          </cell>
          <cell r="H11" t="str">
            <v>1992</v>
          </cell>
          <cell r="I11" t="str">
            <v>1993</v>
          </cell>
          <cell r="J11" t="str">
            <v>1994</v>
          </cell>
          <cell r="K11" t="str">
            <v>1995</v>
          </cell>
          <cell r="L11" t="str">
            <v>1996</v>
          </cell>
          <cell r="M11" t="str">
            <v>1997</v>
          </cell>
          <cell r="N11" t="str">
            <v>1998E</v>
          </cell>
          <cell r="O11" t="str">
            <v>1999E</v>
          </cell>
          <cell r="P11" t="str">
            <v>2000E</v>
          </cell>
          <cell r="Q11" t="str">
            <v>2001E</v>
          </cell>
          <cell r="R11" t="str">
            <v>Assumptions</v>
          </cell>
          <cell r="AB11" t="str">
            <v>Armored Vehs</v>
          </cell>
          <cell r="AD11">
            <v>1995</v>
          </cell>
          <cell r="AE11">
            <v>1996</v>
          </cell>
          <cell r="AF11">
            <v>1997</v>
          </cell>
          <cell r="AG11">
            <v>1998</v>
          </cell>
          <cell r="AH11">
            <v>1999</v>
          </cell>
          <cell r="AI11">
            <v>2000</v>
          </cell>
          <cell r="AJ11">
            <v>2001</v>
          </cell>
          <cell r="AK11">
            <v>2002</v>
          </cell>
          <cell r="AL11" t="str">
            <v>2003A</v>
          </cell>
          <cell r="AM11" t="str">
            <v>2004E</v>
          </cell>
          <cell r="AN11" t="str">
            <v>2005E</v>
          </cell>
          <cell r="AO11" t="str">
            <v>2006E</v>
          </cell>
          <cell r="AP11" t="str">
            <v>2007E</v>
          </cell>
          <cell r="AQ11" t="str">
            <v>2008E</v>
          </cell>
          <cell r="AR11" t="str">
            <v>2009E</v>
          </cell>
          <cell r="AS11" t="str">
            <v>2010E</v>
          </cell>
          <cell r="AT11" t="str">
            <v>2011E</v>
          </cell>
          <cell r="AU11" t="str">
            <v>2012E</v>
          </cell>
          <cell r="AV11" t="str">
            <v>Comments</v>
          </cell>
        </row>
        <row r="12">
          <cell r="A12" t="str">
            <v xml:space="preserve">Production </v>
          </cell>
          <cell r="B12">
            <v>700</v>
          </cell>
          <cell r="C12">
            <v>875</v>
          </cell>
          <cell r="D12">
            <v>825</v>
          </cell>
          <cell r="E12">
            <v>790</v>
          </cell>
          <cell r="F12">
            <v>750</v>
          </cell>
          <cell r="G12">
            <v>756.00000000000011</v>
          </cell>
          <cell r="H12">
            <v>955</v>
          </cell>
          <cell r="I12">
            <v>945</v>
          </cell>
          <cell r="J12">
            <v>800</v>
          </cell>
          <cell r="K12">
            <v>680</v>
          </cell>
          <cell r="L12">
            <v>470</v>
          </cell>
          <cell r="M12">
            <v>400</v>
          </cell>
          <cell r="N12">
            <v>330</v>
          </cell>
          <cell r="O12">
            <v>380</v>
          </cell>
          <cell r="P12">
            <v>400</v>
          </cell>
          <cell r="Q12">
            <v>485</v>
          </cell>
          <cell r="R12" t="str">
            <v>- M1A2 upgrades/ 1 foreign award</v>
          </cell>
          <cell r="V12" t="str">
            <v>Q1:99</v>
          </cell>
          <cell r="W12">
            <v>1996</v>
          </cell>
          <cell r="X12">
            <v>1997</v>
          </cell>
          <cell r="Y12">
            <v>1998</v>
          </cell>
          <cell r="AB12" t="str">
            <v>M1A1</v>
          </cell>
          <cell r="AD12">
            <v>130</v>
          </cell>
          <cell r="AE12">
            <v>90</v>
          </cell>
          <cell r="AF12">
            <v>75</v>
          </cell>
          <cell r="AG12" t="str">
            <v>--</v>
          </cell>
          <cell r="AH12" t="str">
            <v>--</v>
          </cell>
          <cell r="AI12" t="str">
            <v>--</v>
          </cell>
          <cell r="AJ12">
            <v>75</v>
          </cell>
          <cell r="AK12" t="str">
            <v>--</v>
          </cell>
          <cell r="AL12" t="str">
            <v>--</v>
          </cell>
          <cell r="AM12" t="str">
            <v>--</v>
          </cell>
          <cell r="AN12" t="str">
            <v>--</v>
          </cell>
          <cell r="AO12" t="str">
            <v>--</v>
          </cell>
          <cell r="AP12" t="str">
            <v>--</v>
          </cell>
          <cell r="AQ12" t="str">
            <v>--</v>
          </cell>
        </row>
        <row r="13">
          <cell r="A13" t="str">
            <v>Engineering</v>
          </cell>
          <cell r="B13">
            <v>428</v>
          </cell>
          <cell r="C13">
            <v>168</v>
          </cell>
          <cell r="D13">
            <v>176</v>
          </cell>
          <cell r="E13">
            <v>199</v>
          </cell>
          <cell r="F13">
            <v>257</v>
          </cell>
          <cell r="G13">
            <v>299</v>
          </cell>
          <cell r="H13">
            <v>210</v>
          </cell>
          <cell r="I13">
            <v>235</v>
          </cell>
          <cell r="J13">
            <v>245</v>
          </cell>
          <cell r="K13">
            <v>175</v>
          </cell>
          <cell r="L13">
            <v>280</v>
          </cell>
          <cell r="M13">
            <v>265</v>
          </cell>
          <cell r="N13">
            <v>330</v>
          </cell>
          <cell r="O13">
            <v>335</v>
          </cell>
          <cell r="P13">
            <v>285</v>
          </cell>
          <cell r="Q13">
            <v>330</v>
          </cell>
          <cell r="R13" t="str">
            <v>-Holds up</v>
          </cell>
          <cell r="U13" t="str">
            <v>Armored Vehs</v>
          </cell>
          <cell r="W13">
            <v>889</v>
          </cell>
          <cell r="X13">
            <v>960</v>
          </cell>
          <cell r="Y13">
            <v>915</v>
          </cell>
          <cell r="AB13" t="str">
            <v>M1A2</v>
          </cell>
          <cell r="AD13">
            <v>220</v>
          </cell>
          <cell r="AE13">
            <v>30</v>
          </cell>
          <cell r="AF13" t="str">
            <v>--</v>
          </cell>
          <cell r="AG13" t="str">
            <v>--</v>
          </cell>
          <cell r="AH13" t="str">
            <v>--</v>
          </cell>
          <cell r="AI13" t="str">
            <v>--</v>
          </cell>
          <cell r="AJ13">
            <v>0</v>
          </cell>
          <cell r="AK13">
            <v>80</v>
          </cell>
          <cell r="AL13">
            <v>150</v>
          </cell>
          <cell r="AM13">
            <v>75</v>
          </cell>
          <cell r="AN13">
            <v>25</v>
          </cell>
          <cell r="AO13">
            <v>25</v>
          </cell>
          <cell r="AP13">
            <v>25</v>
          </cell>
          <cell r="AQ13">
            <v>25</v>
          </cell>
        </row>
        <row r="14">
          <cell r="A14" t="str">
            <v>AAAV - Eng'g</v>
          </cell>
          <cell r="L14">
            <v>15</v>
          </cell>
          <cell r="M14">
            <v>50</v>
          </cell>
          <cell r="N14">
            <v>50</v>
          </cell>
          <cell r="O14">
            <v>60</v>
          </cell>
          <cell r="P14">
            <v>65</v>
          </cell>
          <cell r="Q14">
            <v>125</v>
          </cell>
          <cell r="R14" t="str">
            <v>- EMD 00-03</v>
          </cell>
          <cell r="U14" t="str">
            <v>Ordnance</v>
          </cell>
          <cell r="X14">
            <v>265</v>
          </cell>
          <cell r="Y14">
            <v>257</v>
          </cell>
          <cell r="AB14" t="str">
            <v>M1A2 Army Upgrade</v>
          </cell>
          <cell r="AD14">
            <v>240</v>
          </cell>
          <cell r="AE14">
            <v>260</v>
          </cell>
          <cell r="AF14">
            <v>260</v>
          </cell>
          <cell r="AG14">
            <v>250</v>
          </cell>
          <cell r="AH14">
            <v>300</v>
          </cell>
          <cell r="AI14">
            <v>300</v>
          </cell>
          <cell r="AJ14">
            <v>300</v>
          </cell>
          <cell r="AK14">
            <v>300</v>
          </cell>
          <cell r="AL14">
            <v>276</v>
          </cell>
          <cell r="AM14">
            <v>250</v>
          </cell>
          <cell r="AN14">
            <v>250</v>
          </cell>
          <cell r="AO14">
            <v>250</v>
          </cell>
          <cell r="AP14">
            <v>150</v>
          </cell>
          <cell r="AQ14">
            <v>0</v>
          </cell>
          <cell r="AV14" t="str">
            <v>- $741MM 3 yr. multiyear expires 2004</v>
          </cell>
          <cell r="AZ14" t="str">
            <v>upgrade ends Aug 04, retrofit M1A2 ends Dec. 04</v>
          </cell>
        </row>
        <row r="15">
          <cell r="A15" t="str">
            <v>Crusader - Eng'g</v>
          </cell>
          <cell r="L15">
            <v>40</v>
          </cell>
          <cell r="M15">
            <v>40</v>
          </cell>
          <cell r="N15">
            <v>50</v>
          </cell>
          <cell r="O15">
            <v>80</v>
          </cell>
          <cell r="P15">
            <v>125</v>
          </cell>
          <cell r="Q15">
            <v>150</v>
          </cell>
          <cell r="R15" t="str">
            <v>- EMD 00-03</v>
          </cell>
          <cell r="U15" t="str">
            <v>Other</v>
          </cell>
          <cell r="W15">
            <v>137</v>
          </cell>
          <cell r="X15">
            <v>284</v>
          </cell>
          <cell r="Y15">
            <v>100</v>
          </cell>
          <cell r="AB15" t="str">
            <v>Stryker Vehicles</v>
          </cell>
          <cell r="AJ15">
            <v>100</v>
          </cell>
          <cell r="AK15">
            <v>250</v>
          </cell>
          <cell r="AL15">
            <v>325</v>
          </cell>
          <cell r="AM15">
            <v>525</v>
          </cell>
          <cell r="AN15">
            <v>610</v>
          </cell>
          <cell r="AO15">
            <v>625</v>
          </cell>
          <cell r="AP15">
            <v>600</v>
          </cell>
          <cell r="AQ15">
            <v>450</v>
          </cell>
          <cell r="AV15" t="str">
            <v xml:space="preserve">- $306MM K thru 2003 (?); $350MM </v>
          </cell>
        </row>
        <row r="16">
          <cell r="A16" t="str">
            <v>Heavy Assault Bridge</v>
          </cell>
          <cell r="M16">
            <v>10</v>
          </cell>
          <cell r="N16">
            <v>35</v>
          </cell>
          <cell r="O16">
            <v>40</v>
          </cell>
          <cell r="P16">
            <v>45</v>
          </cell>
          <cell r="Q16">
            <v>50</v>
          </cell>
          <cell r="U16" t="str">
            <v>AV Total</v>
          </cell>
          <cell r="V16">
            <v>290</v>
          </cell>
          <cell r="W16">
            <v>1026</v>
          </cell>
          <cell r="X16">
            <v>1509</v>
          </cell>
          <cell r="Y16">
            <v>1272</v>
          </cell>
          <cell r="AB16" t="str">
            <v>Prodn tank</v>
          </cell>
          <cell r="AD16">
            <v>90</v>
          </cell>
          <cell r="AE16">
            <v>90</v>
          </cell>
          <cell r="AF16">
            <v>80</v>
          </cell>
          <cell r="AG16">
            <v>80</v>
          </cell>
          <cell r="AH16">
            <v>80</v>
          </cell>
          <cell r="AI16">
            <v>90</v>
          </cell>
          <cell r="AJ16">
            <v>100</v>
          </cell>
          <cell r="AK16">
            <v>100</v>
          </cell>
          <cell r="AL16">
            <v>100</v>
          </cell>
          <cell r="AM16">
            <v>100</v>
          </cell>
          <cell r="AN16">
            <v>100</v>
          </cell>
          <cell r="AO16">
            <v>100</v>
          </cell>
          <cell r="AP16">
            <v>100</v>
          </cell>
          <cell r="AQ16">
            <v>100</v>
          </cell>
          <cell r="AV16" t="str">
            <v>- misc. tank repair work</v>
          </cell>
        </row>
        <row r="17">
          <cell r="A17" t="str">
            <v>Services</v>
          </cell>
          <cell r="E17">
            <v>96</v>
          </cell>
          <cell r="F17">
            <v>81</v>
          </cell>
          <cell r="G17">
            <v>92</v>
          </cell>
          <cell r="H17">
            <v>80</v>
          </cell>
          <cell r="I17">
            <v>75</v>
          </cell>
          <cell r="J17">
            <v>75</v>
          </cell>
          <cell r="K17">
            <v>70</v>
          </cell>
          <cell r="L17">
            <v>90</v>
          </cell>
          <cell r="M17">
            <v>85</v>
          </cell>
          <cell r="N17">
            <v>80</v>
          </cell>
          <cell r="O17">
            <v>45</v>
          </cell>
          <cell r="P17">
            <v>45</v>
          </cell>
          <cell r="Q17">
            <v>45</v>
          </cell>
          <cell r="R17" t="str">
            <v>-Kuwait/Saudi</v>
          </cell>
          <cell r="AB17" t="str">
            <v>Engine work</v>
          </cell>
          <cell r="AI17">
            <v>25</v>
          </cell>
          <cell r="AJ17">
            <v>40</v>
          </cell>
          <cell r="AK17">
            <v>50</v>
          </cell>
          <cell r="AL17">
            <v>70</v>
          </cell>
          <cell r="AM17">
            <v>70</v>
          </cell>
          <cell r="AN17">
            <v>70</v>
          </cell>
          <cell r="AO17">
            <v>70</v>
          </cell>
          <cell r="AP17">
            <v>70</v>
          </cell>
          <cell r="AQ17">
            <v>70</v>
          </cell>
          <cell r="AV17" t="str">
            <v>- Propulsion (diesel) upgrades</v>
          </cell>
        </row>
        <row r="18">
          <cell r="A18" t="str">
            <v>Sincgars</v>
          </cell>
          <cell r="G18">
            <v>10</v>
          </cell>
          <cell r="H18">
            <v>12</v>
          </cell>
          <cell r="I18">
            <v>31</v>
          </cell>
          <cell r="J18">
            <v>64</v>
          </cell>
          <cell r="K18">
            <v>125</v>
          </cell>
          <cell r="L18">
            <v>130</v>
          </cell>
          <cell r="M18">
            <v>125</v>
          </cell>
          <cell r="N18">
            <v>100</v>
          </cell>
          <cell r="O18">
            <v>0</v>
          </cell>
          <cell r="P18">
            <v>0</v>
          </cell>
          <cell r="Q18">
            <v>0</v>
          </cell>
          <cell r="R18" t="str">
            <v xml:space="preserve">-Lost single up </v>
          </cell>
          <cell r="U18" t="str">
            <v>DDA</v>
          </cell>
          <cell r="V18">
            <v>7</v>
          </cell>
          <cell r="W18">
            <v>12</v>
          </cell>
          <cell r="X18">
            <v>36</v>
          </cell>
          <cell r="Y18">
            <v>27</v>
          </cell>
          <cell r="AB18" t="str">
            <v>Fox</v>
          </cell>
          <cell r="AD18" t="str">
            <v>--</v>
          </cell>
          <cell r="AE18">
            <v>30</v>
          </cell>
          <cell r="AF18">
            <v>180</v>
          </cell>
          <cell r="AG18">
            <v>60</v>
          </cell>
          <cell r="AH18">
            <v>34.5</v>
          </cell>
          <cell r="AI18">
            <v>35</v>
          </cell>
          <cell r="AJ18">
            <v>65</v>
          </cell>
          <cell r="AK18">
            <v>30</v>
          </cell>
          <cell r="AL18">
            <v>30</v>
          </cell>
          <cell r="AM18">
            <v>30</v>
          </cell>
          <cell r="AN18">
            <v>30</v>
          </cell>
          <cell r="AO18">
            <v>30</v>
          </cell>
          <cell r="AP18">
            <v>30</v>
          </cell>
          <cell r="AQ18">
            <v>30</v>
          </cell>
          <cell r="AV18" t="str">
            <v>- foreign sls potential</v>
          </cell>
        </row>
        <row r="19">
          <cell r="A19" t="str">
            <v xml:space="preserve"> Total Revs</v>
          </cell>
          <cell r="B19">
            <v>1128</v>
          </cell>
          <cell r="C19">
            <v>1043</v>
          </cell>
          <cell r="D19">
            <v>1001</v>
          </cell>
          <cell r="E19">
            <v>1085</v>
          </cell>
          <cell r="F19">
            <v>1088</v>
          </cell>
          <cell r="G19">
            <v>1157</v>
          </cell>
          <cell r="H19">
            <v>1257</v>
          </cell>
          <cell r="I19">
            <v>1286</v>
          </cell>
          <cell r="J19">
            <v>1184</v>
          </cell>
          <cell r="K19">
            <v>1050</v>
          </cell>
          <cell r="L19">
            <v>1025</v>
          </cell>
          <cell r="M19">
            <v>975</v>
          </cell>
          <cell r="N19">
            <v>975</v>
          </cell>
          <cell r="O19">
            <v>940</v>
          </cell>
          <cell r="P19">
            <v>965</v>
          </cell>
          <cell r="Q19">
            <v>1185</v>
          </cell>
          <cell r="U19" t="str">
            <v>Capex</v>
          </cell>
          <cell r="V19" t="str">
            <v>--</v>
          </cell>
          <cell r="W19">
            <v>14</v>
          </cell>
          <cell r="X19">
            <v>17</v>
          </cell>
          <cell r="Y19">
            <v>18</v>
          </cell>
          <cell r="AB19" t="str">
            <v>Heavy Assault Bridge</v>
          </cell>
          <cell r="AF19">
            <v>15</v>
          </cell>
          <cell r="AG19">
            <v>35</v>
          </cell>
          <cell r="AH19">
            <v>40</v>
          </cell>
          <cell r="AI19">
            <v>45</v>
          </cell>
          <cell r="AJ19">
            <v>50</v>
          </cell>
          <cell r="AK19">
            <v>20</v>
          </cell>
          <cell r="AL19">
            <v>20</v>
          </cell>
          <cell r="AM19">
            <v>10</v>
          </cell>
          <cell r="AN19">
            <v>0</v>
          </cell>
          <cell r="AO19">
            <v>0</v>
          </cell>
          <cell r="AP19">
            <v>0</v>
          </cell>
          <cell r="AQ19">
            <v>0</v>
          </cell>
        </row>
        <row r="20">
          <cell r="U20" t="str">
            <v>Assets</v>
          </cell>
          <cell r="V20">
            <v>927</v>
          </cell>
          <cell r="W20">
            <v>336</v>
          </cell>
          <cell r="X20">
            <v>974</v>
          </cell>
          <cell r="Y20">
            <v>923</v>
          </cell>
          <cell r="AB20" t="str">
            <v>Crusader</v>
          </cell>
          <cell r="AD20" t="str">
            <v>--</v>
          </cell>
          <cell r="AE20">
            <v>40</v>
          </cell>
          <cell r="AF20">
            <v>40</v>
          </cell>
          <cell r="AG20">
            <v>50</v>
          </cell>
          <cell r="AH20">
            <v>80</v>
          </cell>
          <cell r="AI20">
            <v>120</v>
          </cell>
          <cell r="AJ20">
            <v>135</v>
          </cell>
          <cell r="AK20">
            <v>180</v>
          </cell>
          <cell r="AL20">
            <v>50</v>
          </cell>
          <cell r="AM20">
            <v>0</v>
          </cell>
          <cell r="AN20">
            <v>0</v>
          </cell>
          <cell r="AO20">
            <v>0</v>
          </cell>
          <cell r="AP20">
            <v>0</v>
          </cell>
          <cell r="AQ20">
            <v>0</v>
          </cell>
          <cell r="AV20" t="str">
            <v>- Canceled</v>
          </cell>
        </row>
        <row r="21">
          <cell r="A21" t="str">
            <v>% Ch.</v>
          </cell>
          <cell r="C21">
            <v>-7.5354609929078054E-2</v>
          </cell>
          <cell r="D21">
            <v>-4.0268456375838979E-2</v>
          </cell>
          <cell r="E21">
            <v>8.3916083916083961E-2</v>
          </cell>
          <cell r="F21">
            <v>2.7649769585254003E-3</v>
          </cell>
          <cell r="G21">
            <v>6.3419117647058876E-2</v>
          </cell>
          <cell r="H21">
            <v>8.6430423509075149E-2</v>
          </cell>
          <cell r="I21">
            <v>2.3070803500397696E-2</v>
          </cell>
          <cell r="J21">
            <v>-7.9315707620528753E-2</v>
          </cell>
          <cell r="K21">
            <v>-0.11317567567567566</v>
          </cell>
          <cell r="L21">
            <v>-2.3809523809523836E-2</v>
          </cell>
          <cell r="M21">
            <v>-4.8780487804878092E-2</v>
          </cell>
          <cell r="N21">
            <v>0</v>
          </cell>
          <cell r="O21">
            <v>-3.5897435897435881E-2</v>
          </cell>
          <cell r="P21">
            <v>2.659574468085113E-2</v>
          </cell>
          <cell r="Q21">
            <v>0.22797927461139889</v>
          </cell>
          <cell r="U21" t="str">
            <v>ROA</v>
          </cell>
          <cell r="V21">
            <v>0.31283710895361383</v>
          </cell>
          <cell r="W21">
            <v>3.0535714285714284</v>
          </cell>
          <cell r="X21">
            <v>1.5492813141683779</v>
          </cell>
          <cell r="Y21">
            <v>1.3781148429035752</v>
          </cell>
          <cell r="AB21" t="str">
            <v>AAAV</v>
          </cell>
          <cell r="AD21" t="str">
            <v>--</v>
          </cell>
          <cell r="AE21">
            <v>15</v>
          </cell>
          <cell r="AF21">
            <v>50</v>
          </cell>
          <cell r="AG21">
            <v>50</v>
          </cell>
          <cell r="AH21">
            <v>40</v>
          </cell>
          <cell r="AI21">
            <v>50</v>
          </cell>
          <cell r="AJ21">
            <v>100</v>
          </cell>
          <cell r="AK21">
            <v>200</v>
          </cell>
          <cell r="AL21">
            <v>225</v>
          </cell>
          <cell r="AM21">
            <v>325</v>
          </cell>
          <cell r="AN21">
            <v>450</v>
          </cell>
          <cell r="AO21">
            <v>550</v>
          </cell>
          <cell r="AP21">
            <v>665</v>
          </cell>
          <cell r="AQ21">
            <v>775</v>
          </cell>
          <cell r="AV21" t="str">
            <v>- LRIP in 04, full rate in 2006</v>
          </cell>
        </row>
        <row r="22">
          <cell r="A22" t="str">
            <v>Adj. Op Prof.</v>
          </cell>
          <cell r="B22">
            <v>86</v>
          </cell>
          <cell r="C22">
            <v>72</v>
          </cell>
          <cell r="D22">
            <v>74</v>
          </cell>
          <cell r="E22">
            <v>114</v>
          </cell>
          <cell r="F22">
            <v>102</v>
          </cell>
          <cell r="G22">
            <v>103</v>
          </cell>
          <cell r="H22">
            <v>122</v>
          </cell>
          <cell r="I22">
            <v>165</v>
          </cell>
          <cell r="J22">
            <v>140</v>
          </cell>
          <cell r="K22">
            <v>140</v>
          </cell>
          <cell r="L22">
            <v>136</v>
          </cell>
          <cell r="M22">
            <v>138</v>
          </cell>
          <cell r="N22">
            <v>136</v>
          </cell>
          <cell r="O22">
            <v>135</v>
          </cell>
          <cell r="P22">
            <v>135</v>
          </cell>
          <cell r="Q22">
            <v>169</v>
          </cell>
          <cell r="R22" t="str">
            <v>- $10-20MM= svgs from Muskegon</v>
          </cell>
          <cell r="AB22" t="str">
            <v>Objective Force Warrior</v>
          </cell>
          <cell r="AL22">
            <v>20</v>
          </cell>
          <cell r="AM22">
            <v>50</v>
          </cell>
          <cell r="AN22">
            <v>50</v>
          </cell>
          <cell r="AO22">
            <v>250</v>
          </cell>
          <cell r="AP22">
            <v>300</v>
          </cell>
          <cell r="AQ22">
            <v>350</v>
          </cell>
          <cell r="AV22" t="str">
            <v>- Prime, ruggedize, work w/ Stryker, long term potential 1-3B over ten years (Est. 2006-2015)</v>
          </cell>
        </row>
        <row r="23">
          <cell r="A23" t="str">
            <v xml:space="preserve">  %Sales</v>
          </cell>
          <cell r="B23">
            <v>7.6241134751773049E-2</v>
          </cell>
          <cell r="C23">
            <v>6.9031639501438161E-2</v>
          </cell>
          <cell r="D23">
            <v>7.3926073926073921E-2</v>
          </cell>
          <cell r="E23">
            <v>0.10506912442396313</v>
          </cell>
          <cell r="F23">
            <v>9.375E-2</v>
          </cell>
          <cell r="G23">
            <v>8.9023336214347451E-2</v>
          </cell>
          <cell r="H23">
            <v>9.7056483691328563E-2</v>
          </cell>
          <cell r="I23">
            <v>0.12830482115085537</v>
          </cell>
          <cell r="J23">
            <v>0.11824324324324324</v>
          </cell>
          <cell r="K23">
            <v>0.13333333333333333</v>
          </cell>
          <cell r="L23">
            <v>0.1326829268292683</v>
          </cell>
          <cell r="M23">
            <v>0.14153846153846153</v>
          </cell>
          <cell r="N23">
            <v>0.13948717948717948</v>
          </cell>
          <cell r="O23">
            <v>0.14361702127659576</v>
          </cell>
          <cell r="P23">
            <v>0.13989637305699482</v>
          </cell>
          <cell r="Q23">
            <v>0.14261603375527426</v>
          </cell>
          <cell r="R23" t="str">
            <v>- 16%+ mgn foreign tanks boost mix</v>
          </cell>
          <cell r="AB23" t="str">
            <v>Future Combat Systems</v>
          </cell>
          <cell r="AL23">
            <v>75</v>
          </cell>
          <cell r="AM23">
            <v>125</v>
          </cell>
          <cell r="AN23">
            <v>225</v>
          </cell>
          <cell r="AO23">
            <v>320</v>
          </cell>
          <cell r="AP23">
            <v>400</v>
          </cell>
          <cell r="AQ23">
            <v>500</v>
          </cell>
          <cell r="AV23" t="str">
            <v>- subcontractor to BA, initial deliver 2008, IOC 2010</v>
          </cell>
        </row>
        <row r="24">
          <cell r="AB24" t="str">
            <v>Objective Crew Served Weapon</v>
          </cell>
          <cell r="AV24" t="str">
            <v>- should this be moved to IST?</v>
          </cell>
        </row>
        <row r="25">
          <cell r="AB25" t="str">
            <v>GM Defense</v>
          </cell>
          <cell r="AL25">
            <v>980</v>
          </cell>
          <cell r="AM25">
            <v>1060</v>
          </cell>
          <cell r="AN25">
            <v>1090</v>
          </cell>
          <cell r="AO25">
            <v>1144.5</v>
          </cell>
          <cell r="AP25">
            <v>1201.7250000000001</v>
          </cell>
          <cell r="AQ25">
            <v>1261.8112500000002</v>
          </cell>
          <cell r="AV25" t="str">
            <v>-4-5% growth reasonable according to IR</v>
          </cell>
        </row>
        <row r="26">
          <cell r="A26" t="str">
            <v>G/W Amort</v>
          </cell>
          <cell r="B26">
            <v>-34</v>
          </cell>
          <cell r="C26">
            <v>-43</v>
          </cell>
          <cell r="D26">
            <v>-35.325000000000003</v>
          </cell>
          <cell r="E26">
            <v>-32</v>
          </cell>
          <cell r="F26">
            <v>-30</v>
          </cell>
          <cell r="G26">
            <v>-2</v>
          </cell>
          <cell r="AB26" t="str">
            <v>AIMXX21</v>
          </cell>
          <cell r="AG26">
            <v>5</v>
          </cell>
          <cell r="AH26">
            <v>20</v>
          </cell>
          <cell r="AI26">
            <v>50</v>
          </cell>
          <cell r="AJ26">
            <v>80</v>
          </cell>
          <cell r="AK26">
            <v>115</v>
          </cell>
          <cell r="AL26">
            <v>115</v>
          </cell>
          <cell r="AM26">
            <v>120</v>
          </cell>
          <cell r="AN26">
            <v>120</v>
          </cell>
          <cell r="AO26">
            <v>120</v>
          </cell>
          <cell r="AP26">
            <v>120</v>
          </cell>
          <cell r="AQ26">
            <v>102</v>
          </cell>
          <cell r="AV26" t="str">
            <v>- Myles can you work on seeing if you can get better clarity on this program and its vols?</v>
          </cell>
        </row>
        <row r="27">
          <cell r="A27" t="str">
            <v>Op. Profit</v>
          </cell>
          <cell r="B27">
            <v>52</v>
          </cell>
          <cell r="C27">
            <v>29</v>
          </cell>
          <cell r="D27">
            <v>38.674999999999997</v>
          </cell>
          <cell r="E27">
            <v>82</v>
          </cell>
          <cell r="F27">
            <v>72</v>
          </cell>
          <cell r="G27">
            <v>101</v>
          </cell>
          <cell r="H27">
            <v>122</v>
          </cell>
          <cell r="I27">
            <v>165</v>
          </cell>
          <cell r="J27">
            <v>140</v>
          </cell>
          <cell r="K27">
            <v>140</v>
          </cell>
          <cell r="L27">
            <v>136</v>
          </cell>
          <cell r="M27">
            <v>138</v>
          </cell>
          <cell r="N27">
            <v>136</v>
          </cell>
          <cell r="O27">
            <v>135</v>
          </cell>
          <cell r="P27">
            <v>135</v>
          </cell>
          <cell r="Q27">
            <v>169</v>
          </cell>
          <cell r="AB27" t="str">
            <v>SINCGARS</v>
          </cell>
          <cell r="AD27">
            <v>125</v>
          </cell>
          <cell r="AE27">
            <v>130</v>
          </cell>
          <cell r="AF27">
            <v>125</v>
          </cell>
          <cell r="AG27">
            <v>100</v>
          </cell>
          <cell r="AH27">
            <v>0</v>
          </cell>
          <cell r="AI27">
            <v>0</v>
          </cell>
          <cell r="AJ27">
            <v>0</v>
          </cell>
          <cell r="AK27">
            <v>0</v>
          </cell>
          <cell r="AL27">
            <v>0</v>
          </cell>
          <cell r="AM27">
            <v>0</v>
          </cell>
          <cell r="AN27">
            <v>0</v>
          </cell>
          <cell r="AO27">
            <v>0</v>
          </cell>
          <cell r="AP27">
            <v>0</v>
          </cell>
          <cell r="AQ27">
            <v>0</v>
          </cell>
          <cell r="AV27" t="str">
            <v>- Lost to ITT</v>
          </cell>
        </row>
        <row r="28">
          <cell r="A28" t="str">
            <v xml:space="preserve">  %Sales</v>
          </cell>
          <cell r="B28">
            <v>4.6099290780141841E-2</v>
          </cell>
          <cell r="C28">
            <v>2.7804410354745925E-2</v>
          </cell>
          <cell r="D28">
            <v>3.8636363636363635E-2</v>
          </cell>
          <cell r="E28">
            <v>7.5576036866359442E-2</v>
          </cell>
          <cell r="F28">
            <v>6.6176470588235295E-2</v>
          </cell>
          <cell r="G28">
            <v>8.729472774416594E-2</v>
          </cell>
          <cell r="H28">
            <v>9.7056483691328563E-2</v>
          </cell>
          <cell r="I28">
            <v>0.12830482115085537</v>
          </cell>
          <cell r="J28">
            <v>0.11824324324324324</v>
          </cell>
          <cell r="K28">
            <v>0.13333333333333333</v>
          </cell>
          <cell r="L28">
            <v>0.1326829268292683</v>
          </cell>
          <cell r="M28">
            <v>0.14153846153846153</v>
          </cell>
          <cell r="N28">
            <v>0.13948717948717948</v>
          </cell>
          <cell r="O28">
            <v>0.14361702127659576</v>
          </cell>
          <cell r="P28">
            <v>0.13989637305699482</v>
          </cell>
          <cell r="Q28">
            <v>0.14261603375527426</v>
          </cell>
          <cell r="AB28" t="str">
            <v>Combat Eng Veh</v>
          </cell>
          <cell r="AE28">
            <v>15</v>
          </cell>
          <cell r="AF28">
            <v>15</v>
          </cell>
          <cell r="AG28">
            <v>15</v>
          </cell>
          <cell r="AH28">
            <v>15</v>
          </cell>
          <cell r="AI28">
            <v>25</v>
          </cell>
          <cell r="AJ28">
            <v>25</v>
          </cell>
          <cell r="AK28">
            <v>25</v>
          </cell>
          <cell r="AL28">
            <v>25</v>
          </cell>
          <cell r="AM28">
            <v>25</v>
          </cell>
          <cell r="AN28">
            <v>25</v>
          </cell>
          <cell r="AO28">
            <v>25</v>
          </cell>
          <cell r="AP28">
            <v>25</v>
          </cell>
          <cell r="AQ28">
            <v>25</v>
          </cell>
          <cell r="AV28" t="str">
            <v>- R&amp;D program</v>
          </cell>
        </row>
        <row r="29">
          <cell r="A29" t="str">
            <v>Defense/Arm Systems</v>
          </cell>
          <cell r="AB29" t="str">
            <v>Support services</v>
          </cell>
          <cell r="AD29">
            <v>70</v>
          </cell>
          <cell r="AE29">
            <v>90</v>
          </cell>
          <cell r="AF29">
            <v>90</v>
          </cell>
          <cell r="AG29">
            <v>80</v>
          </cell>
          <cell r="AH29">
            <v>45</v>
          </cell>
          <cell r="AI29">
            <v>45</v>
          </cell>
          <cell r="AJ29">
            <v>45</v>
          </cell>
          <cell r="AK29">
            <v>45</v>
          </cell>
          <cell r="AL29">
            <v>20</v>
          </cell>
          <cell r="AM29">
            <v>20</v>
          </cell>
          <cell r="AN29">
            <v>20</v>
          </cell>
          <cell r="AO29">
            <v>20</v>
          </cell>
          <cell r="AP29">
            <v>20</v>
          </cell>
          <cell r="AQ29">
            <v>20</v>
          </cell>
          <cell r="AV29" t="str">
            <v>- Middle East, drops off 50% if no new contracts</v>
          </cell>
        </row>
        <row r="30">
          <cell r="AB30" t="str">
            <v>Dragoon/Pandur</v>
          </cell>
          <cell r="AH30">
            <v>15</v>
          </cell>
          <cell r="AI30">
            <v>20</v>
          </cell>
          <cell r="AJ30">
            <v>20</v>
          </cell>
          <cell r="AK30">
            <v>40</v>
          </cell>
          <cell r="AL30">
            <v>50</v>
          </cell>
          <cell r="AM30">
            <v>100</v>
          </cell>
          <cell r="AN30">
            <v>120</v>
          </cell>
          <cell r="AO30">
            <v>120</v>
          </cell>
          <cell r="AP30">
            <v>150</v>
          </cell>
          <cell r="AQ30">
            <v>150</v>
          </cell>
          <cell r="AV30" t="str">
            <v>- lt army, hvy Police vehs, 4-6 wheeled vehs</v>
          </cell>
        </row>
        <row r="31">
          <cell r="A31" t="str">
            <v>Defense Systems</v>
          </cell>
          <cell r="M31">
            <v>250</v>
          </cell>
          <cell r="N31">
            <v>95</v>
          </cell>
          <cell r="O31">
            <v>125</v>
          </cell>
          <cell r="P31">
            <v>140</v>
          </cell>
          <cell r="Q31">
            <v>175</v>
          </cell>
          <cell r="AB31" t="str">
            <v>Armament systems</v>
          </cell>
          <cell r="AF31">
            <v>284</v>
          </cell>
          <cell r="AG31">
            <v>295</v>
          </cell>
          <cell r="AH31">
            <v>360</v>
          </cell>
          <cell r="AI31">
            <v>280</v>
          </cell>
          <cell r="AJ31">
            <v>275</v>
          </cell>
          <cell r="AK31">
            <v>285</v>
          </cell>
          <cell r="AL31">
            <v>285</v>
          </cell>
          <cell r="AM31">
            <v>350</v>
          </cell>
          <cell r="AN31">
            <v>380</v>
          </cell>
          <cell r="AO31">
            <v>350</v>
          </cell>
          <cell r="AP31">
            <v>350</v>
          </cell>
          <cell r="AQ31">
            <v>350</v>
          </cell>
          <cell r="AV31" t="str">
            <v>- Hydra rocket primary driver..Hydra $834MM order from 1999-3/2006</v>
          </cell>
        </row>
        <row r="32">
          <cell r="AB32" t="str">
            <v>ATPS</v>
          </cell>
          <cell r="AK32">
            <v>130</v>
          </cell>
          <cell r="AL32">
            <v>225</v>
          </cell>
          <cell r="AM32">
            <v>245</v>
          </cell>
          <cell r="AN32">
            <v>275</v>
          </cell>
          <cell r="AO32">
            <v>285</v>
          </cell>
          <cell r="AP32">
            <v>300</v>
          </cell>
          <cell r="AQ32">
            <v>315</v>
          </cell>
          <cell r="AV32" t="str">
            <v>- acq'd 2002, adv'd tech prods sys</v>
          </cell>
        </row>
        <row r="33">
          <cell r="A33" t="str">
            <v>Armament Systems</v>
          </cell>
          <cell r="M33">
            <v>284</v>
          </cell>
          <cell r="N33">
            <v>200</v>
          </cell>
          <cell r="O33">
            <v>235</v>
          </cell>
          <cell r="P33">
            <v>295</v>
          </cell>
          <cell r="Q33">
            <v>320</v>
          </cell>
          <cell r="AB33" t="str">
            <v>Other Eng'g</v>
          </cell>
          <cell r="AD33">
            <v>175</v>
          </cell>
          <cell r="AE33">
            <v>236</v>
          </cell>
          <cell r="AF33">
            <v>295</v>
          </cell>
          <cell r="AG33">
            <v>252</v>
          </cell>
          <cell r="AH33">
            <v>260</v>
          </cell>
          <cell r="AI33">
            <v>190</v>
          </cell>
          <cell r="AJ33">
            <v>152</v>
          </cell>
          <cell r="AK33">
            <v>150</v>
          </cell>
          <cell r="AL33">
            <v>150</v>
          </cell>
          <cell r="AM33">
            <v>150</v>
          </cell>
          <cell r="AN33">
            <v>300</v>
          </cell>
          <cell r="AO33">
            <v>400</v>
          </cell>
          <cell r="AP33">
            <v>400</v>
          </cell>
          <cell r="AQ33">
            <v>400</v>
          </cell>
          <cell r="AV33" t="str">
            <v>- 97 some in Fox prog</v>
          </cell>
        </row>
        <row r="34">
          <cell r="A34" t="str">
            <v>Total</v>
          </cell>
          <cell r="M34">
            <v>534</v>
          </cell>
          <cell r="N34">
            <v>295</v>
          </cell>
          <cell r="O34">
            <v>360</v>
          </cell>
          <cell r="P34">
            <v>435</v>
          </cell>
          <cell r="Q34">
            <v>495</v>
          </cell>
          <cell r="R34" t="str">
            <v>- fire control/naval training moved to Marine</v>
          </cell>
          <cell r="AB34" t="str">
            <v>subtotal</v>
          </cell>
          <cell r="AD34">
            <v>1050</v>
          </cell>
          <cell r="AE34">
            <v>1026</v>
          </cell>
          <cell r="AF34">
            <v>1509</v>
          </cell>
          <cell r="AG34">
            <v>1272</v>
          </cell>
          <cell r="AH34">
            <v>1289.5</v>
          </cell>
          <cell r="AI34">
            <v>1275</v>
          </cell>
          <cell r="AJ34">
            <v>1562</v>
          </cell>
          <cell r="AK34">
            <v>2000</v>
          </cell>
          <cell r="AL34">
            <v>3191</v>
          </cell>
          <cell r="AM34">
            <v>3630</v>
          </cell>
          <cell r="AN34">
            <v>4140</v>
          </cell>
          <cell r="AO34">
            <v>4684.5</v>
          </cell>
          <cell r="AP34">
            <v>4906.7250000000004</v>
          </cell>
          <cell r="AQ34">
            <v>4923.8112500000007</v>
          </cell>
        </row>
        <row r="35">
          <cell r="A35" t="str">
            <v>Adj. Op Prof.</v>
          </cell>
          <cell r="M35">
            <v>60</v>
          </cell>
          <cell r="N35">
            <v>40</v>
          </cell>
          <cell r="O35">
            <v>48</v>
          </cell>
          <cell r="P35">
            <v>61</v>
          </cell>
          <cell r="Q35">
            <v>69</v>
          </cell>
          <cell r="AB35" t="str">
            <v>Primex</v>
          </cell>
          <cell r="AJ35">
            <v>530</v>
          </cell>
          <cell r="AK35">
            <v>623</v>
          </cell>
          <cell r="AL35">
            <v>650</v>
          </cell>
          <cell r="AM35">
            <v>745</v>
          </cell>
          <cell r="AN35">
            <v>800</v>
          </cell>
          <cell r="AO35">
            <v>850</v>
          </cell>
          <cell r="AP35">
            <v>865</v>
          </cell>
          <cell r="AQ35">
            <v>885</v>
          </cell>
          <cell r="AV35" t="str">
            <v>- acq'd in 2000</v>
          </cell>
        </row>
        <row r="36">
          <cell r="A36" t="str">
            <v xml:space="preserve">  %Sales</v>
          </cell>
          <cell r="M36">
            <v>0.11235955056179775</v>
          </cell>
          <cell r="N36">
            <v>0.13559322033898305</v>
          </cell>
          <cell r="O36">
            <v>0.13333333333333333</v>
          </cell>
          <cell r="P36">
            <v>0.14022988505747128</v>
          </cell>
          <cell r="Q36">
            <v>0.1393939393939394</v>
          </cell>
          <cell r="AB36" t="str">
            <v>Santa Barbara</v>
          </cell>
          <cell r="AJ36">
            <v>118</v>
          </cell>
          <cell r="AK36">
            <v>300</v>
          </cell>
          <cell r="AL36">
            <v>325</v>
          </cell>
          <cell r="AM36">
            <v>350</v>
          </cell>
          <cell r="AN36">
            <v>400</v>
          </cell>
          <cell r="AO36">
            <v>400</v>
          </cell>
          <cell r="AP36">
            <v>425</v>
          </cell>
          <cell r="AQ36">
            <v>425</v>
          </cell>
          <cell r="AV36" t="str">
            <v>- 2001 Backlog $1.6B; 235 Main Leopard Battle Tanks 2002-08; 48 Pizarro infantry fighting vehicles</v>
          </cell>
        </row>
        <row r="37">
          <cell r="A37" t="str">
            <v>G/W Amort</v>
          </cell>
          <cell r="M37">
            <v>-11</v>
          </cell>
          <cell r="N37">
            <v>-11</v>
          </cell>
          <cell r="O37">
            <v>-11</v>
          </cell>
          <cell r="P37">
            <v>-11</v>
          </cell>
          <cell r="Q37">
            <v>-11</v>
          </cell>
          <cell r="R37" t="str">
            <v>- $330MM/30 yrs</v>
          </cell>
          <cell r="AB37" t="str">
            <v>Total</v>
          </cell>
          <cell r="AJ37">
            <v>2210</v>
          </cell>
          <cell r="AK37">
            <v>2923</v>
          </cell>
          <cell r="AL37">
            <v>4166</v>
          </cell>
          <cell r="AM37">
            <v>4725</v>
          </cell>
          <cell r="AN37">
            <v>5340</v>
          </cell>
          <cell r="AO37">
            <v>5934.5</v>
          </cell>
          <cell r="AP37">
            <v>6196.7250000000004</v>
          </cell>
          <cell r="AQ37">
            <v>6233.8112500000007</v>
          </cell>
        </row>
        <row r="38">
          <cell r="A38" t="str">
            <v>Op. Profit</v>
          </cell>
          <cell r="M38">
            <v>49</v>
          </cell>
          <cell r="N38">
            <v>29</v>
          </cell>
          <cell r="O38">
            <v>37</v>
          </cell>
          <cell r="P38">
            <v>50</v>
          </cell>
          <cell r="Q38">
            <v>58</v>
          </cell>
          <cell r="AB38" t="str">
            <v>Cushion</v>
          </cell>
          <cell r="AL38">
            <v>-159</v>
          </cell>
          <cell r="AM38">
            <v>-318</v>
          </cell>
          <cell r="AN38">
            <v>-319</v>
          </cell>
          <cell r="AO38">
            <v>48.5</v>
          </cell>
          <cell r="AP38">
            <v>1600.2749999999996</v>
          </cell>
          <cell r="AQ38">
            <v>1960.1887499999993</v>
          </cell>
        </row>
        <row r="39">
          <cell r="A39" t="str">
            <v xml:space="preserve">  %Sales</v>
          </cell>
          <cell r="M39">
            <v>9.1760299625468167E-2</v>
          </cell>
          <cell r="N39">
            <v>9.8305084745762716E-2</v>
          </cell>
          <cell r="O39">
            <v>0.10277777777777777</v>
          </cell>
          <cell r="P39">
            <v>0.11494252873563218</v>
          </cell>
          <cell r="Q39">
            <v>0.11717171717171718</v>
          </cell>
          <cell r="AB39" t="str">
            <v>vs. Main ---&gt;</v>
          </cell>
          <cell r="AD39">
            <v>1050</v>
          </cell>
          <cell r="AE39">
            <v>1026</v>
          </cell>
          <cell r="AF39">
            <v>1387</v>
          </cell>
          <cell r="AG39">
            <v>1272</v>
          </cell>
          <cell r="AH39">
            <v>1290</v>
          </cell>
          <cell r="AI39">
            <v>1273</v>
          </cell>
          <cell r="AJ39">
            <v>2210</v>
          </cell>
          <cell r="AK39">
            <v>2786</v>
          </cell>
          <cell r="AL39">
            <v>4007</v>
          </cell>
          <cell r="AM39">
            <v>4407</v>
          </cell>
          <cell r="AN39">
            <v>5021</v>
          </cell>
          <cell r="AO39">
            <v>5983</v>
          </cell>
          <cell r="AP39">
            <v>7797</v>
          </cell>
          <cell r="AQ39">
            <v>8194</v>
          </cell>
        </row>
        <row r="40">
          <cell r="A40" t="str">
            <v>TOTAL COMBAT REVS</v>
          </cell>
          <cell r="K40">
            <v>1050</v>
          </cell>
          <cell r="L40">
            <v>1025</v>
          </cell>
          <cell r="M40">
            <v>1509</v>
          </cell>
          <cell r="N40">
            <v>1270</v>
          </cell>
          <cell r="O40">
            <v>1300</v>
          </cell>
          <cell r="P40">
            <v>1400</v>
          </cell>
          <cell r="Q40">
            <v>1680</v>
          </cell>
        </row>
        <row r="41">
          <cell r="AB41" t="str">
            <v>Op Profit pre GW</v>
          </cell>
          <cell r="AF41">
            <v>190</v>
          </cell>
          <cell r="AG41">
            <v>177</v>
          </cell>
          <cell r="AH41">
            <v>166</v>
          </cell>
          <cell r="AI41">
            <v>167</v>
          </cell>
          <cell r="AJ41">
            <v>249</v>
          </cell>
          <cell r="AK41">
            <v>309</v>
          </cell>
          <cell r="AL41">
            <v>458</v>
          </cell>
          <cell r="AM41">
            <v>538.65</v>
          </cell>
          <cell r="AN41">
            <v>634.92600000000004</v>
          </cell>
          <cell r="AO41">
            <v>735.28454999999997</v>
          </cell>
          <cell r="AP41">
            <v>827.88246000000004</v>
          </cell>
          <cell r="AQ41">
            <v>854.65552237500003</v>
          </cell>
        </row>
        <row r="42">
          <cell r="AB42" t="str">
            <v>% Sls</v>
          </cell>
          <cell r="AK42">
            <v>0.11091170136396267</v>
          </cell>
          <cell r="AL42">
            <v>0.11429997504367358</v>
          </cell>
          <cell r="AM42">
            <v>0.114</v>
          </cell>
          <cell r="AN42">
            <v>0.11890000000000001</v>
          </cell>
          <cell r="AO42">
            <v>0.1239</v>
          </cell>
          <cell r="AP42">
            <v>0.1336</v>
          </cell>
          <cell r="AQ42">
            <v>0.1371</v>
          </cell>
        </row>
        <row r="43">
          <cell r="A43" t="str">
            <v>Per Above</v>
          </cell>
          <cell r="L43">
            <v>1026</v>
          </cell>
          <cell r="M43">
            <v>1387</v>
          </cell>
          <cell r="N43">
            <v>1272</v>
          </cell>
          <cell r="O43">
            <v>1290</v>
          </cell>
          <cell r="P43">
            <v>1273</v>
          </cell>
          <cell r="Q43">
            <v>2210</v>
          </cell>
          <cell r="AB43" t="str">
            <v>Cushion</v>
          </cell>
          <cell r="AL43">
            <v>-15</v>
          </cell>
          <cell r="AM43">
            <v>-16.649999999999977</v>
          </cell>
          <cell r="AN43">
            <v>-58.926000000000045</v>
          </cell>
          <cell r="AO43">
            <v>-58.284549999999967</v>
          </cell>
          <cell r="AP43">
            <v>88.117539999999963</v>
          </cell>
          <cell r="AQ43">
            <v>256.34447762499997</v>
          </cell>
        </row>
        <row r="44">
          <cell r="A44" t="str">
            <v>% Ch Revs</v>
          </cell>
          <cell r="M44">
            <v>0.47219512195121949</v>
          </cell>
          <cell r="N44">
            <v>-0.15838303512259777</v>
          </cell>
          <cell r="O44">
            <v>2.3622047244094446E-2</v>
          </cell>
          <cell r="P44">
            <v>7.6923076923076872E-2</v>
          </cell>
          <cell r="Q44">
            <v>0.19999999999999996</v>
          </cell>
          <cell r="AB44" t="str">
            <v>vs. Main ---&gt;</v>
          </cell>
          <cell r="AD44">
            <v>140</v>
          </cell>
          <cell r="AE44">
            <v>140</v>
          </cell>
          <cell r="AF44">
            <v>179</v>
          </cell>
          <cell r="AG44">
            <v>166</v>
          </cell>
          <cell r="AH44">
            <v>155</v>
          </cell>
          <cell r="AI44">
            <v>156</v>
          </cell>
          <cell r="AJ44">
            <v>238</v>
          </cell>
          <cell r="AK44">
            <v>309</v>
          </cell>
          <cell r="AL44">
            <v>443</v>
          </cell>
          <cell r="AM44">
            <v>522</v>
          </cell>
          <cell r="AN44">
            <v>576</v>
          </cell>
          <cell r="AO44">
            <v>677</v>
          </cell>
          <cell r="AP44">
            <v>916</v>
          </cell>
          <cell r="AQ44">
            <v>1111</v>
          </cell>
        </row>
        <row r="45">
          <cell r="A45" t="str">
            <v>Total Combat Op Pr</v>
          </cell>
          <cell r="M45">
            <v>187</v>
          </cell>
          <cell r="N45">
            <v>165</v>
          </cell>
          <cell r="O45">
            <v>172</v>
          </cell>
          <cell r="P45">
            <v>185</v>
          </cell>
          <cell r="Q45">
            <v>227</v>
          </cell>
        </row>
        <row r="46">
          <cell r="A46" t="str">
            <v>Per Above</v>
          </cell>
          <cell r="M46">
            <v>179</v>
          </cell>
          <cell r="N46">
            <v>166</v>
          </cell>
          <cell r="O46">
            <v>155</v>
          </cell>
          <cell r="P46">
            <v>156</v>
          </cell>
          <cell r="Q46">
            <v>238</v>
          </cell>
          <cell r="AB46" t="str">
            <v>GW</v>
          </cell>
          <cell r="AF46">
            <v>-11</v>
          </cell>
          <cell r="AG46">
            <v>-11</v>
          </cell>
          <cell r="AH46">
            <v>-11</v>
          </cell>
          <cell r="AI46">
            <v>-11</v>
          </cell>
          <cell r="AJ46">
            <v>-11</v>
          </cell>
        </row>
        <row r="47">
          <cell r="A47" t="str">
            <v>% Sales</v>
          </cell>
          <cell r="M47">
            <v>0.12392312789927104</v>
          </cell>
          <cell r="N47">
            <v>0.12992125984251968</v>
          </cell>
          <cell r="O47">
            <v>0.13230769230769232</v>
          </cell>
          <cell r="P47">
            <v>0.13214285714285715</v>
          </cell>
          <cell r="Q47">
            <v>0.13511904761904761</v>
          </cell>
          <cell r="AB47" t="str">
            <v>Op Profit post GW</v>
          </cell>
          <cell r="AD47">
            <v>140</v>
          </cell>
          <cell r="AE47">
            <v>140</v>
          </cell>
          <cell r="AF47">
            <v>179</v>
          </cell>
          <cell r="AG47">
            <v>166</v>
          </cell>
          <cell r="AH47">
            <v>155</v>
          </cell>
          <cell r="AI47">
            <v>156</v>
          </cell>
          <cell r="AJ47">
            <v>238</v>
          </cell>
          <cell r="AK47">
            <v>309</v>
          </cell>
        </row>
        <row r="48">
          <cell r="A48" t="str">
            <v>M-1 Delivs</v>
          </cell>
          <cell r="AB48" t="str">
            <v>Op Margin</v>
          </cell>
          <cell r="AD48">
            <v>0.13333333333333333</v>
          </cell>
          <cell r="AE48">
            <v>0.1364522417153996</v>
          </cell>
          <cell r="AF48">
            <v>0.12905551550108146</v>
          </cell>
          <cell r="AG48">
            <v>0.13050314465408805</v>
          </cell>
          <cell r="AH48">
            <v>0.12015503875968993</v>
          </cell>
          <cell r="AI48">
            <v>0.12254516889238021</v>
          </cell>
          <cell r="AJ48">
            <v>0.1076923076923077</v>
          </cell>
        </row>
        <row r="49">
          <cell r="A49" t="str">
            <v xml:space="preserve"> U.S.</v>
          </cell>
          <cell r="B49">
            <v>755</v>
          </cell>
          <cell r="C49">
            <v>947</v>
          </cell>
          <cell r="D49">
            <v>785</v>
          </cell>
          <cell r="E49">
            <v>720</v>
          </cell>
          <cell r="F49">
            <v>718</v>
          </cell>
          <cell r="G49">
            <v>630</v>
          </cell>
          <cell r="H49">
            <v>406</v>
          </cell>
          <cell r="I49">
            <v>122</v>
          </cell>
          <cell r="J49">
            <v>1</v>
          </cell>
          <cell r="K49" t="str">
            <v xml:space="preserve"> </v>
          </cell>
          <cell r="L49" t="str">
            <v xml:space="preserve"> </v>
          </cell>
          <cell r="R49" t="str">
            <v>-Ex prop. HASC add-on for 60</v>
          </cell>
        </row>
        <row r="50">
          <cell r="A50" t="str">
            <v>U.S. M1A2 Upgrades</v>
          </cell>
          <cell r="J50">
            <v>16</v>
          </cell>
          <cell r="K50">
            <v>110</v>
          </cell>
          <cell r="L50">
            <v>112</v>
          </cell>
          <cell r="M50">
            <v>120</v>
          </cell>
          <cell r="N50">
            <v>120</v>
          </cell>
          <cell r="O50">
            <v>120</v>
          </cell>
          <cell r="P50">
            <v>120</v>
          </cell>
          <cell r="Q50">
            <v>120</v>
          </cell>
          <cell r="R50" t="str">
            <v>- 5 yr. multiyear</v>
          </cell>
        </row>
        <row r="51">
          <cell r="A51" t="str">
            <v xml:space="preserve"> Saudi </v>
          </cell>
          <cell r="H51" t="str">
            <v xml:space="preserve"> </v>
          </cell>
          <cell r="I51">
            <v>167</v>
          </cell>
          <cell r="J51">
            <v>148</v>
          </cell>
          <cell r="K51" t="str">
            <v xml:space="preserve"> </v>
          </cell>
          <cell r="L51" t="str">
            <v xml:space="preserve"> </v>
          </cell>
          <cell r="Q51">
            <v>50</v>
          </cell>
          <cell r="R51" t="str">
            <v>-315 approved/ex 150 request</v>
          </cell>
        </row>
        <row r="52">
          <cell r="A52" t="str">
            <v>Kuwait</v>
          </cell>
          <cell r="J52">
            <v>54</v>
          </cell>
          <cell r="K52">
            <v>135</v>
          </cell>
          <cell r="L52">
            <v>29</v>
          </cell>
        </row>
        <row r="53">
          <cell r="A53" t="str">
            <v xml:space="preserve"> Egypt co-prodn</v>
          </cell>
          <cell r="G53">
            <v>19</v>
          </cell>
          <cell r="H53">
            <v>77</v>
          </cell>
          <cell r="I53">
            <v>95</v>
          </cell>
          <cell r="J53">
            <v>98</v>
          </cell>
          <cell r="K53">
            <v>95</v>
          </cell>
          <cell r="L53">
            <v>90</v>
          </cell>
          <cell r="M53">
            <v>31</v>
          </cell>
          <cell r="N53">
            <v>0</v>
          </cell>
          <cell r="Q53">
            <v>10</v>
          </cell>
          <cell r="R53" t="str">
            <v>- expect a complete f/o</v>
          </cell>
          <cell r="AB53" t="str">
            <v>Deliveries</v>
          </cell>
        </row>
        <row r="54">
          <cell r="A54" t="str">
            <v>Other FMS</v>
          </cell>
          <cell r="L54" t="str">
            <v xml:space="preserve"> </v>
          </cell>
          <cell r="M54">
            <v>60</v>
          </cell>
          <cell r="N54">
            <v>60</v>
          </cell>
          <cell r="AB54" t="str">
            <v>AIM21 uits</v>
          </cell>
          <cell r="AI54">
            <v>78</v>
          </cell>
          <cell r="AJ54">
            <v>112</v>
          </cell>
          <cell r="AK54">
            <v>135</v>
          </cell>
          <cell r="AL54">
            <v>135</v>
          </cell>
          <cell r="AM54">
            <v>120</v>
          </cell>
          <cell r="AN54">
            <v>121</v>
          </cell>
          <cell r="AQ54" t="str">
            <v>-$500-800K/unit</v>
          </cell>
        </row>
        <row r="55">
          <cell r="A55" t="str">
            <v>Total</v>
          </cell>
          <cell r="G55">
            <v>649</v>
          </cell>
          <cell r="H55">
            <v>483</v>
          </cell>
          <cell r="I55">
            <v>384</v>
          </cell>
          <cell r="J55">
            <v>317</v>
          </cell>
          <cell r="K55">
            <v>340</v>
          </cell>
          <cell r="L55">
            <v>231</v>
          </cell>
          <cell r="M55">
            <v>211</v>
          </cell>
          <cell r="N55">
            <v>180</v>
          </cell>
          <cell r="O55">
            <v>120</v>
          </cell>
          <cell r="P55">
            <v>120</v>
          </cell>
          <cell r="Q55">
            <v>180</v>
          </cell>
        </row>
        <row r="56">
          <cell r="A56" t="str">
            <v>SINCGARS</v>
          </cell>
          <cell r="J56">
            <v>10764</v>
          </cell>
          <cell r="K56">
            <v>13013</v>
          </cell>
          <cell r="L56">
            <v>10400</v>
          </cell>
          <cell r="M56">
            <v>10264</v>
          </cell>
          <cell r="N56">
            <v>10000</v>
          </cell>
          <cell r="O56">
            <v>0</v>
          </cell>
          <cell r="P56">
            <v>0</v>
          </cell>
          <cell r="Q56">
            <v>0</v>
          </cell>
          <cell r="R56" t="str">
            <v>- lost to ITT</v>
          </cell>
        </row>
        <row r="73">
          <cell r="AY73" t="str">
            <v>Comp Guid</v>
          </cell>
          <cell r="AZ73" t="str">
            <v>Our Est</v>
          </cell>
          <cell r="BA73" t="str">
            <v>Comp Guid</v>
          </cell>
          <cell r="BB73" t="str">
            <v>Our Est</v>
          </cell>
        </row>
        <row r="74">
          <cell r="AE74" t="str">
            <v>checked w/ Ray 3/03</v>
          </cell>
          <cell r="AY74">
            <v>2002</v>
          </cell>
          <cell r="BA74">
            <v>2003</v>
          </cell>
        </row>
        <row r="75">
          <cell r="AB75" t="str">
            <v>GD Combat Systems</v>
          </cell>
          <cell r="AE75" t="str">
            <v>last updated 3/03</v>
          </cell>
          <cell r="AH75" t="str">
            <v>note to self:  make dovetail w/ models above 3/03</v>
          </cell>
          <cell r="AQ75" t="str">
            <v>Armament</v>
          </cell>
          <cell r="BM75" t="str">
            <v>GD Combat Systems</v>
          </cell>
          <cell r="BP75" t="str">
            <v>last updated 4/05</v>
          </cell>
        </row>
        <row r="76">
          <cell r="X76" t="str">
            <v>&gt;12% mgns, mbt=v. hi, service hi sd, egypt coprodn 10% (my guess)</v>
          </cell>
          <cell r="Y76" t="str">
            <v>SEP upgrade/foreign tanks/coprodn Egypt/support/AIMXX1</v>
          </cell>
          <cell r="AQ76" t="str">
            <v>Arman</v>
          </cell>
          <cell r="AZ76">
            <v>285</v>
          </cell>
          <cell r="BB76">
            <v>285</v>
          </cell>
        </row>
        <row r="77">
          <cell r="X77" t="str">
            <v>6-8% mgns</v>
          </cell>
          <cell r="Y77" t="str">
            <v>AAAV partly here/FCS</v>
          </cell>
          <cell r="AB77" t="str">
            <v>Sales</v>
          </cell>
          <cell r="AE77">
            <v>2000</v>
          </cell>
          <cell r="AF77">
            <v>2001</v>
          </cell>
          <cell r="AG77">
            <v>2002</v>
          </cell>
          <cell r="AH77" t="str">
            <v>2003E</v>
          </cell>
          <cell r="AI77" t="str">
            <v>2004E</v>
          </cell>
          <cell r="AJ77" t="str">
            <v>2005E</v>
          </cell>
          <cell r="AK77" t="str">
            <v>Comments</v>
          </cell>
          <cell r="AQ77" t="str">
            <v>ATPS</v>
          </cell>
          <cell r="AY77">
            <v>235</v>
          </cell>
          <cell r="AZ77">
            <v>130</v>
          </cell>
          <cell r="BB77">
            <v>225</v>
          </cell>
          <cell r="BM77" t="str">
            <v>Sales</v>
          </cell>
          <cell r="BP77">
            <v>2000</v>
          </cell>
          <cell r="BQ77">
            <v>2001</v>
          </cell>
          <cell r="BR77">
            <v>2002</v>
          </cell>
          <cell r="BS77" t="str">
            <v>2003</v>
          </cell>
          <cell r="BT77" t="str">
            <v>2004</v>
          </cell>
          <cell r="BU77" t="str">
            <v>2005E</v>
          </cell>
          <cell r="BV77" t="str">
            <v>Comments</v>
          </cell>
        </row>
        <row r="78">
          <cell r="Y78" t="str">
            <v>AAAV a little here/Stryker, reactive armor tile for Bradleys</v>
          </cell>
          <cell r="AB78" t="str">
            <v>Main battle tanks/related</v>
          </cell>
          <cell r="AE78">
            <v>515</v>
          </cell>
          <cell r="AF78">
            <v>624</v>
          </cell>
          <cell r="AG78">
            <v>732</v>
          </cell>
          <cell r="AH78">
            <v>750</v>
          </cell>
          <cell r="AI78">
            <v>700</v>
          </cell>
          <cell r="AJ78">
            <v>650</v>
          </cell>
          <cell r="AK78" t="str">
            <v>- SEP ends 2004, ramps dn ex foreign sls</v>
          </cell>
          <cell r="AQ78" t="str">
            <v>subtotal</v>
          </cell>
          <cell r="AY78">
            <v>700</v>
          </cell>
          <cell r="AZ78">
            <v>415</v>
          </cell>
          <cell r="BA78" t="str">
            <v>700 ('03)</v>
          </cell>
          <cell r="BB78">
            <v>510</v>
          </cell>
          <cell r="BM78" t="str">
            <v>Main battle tanks/related</v>
          </cell>
          <cell r="BP78">
            <v>515</v>
          </cell>
          <cell r="BQ78">
            <v>619</v>
          </cell>
          <cell r="BR78">
            <v>759</v>
          </cell>
          <cell r="BS78">
            <v>799</v>
          </cell>
          <cell r="BT78">
            <v>819</v>
          </cell>
          <cell r="BU78">
            <v>1000</v>
          </cell>
          <cell r="BV78" t="str">
            <v>- SEP ends 2004, ramps dn ex foreign sls</v>
          </cell>
        </row>
        <row r="79">
          <cell r="Y79" t="str">
            <v>primex- bullets/bombs/fuses</v>
          </cell>
          <cell r="AB79" t="str">
            <v>Engin &amp; develop</v>
          </cell>
          <cell r="AE79">
            <v>303</v>
          </cell>
          <cell r="AF79">
            <v>406</v>
          </cell>
          <cell r="AG79">
            <v>590</v>
          </cell>
          <cell r="AH79">
            <v>700</v>
          </cell>
          <cell r="AI79">
            <v>850</v>
          </cell>
          <cell r="AJ79">
            <v>900</v>
          </cell>
          <cell r="AK79" t="str">
            <v>- FCS, AAAV</v>
          </cell>
          <cell r="AQ79" t="str">
            <v>Land sys</v>
          </cell>
          <cell r="BM79" t="str">
            <v>Engin &amp; develop</v>
          </cell>
          <cell r="BP79">
            <v>303</v>
          </cell>
          <cell r="BQ79">
            <v>445</v>
          </cell>
          <cell r="BR79">
            <v>639</v>
          </cell>
          <cell r="BS79">
            <v>639</v>
          </cell>
          <cell r="BT79">
            <v>763</v>
          </cell>
          <cell r="BU79">
            <v>900</v>
          </cell>
          <cell r="BV79" t="str">
            <v>- FCS, AAAV</v>
          </cell>
        </row>
        <row r="80">
          <cell r="Y80" t="str">
            <v>hydra rockets</v>
          </cell>
          <cell r="Z80" t="str">
            <v>adv'd precisio kill weapon system</v>
          </cell>
          <cell r="AB80" t="str">
            <v>Medium armored vehls/related</v>
          </cell>
          <cell r="AE80">
            <v>108</v>
          </cell>
          <cell r="AF80">
            <v>336</v>
          </cell>
          <cell r="AG80">
            <v>561</v>
          </cell>
          <cell r="AH80">
            <v>1150</v>
          </cell>
          <cell r="AI80">
            <v>1525</v>
          </cell>
          <cell r="AJ80">
            <v>1750</v>
          </cell>
          <cell r="AK80" t="str">
            <v>- Stryker thru '07, LRIP AAAV 06, full prodn 07</v>
          </cell>
          <cell r="AQ80" t="str">
            <v>Tanks</v>
          </cell>
          <cell r="AY80">
            <v>500</v>
          </cell>
          <cell r="AZ80">
            <v>530</v>
          </cell>
          <cell r="BB80">
            <v>596</v>
          </cell>
          <cell r="BM80" t="str">
            <v>Medium armored vehls/related</v>
          </cell>
          <cell r="BP80">
            <v>108</v>
          </cell>
          <cell r="BQ80">
            <v>236</v>
          </cell>
          <cell r="BR80">
            <v>333</v>
          </cell>
          <cell r="BS80">
            <v>1228</v>
          </cell>
          <cell r="BT80">
            <v>1295</v>
          </cell>
          <cell r="BU80">
            <v>1750</v>
          </cell>
          <cell r="BV80" t="str">
            <v>- Stryker thru '07, LRIP AAAV 06, full prodn 07</v>
          </cell>
        </row>
        <row r="81">
          <cell r="X81" t="str">
            <v>armament = little better division avg</v>
          </cell>
          <cell r="Y81" t="str">
            <v>gun system F35</v>
          </cell>
          <cell r="Z81" t="str">
            <v xml:space="preserve">multi barreled med caliber gun sys </v>
          </cell>
          <cell r="AB81" t="str">
            <v>Munitions &amp; propellant</v>
          </cell>
          <cell r="AE81">
            <v>28</v>
          </cell>
          <cell r="AF81">
            <v>339</v>
          </cell>
          <cell r="AG81">
            <v>383</v>
          </cell>
          <cell r="AH81">
            <v>410</v>
          </cell>
          <cell r="AI81">
            <v>450</v>
          </cell>
          <cell r="AJ81">
            <v>500</v>
          </cell>
          <cell r="AK81" t="str">
            <v>- post war restocking</v>
          </cell>
          <cell r="AQ81" t="str">
            <v>AAAV</v>
          </cell>
          <cell r="AZ81">
            <v>200</v>
          </cell>
          <cell r="BB81">
            <v>225</v>
          </cell>
          <cell r="BM81" t="str">
            <v>Munitions &amp; propellant</v>
          </cell>
          <cell r="BP81">
            <v>28</v>
          </cell>
          <cell r="BQ81">
            <v>295</v>
          </cell>
          <cell r="BR81">
            <v>340</v>
          </cell>
          <cell r="BS81">
            <v>406</v>
          </cell>
          <cell r="BT81">
            <v>525</v>
          </cell>
          <cell r="BU81">
            <v>600</v>
          </cell>
          <cell r="BV81" t="str">
            <v>- post war restocking</v>
          </cell>
        </row>
        <row r="82">
          <cell r="AB82" t="str">
            <v>Rockets &amp; missile components</v>
          </cell>
          <cell r="AE82">
            <v>144</v>
          </cell>
          <cell r="AF82">
            <v>278</v>
          </cell>
          <cell r="AG82">
            <v>254</v>
          </cell>
          <cell r="AH82">
            <v>320</v>
          </cell>
          <cell r="AI82">
            <v>350</v>
          </cell>
          <cell r="AJ82">
            <v>350</v>
          </cell>
          <cell r="AK82" t="str">
            <v>- stable biz</v>
          </cell>
          <cell r="AQ82" t="str">
            <v>Stryker</v>
          </cell>
          <cell r="AZ82">
            <v>250</v>
          </cell>
          <cell r="BB82">
            <v>325</v>
          </cell>
          <cell r="BM82" t="str">
            <v>Rockets &amp; missile components</v>
          </cell>
          <cell r="BP82">
            <v>144</v>
          </cell>
          <cell r="BQ82">
            <v>280</v>
          </cell>
          <cell r="BR82">
            <v>264</v>
          </cell>
          <cell r="BS82">
            <v>278</v>
          </cell>
          <cell r="BT82">
            <v>335</v>
          </cell>
          <cell r="BU82">
            <v>350</v>
          </cell>
          <cell r="BV82" t="str">
            <v>- stable biz</v>
          </cell>
        </row>
        <row r="83">
          <cell r="B83" t="str">
            <v>Est. Contrib New Orders/Progs  to EPS</v>
          </cell>
          <cell r="AB83" t="str">
            <v>Armament systems</v>
          </cell>
          <cell r="AE83">
            <v>75</v>
          </cell>
          <cell r="AF83">
            <v>97</v>
          </cell>
          <cell r="AG83">
            <v>103</v>
          </cell>
          <cell r="AH83">
            <v>120</v>
          </cell>
          <cell r="AI83">
            <v>135</v>
          </cell>
          <cell r="AJ83">
            <v>150</v>
          </cell>
          <cell r="AK83" t="str">
            <v>- stable biz</v>
          </cell>
          <cell r="AQ83" t="str">
            <v>Dragoon/Pandur</v>
          </cell>
          <cell r="AZ83">
            <v>40</v>
          </cell>
          <cell r="BB83">
            <v>50</v>
          </cell>
          <cell r="BM83" t="str">
            <v>Armament systems</v>
          </cell>
          <cell r="BP83">
            <v>75</v>
          </cell>
          <cell r="BQ83">
            <v>84</v>
          </cell>
          <cell r="BR83">
            <v>116</v>
          </cell>
          <cell r="BS83">
            <v>145</v>
          </cell>
          <cell r="BT83">
            <v>133</v>
          </cell>
          <cell r="BU83">
            <v>150</v>
          </cell>
          <cell r="BV83" t="str">
            <v>- stable biz</v>
          </cell>
        </row>
        <row r="84">
          <cell r="C84" t="str">
            <v>Egypt</v>
          </cell>
          <cell r="AB84" t="str">
            <v>Aerospace comps/other</v>
          </cell>
          <cell r="AE84">
            <v>100</v>
          </cell>
          <cell r="AF84">
            <v>130</v>
          </cell>
          <cell r="AG84">
            <v>300</v>
          </cell>
          <cell r="AH84">
            <v>300</v>
          </cell>
          <cell r="AI84">
            <v>340</v>
          </cell>
          <cell r="AJ84">
            <v>350</v>
          </cell>
          <cell r="AK84" t="str">
            <v>- adv'd comps F16/18/22/C17/F35/UAVs</v>
          </cell>
          <cell r="AQ84" t="str">
            <v>Crusader</v>
          </cell>
          <cell r="AZ84">
            <v>180</v>
          </cell>
          <cell r="BB84">
            <v>50</v>
          </cell>
          <cell r="BM84" t="str">
            <v>Aerospace comps/other</v>
          </cell>
          <cell r="BP84">
            <v>100</v>
          </cell>
          <cell r="BQ84">
            <v>251</v>
          </cell>
          <cell r="BR84">
            <v>335</v>
          </cell>
          <cell r="BS84">
            <v>512</v>
          </cell>
          <cell r="BT84">
            <v>537</v>
          </cell>
          <cell r="BU84">
            <v>350</v>
          </cell>
          <cell r="BV84" t="str">
            <v>- adv'd comps F16/18/22/C17/F35/UAVs</v>
          </cell>
        </row>
        <row r="85">
          <cell r="B85" t="str">
            <v>Revs</v>
          </cell>
          <cell r="C85">
            <v>50</v>
          </cell>
          <cell r="D85" t="str">
            <v>-100 kits, probably over $100/2 yrs</v>
          </cell>
          <cell r="W85" t="str">
            <v>st barbara high sds</v>
          </cell>
          <cell r="AB85" t="str">
            <v>Combat Vehicles Total</v>
          </cell>
          <cell r="AE85">
            <v>1273</v>
          </cell>
          <cell r="AF85">
            <v>2210</v>
          </cell>
          <cell r="AG85">
            <v>2923</v>
          </cell>
          <cell r="AH85">
            <v>3750</v>
          </cell>
          <cell r="AI85">
            <v>4350</v>
          </cell>
          <cell r="AJ85">
            <v>4650</v>
          </cell>
          <cell r="AQ85" t="str">
            <v>Fox</v>
          </cell>
          <cell r="AZ85">
            <v>30</v>
          </cell>
          <cell r="BB85">
            <v>30</v>
          </cell>
          <cell r="BM85" t="str">
            <v>Combat Vehicles Total</v>
          </cell>
          <cell r="BP85">
            <v>1273</v>
          </cell>
          <cell r="BQ85">
            <v>2210</v>
          </cell>
          <cell r="BR85">
            <v>2786</v>
          </cell>
          <cell r="BS85">
            <v>4007</v>
          </cell>
          <cell r="BT85">
            <v>4407</v>
          </cell>
          <cell r="BU85">
            <v>5100</v>
          </cell>
        </row>
        <row r="86">
          <cell r="B86" t="str">
            <v>Op Pr</v>
          </cell>
          <cell r="C86">
            <v>8</v>
          </cell>
          <cell r="D86" t="str">
            <v>- 16% mgns</v>
          </cell>
          <cell r="W86" t="str">
            <v>manufacturing = REAL good</v>
          </cell>
          <cell r="AB86" t="str">
            <v>per main</v>
          </cell>
          <cell r="AE86">
            <v>1273</v>
          </cell>
          <cell r="AF86">
            <v>2210</v>
          </cell>
          <cell r="AG86">
            <v>2786</v>
          </cell>
          <cell r="AH86">
            <v>4007</v>
          </cell>
          <cell r="AI86">
            <v>4407</v>
          </cell>
          <cell r="AJ86">
            <v>5021</v>
          </cell>
          <cell r="AQ86" t="str">
            <v>AIM</v>
          </cell>
          <cell r="AZ86">
            <v>115</v>
          </cell>
          <cell r="BB86">
            <v>115</v>
          </cell>
          <cell r="BM86" t="str">
            <v>per main</v>
          </cell>
          <cell r="BP86">
            <v>1273</v>
          </cell>
          <cell r="BQ86">
            <v>2210</v>
          </cell>
          <cell r="BR86">
            <v>2786</v>
          </cell>
          <cell r="BS86">
            <v>4007</v>
          </cell>
          <cell r="BT86">
            <v>4407</v>
          </cell>
          <cell r="BU86">
            <v>5021</v>
          </cell>
        </row>
        <row r="87">
          <cell r="B87" t="str">
            <v>EPS</v>
          </cell>
          <cell r="C87">
            <v>1.2858555885262118E-2</v>
          </cell>
          <cell r="D87" t="str">
            <v>- per yr. X 2</v>
          </cell>
          <cell r="W87" t="str">
            <v>stryker, actual tank manu= real gun</v>
          </cell>
          <cell r="AQ87" t="str">
            <v>Support Services</v>
          </cell>
          <cell r="AZ87">
            <v>45</v>
          </cell>
          <cell r="BB87">
            <v>20</v>
          </cell>
        </row>
        <row r="88">
          <cell r="W88" t="str">
            <v>gun manufacturing = way up there</v>
          </cell>
          <cell r="AB88" t="str">
            <v>% Ch. Y/Y</v>
          </cell>
          <cell r="AQ88" t="str">
            <v>Combat Eng Veh</v>
          </cell>
          <cell r="AZ88">
            <v>25</v>
          </cell>
          <cell r="BB88">
            <v>25</v>
          </cell>
          <cell r="BM88" t="str">
            <v>% Ch. Y/Y</v>
          </cell>
        </row>
        <row r="89">
          <cell r="B89" t="str">
            <v>Nearer Term - Congress appr'd</v>
          </cell>
          <cell r="G89" t="str">
            <v>Outyr - if 700 tank goal stands</v>
          </cell>
          <cell r="W89" t="str">
            <v>services/research lower</v>
          </cell>
          <cell r="AB89" t="str">
            <v>Main battle tanks/related</v>
          </cell>
          <cell r="AF89">
            <v>0.21165048543689324</v>
          </cell>
          <cell r="AG89">
            <v>0.17307692307692313</v>
          </cell>
          <cell r="AH89">
            <v>2.4590163934426146E-2</v>
          </cell>
          <cell r="AI89">
            <v>-6.6666666666666652E-2</v>
          </cell>
          <cell r="AJ89">
            <v>-7.1428571428571397E-2</v>
          </cell>
          <cell r="AQ89" t="str">
            <v>Heavy Bridge</v>
          </cell>
          <cell r="AZ89">
            <v>20</v>
          </cell>
          <cell r="BB89">
            <v>20</v>
          </cell>
          <cell r="BM89" t="str">
            <v>Main battle tanks/related</v>
          </cell>
          <cell r="BQ89">
            <v>0.20194174757281558</v>
          </cell>
          <cell r="BR89">
            <v>0.22617124394184174</v>
          </cell>
          <cell r="BS89">
            <v>5.2700922266139649E-2</v>
          </cell>
          <cell r="BT89">
            <v>2.5031289111389299E-2</v>
          </cell>
          <cell r="BU89">
            <v>0.2210012210012211</v>
          </cell>
        </row>
        <row r="90">
          <cell r="C90" t="str">
            <v>Saudi</v>
          </cell>
          <cell r="D90" t="str">
            <v>Part I - 150 tanks</v>
          </cell>
          <cell r="G90" t="str">
            <v>Saudi</v>
          </cell>
          <cell r="H90" t="str">
            <v>Part II - 237 tanks</v>
          </cell>
          <cell r="W90" t="str">
            <v>aerospace components=low teens</v>
          </cell>
          <cell r="AB90" t="str">
            <v>Engin &amp; develop</v>
          </cell>
          <cell r="AF90">
            <v>0.33993399339933994</v>
          </cell>
          <cell r="AG90">
            <v>0.45320197044334964</v>
          </cell>
          <cell r="AH90">
            <v>0.18644067796610164</v>
          </cell>
          <cell r="AI90">
            <v>0.21428571428571419</v>
          </cell>
          <cell r="AJ90">
            <v>5.8823529411764719E-2</v>
          </cell>
          <cell r="AQ90" t="str">
            <v>subtotal</v>
          </cell>
          <cell r="AY90">
            <v>1500</v>
          </cell>
          <cell r="AZ90">
            <v>1435</v>
          </cell>
          <cell r="BB90">
            <v>1456</v>
          </cell>
          <cell r="BM90" t="str">
            <v>Engin &amp; develop</v>
          </cell>
          <cell r="BQ90">
            <v>0.46864686468646855</v>
          </cell>
          <cell r="BR90">
            <v>0.43595505617977537</v>
          </cell>
          <cell r="BS90">
            <v>0</v>
          </cell>
          <cell r="BT90">
            <v>0.19405320813771509</v>
          </cell>
          <cell r="BU90">
            <v>0.17955439056356481</v>
          </cell>
        </row>
        <row r="91">
          <cell r="B91" t="str">
            <v>Revs</v>
          </cell>
          <cell r="C91">
            <v>187.5</v>
          </cell>
          <cell r="D91" t="str">
            <v>- $2.5MM each</v>
          </cell>
          <cell r="G91">
            <v>200</v>
          </cell>
          <cell r="H91" t="str">
            <v>- $2.5MM each over 3 yrs</v>
          </cell>
          <cell r="W91" t="str">
            <v>AAAV only produced prototypes, once built = med. Armed vehs</v>
          </cell>
          <cell r="AB91" t="str">
            <v>Medium armored vehls/related</v>
          </cell>
          <cell r="AF91">
            <v>2.1111111111111112</v>
          </cell>
          <cell r="AG91">
            <v>0.66964285714285721</v>
          </cell>
          <cell r="AH91">
            <v>1.0499108734402851</v>
          </cell>
          <cell r="AI91">
            <v>0.32608695652173902</v>
          </cell>
          <cell r="AJ91">
            <v>0.14754098360655732</v>
          </cell>
          <cell r="AQ91" t="str">
            <v>OTS</v>
          </cell>
          <cell r="BM91" t="str">
            <v>Medium armored vehls/related</v>
          </cell>
          <cell r="BQ91">
            <v>1.1851851851851851</v>
          </cell>
          <cell r="BR91">
            <v>0.41101694915254239</v>
          </cell>
          <cell r="BS91">
            <v>2.6876876876876876</v>
          </cell>
          <cell r="BT91">
            <v>5.4560260586319131E-2</v>
          </cell>
          <cell r="BU91">
            <v>0.35135135135135132</v>
          </cell>
        </row>
        <row r="92">
          <cell r="B92" t="str">
            <v>Op Pr</v>
          </cell>
          <cell r="C92">
            <v>30</v>
          </cell>
          <cell r="D92" t="str">
            <v>- 16% mgns</v>
          </cell>
          <cell r="G92">
            <v>32</v>
          </cell>
          <cell r="H92" t="str">
            <v>- assumes 16% mgns</v>
          </cell>
          <cell r="AB92" t="str">
            <v>Munitions &amp; propellant</v>
          </cell>
          <cell r="AF92">
            <v>11.107142857142858</v>
          </cell>
          <cell r="AG92">
            <v>0.12979351032448383</v>
          </cell>
          <cell r="AH92">
            <v>7.0496083550913857E-2</v>
          </cell>
          <cell r="AI92">
            <v>9.7560975609756184E-2</v>
          </cell>
          <cell r="AJ92">
            <v>0.11111111111111116</v>
          </cell>
          <cell r="AQ92" t="str">
            <v>Primex</v>
          </cell>
          <cell r="AZ92">
            <v>623</v>
          </cell>
          <cell r="BB92">
            <v>650</v>
          </cell>
          <cell r="BM92" t="str">
            <v>Munitions &amp; propellant</v>
          </cell>
          <cell r="BQ92">
            <v>9.5357142857142865</v>
          </cell>
          <cell r="BR92">
            <v>0.15254237288135597</v>
          </cell>
          <cell r="BS92">
            <v>0.19411764705882351</v>
          </cell>
          <cell r="BT92">
            <v>0.2931034482758621</v>
          </cell>
          <cell r="BU92">
            <v>0.14285714285714279</v>
          </cell>
        </row>
        <row r="93">
          <cell r="B93" t="str">
            <v>EPS</v>
          </cell>
          <cell r="C93">
            <v>4.8219584569732937E-2</v>
          </cell>
          <cell r="D93" t="str">
            <v>- per yr. X 2</v>
          </cell>
          <cell r="G93">
            <v>0.33015873015873015</v>
          </cell>
          <cell r="H93" t="str">
            <v>- per yr. X 2</v>
          </cell>
          <cell r="AB93" t="str">
            <v>Rockets &amp; missile components</v>
          </cell>
          <cell r="AF93">
            <v>0.93055555555555558</v>
          </cell>
          <cell r="AG93">
            <v>-8.633093525179858E-2</v>
          </cell>
          <cell r="AH93">
            <v>0.25984251968503935</v>
          </cell>
          <cell r="AI93">
            <v>9.375E-2</v>
          </cell>
          <cell r="AJ93">
            <v>0</v>
          </cell>
          <cell r="AQ93" t="str">
            <v>subtotal</v>
          </cell>
          <cell r="AY93">
            <v>400</v>
          </cell>
          <cell r="AZ93">
            <v>623</v>
          </cell>
          <cell r="BB93">
            <v>650</v>
          </cell>
          <cell r="BM93" t="str">
            <v>Rockets &amp; missile components</v>
          </cell>
          <cell r="BQ93">
            <v>0.94444444444444442</v>
          </cell>
          <cell r="BR93">
            <v>-5.7142857142857162E-2</v>
          </cell>
          <cell r="BS93">
            <v>5.3030303030302983E-2</v>
          </cell>
          <cell r="BT93">
            <v>0.20503597122302164</v>
          </cell>
          <cell r="BU93">
            <v>4.4776119402984982E-2</v>
          </cell>
        </row>
        <row r="94">
          <cell r="AB94" t="str">
            <v>Armament systems</v>
          </cell>
          <cell r="AF94">
            <v>0.29333333333333322</v>
          </cell>
          <cell r="AG94">
            <v>6.1855670103092786E-2</v>
          </cell>
          <cell r="AH94">
            <v>0.16504854368932032</v>
          </cell>
          <cell r="AI94">
            <v>0.125</v>
          </cell>
          <cell r="AJ94">
            <v>0.11111111111111116</v>
          </cell>
          <cell r="AQ94" t="str">
            <v>Santa Barbara</v>
          </cell>
          <cell r="AZ94">
            <v>300</v>
          </cell>
          <cell r="BB94">
            <v>325</v>
          </cell>
          <cell r="BM94" t="str">
            <v>Armament systems</v>
          </cell>
          <cell r="BQ94">
            <v>0.12000000000000011</v>
          </cell>
          <cell r="BR94">
            <v>0.38095238095238093</v>
          </cell>
          <cell r="BS94">
            <v>0.25</v>
          </cell>
          <cell r="BT94">
            <v>-8.2758620689655227E-2</v>
          </cell>
          <cell r="BU94">
            <v>0.1278195488721805</v>
          </cell>
        </row>
        <row r="95">
          <cell r="AB95" t="str">
            <v>Aerospace comps/other</v>
          </cell>
          <cell r="AF95">
            <v>0.30000000000000004</v>
          </cell>
          <cell r="AG95">
            <v>1.3076923076923075</v>
          </cell>
          <cell r="AH95">
            <v>0</v>
          </cell>
          <cell r="AI95">
            <v>0.1333333333333333</v>
          </cell>
          <cell r="AJ95">
            <v>2.9411764705882248E-2</v>
          </cell>
          <cell r="AQ95" t="str">
            <v>subtotal</v>
          </cell>
          <cell r="AY95">
            <v>325</v>
          </cell>
          <cell r="AZ95">
            <v>300</v>
          </cell>
          <cell r="BB95">
            <v>325</v>
          </cell>
          <cell r="BM95" t="str">
            <v>Aerospace comps/other</v>
          </cell>
          <cell r="BQ95">
            <v>1.5099999999999998</v>
          </cell>
          <cell r="BR95">
            <v>0.33466135458167323</v>
          </cell>
          <cell r="BS95">
            <v>0.5283582089552239</v>
          </cell>
          <cell r="BT95">
            <v>4.8828125E-2</v>
          </cell>
          <cell r="BU95">
            <v>-0.34823091247672255</v>
          </cell>
        </row>
        <row r="96">
          <cell r="B96" t="str">
            <v>Est. Foreign Tank Sales Contrib. to EPS</v>
          </cell>
          <cell r="AB96" t="str">
            <v>Combat Vehicles Total</v>
          </cell>
          <cell r="AF96">
            <v>0.7360565593087196</v>
          </cell>
          <cell r="AG96">
            <v>0.32262443438914024</v>
          </cell>
          <cell r="AH96">
            <v>0.28292849811837151</v>
          </cell>
          <cell r="AI96">
            <v>0.15999999999999992</v>
          </cell>
          <cell r="AJ96">
            <v>6.8965517241379226E-2</v>
          </cell>
          <cell r="AQ96" t="str">
            <v>Unassigned Engineering</v>
          </cell>
          <cell r="AZ96">
            <v>170</v>
          </cell>
          <cell r="BB96">
            <v>170</v>
          </cell>
          <cell r="BM96" t="str">
            <v>Combat Vehicles Total</v>
          </cell>
          <cell r="BQ96">
            <v>0.7360565593087196</v>
          </cell>
          <cell r="BR96">
            <v>0.26063348416289589</v>
          </cell>
          <cell r="BS96">
            <v>0.43826274228284268</v>
          </cell>
          <cell r="BT96">
            <v>9.9825305714998702E-2</v>
          </cell>
          <cell r="BU96">
            <v>0.1572498298162015</v>
          </cell>
        </row>
        <row r="97">
          <cell r="AQ97" t="str">
            <v>Total</v>
          </cell>
          <cell r="AY97">
            <v>2925</v>
          </cell>
          <cell r="AZ97">
            <v>2943</v>
          </cell>
          <cell r="BB97">
            <v>3111</v>
          </cell>
        </row>
        <row r="98">
          <cell r="B98" t="str">
            <v>Est. Size ($MM)</v>
          </cell>
          <cell r="C98" t="str">
            <v>Est. Order</v>
          </cell>
          <cell r="D98" t="str">
            <v># Initial dels</v>
          </cell>
          <cell r="E98" t="str">
            <v>Add to EPS</v>
          </cell>
          <cell r="F98" t="str">
            <v>Assumptions</v>
          </cell>
          <cell r="AB98" t="str">
            <v>Stryker notes 3/03:</v>
          </cell>
          <cell r="BM98" t="str">
            <v>GD breakdown of Combat Vehicles - A Single Pie Chart By Percentage of Total CS Sales</v>
          </cell>
          <cell r="BS98">
            <v>2003</v>
          </cell>
          <cell r="BT98" t="str">
            <v>By Implication</v>
          </cell>
        </row>
        <row r="99">
          <cell r="A99" t="str">
            <v>Saudi</v>
          </cell>
          <cell r="B99">
            <v>375</v>
          </cell>
          <cell r="C99">
            <v>2000</v>
          </cell>
          <cell r="D99">
            <v>48</v>
          </cell>
          <cell r="E99">
            <v>3.0754066042385411E-2</v>
          </cell>
          <cell r="F99" t="str">
            <v>- 150 tank total</v>
          </cell>
          <cell r="AB99" t="str">
            <v>US army wants up to 2131 eight wheeled armed vehcs. 356 deld' to date</v>
          </cell>
          <cell r="BM99" t="str">
            <v>Armored Vehicles</v>
          </cell>
          <cell r="BS99">
            <v>0.21</v>
          </cell>
          <cell r="BT99">
            <v>841.46999999999991</v>
          </cell>
        </row>
        <row r="100">
          <cell r="A100" t="str">
            <v>Egypt</v>
          </cell>
          <cell r="B100">
            <v>400</v>
          </cell>
          <cell r="C100">
            <v>2000</v>
          </cell>
          <cell r="D100">
            <v>12</v>
          </cell>
          <cell r="E100">
            <v>7.6885165105963528E-3</v>
          </cell>
          <cell r="F100" t="str">
            <v>- 200 tank kits</v>
          </cell>
          <cell r="AB100" t="str">
            <v>Stryker, Leopard &amp; AAAV were key drivers to orgo g in 2002</v>
          </cell>
          <cell r="BM100" t="str">
            <v>Future Combat Systems</v>
          </cell>
          <cell r="BS100">
            <v>0.09</v>
          </cell>
          <cell r="BT100">
            <v>360.63</v>
          </cell>
        </row>
        <row r="101">
          <cell r="A101" t="str">
            <v>Qatar</v>
          </cell>
          <cell r="B101">
            <v>75</v>
          </cell>
          <cell r="C101">
            <v>2000</v>
          </cell>
          <cell r="D101">
            <v>9</v>
          </cell>
          <cell r="E101">
            <v>5.7663873829472655E-3</v>
          </cell>
          <cell r="F101" t="str">
            <v>- 30 tanks</v>
          </cell>
          <cell r="AB101" t="str">
            <v>FY04 includes funding thur 2008 for 3 add'l Styker brigades - 6 brigades = 2100 vehs</v>
          </cell>
          <cell r="BM101" t="str">
            <v>Fighting Vehicles</v>
          </cell>
          <cell r="BS101">
            <v>0.1</v>
          </cell>
          <cell r="BT101">
            <v>400.70000000000005</v>
          </cell>
        </row>
        <row r="102">
          <cell r="A102" t="str">
            <v>Greece</v>
          </cell>
          <cell r="B102">
            <v>625</v>
          </cell>
          <cell r="C102">
            <v>2001</v>
          </cell>
          <cell r="D102">
            <v>27</v>
          </cell>
          <cell r="E102">
            <v>1.7299162148841793E-2</v>
          </cell>
          <cell r="F102" t="str">
            <v>- 250 tanks</v>
          </cell>
          <cell r="AB102" t="str">
            <v>objective force warrior (OFW) one of 2 contracts</v>
          </cell>
          <cell r="BM102" t="str">
            <v>Armament and Tech Products</v>
          </cell>
          <cell r="BS102">
            <v>0.17</v>
          </cell>
          <cell r="BT102">
            <v>681.19</v>
          </cell>
        </row>
        <row r="103">
          <cell r="A103" t="str">
            <v>Turkey</v>
          </cell>
          <cell r="B103">
            <v>1750</v>
          </cell>
          <cell r="C103">
            <v>2002</v>
          </cell>
          <cell r="D103">
            <v>48</v>
          </cell>
          <cell r="E103">
            <v>3.0754066042385411E-2</v>
          </cell>
          <cell r="F103" t="str">
            <v>- 700 tanks</v>
          </cell>
          <cell r="AB103" t="str">
            <v>sole source on APKWS, successor to Hydra 70</v>
          </cell>
          <cell r="BM103" t="str">
            <v>Ammunition</v>
          </cell>
          <cell r="BS103">
            <v>0.16</v>
          </cell>
          <cell r="BT103">
            <v>641.12</v>
          </cell>
        </row>
        <row r="104">
          <cell r="AB104" t="str">
            <v>AAAV lrip begins 2006, full scale prodn AAAV for 1K vehs starts in 2008</v>
          </cell>
          <cell r="BM104" t="str">
            <v>Main Battle Tanks</v>
          </cell>
          <cell r="BS104">
            <v>0.18</v>
          </cell>
          <cell r="BT104">
            <v>721.26</v>
          </cell>
        </row>
        <row r="105">
          <cell r="AB105" t="str">
            <v>armored systems - $1.4B for leopards (235) 2003-08 delivery period</v>
          </cell>
          <cell r="BM105" t="str">
            <v>Other</v>
          </cell>
          <cell r="BS105">
            <v>0.09</v>
          </cell>
          <cell r="BT105">
            <v>360.63</v>
          </cell>
        </row>
        <row r="106">
          <cell r="AB106" t="str">
            <v>pizarro=$400MM of backlog, program phase $540MM value potential, 176 infantry vehs, 22 command vehs</v>
          </cell>
          <cell r="BM106" t="str">
            <v>Total</v>
          </cell>
          <cell r="BS106">
            <v>1.0000000000000002</v>
          </cell>
          <cell r="BT106">
            <v>4007</v>
          </cell>
        </row>
        <row r="108">
          <cell r="AB108" t="str">
            <v>Backlog</v>
          </cell>
          <cell r="BM108" t="str">
            <v>Morgan Stanley Breakdown of Combat - Proprietary and Unpublished</v>
          </cell>
          <cell r="BS108" t="str">
            <v>2003E</v>
          </cell>
          <cell r="BT108" t="str">
            <v>2004E</v>
          </cell>
          <cell r="BU108">
            <v>2003</v>
          </cell>
          <cell r="BV108" t="str">
            <v>2004E</v>
          </cell>
        </row>
        <row r="109">
          <cell r="AB109" t="str">
            <v>Leopard</v>
          </cell>
          <cell r="AC109">
            <v>1400</v>
          </cell>
          <cell r="BM109" t="str">
            <v>Main battle tanks/related</v>
          </cell>
          <cell r="BS109">
            <v>750</v>
          </cell>
          <cell r="BT109">
            <v>700</v>
          </cell>
          <cell r="BU109">
            <v>0.2</v>
          </cell>
          <cell r="BV109">
            <v>0.16091954022988506</v>
          </cell>
        </row>
        <row r="110">
          <cell r="AB110" t="str">
            <v>Pizarro</v>
          </cell>
          <cell r="AC110">
            <v>400</v>
          </cell>
          <cell r="BM110" t="str">
            <v>Engin &amp; develop</v>
          </cell>
          <cell r="BS110">
            <v>700</v>
          </cell>
          <cell r="BT110">
            <v>850</v>
          </cell>
          <cell r="BU110">
            <v>0.18666666666666668</v>
          </cell>
          <cell r="BV110">
            <v>0.19540229885057472</v>
          </cell>
        </row>
        <row r="111">
          <cell r="AB111" t="str">
            <v>Abrams SEP</v>
          </cell>
          <cell r="AC111">
            <v>170</v>
          </cell>
          <cell r="BM111" t="str">
            <v>Medium armored vehls/related</v>
          </cell>
          <cell r="BS111">
            <v>1150</v>
          </cell>
          <cell r="BT111">
            <v>1525</v>
          </cell>
          <cell r="BU111">
            <v>0.30666666666666664</v>
          </cell>
          <cell r="BV111">
            <v>0.35057471264367818</v>
          </cell>
        </row>
        <row r="112">
          <cell r="AB112" t="str">
            <v>Egyptian kits</v>
          </cell>
          <cell r="AC112">
            <v>141</v>
          </cell>
          <cell r="BM112" t="str">
            <v>Munitions &amp; propellant</v>
          </cell>
          <cell r="BS112">
            <v>410</v>
          </cell>
          <cell r="BT112">
            <v>450</v>
          </cell>
          <cell r="BU112">
            <v>0.10933333333333334</v>
          </cell>
          <cell r="BV112">
            <v>0.10344827586206896</v>
          </cell>
        </row>
        <row r="113">
          <cell r="AB113" t="str">
            <v xml:space="preserve">armament, muns, </v>
          </cell>
          <cell r="AC113">
            <v>1200</v>
          </cell>
          <cell r="BM113" t="str">
            <v>Rockets &amp; missile components</v>
          </cell>
          <cell r="BS113">
            <v>320</v>
          </cell>
          <cell r="BT113">
            <v>350</v>
          </cell>
          <cell r="BU113">
            <v>8.533333333333333E-2</v>
          </cell>
          <cell r="BV113">
            <v>8.0459770114942528E-2</v>
          </cell>
        </row>
        <row r="114">
          <cell r="BM114" t="str">
            <v>Armament systems</v>
          </cell>
          <cell r="BS114">
            <v>120</v>
          </cell>
          <cell r="BT114">
            <v>135</v>
          </cell>
          <cell r="BU114">
            <v>3.2000000000000001E-2</v>
          </cell>
          <cell r="BV114">
            <v>3.1034482758620689E-2</v>
          </cell>
        </row>
        <row r="115">
          <cell r="BM115" t="str">
            <v>Aerospace comps/other</v>
          </cell>
          <cell r="BS115">
            <v>300</v>
          </cell>
          <cell r="BT115">
            <v>340</v>
          </cell>
          <cell r="BU115">
            <v>0.08</v>
          </cell>
          <cell r="BV115">
            <v>7.8160919540229884E-2</v>
          </cell>
        </row>
        <row r="116">
          <cell r="Z116" t="str">
            <v>IAV Contract Win - Potential Implications For GD</v>
          </cell>
          <cell r="BM116" t="str">
            <v>Combat Vehicles Total</v>
          </cell>
          <cell r="BS116">
            <v>3750</v>
          </cell>
          <cell r="BT116">
            <v>4350</v>
          </cell>
          <cell r="BU116">
            <v>1</v>
          </cell>
          <cell r="BV116">
            <v>0.99999999999999989</v>
          </cell>
        </row>
        <row r="118">
          <cell r="AB118" t="str">
            <v># of</v>
          </cell>
          <cell r="AC118" t="str">
            <v>Cost/Veh</v>
          </cell>
          <cell r="AD118" t="str">
            <v>Est.</v>
          </cell>
          <cell r="BM118" t="str">
            <v>CIBC Breakdown of Combat Vehs - Published</v>
          </cell>
          <cell r="BS118" t="str">
            <v>2003A</v>
          </cell>
          <cell r="BT118" t="str">
            <v>2004E</v>
          </cell>
          <cell r="BU118">
            <v>2003</v>
          </cell>
          <cell r="BV118" t="str">
            <v>2004E</v>
          </cell>
        </row>
        <row r="119">
          <cell r="AB119" t="str">
            <v>Vehicles</v>
          </cell>
          <cell r="AC119" t="str">
            <v>$MM</v>
          </cell>
          <cell r="AD119" t="str">
            <v>Revs</v>
          </cell>
          <cell r="AE119" t="str">
            <v>Comments</v>
          </cell>
          <cell r="BM119" t="str">
            <v>Main battle tanks/related</v>
          </cell>
          <cell r="BS119">
            <v>858</v>
          </cell>
          <cell r="BT119">
            <v>783</v>
          </cell>
          <cell r="BU119">
            <v>0.20595295247239559</v>
          </cell>
          <cell r="BV119">
            <v>0.16553911205073996</v>
          </cell>
        </row>
        <row r="120">
          <cell r="Z120" t="str">
            <v xml:space="preserve">First Brigade </v>
          </cell>
          <cell r="AB120">
            <v>366</v>
          </cell>
          <cell r="AC120">
            <v>2</v>
          </cell>
          <cell r="AD120">
            <v>732</v>
          </cell>
          <cell r="AE120" t="str">
            <v>- Army says 2 brigades fielded by 2002</v>
          </cell>
          <cell r="BM120" t="str">
            <v>Engin &amp; develop</v>
          </cell>
          <cell r="BS120">
            <v>646</v>
          </cell>
          <cell r="BT120">
            <v>600</v>
          </cell>
          <cell r="BU120">
            <v>0.15506481036965913</v>
          </cell>
          <cell r="BV120">
            <v>0.12684989429175475</v>
          </cell>
        </row>
        <row r="121">
          <cell r="BM121" t="str">
            <v>Medium armored vehls/related</v>
          </cell>
          <cell r="BS121">
            <v>1227</v>
          </cell>
          <cell r="BT121">
            <v>1735</v>
          </cell>
          <cell r="BU121">
            <v>0.29452712433989436</v>
          </cell>
          <cell r="BV121">
            <v>0.3668076109936575</v>
          </cell>
        </row>
        <row r="122">
          <cell r="Z122" t="str">
            <v>Est. Govt furnished equipment (GFE)</v>
          </cell>
          <cell r="AD122">
            <v>-200</v>
          </cell>
          <cell r="AE122" t="str">
            <v>- could be high</v>
          </cell>
          <cell r="BM122" t="str">
            <v>Munitions &amp; propellant</v>
          </cell>
          <cell r="BS122">
            <v>462</v>
          </cell>
          <cell r="BT122">
            <v>586</v>
          </cell>
          <cell r="BU122">
            <v>0.11089774363898224</v>
          </cell>
          <cell r="BV122">
            <v>0.12389006342494714</v>
          </cell>
        </row>
        <row r="123">
          <cell r="Z123" t="str">
            <v>GM Canada portion (50% share)</v>
          </cell>
          <cell r="AD123">
            <v>266</v>
          </cell>
          <cell r="BM123" t="str">
            <v>Rockets &amp; missile components</v>
          </cell>
          <cell r="BS123">
            <v>278</v>
          </cell>
          <cell r="BT123">
            <v>288</v>
          </cell>
          <cell r="BU123">
            <v>6.6730676908305323E-2</v>
          </cell>
          <cell r="BV123">
            <v>6.0887949260042283E-2</v>
          </cell>
        </row>
        <row r="124">
          <cell r="BM124" t="str">
            <v>Armament systems</v>
          </cell>
          <cell r="BS124">
            <v>145</v>
          </cell>
          <cell r="BT124">
            <v>161</v>
          </cell>
          <cell r="BU124">
            <v>3.4805568891022563E-2</v>
          </cell>
          <cell r="BV124">
            <v>3.4038054968287525E-2</v>
          </cell>
        </row>
        <row r="125">
          <cell r="Z125" t="str">
            <v>Pot. GD portion</v>
          </cell>
          <cell r="AD125">
            <v>266</v>
          </cell>
          <cell r="AE125" t="str">
            <v>- for 2001</v>
          </cell>
          <cell r="BM125" t="str">
            <v>Aerospace comps/other</v>
          </cell>
          <cell r="BS125">
            <v>550</v>
          </cell>
          <cell r="BT125">
            <v>577</v>
          </cell>
          <cell r="BU125">
            <v>0.13202112337974076</v>
          </cell>
          <cell r="BV125">
            <v>0.12198731501057082</v>
          </cell>
        </row>
        <row r="126">
          <cell r="Z126" t="str">
            <v>Est. op profit</v>
          </cell>
          <cell r="AD126">
            <v>19.95</v>
          </cell>
          <cell r="BM126" t="str">
            <v>Combat Vehicles Total</v>
          </cell>
          <cell r="BS126">
            <v>4166</v>
          </cell>
          <cell r="BT126">
            <v>4730</v>
          </cell>
          <cell r="BU126">
            <v>1</v>
          </cell>
          <cell r="BV126">
            <v>0.99999999999999989</v>
          </cell>
        </row>
        <row r="127">
          <cell r="Z127" t="str">
            <v>Est. op margin</v>
          </cell>
          <cell r="AD127">
            <v>7.4999999999999997E-2</v>
          </cell>
          <cell r="AE127" t="str">
            <v>- midpt range 6-9%</v>
          </cell>
        </row>
        <row r="128">
          <cell r="Z128" t="str">
            <v>Est. 2001 EPS impact</v>
          </cell>
          <cell r="AD128">
            <v>3.2533267619516998E-2</v>
          </cell>
          <cell r="AE128" t="str">
            <v>-for 1 brigade</v>
          </cell>
          <cell r="BS128" t="str">
            <v>Morgan Stanley</v>
          </cell>
          <cell r="BT128" t="str">
            <v>CIBC</v>
          </cell>
        </row>
        <row r="129">
          <cell r="AE129" t="str">
            <v>- Army has 6 brigade requirement</v>
          </cell>
          <cell r="BM129" t="str">
            <v>% Differential MS vs. CIBC</v>
          </cell>
          <cell r="BS129" t="str">
            <v>2003A</v>
          </cell>
          <cell r="BT129" t="str">
            <v>2003A</v>
          </cell>
          <cell r="BU129" t="str">
            <v>Difference $MMs &amp; % Total</v>
          </cell>
        </row>
        <row r="130">
          <cell r="Z130" t="str">
            <v>Current 2001 EPS</v>
          </cell>
          <cell r="AD130">
            <v>2.3238048299654999</v>
          </cell>
          <cell r="BM130" t="str">
            <v>Main battle tanks/related</v>
          </cell>
          <cell r="BS130">
            <v>801.40000000000009</v>
          </cell>
          <cell r="BT130">
            <v>858</v>
          </cell>
          <cell r="BU130">
            <v>56.599999999999909</v>
          </cell>
          <cell r="BV130">
            <v>1.3586173787806027E-2</v>
          </cell>
        </row>
        <row r="131">
          <cell r="Z131" t="str">
            <v>Possible 2001 EPS</v>
          </cell>
          <cell r="AD131">
            <v>2.356338097585017</v>
          </cell>
          <cell r="BM131" t="str">
            <v>Engin &amp; develop</v>
          </cell>
          <cell r="BS131">
            <v>747.97333333333336</v>
          </cell>
          <cell r="BT131">
            <v>646</v>
          </cell>
          <cell r="BU131">
            <v>-101.97333333333336</v>
          </cell>
          <cell r="BV131">
            <v>-2.4477516402624425E-2</v>
          </cell>
        </row>
        <row r="132">
          <cell r="Z132" t="str">
            <v>% accretive</v>
          </cell>
          <cell r="AD132">
            <v>1.4E-2</v>
          </cell>
          <cell r="BM132" t="str">
            <v>Medium armored vehls/related</v>
          </cell>
          <cell r="BS132">
            <v>1228.8133333333333</v>
          </cell>
          <cell r="BT132">
            <v>1227</v>
          </cell>
          <cell r="BU132">
            <v>-1.8133333333332757</v>
          </cell>
          <cell r="BV132">
            <v>-4.3526964314288905E-4</v>
          </cell>
        </row>
        <row r="133">
          <cell r="BM133" t="str">
            <v>Munitions &amp; propellant</v>
          </cell>
          <cell r="BS133">
            <v>438.0986666666667</v>
          </cell>
          <cell r="BT133">
            <v>462</v>
          </cell>
          <cell r="BU133">
            <v>23.901333333333298</v>
          </cell>
          <cell r="BV133">
            <v>5.7372379580732831E-3</v>
          </cell>
        </row>
        <row r="134">
          <cell r="Z134" t="str">
            <v>Assuming Santa B. synergies</v>
          </cell>
          <cell r="AD134">
            <v>3.9854115327747658E-2</v>
          </cell>
          <cell r="AE134" t="str">
            <v>- 9.5% margins</v>
          </cell>
          <cell r="BM134" t="str">
            <v>Rockets &amp; missile components</v>
          </cell>
          <cell r="BS134">
            <v>341.93066666666664</v>
          </cell>
          <cell r="BT134">
            <v>278</v>
          </cell>
          <cell r="BU134">
            <v>-63.930666666666639</v>
          </cell>
          <cell r="BV134">
            <v>-1.5345815330452865E-2</v>
          </cell>
        </row>
        <row r="135">
          <cell r="BM135" t="str">
            <v>Armament systems</v>
          </cell>
          <cell r="BS135">
            <v>128.22399999999999</v>
          </cell>
          <cell r="BT135">
            <v>145</v>
          </cell>
          <cell r="BU135">
            <v>16.77600000000001</v>
          </cell>
          <cell r="BV135">
            <v>4.0268843014882403E-3</v>
          </cell>
        </row>
        <row r="136">
          <cell r="Z136" t="str">
            <v>Total Sales of IAV(aka BCT)</v>
          </cell>
          <cell r="AF136">
            <v>2001</v>
          </cell>
          <cell r="AG136">
            <v>2002</v>
          </cell>
          <cell r="AH136">
            <v>2003</v>
          </cell>
          <cell r="AI136" t="str">
            <v>Total</v>
          </cell>
          <cell r="BM136" t="str">
            <v>Aerospace comps/other</v>
          </cell>
          <cell r="BS136">
            <v>320.56</v>
          </cell>
          <cell r="BT136">
            <v>550</v>
          </cell>
          <cell r="BU136">
            <v>229.44</v>
          </cell>
          <cell r="BV136">
            <v>5.5074411905904945E-2</v>
          </cell>
        </row>
        <row r="137">
          <cell r="AB137" t="str">
            <v>GD sh</v>
          </cell>
          <cell r="AC137">
            <v>266</v>
          </cell>
          <cell r="AE137" t="str">
            <v>Sales</v>
          </cell>
          <cell r="AF137">
            <v>100</v>
          </cell>
          <cell r="AG137">
            <v>180</v>
          </cell>
          <cell r="AH137">
            <v>26</v>
          </cell>
          <cell r="AI137">
            <v>306</v>
          </cell>
          <cell r="BM137" t="str">
            <v>Combat Vehicles Total</v>
          </cell>
          <cell r="BS137">
            <v>4007</v>
          </cell>
          <cell r="BT137">
            <v>4166</v>
          </cell>
          <cell r="BU137">
            <v>158.99999999999994</v>
          </cell>
          <cell r="BV137">
            <v>3.9680559021711991E-2</v>
          </cell>
        </row>
        <row r="138">
          <cell r="AB138" t="str">
            <v>R&amp;D work</v>
          </cell>
          <cell r="AC138">
            <v>40</v>
          </cell>
          <cell r="AE138" t="str">
            <v>Mgns</v>
          </cell>
          <cell r="AF138">
            <v>5</v>
          </cell>
          <cell r="AG138">
            <v>18</v>
          </cell>
          <cell r="AH138">
            <v>4</v>
          </cell>
          <cell r="AI138">
            <v>27</v>
          </cell>
          <cell r="BT138" t="str">
            <v>why does CIBC have incorrect 2003 #s?</v>
          </cell>
        </row>
        <row r="139">
          <cell r="AB139" t="str">
            <v>Total GD</v>
          </cell>
          <cell r="AC139">
            <v>306</v>
          </cell>
          <cell r="AD139" t="str">
            <v>- thru 1Q03</v>
          </cell>
          <cell r="AE139" t="str">
            <v>% sls</v>
          </cell>
          <cell r="AF139">
            <v>0.05</v>
          </cell>
          <cell r="AG139">
            <v>0.1</v>
          </cell>
          <cell r="AH139">
            <v>0.15384615384615385</v>
          </cell>
          <cell r="AI139">
            <v>8.8235294117647065E-2</v>
          </cell>
        </row>
        <row r="140">
          <cell r="BM140" t="str">
            <v>If We Correct For CIBC To Use Actual 2003A</v>
          </cell>
          <cell r="BT140" t="str">
            <v xml:space="preserve">Using CIBC %'s on </v>
          </cell>
        </row>
        <row r="141">
          <cell r="BM141" t="str">
            <v>Using Their %s of Total - Difference vs. Morgan Even Closer</v>
          </cell>
          <cell r="BS141" t="str">
            <v>2003A</v>
          </cell>
          <cell r="BT141" t="str">
            <v>Actual %s Diffference</v>
          </cell>
          <cell r="BU141" t="str">
            <v>Difference $MMs &amp; % Total</v>
          </cell>
        </row>
        <row r="142">
          <cell r="BM142" t="str">
            <v>Main battle tanks/related</v>
          </cell>
          <cell r="BS142">
            <v>801.4</v>
          </cell>
          <cell r="BT142">
            <v>825.25348055688914</v>
          </cell>
          <cell r="BU142">
            <v>-23.853480556889053</v>
          </cell>
          <cell r="BV142">
            <v>-5.9529524723955715E-3</v>
          </cell>
        </row>
        <row r="143">
          <cell r="BM143" t="str">
            <v>Engin &amp; develop</v>
          </cell>
          <cell r="BS143">
            <v>747.97333333333336</v>
          </cell>
          <cell r="BT143">
            <v>621.34469515122419</v>
          </cell>
          <cell r="BU143">
            <v>126.62863818210917</v>
          </cell>
          <cell r="BV143">
            <v>3.1601856297007527E-2</v>
          </cell>
        </row>
        <row r="144">
          <cell r="BM144" t="str">
            <v>Medium armored vehls/related</v>
          </cell>
          <cell r="BS144">
            <v>1228.8133333333333</v>
          </cell>
          <cell r="BT144">
            <v>1180.1701872299568</v>
          </cell>
          <cell r="BU144">
            <v>48.643146103376466</v>
          </cell>
          <cell r="BV144">
            <v>1.2139542326772265E-2</v>
          </cell>
        </row>
        <row r="145">
          <cell r="BM145" t="str">
            <v>Munitions &amp; propellant</v>
          </cell>
          <cell r="BS145">
            <v>438.0986666666667</v>
          </cell>
          <cell r="BT145">
            <v>444.36725876140184</v>
          </cell>
          <cell r="BU145">
            <v>-6.2685920947351406</v>
          </cell>
          <cell r="BV145">
            <v>-1.5644103056488997E-3</v>
          </cell>
        </row>
        <row r="146">
          <cell r="BM146" t="str">
            <v>Rockets &amp; missile components</v>
          </cell>
          <cell r="BS146">
            <v>341.93066666666664</v>
          </cell>
          <cell r="BT146">
            <v>267.38982237157944</v>
          </cell>
          <cell r="BU146">
            <v>74.540844295087197</v>
          </cell>
          <cell r="BV146">
            <v>1.8602656425028001E-2</v>
          </cell>
        </row>
        <row r="147">
          <cell r="BM147" t="str">
            <v>Armament systems</v>
          </cell>
          <cell r="BS147">
            <v>128.22399999999999</v>
          </cell>
          <cell r="BT147">
            <v>139.46591454632741</v>
          </cell>
          <cell r="BU147">
            <v>-11.241914546327422</v>
          </cell>
          <cell r="BV147">
            <v>-2.8055688910225661E-3</v>
          </cell>
        </row>
        <row r="148">
          <cell r="AB148" t="str">
            <v>Crusader: self propelled howitzer, army's largest R&amp;D program - company's share=25%.</v>
          </cell>
          <cell r="BM148" t="str">
            <v>Aerospace comps/other</v>
          </cell>
          <cell r="BS148">
            <v>320.56</v>
          </cell>
          <cell r="BT148">
            <v>529.00864138262125</v>
          </cell>
          <cell r="BU148">
            <v>-208.44864138262125</v>
          </cell>
          <cell r="BV148">
            <v>-5.2021123379740762E-2</v>
          </cell>
        </row>
        <row r="149">
          <cell r="AC149" t="str">
            <v>Army plans to buy 800 Crusaders, ~$13B</v>
          </cell>
          <cell r="BM149" t="str">
            <v>Combat Vehicles Total</v>
          </cell>
          <cell r="BS149">
            <v>4007</v>
          </cell>
          <cell r="BT149">
            <v>4007</v>
          </cell>
          <cell r="BU149">
            <v>0</v>
          </cell>
          <cell r="BV149">
            <v>0</v>
          </cell>
        </row>
        <row r="152">
          <cell r="BR152" t="str">
            <v>MS</v>
          </cell>
          <cell r="BS152" t="str">
            <v>CIBC</v>
          </cell>
          <cell r="BT152" t="str">
            <v>MS</v>
          </cell>
          <cell r="BU152" t="str">
            <v>CIBC</v>
          </cell>
          <cell r="BV152" t="str">
            <v>MS</v>
          </cell>
          <cell r="BW152" t="str">
            <v>CIBC</v>
          </cell>
        </row>
        <row r="153">
          <cell r="BM153" t="str">
            <v>Comparison Of Historical Data 2001-02</v>
          </cell>
          <cell r="BR153">
            <v>2000</v>
          </cell>
          <cell r="BS153">
            <v>2000</v>
          </cell>
          <cell r="BT153">
            <v>2001</v>
          </cell>
          <cell r="BU153">
            <v>2001</v>
          </cell>
          <cell r="BV153">
            <v>2002</v>
          </cell>
          <cell r="BW153">
            <v>2002</v>
          </cell>
        </row>
        <row r="154">
          <cell r="BM154" t="str">
            <v>Main battle tanks/related</v>
          </cell>
          <cell r="BR154">
            <v>515</v>
          </cell>
          <cell r="BS154" t="str">
            <v>not</v>
          </cell>
          <cell r="BT154">
            <v>624</v>
          </cell>
          <cell r="BU154">
            <v>619</v>
          </cell>
          <cell r="BV154">
            <v>732</v>
          </cell>
          <cell r="BW154">
            <v>802</v>
          </cell>
        </row>
        <row r="155">
          <cell r="BM155" t="str">
            <v>Engin &amp; develop</v>
          </cell>
          <cell r="BR155">
            <v>303</v>
          </cell>
          <cell r="BS155" t="str">
            <v>published</v>
          </cell>
          <cell r="BT155">
            <v>406</v>
          </cell>
          <cell r="BU155">
            <v>445</v>
          </cell>
          <cell r="BV155">
            <v>590</v>
          </cell>
          <cell r="BW155">
            <v>655</v>
          </cell>
        </row>
        <row r="156">
          <cell r="BM156" t="str">
            <v>Medium armored vehls/related</v>
          </cell>
          <cell r="BR156">
            <v>108</v>
          </cell>
          <cell r="BT156">
            <v>336</v>
          </cell>
          <cell r="BU156">
            <v>236</v>
          </cell>
          <cell r="BV156">
            <v>561</v>
          </cell>
          <cell r="BW156">
            <v>413</v>
          </cell>
        </row>
        <row r="157">
          <cell r="BM157" t="str">
            <v>Munitions &amp; propellant</v>
          </cell>
          <cell r="BR157">
            <v>28</v>
          </cell>
          <cell r="BT157">
            <v>339</v>
          </cell>
          <cell r="BU157">
            <v>295</v>
          </cell>
          <cell r="BV157">
            <v>383</v>
          </cell>
          <cell r="BW157">
            <v>382</v>
          </cell>
        </row>
        <row r="158">
          <cell r="BM158" t="str">
            <v>Rockets &amp; missile components</v>
          </cell>
          <cell r="BR158">
            <v>144</v>
          </cell>
          <cell r="BT158">
            <v>278</v>
          </cell>
          <cell r="BU158">
            <v>280</v>
          </cell>
          <cell r="BV158">
            <v>254</v>
          </cell>
          <cell r="BW158">
            <v>264</v>
          </cell>
        </row>
        <row r="159">
          <cell r="BM159" t="str">
            <v>Armament systems</v>
          </cell>
          <cell r="BR159">
            <v>75</v>
          </cell>
          <cell r="BT159">
            <v>97</v>
          </cell>
          <cell r="BU159">
            <v>84</v>
          </cell>
          <cell r="BV159">
            <v>103</v>
          </cell>
          <cell r="BW159">
            <v>116</v>
          </cell>
        </row>
        <row r="160">
          <cell r="BM160" t="str">
            <v>Aerospace comps/other</v>
          </cell>
          <cell r="BR160">
            <v>100</v>
          </cell>
          <cell r="BT160">
            <v>130</v>
          </cell>
          <cell r="BU160">
            <v>251</v>
          </cell>
          <cell r="BV160">
            <v>300</v>
          </cell>
          <cell r="BW160">
            <v>291</v>
          </cell>
        </row>
        <row r="161">
          <cell r="BM161" t="str">
            <v>Combat Vehicles Total</v>
          </cell>
          <cell r="BR161">
            <v>1273</v>
          </cell>
          <cell r="BT161">
            <v>2210</v>
          </cell>
          <cell r="BU161">
            <v>2210</v>
          </cell>
          <cell r="BV161">
            <v>2923</v>
          </cell>
          <cell r="BW161">
            <v>2923</v>
          </cell>
        </row>
        <row r="163">
          <cell r="BT163" t="str">
            <v>MS Minus CIBC</v>
          </cell>
        </row>
        <row r="164">
          <cell r="BM164" t="str">
            <v>% Differential MS vs. CIBC</v>
          </cell>
          <cell r="BT164">
            <v>2001</v>
          </cell>
          <cell r="BU164">
            <v>2002</v>
          </cell>
        </row>
        <row r="165">
          <cell r="BM165" t="str">
            <v>Main battle tanks/related</v>
          </cell>
          <cell r="BT165">
            <v>5</v>
          </cell>
          <cell r="BU165">
            <v>-70</v>
          </cell>
        </row>
        <row r="166">
          <cell r="BM166" t="str">
            <v>Engin &amp; develop</v>
          </cell>
          <cell r="BT166">
            <v>-39</v>
          </cell>
          <cell r="BU166">
            <v>-65</v>
          </cell>
        </row>
        <row r="167">
          <cell r="BM167" t="str">
            <v>Medium armored vehls/related</v>
          </cell>
          <cell r="BT167">
            <v>100</v>
          </cell>
          <cell r="BU167">
            <v>148</v>
          </cell>
        </row>
        <row r="168">
          <cell r="BM168" t="str">
            <v>Munitions &amp; propellant</v>
          </cell>
          <cell r="BT168">
            <v>44</v>
          </cell>
          <cell r="BU168">
            <v>1</v>
          </cell>
        </row>
        <row r="169">
          <cell r="BM169" t="str">
            <v>Rockets &amp; missile components</v>
          </cell>
          <cell r="BT169">
            <v>-2</v>
          </cell>
          <cell r="BU169">
            <v>-10</v>
          </cell>
        </row>
        <row r="170">
          <cell r="BM170" t="str">
            <v>Armament systems</v>
          </cell>
          <cell r="BT170">
            <v>13</v>
          </cell>
          <cell r="BU170">
            <v>-13</v>
          </cell>
        </row>
        <row r="171">
          <cell r="BM171" t="str">
            <v>Aerospace comps/other</v>
          </cell>
          <cell r="BT171">
            <v>-121</v>
          </cell>
          <cell r="BU171">
            <v>9</v>
          </cell>
        </row>
        <row r="172">
          <cell r="BM172" t="str">
            <v>Combat Vehicles Total</v>
          </cell>
          <cell r="BT172">
            <v>0</v>
          </cell>
          <cell r="BU172">
            <v>0</v>
          </cell>
        </row>
      </sheetData>
      <sheetData sheetId="25"/>
      <sheetData sheetId="26"/>
      <sheetData sheetId="27"/>
      <sheetData sheetId="28">
        <row r="1">
          <cell r="A1" t="str">
            <v>Most Recent User ID</v>
          </cell>
          <cell r="B1" t="str">
            <v>rawlings</v>
          </cell>
          <cell r="D1" t="str">
            <v>mstag</v>
          </cell>
          <cell r="E1" t="str">
            <v>http://www.morganstanley.com/xbrl/taxonomies/tagging</v>
          </cell>
          <cell r="F1" t="b">
            <v>0</v>
          </cell>
          <cell r="G1" t="str">
            <v>mscalc:modelwareEpsForWorkbench||mscalc:dilutedEarningsPerShare||mscalc:consensusEps||mscalc:dilutedEarningsPerShareBeforeOperatingLeaseAdjustments||mscalc:epsForConsensusForThomsonFeed||mscalc:dilutedEarningsPerShareReported||mscalc:modelwareNetIncomeFlatPresentation||mscalc:netIncomeReportedFlatPresentation||mscalc:netIncomeForConsensusSimplePresentation||mscalc:priceToEarnings||mscalc:marketCapitalization||mstag:averageDilutedSharesOutstanding||mscalc:priceToBookValue||mscalc:nominalEpsGrowth3YearCagr||mscalc:nominalEpsGrowth5YearCagr||mscalc:dividendsPerShareCalc||mscalc:dividendYield||mscalc:operatingRevenue||mscalc:operatingIncome||mscalc:netOperatingProfitAfterTaxNopat||mscalc:recurringProfitJapanCalc||mscalc:operatingProfitMargin||mscalc:operatingAssetTurnover||mscalc:returnOnNetOperatingAssets||mscalc:returnOnAverageNetOperatingAssets||mscalc:returnOnEquityCalc||mscalc:freeCashFlowYieldRatio||mscalc:freeCashFlowPerShare||mscalc:priceToFreeCashFlow||mscalc:enterpriseFirmValue||mscalc:debtCapital||mscalc:netDebt||mscalc:ebitda||mscalc:evToEbitda||mscalc:evrevenue||mscalc:bookValuePerShare||mscalc:tangibleBookValuePerShare||mscalc:priceToTangibleBookValue||mscalc:returnOfCapitalRatio||mscalc:capexdepreciation</v>
          </cell>
          <cell r="J1" t="str">
            <v>Aerospace &amp; Defense</v>
          </cell>
          <cell r="K1" t="str">
            <v>1500004871~</v>
          </cell>
          <cell r="L1">
            <v>1</v>
          </cell>
        </row>
        <row r="2">
          <cell r="A2" t="str">
            <v>Ticker Default</v>
          </cell>
          <cell r="B2" t="str">
            <v>****Deprecated****</v>
          </cell>
        </row>
        <row r="3">
          <cell r="A3" t="str">
            <v>Scale Default</v>
          </cell>
          <cell r="B3">
            <v>6</v>
          </cell>
        </row>
        <row r="4">
          <cell r="A4" t="str">
            <v>Unit Default</v>
          </cell>
          <cell r="B4" t="str">
            <v>****Deprecated****</v>
          </cell>
        </row>
        <row r="5">
          <cell r="A5" t="str">
            <v>Tagged Model Version</v>
          </cell>
          <cell r="B5">
            <v>1.3</v>
          </cell>
        </row>
        <row r="6">
          <cell r="A6" t="str">
            <v>Transposed</v>
          </cell>
        </row>
        <row r="7">
          <cell r="B7" t="str">
            <v>General Dynamics is a $21B provider of mission critical information systems and technologies to the U.S. defense and federal markets, with its Information Systems and Technology division making up 37% of sales.  The company is also the second largest U.S. military shipbuilder by volume, with core capabilities in design, construction and integration of nuclear subs and non-nuclear surface ships with the Marine division at 22% of sales.  GD is the #1 builder of combat vehicles (24% of sales) and leader in upper and mid-sized business jets (16% of sales).</v>
          </cell>
        </row>
        <row r="8">
          <cell r="B8">
            <v>38824</v>
          </cell>
        </row>
        <row r="9">
          <cell r="B9">
            <v>38742</v>
          </cell>
        </row>
        <row r="10">
          <cell r="B10" t="str">
            <v>0|</v>
          </cell>
        </row>
        <row r="13">
          <cell r="B13">
            <v>0</v>
          </cell>
        </row>
        <row r="15">
          <cell r="A15" t="str">
            <v>General Dynamics</v>
          </cell>
        </row>
        <row r="16">
          <cell r="A16" t="str">
            <v>Consolidated:GD.N</v>
          </cell>
        </row>
        <row r="17">
          <cell r="A17" t="str">
            <v>USD</v>
          </cell>
        </row>
        <row r="18">
          <cell r="A18" t="str">
            <v>USD</v>
          </cell>
        </row>
        <row r="19">
          <cell r="A19">
            <v>12</v>
          </cell>
        </row>
        <row r="20">
          <cell r="A20" t="b">
            <v>0</v>
          </cell>
        </row>
        <row r="22">
          <cell r="A22" t="str">
            <v>GD.N</v>
          </cell>
          <cell r="B22" t="str">
            <v>Stock</v>
          </cell>
          <cell r="C22" t="str">
            <v>pri</v>
          </cell>
          <cell r="D22" t="str">
            <v>USD</v>
          </cell>
          <cell r="E22" t="str">
            <v>USD</v>
          </cell>
        </row>
      </sheetData>
      <sheetData sheetId="2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FX"/>
      <sheetName val="Inputs"/>
      <sheetName val="Good 12-00 (2)"/>
      <sheetName val="Good 11-36"/>
      <sheetName val="Good 11-50"/>
      <sheetName val="Sheet3 (5)"/>
      <sheetName val="B11_BarSingle_AverageLine"/>
      <sheetName val="CPB"/>
      <sheetName val="Total_Food_Promo"/>
      <sheetName val="CPB_2yr"/>
      <sheetName val="Summary"/>
      <sheetName val="Floater Demand"/>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Model"/>
      <sheetName val="Sheet4"/>
      <sheetName val="ForeignStake"/>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Charts"/>
      <sheetName val="Pension"/>
      <sheetName val="Wal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for earnings"/>
      <sheetName val="Earnings "/>
      <sheetName val="AFOSHEET"/>
      <sheetName val="Rolls Royce Valuation Summary"/>
      <sheetName val="UK GAAP Financials"/>
      <sheetName val="__FDSCACHE__"/>
      <sheetName val="Segment Summary"/>
      <sheetName val="Civil Aero. Segment Fin."/>
      <sheetName val="Defence Aero. Segment Fin."/>
      <sheetName val="Marine Segment Fin."/>
      <sheetName val="Energy Segment Fin."/>
      <sheetName val="Pension"/>
      <sheetName val="FCF"/>
      <sheetName val="2010e Fair Market Value"/>
      <sheetName val="ROIC"/>
      <sheetName val="Segment DCF"/>
      <sheetName val="Sensitivity"/>
      <sheetName val="Hedge Book Analysis"/>
      <sheetName val="Contingent Lia"/>
      <sheetName val="LBO Analysis-Margin improvement"/>
      <sheetName val="LBO Analysis"/>
      <sheetName val="Charts"/>
      <sheetName val="MW-Cache"/>
      <sheetName val="MWA RR"/>
      <sheetName val="mwareDates"/>
      <sheetName val="mwareValPrintout"/>
      <sheetName val="mwareSetting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row r="1">
          <cell r="A1" t="str">
            <v xml:space="preserve">Rolls Royce - Free Cash Flow </v>
          </cell>
        </row>
        <row r="3">
          <cell r="G3" t="str">
            <v>IFRS</v>
          </cell>
        </row>
        <row r="4">
          <cell r="A4" t="str">
            <v>(in millions £)</v>
          </cell>
          <cell r="B4">
            <v>2000</v>
          </cell>
          <cell r="C4">
            <v>2001</v>
          </cell>
          <cell r="D4">
            <v>2002</v>
          </cell>
          <cell r="E4">
            <v>2003</v>
          </cell>
          <cell r="F4">
            <v>2004</v>
          </cell>
          <cell r="G4" t="str">
            <v>Adjustment</v>
          </cell>
          <cell r="H4" t="str">
            <v>2004 IFRS</v>
          </cell>
          <cell r="I4">
            <v>2005</v>
          </cell>
          <cell r="J4">
            <v>2006</v>
          </cell>
          <cell r="K4">
            <v>2007</v>
          </cell>
          <cell r="L4">
            <v>2008</v>
          </cell>
          <cell r="M4">
            <v>2009</v>
          </cell>
          <cell r="N4" t="str">
            <v>2010E</v>
          </cell>
          <cell r="O4" t="str">
            <v>2011E</v>
          </cell>
          <cell r="P4" t="str">
            <v>2012E</v>
          </cell>
          <cell r="Q4" t="str">
            <v>2013E</v>
          </cell>
          <cell r="R4" t="str">
            <v>2014E</v>
          </cell>
        </row>
        <row r="5">
          <cell r="A5" t="str">
            <v>Consolidated EBIT</v>
          </cell>
          <cell r="D5">
            <v>168</v>
          </cell>
          <cell r="E5">
            <v>223</v>
          </cell>
          <cell r="F5">
            <v>320</v>
          </cell>
          <cell r="I5">
            <v>633</v>
          </cell>
          <cell r="J5">
            <v>653</v>
          </cell>
          <cell r="K5">
            <v>476</v>
          </cell>
          <cell r="L5">
            <v>788</v>
          </cell>
          <cell r="M5">
            <v>1081</v>
          </cell>
          <cell r="N5">
            <v>986.85709092824584</v>
          </cell>
          <cell r="O5">
            <v>1090.206544392222</v>
          </cell>
          <cell r="P5">
            <v>1273.8541951046338</v>
          </cell>
          <cell r="Q5">
            <v>1479.4717180275675</v>
          </cell>
          <cell r="R5">
            <v>1662.2582343491893</v>
          </cell>
          <cell r="T5" t="str">
            <v>Consolidated EBIT ex.JVs</v>
          </cell>
        </row>
        <row r="6">
          <cell r="A6" t="str">
            <v>Depreciation &amp; Amortisation</v>
          </cell>
          <cell r="D6">
            <v>258</v>
          </cell>
          <cell r="E6">
            <v>238</v>
          </cell>
          <cell r="F6">
            <v>237</v>
          </cell>
          <cell r="I6">
            <v>254</v>
          </cell>
          <cell r="J6">
            <v>205</v>
          </cell>
          <cell r="K6">
            <v>233</v>
          </cell>
          <cell r="L6">
            <v>315</v>
          </cell>
          <cell r="M6">
            <v>315</v>
          </cell>
          <cell r="N6">
            <v>296.5282812986008</v>
          </cell>
          <cell r="O6">
            <v>310.27420402342739</v>
          </cell>
          <cell r="P6">
            <v>325.6287405500529</v>
          </cell>
          <cell r="Q6">
            <v>342.48794483357085</v>
          </cell>
          <cell r="R6">
            <v>361.85038037676804</v>
          </cell>
          <cell r="T6" t="str">
            <v>Reported D&amp;A was £109mm in 1H06, we expect an increase in 2H06</v>
          </cell>
        </row>
        <row r="7">
          <cell r="A7" t="str">
            <v>Consolidated EBITDA</v>
          </cell>
          <cell r="C7">
            <v>853</v>
          </cell>
          <cell r="D7">
            <v>426</v>
          </cell>
          <cell r="E7">
            <v>461</v>
          </cell>
          <cell r="F7">
            <v>557</v>
          </cell>
          <cell r="G7">
            <v>402</v>
          </cell>
          <cell r="H7">
            <v>959</v>
          </cell>
          <cell r="I7">
            <v>887</v>
          </cell>
          <cell r="J7">
            <v>858</v>
          </cell>
          <cell r="K7">
            <v>709</v>
          </cell>
          <cell r="L7">
            <v>1103</v>
          </cell>
          <cell r="M7">
            <v>1396</v>
          </cell>
          <cell r="N7">
            <v>1283.3853722268466</v>
          </cell>
          <cell r="O7">
            <v>1400.4807484156495</v>
          </cell>
          <cell r="P7">
            <v>1599.4829356546868</v>
          </cell>
          <cell r="Q7">
            <v>1821.9596628611384</v>
          </cell>
          <cell r="R7">
            <v>2024.1086147259573</v>
          </cell>
        </row>
        <row r="9">
          <cell r="A9" t="str">
            <v>Cash Taxes</v>
          </cell>
          <cell r="C9">
            <v>0</v>
          </cell>
          <cell r="D9">
            <v>-41</v>
          </cell>
          <cell r="E9">
            <v>-43</v>
          </cell>
          <cell r="F9">
            <v>-84</v>
          </cell>
          <cell r="G9">
            <v>0</v>
          </cell>
          <cell r="H9">
            <v>-84</v>
          </cell>
          <cell r="I9">
            <v>-60</v>
          </cell>
          <cell r="J9">
            <v>-25</v>
          </cell>
          <cell r="K9">
            <v>-71</v>
          </cell>
          <cell r="L9">
            <v>-117</v>
          </cell>
          <cell r="M9">
            <v>-119</v>
          </cell>
          <cell r="N9">
            <v>-40.921743637129836</v>
          </cell>
          <cell r="O9">
            <v>-44.822759173399163</v>
          </cell>
          <cell r="P9">
            <v>-54.607173581772926</v>
          </cell>
          <cell r="Q9">
            <v>-66.590608801859076</v>
          </cell>
          <cell r="R9">
            <v>-78.754349173500884</v>
          </cell>
          <cell r="T9" t="str">
            <v>Tax loss carryforwards in the UK drive cash taxes below 50% of tax provision</v>
          </cell>
        </row>
        <row r="10">
          <cell r="A10" t="str">
            <v>Net interest expense (ex RRSPs)</v>
          </cell>
          <cell r="D10">
            <v>-72</v>
          </cell>
          <cell r="E10">
            <v>-66</v>
          </cell>
          <cell r="F10">
            <v>-48</v>
          </cell>
          <cell r="G10">
            <v>-5</v>
          </cell>
          <cell r="H10">
            <v>-53</v>
          </cell>
          <cell r="I10">
            <v>-53</v>
          </cell>
          <cell r="J10">
            <v>-13</v>
          </cell>
          <cell r="K10">
            <v>24</v>
          </cell>
          <cell r="L10">
            <v>-32</v>
          </cell>
          <cell r="M10">
            <v>-140</v>
          </cell>
          <cell r="N10">
            <v>-57.843499999999999</v>
          </cell>
          <cell r="O10">
            <v>-60.425790057242892</v>
          </cell>
          <cell r="P10">
            <v>-53.754189610092482</v>
          </cell>
          <cell r="Q10">
            <v>-32.404905699880402</v>
          </cell>
          <cell r="R10">
            <v>-0.56674330645421378</v>
          </cell>
          <cell r="T10" t="str">
            <v>Excludes non-cash RRSP finance charge</v>
          </cell>
        </row>
        <row r="11">
          <cell r="A11" t="str">
            <v>Capital Expenditures- fixed assets</v>
          </cell>
          <cell r="C11">
            <v>0</v>
          </cell>
          <cell r="D11">
            <v>-314</v>
          </cell>
          <cell r="E11">
            <v>-182</v>
          </cell>
          <cell r="F11">
            <v>-175</v>
          </cell>
          <cell r="G11">
            <v>0</v>
          </cell>
          <cell r="H11">
            <v>-175</v>
          </cell>
          <cell r="I11">
            <v>-235</v>
          </cell>
          <cell r="J11">
            <v>-273</v>
          </cell>
          <cell r="K11">
            <v>-304</v>
          </cell>
          <cell r="L11">
            <v>-286</v>
          </cell>
          <cell r="M11">
            <v>-258</v>
          </cell>
          <cell r="N11">
            <v>-213.2</v>
          </cell>
          <cell r="O11">
            <v>-225</v>
          </cell>
          <cell r="P11">
            <v>-240</v>
          </cell>
          <cell r="Q11">
            <v>-250</v>
          </cell>
          <cell r="R11">
            <v>-300</v>
          </cell>
          <cell r="T11" t="str">
            <v>Increased investment in PPE for factory modernisation</v>
          </cell>
          <cell r="AH11">
            <v>-189</v>
          </cell>
        </row>
        <row r="12">
          <cell r="A12" t="str">
            <v>Cash outflows for financial RRSPs</v>
          </cell>
          <cell r="F12">
            <v>0</v>
          </cell>
          <cell r="H12">
            <v>0</v>
          </cell>
          <cell r="I12">
            <v>-58</v>
          </cell>
          <cell r="J12">
            <v>-87</v>
          </cell>
          <cell r="K12">
            <v>-55</v>
          </cell>
          <cell r="L12">
            <v>-53</v>
          </cell>
          <cell r="M12">
            <v>-55</v>
          </cell>
          <cell r="N12">
            <v>-25</v>
          </cell>
          <cell r="O12">
            <v>-25</v>
          </cell>
          <cell r="P12">
            <v>-25</v>
          </cell>
          <cell r="Q12">
            <v>-25</v>
          </cell>
          <cell r="R12">
            <v>-25</v>
          </cell>
          <cell r="T12" t="str">
            <v>Cash outflows to financial RRSPs increased to £58mm in 1H06</v>
          </cell>
        </row>
        <row r="13">
          <cell r="A13" t="str">
            <v>Engine certification fees &amp; other capitalised intangibles</v>
          </cell>
          <cell r="C13">
            <v>0</v>
          </cell>
          <cell r="D13">
            <v>-50</v>
          </cell>
          <cell r="E13">
            <v>-37</v>
          </cell>
          <cell r="F13">
            <v>-110</v>
          </cell>
          <cell r="G13">
            <v>0</v>
          </cell>
          <cell r="H13">
            <v>-110</v>
          </cell>
          <cell r="I13">
            <v>-10</v>
          </cell>
          <cell r="J13">
            <v>-120</v>
          </cell>
          <cell r="K13">
            <v>-168</v>
          </cell>
          <cell r="L13">
            <v>-183</v>
          </cell>
          <cell r="M13">
            <v>-98</v>
          </cell>
          <cell r="N13">
            <v>-102.9</v>
          </cell>
          <cell r="O13">
            <v>-108.04500000000002</v>
          </cell>
          <cell r="P13">
            <v>-113.44725000000003</v>
          </cell>
          <cell r="Q13">
            <v>-119.11961250000003</v>
          </cell>
          <cell r="R13">
            <v>-125.07559312500004</v>
          </cell>
          <cell r="T13" t="str">
            <v>Certification fees on Trent 900 &amp; payments to Boeing for position on Trent 1000</v>
          </cell>
        </row>
        <row r="14">
          <cell r="A14" t="str">
            <v>Excess of cash over expensed R&amp;D</v>
          </cell>
          <cell r="E14">
            <v>0</v>
          </cell>
          <cell r="F14">
            <v>0</v>
          </cell>
          <cell r="H14">
            <v>6</v>
          </cell>
          <cell r="I14">
            <v>-57</v>
          </cell>
          <cell r="J14">
            <v>-25</v>
          </cell>
          <cell r="K14">
            <v>-73</v>
          </cell>
          <cell r="L14">
            <v>-87</v>
          </cell>
          <cell r="M14">
            <v>-92</v>
          </cell>
          <cell r="N14">
            <v>-104.14962626262633</v>
          </cell>
          <cell r="O14">
            <v>-103.51685716763598</v>
          </cell>
          <cell r="P14">
            <v>-103.28014472354141</v>
          </cell>
          <cell r="Q14">
            <v>-103.42797065666593</v>
          </cell>
          <cell r="R14">
            <v>-103.95053449702368</v>
          </cell>
          <cell r="T14" t="str">
            <v>Capitalised Trent 900 development costs</v>
          </cell>
        </row>
        <row r="15">
          <cell r="A15" t="str">
            <v>Recoverable engine costs</v>
          </cell>
          <cell r="E15">
            <v>0</v>
          </cell>
          <cell r="F15">
            <v>-21</v>
          </cell>
          <cell r="H15">
            <v>-21</v>
          </cell>
          <cell r="I15">
            <v>-36</v>
          </cell>
          <cell r="J15">
            <v>-64</v>
          </cell>
          <cell r="K15">
            <v>-37</v>
          </cell>
          <cell r="L15">
            <v>-97</v>
          </cell>
          <cell r="M15">
            <v>-123</v>
          </cell>
          <cell r="N15">
            <v>-123</v>
          </cell>
          <cell r="O15">
            <v>-123</v>
          </cell>
          <cell r="P15">
            <v>-123</v>
          </cell>
          <cell r="Q15">
            <v>-123</v>
          </cell>
          <cell r="R15">
            <v>-123</v>
          </cell>
          <cell r="T15" t="str">
            <v>Increase in capitalised losses on engine sales driven by Trent 900 deliveries (on A380)</v>
          </cell>
        </row>
        <row r="16">
          <cell r="A16" t="str">
            <v>Change in working capital</v>
          </cell>
          <cell r="C16">
            <v>0</v>
          </cell>
          <cell r="D16">
            <v>258</v>
          </cell>
          <cell r="E16">
            <v>161</v>
          </cell>
          <cell r="F16">
            <v>28</v>
          </cell>
          <cell r="G16">
            <v>-36</v>
          </cell>
          <cell r="H16">
            <v>-8</v>
          </cell>
          <cell r="I16">
            <v>274</v>
          </cell>
          <cell r="J16">
            <v>166</v>
          </cell>
          <cell r="K16">
            <v>249</v>
          </cell>
          <cell r="L16">
            <v>278</v>
          </cell>
          <cell r="M16">
            <v>122</v>
          </cell>
          <cell r="N16">
            <v>-18.703215398714747</v>
          </cell>
          <cell r="O16">
            <v>-113.53194811519461</v>
          </cell>
          <cell r="P16">
            <v>-227.2776762299909</v>
          </cell>
          <cell r="Q16">
            <v>-273.37041081903863</v>
          </cell>
          <cell r="R16">
            <v>-268.60125593563589</v>
          </cell>
          <cell r="T16" t="str">
            <v>Largest swing factor in our forecasts, RR will try to reduce inventories to drive up FCF</v>
          </cell>
        </row>
        <row r="17">
          <cell r="A17" t="str">
            <v>Cash flow from JVs</v>
          </cell>
          <cell r="D17">
            <v>22</v>
          </cell>
          <cell r="E17">
            <v>18</v>
          </cell>
          <cell r="F17">
            <v>15</v>
          </cell>
          <cell r="G17">
            <v>0</v>
          </cell>
          <cell r="H17">
            <v>15</v>
          </cell>
          <cell r="I17">
            <v>35</v>
          </cell>
          <cell r="J17">
            <v>44</v>
          </cell>
          <cell r="K17">
            <v>42</v>
          </cell>
          <cell r="L17">
            <v>59</v>
          </cell>
          <cell r="M17">
            <v>77</v>
          </cell>
          <cell r="N17">
            <v>77.004000000000005</v>
          </cell>
          <cell r="O17">
            <v>78.544080000000008</v>
          </cell>
          <cell r="P17">
            <v>80.114961600000015</v>
          </cell>
          <cell r="Q17">
            <v>81.717260832000022</v>
          </cell>
          <cell r="R17">
            <v>83.351606048640008</v>
          </cell>
        </row>
        <row r="18">
          <cell r="A18" t="str">
            <v>Free Cash Flow</v>
          </cell>
          <cell r="D18">
            <v>229</v>
          </cell>
          <cell r="E18">
            <v>312</v>
          </cell>
          <cell r="F18">
            <v>162</v>
          </cell>
          <cell r="G18">
            <v>361</v>
          </cell>
          <cell r="H18">
            <v>529</v>
          </cell>
          <cell r="I18">
            <v>687</v>
          </cell>
          <cell r="J18">
            <v>461</v>
          </cell>
          <cell r="K18">
            <v>316</v>
          </cell>
          <cell r="L18">
            <v>585</v>
          </cell>
          <cell r="M18">
            <v>710</v>
          </cell>
          <cell r="N18">
            <v>674.67128692837571</v>
          </cell>
          <cell r="O18">
            <v>675.68247390217675</v>
          </cell>
          <cell r="P18">
            <v>739.23146310928917</v>
          </cell>
          <cell r="Q18">
            <v>910.76341521569407</v>
          </cell>
          <cell r="R18">
            <v>1082.5117447369823</v>
          </cell>
          <cell r="AE18" t="str">
            <v>275/</v>
          </cell>
        </row>
        <row r="20">
          <cell r="A20" t="str">
            <v>FCF as a % of Underlying Net Income</v>
          </cell>
          <cell r="F20">
            <v>0.61596958174904948</v>
          </cell>
          <cell r="H20">
            <v>2.0114068441064639</v>
          </cell>
          <cell r="I20">
            <v>1.9628571428571429</v>
          </cell>
          <cell r="J20">
            <v>0.4619238476953908</v>
          </cell>
          <cell r="K20">
            <v>0.52145214521452143</v>
          </cell>
          <cell r="L20">
            <v>-0.43656716417910446</v>
          </cell>
          <cell r="M20">
            <v>0.31967582170193609</v>
          </cell>
          <cell r="N20">
            <v>0.87929949796987128</v>
          </cell>
          <cell r="O20">
            <v>0.80397546408750575</v>
          </cell>
          <cell r="P20">
            <v>0.76101349032011989</v>
          </cell>
          <cell r="Q20">
            <v>0.80938188150934365</v>
          </cell>
          <cell r="R20">
            <v>0.85527068722007737</v>
          </cell>
        </row>
        <row r="22">
          <cell r="A22" t="str">
            <v>Diluted Shares Outstanding</v>
          </cell>
          <cell r="D22">
            <v>1624</v>
          </cell>
          <cell r="E22">
            <v>1671</v>
          </cell>
          <cell r="F22">
            <v>1752</v>
          </cell>
          <cell r="H22">
            <v>1752</v>
          </cell>
          <cell r="I22">
            <v>1813</v>
          </cell>
          <cell r="J22">
            <v>1810</v>
          </cell>
          <cell r="K22">
            <v>1838</v>
          </cell>
          <cell r="L22">
            <v>1820</v>
          </cell>
          <cell r="M22">
            <v>1845</v>
          </cell>
          <cell r="N22">
            <v>1847.2727272727273</v>
          </cell>
          <cell r="O22">
            <v>1851.6498316498316</v>
          </cell>
          <cell r="P22">
            <v>1855.7027060730766</v>
          </cell>
          <cell r="Q22">
            <v>1859.4553675760808</v>
          </cell>
          <cell r="R22">
            <v>1862.9300541529369</v>
          </cell>
        </row>
        <row r="23">
          <cell r="A23" t="str">
            <v>FCF/share</v>
          </cell>
          <cell r="D23">
            <v>14.100985221674877</v>
          </cell>
          <cell r="E23">
            <v>18.671454219030519</v>
          </cell>
          <cell r="F23">
            <v>9.2465753424657535</v>
          </cell>
          <cell r="H23">
            <v>30.19406392694064</v>
          </cell>
          <cell r="I23">
            <v>37.892995035852181</v>
          </cell>
          <cell r="J23">
            <v>25.46961325966851</v>
          </cell>
          <cell r="K23">
            <v>17.19260065288357</v>
          </cell>
          <cell r="L23">
            <v>32.142857142857146</v>
          </cell>
          <cell r="M23">
            <v>38.482384823848236</v>
          </cell>
          <cell r="N23">
            <v>36.522559823878609</v>
          </cell>
          <cell r="O23">
            <v>36.490834409016706</v>
          </cell>
          <cell r="P23">
            <v>39.835662290626559</v>
          </cell>
          <cell r="Q23">
            <v>48.980117033028471</v>
          </cell>
          <cell r="R23">
            <v>58.108018726940017</v>
          </cell>
        </row>
        <row r="24">
          <cell r="A24" t="str">
            <v xml:space="preserve">P/FCF </v>
          </cell>
          <cell r="I24">
            <v>11.611644832605531</v>
          </cell>
          <cell r="J24">
            <v>17.275488069414315</v>
          </cell>
          <cell r="K24">
            <v>25.592405063291139</v>
          </cell>
          <cell r="L24">
            <v>11.2</v>
          </cell>
          <cell r="M24">
            <v>9.3549295774647891</v>
          </cell>
        </row>
        <row r="25">
          <cell r="A25" t="str">
            <v>FCF Yield</v>
          </cell>
          <cell r="I25">
            <v>8.61204432633004E-2</v>
          </cell>
          <cell r="J25">
            <v>5.7885484681064796E-2</v>
          </cell>
          <cell r="K25">
            <v>3.9074092392917203E-2</v>
          </cell>
          <cell r="L25">
            <v>8.9285714285714288E-2</v>
          </cell>
          <cell r="M25">
            <v>0.10689551339957844</v>
          </cell>
        </row>
        <row r="27">
          <cell r="A27" t="str">
            <v>Target Value per Share</v>
          </cell>
          <cell r="N27">
            <v>698.51863232985727</v>
          </cell>
          <cell r="O27">
            <v>768.37049556284308</v>
          </cell>
          <cell r="P27">
            <v>845.20754511912742</v>
          </cell>
          <cell r="Q27">
            <v>929.72829963104027</v>
          </cell>
        </row>
        <row r="28">
          <cell r="A28" t="str">
            <v>Target Forward FCF multiple</v>
          </cell>
          <cell r="N28">
            <v>19.142303639876669</v>
          </cell>
          <cell r="O28">
            <v>19.288508120113338</v>
          </cell>
          <cell r="P28">
            <v>17.256135679487734</v>
          </cell>
          <cell r="Q28">
            <v>16</v>
          </cell>
        </row>
        <row r="29">
          <cell r="A29" t="str">
            <v>Required Return on Equity</v>
          </cell>
          <cell r="F29">
            <v>0.1</v>
          </cell>
          <cell r="I29">
            <v>0.1</v>
          </cell>
        </row>
        <row r="30">
          <cell r="A30" t="str">
            <v>Cash from operations</v>
          </cell>
          <cell r="B30">
            <v>479</v>
          </cell>
          <cell r="C30">
            <v>418</v>
          </cell>
          <cell r="D30">
            <v>611</v>
          </cell>
          <cell r="E30">
            <v>673</v>
          </cell>
          <cell r="F30">
            <v>640</v>
          </cell>
          <cell r="I30">
            <v>1060</v>
          </cell>
          <cell r="AB30">
            <v>164</v>
          </cell>
          <cell r="AC30">
            <v>446</v>
          </cell>
          <cell r="AE30">
            <v>340</v>
          </cell>
        </row>
        <row r="31">
          <cell r="A31" t="str">
            <v>Interest, dividends, taxation</v>
          </cell>
          <cell r="B31">
            <v>-162</v>
          </cell>
          <cell r="C31">
            <v>-147</v>
          </cell>
          <cell r="D31">
            <v>-222</v>
          </cell>
          <cell r="E31">
            <v>-176</v>
          </cell>
          <cell r="F31">
            <v>-150</v>
          </cell>
          <cell r="I31">
            <v>-224</v>
          </cell>
        </row>
        <row r="32">
          <cell r="A32" t="str">
            <v>Capital expenditure and financial investment</v>
          </cell>
          <cell r="B32">
            <v>-253</v>
          </cell>
          <cell r="C32">
            <v>-181</v>
          </cell>
          <cell r="D32">
            <v>-381</v>
          </cell>
          <cell r="E32">
            <v>-198</v>
          </cell>
          <cell r="F32">
            <v>-219</v>
          </cell>
          <cell r="I32">
            <v>-289</v>
          </cell>
        </row>
        <row r="33">
          <cell r="A33" t="str">
            <v>Dividends</v>
          </cell>
          <cell r="B33">
            <v>126</v>
          </cell>
          <cell r="C33">
            <v>132</v>
          </cell>
          <cell r="D33">
            <v>133</v>
          </cell>
          <cell r="E33">
            <v>53</v>
          </cell>
          <cell r="I33">
            <v>149</v>
          </cell>
        </row>
        <row r="34">
          <cell r="A34" t="str">
            <v>FCF</v>
          </cell>
          <cell r="B34">
            <v>190</v>
          </cell>
          <cell r="C34">
            <v>222</v>
          </cell>
          <cell r="D34">
            <v>141</v>
          </cell>
          <cell r="E34">
            <v>352</v>
          </cell>
          <cell r="F34">
            <v>271</v>
          </cell>
          <cell r="I34">
            <v>696</v>
          </cell>
          <cell r="J34">
            <v>461</v>
          </cell>
          <cell r="K34">
            <v>316</v>
          </cell>
          <cell r="L34">
            <v>585</v>
          </cell>
          <cell r="M34">
            <v>710</v>
          </cell>
          <cell r="N34">
            <v>674.67128692837571</v>
          </cell>
          <cell r="O34">
            <v>675.68247390217675</v>
          </cell>
          <cell r="P34">
            <v>739.23146310928917</v>
          </cell>
          <cell r="Q34">
            <v>910.76341521569407</v>
          </cell>
          <cell r="R34">
            <v>1082.5117447369823</v>
          </cell>
          <cell r="AB34">
            <v>44</v>
          </cell>
          <cell r="AE34">
            <v>175</v>
          </cell>
        </row>
        <row r="36">
          <cell r="I36">
            <v>103</v>
          </cell>
        </row>
        <row r="41">
          <cell r="O41" t="str">
            <v xml:space="preserve"> </v>
          </cell>
        </row>
        <row r="43">
          <cell r="I43">
            <v>8.9198544395924309</v>
          </cell>
          <cell r="J43">
            <v>13.270715835140997</v>
          </cell>
          <cell r="K43">
            <v>19.659620253164555</v>
          </cell>
        </row>
        <row r="44">
          <cell r="A44" t="str">
            <v>Base Case Valuation</v>
          </cell>
        </row>
        <row r="45">
          <cell r="A45" t="str">
            <v>Base-case 2010E FCF</v>
          </cell>
        </row>
        <row r="46">
          <cell r="A46" t="str">
            <v>FCF/share</v>
          </cell>
          <cell r="I46">
            <v>674.67128692837571</v>
          </cell>
        </row>
        <row r="47">
          <cell r="A47" t="str">
            <v>Target P/FCF</v>
          </cell>
          <cell r="I47">
            <v>36.522559823878609</v>
          </cell>
        </row>
        <row r="48">
          <cell r="A48" t="str">
            <v>YE 2009 Fair Value</v>
          </cell>
          <cell r="I48">
            <v>15</v>
          </cell>
        </row>
        <row r="49">
          <cell r="I49">
            <v>547.83839735817912</v>
          </cell>
        </row>
        <row r="50">
          <cell r="A50" t="str">
            <v>YE 2006 Fair Value</v>
          </cell>
        </row>
        <row r="51">
          <cell r="A51" t="str">
            <v>YE 2005 Fair Value</v>
          </cell>
          <cell r="I51">
            <v>411.59909643739968</v>
          </cell>
        </row>
        <row r="52">
          <cell r="A52" t="str">
            <v>12 month Target Value</v>
          </cell>
          <cell r="I52">
            <v>374.18099676127241</v>
          </cell>
        </row>
        <row r="53">
          <cell r="A53" t="str">
            <v>Required Return on Equity</v>
          </cell>
          <cell r="I53">
            <v>392.89004659933607</v>
          </cell>
        </row>
        <row r="54">
          <cell r="I54">
            <v>0.1</v>
          </cell>
        </row>
        <row r="55">
          <cell r="A55" t="str">
            <v>Bull Case Valuation</v>
          </cell>
        </row>
        <row r="56">
          <cell r="A56" t="str">
            <v>Base-case 2010E FCF</v>
          </cell>
        </row>
        <row r="57">
          <cell r="A57" t="str">
            <v>Incremental FCF in Bull Case</v>
          </cell>
          <cell r="I57">
            <v>674.67128692837571</v>
          </cell>
        </row>
        <row r="58">
          <cell r="A58" t="str">
            <v>Bull Case 2010 FCF</v>
          </cell>
        </row>
        <row r="59">
          <cell r="A59" t="str">
            <v>Bull Case 2010E FCF/share</v>
          </cell>
          <cell r="I59">
            <v>674.67128692837571</v>
          </cell>
        </row>
        <row r="60">
          <cell r="A60" t="str">
            <v>Target P/FCF</v>
          </cell>
          <cell r="I60">
            <v>36.522559823878609</v>
          </cell>
        </row>
        <row r="61">
          <cell r="A61" t="str">
            <v>YE 2009 Fair Value</v>
          </cell>
          <cell r="I61">
            <v>15</v>
          </cell>
        </row>
        <row r="62">
          <cell r="I62">
            <v>547.83839735817912</v>
          </cell>
        </row>
        <row r="63">
          <cell r="A63" t="str">
            <v>YE 2006 Fair Value</v>
          </cell>
        </row>
        <row r="64">
          <cell r="A64" t="str">
            <v>YE 2005 Fair Value</v>
          </cell>
          <cell r="I64">
            <v>411.59909643739968</v>
          </cell>
        </row>
        <row r="65">
          <cell r="A65" t="str">
            <v>12 month Target Value</v>
          </cell>
          <cell r="I65">
            <v>374.18099676127241</v>
          </cell>
        </row>
        <row r="66">
          <cell r="A66" t="str">
            <v>Required Return on Equity</v>
          </cell>
          <cell r="I66">
            <v>392.89004659933607</v>
          </cell>
        </row>
        <row r="67">
          <cell r="I67">
            <v>0.1</v>
          </cell>
        </row>
        <row r="68">
          <cell r="A68" t="str">
            <v>Bear Case Valuation</v>
          </cell>
        </row>
        <row r="69">
          <cell r="A69" t="str">
            <v>Base-case 2010E FCF</v>
          </cell>
        </row>
        <row r="70">
          <cell r="A70" t="str">
            <v>Downside FCF in Bear Case</v>
          </cell>
          <cell r="I70">
            <v>674.67128692837571</v>
          </cell>
        </row>
        <row r="71">
          <cell r="A71" t="str">
            <v>Bear Case 2010E FCF</v>
          </cell>
        </row>
        <row r="72">
          <cell r="A72" t="str">
            <v>Bull Case 2010E FCF/share</v>
          </cell>
          <cell r="I72">
            <v>674.67128692837571</v>
          </cell>
        </row>
        <row r="73">
          <cell r="I73">
            <v>36.522559823878609</v>
          </cell>
        </row>
        <row r="74">
          <cell r="A74" t="str">
            <v>Target P/FCF</v>
          </cell>
        </row>
        <row r="75">
          <cell r="A75" t="str">
            <v>YE 2009 Fair Value</v>
          </cell>
          <cell r="I75">
            <v>15</v>
          </cell>
        </row>
        <row r="76">
          <cell r="I76">
            <v>547.83839735817912</v>
          </cell>
        </row>
        <row r="78">
          <cell r="I78">
            <v>411.59909643739968</v>
          </cell>
        </row>
        <row r="79">
          <cell r="I79">
            <v>374.18099676127241</v>
          </cell>
        </row>
        <row r="80">
          <cell r="I80">
            <v>392.89004659933607</v>
          </cell>
        </row>
        <row r="81">
          <cell r="I81">
            <v>0.1</v>
          </cell>
        </row>
      </sheetData>
      <sheetData sheetId="13" refreshError="1">
        <row r="2">
          <cell r="A2" t="str">
            <v>(in millions £)</v>
          </cell>
          <cell r="G2" t="str">
            <v xml:space="preserve">2011E </v>
          </cell>
        </row>
        <row r="3">
          <cell r="A3" t="str">
            <v>Segment</v>
          </cell>
          <cell r="B3" t="str">
            <v xml:space="preserve">Value </v>
          </cell>
          <cell r="C3" t="str">
            <v>Value/share (p)</v>
          </cell>
          <cell r="D3" t="str">
            <v xml:space="preserve">% of Total </v>
          </cell>
          <cell r="G3" t="str">
            <v>EBITA</v>
          </cell>
          <cell r="H3" t="str">
            <v>Multiple</v>
          </cell>
        </row>
        <row r="4">
          <cell r="A4" t="str">
            <v>Civil Aerospace</v>
          </cell>
          <cell r="B4">
            <v>6333.6349989401715</v>
          </cell>
          <cell r="C4">
            <v>342.44278686823242</v>
          </cell>
          <cell r="D4">
            <v>0.50540320273456019</v>
          </cell>
          <cell r="G4">
            <v>554.72726895351991</v>
          </cell>
          <cell r="H4">
            <v>11.417565628039931</v>
          </cell>
        </row>
        <row r="5">
          <cell r="A5" t="str">
            <v>Defence Aero</v>
          </cell>
          <cell r="B5">
            <v>2558.856187926338</v>
          </cell>
          <cell r="C5">
            <v>138.35054346124215</v>
          </cell>
          <cell r="D5">
            <v>0.20418829202054165</v>
          </cell>
          <cell r="G5">
            <v>288.13661679501985</v>
          </cell>
          <cell r="H5">
            <v>8.880704633756098</v>
          </cell>
        </row>
        <row r="6">
          <cell r="A6" t="str">
            <v>Marine</v>
          </cell>
          <cell r="B6">
            <v>3239.5376671221748</v>
          </cell>
          <cell r="C6">
            <v>175.15317934796718</v>
          </cell>
          <cell r="D6">
            <v>0.25850443112316435</v>
          </cell>
          <cell r="G6">
            <v>343.32754372199997</v>
          </cell>
          <cell r="H6">
            <v>9.4357057170609693</v>
          </cell>
        </row>
        <row r="7">
          <cell r="A7" t="str">
            <v xml:space="preserve">Energy </v>
          </cell>
          <cell r="B7">
            <v>843.1166669776328</v>
          </cell>
          <cell r="C7">
            <v>45.585074154602907</v>
          </cell>
          <cell r="D7">
            <v>6.7277931841775898E-2</v>
          </cell>
          <cell r="G7">
            <v>52.195214921682258</v>
          </cell>
          <cell r="H7" t="str">
            <v>NM</v>
          </cell>
        </row>
        <row r="8">
          <cell r="A8" t="str">
            <v>Corporate</v>
          </cell>
          <cell r="B8">
            <v>-443.29972997986181</v>
          </cell>
          <cell r="C8">
            <v>-23.968036518940675</v>
          </cell>
          <cell r="D8">
            <v>-3.5373857720041986E-2</v>
          </cell>
          <cell r="G8">
            <v>-50</v>
          </cell>
          <cell r="H8">
            <v>8.8659945995972365</v>
          </cell>
        </row>
        <row r="9">
          <cell r="A9" t="str">
            <v>Consolidated Asset Value</v>
          </cell>
          <cell r="B9">
            <v>12531.845790986454</v>
          </cell>
          <cell r="C9">
            <v>677.56354731310398</v>
          </cell>
          <cell r="D9">
            <v>1.0000000000000002</v>
          </cell>
          <cell r="G9">
            <v>1188.386644392222</v>
          </cell>
          <cell r="H9">
            <v>10.545259701564241</v>
          </cell>
        </row>
        <row r="11">
          <cell r="A11" t="str">
            <v>Contingent liabilities</v>
          </cell>
          <cell r="B11">
            <v>-200</v>
          </cell>
        </row>
        <row r="12">
          <cell r="A12" t="str">
            <v>Long-term Debt</v>
          </cell>
          <cell r="B12">
            <v>-1913</v>
          </cell>
        </row>
        <row r="13">
          <cell r="A13" t="str">
            <v>Average 2010e cash</v>
          </cell>
          <cell r="B13">
            <v>3274.2954971378549</v>
          </cell>
        </row>
        <row r="14">
          <cell r="A14" t="str">
            <v>Pension deficit</v>
          </cell>
          <cell r="B14">
            <v>-435.08699999999953</v>
          </cell>
        </row>
        <row r="15">
          <cell r="A15" t="str">
            <v>Total Net Debt</v>
          </cell>
          <cell r="B15">
            <v>726.20849713785537</v>
          </cell>
        </row>
        <row r="17">
          <cell r="A17" t="str">
            <v>Total Equity Value</v>
          </cell>
          <cell r="B17">
            <v>13258.054288124309</v>
          </cell>
        </row>
        <row r="19">
          <cell r="A19" t="str">
            <v>2010e Fair Market Value</v>
          </cell>
          <cell r="B19">
            <v>716.82770788580683</v>
          </cell>
        </row>
        <row r="20">
          <cell r="A20" t="str">
            <v>Total Shares Outstanding</v>
          </cell>
          <cell r="B20">
            <v>1849.5454545454545</v>
          </cell>
        </row>
      </sheetData>
      <sheetData sheetId="14"/>
      <sheetData sheetId="15"/>
      <sheetData sheetId="16" refreshError="1">
        <row r="1">
          <cell r="B1">
            <v>2007</v>
          </cell>
          <cell r="C1">
            <v>2008</v>
          </cell>
          <cell r="D1">
            <v>2009</v>
          </cell>
          <cell r="E1" t="str">
            <v>2010e</v>
          </cell>
          <cell r="F1" t="str">
            <v>2011e</v>
          </cell>
          <cell r="G1" t="str">
            <v>2012e</v>
          </cell>
          <cell r="H1" t="str">
            <v>2013e</v>
          </cell>
        </row>
        <row r="3">
          <cell r="A3" t="str">
            <v>Base Case - topline</v>
          </cell>
        </row>
        <row r="4">
          <cell r="A4" t="str">
            <v>Revenue</v>
          </cell>
          <cell r="B4">
            <v>7435</v>
          </cell>
          <cell r="C4">
            <v>9082</v>
          </cell>
          <cell r="D4">
            <v>10414</v>
          </cell>
          <cell r="E4">
            <v>10504.628687793149</v>
          </cell>
          <cell r="F4">
            <v>11333.869412789531</v>
          </cell>
          <cell r="G4">
            <v>12197.254435587442</v>
          </cell>
          <cell r="H4">
            <v>13099.104931524082</v>
          </cell>
        </row>
        <row r="5">
          <cell r="A5" t="str">
            <v>Change %</v>
          </cell>
          <cell r="C5">
            <v>0.22151983860121049</v>
          </cell>
          <cell r="D5">
            <v>0.14666373045584669</v>
          </cell>
          <cell r="E5">
            <v>8.7025818891059981E-3</v>
          </cell>
          <cell r="F5">
            <v>7.8940508002914633E-2</v>
          </cell>
          <cell r="G5">
            <v>7.6177428145028481E-2</v>
          </cell>
          <cell r="H5">
            <v>7.3938811451317088E-2</v>
          </cell>
        </row>
        <row r="6">
          <cell r="A6" t="str">
            <v>EBIT</v>
          </cell>
          <cell r="B6">
            <v>832</v>
          </cell>
          <cell r="C6">
            <v>919</v>
          </cell>
          <cell r="D6">
            <v>983</v>
          </cell>
          <cell r="E6">
            <v>1083.1120909282458</v>
          </cell>
          <cell r="F6">
            <v>1188.386644392222</v>
          </cell>
          <cell r="G6">
            <v>1373.9978971046339</v>
          </cell>
          <cell r="H6">
            <v>1581.6182940675674</v>
          </cell>
        </row>
        <row r="7">
          <cell r="A7" t="str">
            <v>Margin %</v>
          </cell>
          <cell r="B7">
            <v>0.11190316072629455</v>
          </cell>
          <cell r="C7">
            <v>0.10118916538207444</v>
          </cell>
          <cell r="D7">
            <v>9.439216439408489E-2</v>
          </cell>
          <cell r="E7">
            <v>0.10310807960179219</v>
          </cell>
          <cell r="F7">
            <v>0.1048526854430849</v>
          </cell>
          <cell r="G7">
            <v>0.11264812949181212</v>
          </cell>
          <cell r="H7">
            <v>0.1207424707516673</v>
          </cell>
        </row>
        <row r="8">
          <cell r="A8" t="str">
            <v>EPS</v>
          </cell>
          <cell r="B8">
            <v>32.970620239390641</v>
          </cell>
          <cell r="C8">
            <v>-73.626373626373635</v>
          </cell>
          <cell r="D8">
            <v>39.674796747967477</v>
          </cell>
          <cell r="E8">
            <v>41.535972564754076</v>
          </cell>
          <cell r="F8">
            <v>45.387995080711818</v>
          </cell>
          <cell r="G8">
            <v>52.345540252998276</v>
          </cell>
          <cell r="H8">
            <v>60.515460194994539</v>
          </cell>
        </row>
        <row r="10">
          <cell r="A10" t="str">
            <v>Base Case - Civil after-market</v>
          </cell>
        </row>
        <row r="11">
          <cell r="B11">
            <v>2007</v>
          </cell>
          <cell r="C11">
            <v>2008</v>
          </cell>
          <cell r="D11">
            <v>2009</v>
          </cell>
          <cell r="E11" t="str">
            <v>2010e</v>
          </cell>
          <cell r="F11" t="str">
            <v>2011e</v>
          </cell>
          <cell r="G11" t="str">
            <v>2012e</v>
          </cell>
          <cell r="H11" t="str">
            <v>2013e</v>
          </cell>
        </row>
        <row r="12">
          <cell r="A12" t="str">
            <v>Revenue (USD terms)</v>
          </cell>
          <cell r="B12">
            <v>5108</v>
          </cell>
          <cell r="C12">
            <v>4988.58</v>
          </cell>
          <cell r="D12">
            <v>4201.6000000000004</v>
          </cell>
          <cell r="E12">
            <v>4586.282339260064</v>
          </cell>
          <cell r="F12">
            <v>5022.6528532213715</v>
          </cell>
          <cell r="G12">
            <v>5505.3337504966257</v>
          </cell>
          <cell r="H12">
            <v>6000.5503645203335</v>
          </cell>
        </row>
        <row r="13">
          <cell r="C13">
            <v>-2.3379013312451069E-2</v>
          </cell>
          <cell r="D13">
            <v>-0.15775631542442936</v>
          </cell>
          <cell r="E13">
            <v>9.155615462206379E-2</v>
          </cell>
          <cell r="F13">
            <v>9.5146892773223746E-2</v>
          </cell>
          <cell r="G13">
            <v>9.6100788045838659E-2</v>
          </cell>
          <cell r="H13">
            <v>8.9952151216815102E-2</v>
          </cell>
        </row>
        <row r="15">
          <cell r="A15" t="str">
            <v>Factor 1 - Top-line</v>
          </cell>
          <cell r="B15">
            <v>2007</v>
          </cell>
          <cell r="C15">
            <v>2008</v>
          </cell>
          <cell r="D15">
            <v>2009</v>
          </cell>
          <cell r="E15" t="str">
            <v>2010e</v>
          </cell>
          <cell r="F15" t="str">
            <v>2011e</v>
          </cell>
          <cell r="G15" t="str">
            <v>2012e</v>
          </cell>
          <cell r="H15" t="str">
            <v>2013e</v>
          </cell>
        </row>
        <row r="17">
          <cell r="A17" t="str">
            <v>Top-line upside</v>
          </cell>
        </row>
        <row r="18">
          <cell r="A18" t="str">
            <v>Revenue</v>
          </cell>
          <cell r="D18">
            <v>10414</v>
          </cell>
          <cell r="E18">
            <v>10660.838687793148</v>
          </cell>
          <cell r="F18">
            <v>11662.323289861561</v>
          </cell>
          <cell r="G18">
            <v>12725.663933627004</v>
          </cell>
          <cell r="H18">
            <v>13857.469358812681</v>
          </cell>
        </row>
        <row r="19">
          <cell r="A19" t="str">
            <v>Change %</v>
          </cell>
          <cell r="E19">
            <v>2.3702581889105998E-2</v>
          </cell>
          <cell r="F19">
            <v>9.3940508002914633E-2</v>
          </cell>
          <cell r="G19">
            <v>9.117742814502848E-2</v>
          </cell>
          <cell r="H19">
            <v>8.8938811451317087E-2</v>
          </cell>
        </row>
        <row r="20">
          <cell r="A20" t="str">
            <v>Incremental revenue</v>
          </cell>
          <cell r="E20">
            <v>156.20999999999913</v>
          </cell>
          <cell r="F20">
            <v>328.45387707203008</v>
          </cell>
          <cell r="G20">
            <v>528.4094980395621</v>
          </cell>
          <cell r="H20">
            <v>758.36442728859947</v>
          </cell>
        </row>
        <row r="21">
          <cell r="A21" t="str">
            <v>Incremental EBIT</v>
          </cell>
          <cell r="E21">
            <v>23.431499999999868</v>
          </cell>
          <cell r="F21">
            <v>49.268081560804511</v>
          </cell>
          <cell r="G21">
            <v>79.261424705934317</v>
          </cell>
          <cell r="H21">
            <v>113.75466409328992</v>
          </cell>
        </row>
        <row r="22">
          <cell r="A22" t="str">
            <v>Incremental margin</v>
          </cell>
          <cell r="E22">
            <v>0.15</v>
          </cell>
          <cell r="F22">
            <v>0.15</v>
          </cell>
          <cell r="G22">
            <v>0.15</v>
          </cell>
          <cell r="H22">
            <v>0.15</v>
          </cell>
        </row>
        <row r="24">
          <cell r="A24" t="str">
            <v>Valuation impact</v>
          </cell>
          <cell r="E24">
            <v>940.12119085363554</v>
          </cell>
          <cell r="F24">
            <v>1034.1333099389992</v>
          </cell>
          <cell r="G24">
            <v>1137.5466409328992</v>
          </cell>
        </row>
        <row r="25">
          <cell r="A25" t="str">
            <v>Upside per share</v>
          </cell>
          <cell r="E25">
            <v>50.89238730014759</v>
          </cell>
        </row>
        <row r="28">
          <cell r="A28" t="str">
            <v>Top-line downside</v>
          </cell>
        </row>
        <row r="29">
          <cell r="A29" t="str">
            <v>Revenue</v>
          </cell>
          <cell r="D29">
            <v>10414</v>
          </cell>
          <cell r="E29">
            <v>10192.208687793149</v>
          </cell>
          <cell r="F29">
            <v>10691.020558645465</v>
          </cell>
          <cell r="G29">
            <v>11184.704392289337</v>
          </cell>
          <cell r="H29">
            <v>11676.147009720857</v>
          </cell>
        </row>
        <row r="30">
          <cell r="A30" t="str">
            <v>Change %</v>
          </cell>
          <cell r="E30">
            <v>-2.1297418110894001E-2</v>
          </cell>
          <cell r="F30">
            <v>4.8940508002914634E-2</v>
          </cell>
          <cell r="G30">
            <v>4.6177428145028482E-2</v>
          </cell>
          <cell r="H30">
            <v>4.3938811451317089E-2</v>
          </cell>
        </row>
        <row r="31">
          <cell r="A31" t="str">
            <v>Revenue downside</v>
          </cell>
          <cell r="E31">
            <v>-312.42000000000007</v>
          </cell>
          <cell r="F31">
            <v>-642.84885414406563</v>
          </cell>
          <cell r="G31">
            <v>-1012.5500432981044</v>
          </cell>
          <cell r="H31">
            <v>-1422.957921803225</v>
          </cell>
        </row>
        <row r="32">
          <cell r="A32" t="str">
            <v>EBIT downside</v>
          </cell>
          <cell r="E32">
            <v>-46.863000000000007</v>
          </cell>
          <cell r="F32">
            <v>-96.427328121609847</v>
          </cell>
          <cell r="G32">
            <v>-151.88250649471564</v>
          </cell>
          <cell r="H32">
            <v>-213.44368827048373</v>
          </cell>
        </row>
        <row r="33">
          <cell r="A33" t="str">
            <v>Incremental margin</v>
          </cell>
          <cell r="E33">
            <v>0.15</v>
          </cell>
          <cell r="F33">
            <v>0.15</v>
          </cell>
          <cell r="G33">
            <v>0.15</v>
          </cell>
          <cell r="H33">
            <v>0.15</v>
          </cell>
        </row>
        <row r="35">
          <cell r="A35" t="str">
            <v>Valuation impact</v>
          </cell>
          <cell r="E35">
            <v>-1763.9974237230058</v>
          </cell>
          <cell r="F35">
            <v>-1940.3971660953066</v>
          </cell>
          <cell r="G35">
            <v>-2134.4368827048374</v>
          </cell>
        </row>
        <row r="36">
          <cell r="A36" t="str">
            <v>Upside per share</v>
          </cell>
          <cell r="E36">
            <v>-95.491986520438303</v>
          </cell>
        </row>
        <row r="40">
          <cell r="A40" t="str">
            <v>Factor 2 - margins</v>
          </cell>
          <cell r="B40">
            <v>2007</v>
          </cell>
          <cell r="C40">
            <v>2008</v>
          </cell>
          <cell r="D40">
            <v>2009</v>
          </cell>
          <cell r="E40" t="str">
            <v>2010e</v>
          </cell>
          <cell r="F40" t="str">
            <v>2011e</v>
          </cell>
          <cell r="G40" t="str">
            <v>2012e</v>
          </cell>
          <cell r="H40" t="str">
            <v>2013e</v>
          </cell>
        </row>
        <row r="43">
          <cell r="A43" t="str">
            <v>Margin upside</v>
          </cell>
        </row>
        <row r="44">
          <cell r="A44" t="str">
            <v>Revenue</v>
          </cell>
          <cell r="D44">
            <v>10414</v>
          </cell>
          <cell r="E44">
            <v>10504.628687793149</v>
          </cell>
          <cell r="F44">
            <v>11333.869412789531</v>
          </cell>
          <cell r="G44">
            <v>12197.254435587442</v>
          </cell>
          <cell r="H44">
            <v>13099.104931524082</v>
          </cell>
        </row>
        <row r="45">
          <cell r="A45" t="str">
            <v>Change %</v>
          </cell>
          <cell r="E45">
            <v>8.7025818891059981E-3</v>
          </cell>
          <cell r="F45">
            <v>7.8940508002914633E-2</v>
          </cell>
          <cell r="G45">
            <v>7.6177428145028481E-2</v>
          </cell>
          <cell r="H45">
            <v>7.3938811451317088E-2</v>
          </cell>
        </row>
        <row r="46">
          <cell r="A46" t="str">
            <v xml:space="preserve">EBIT </v>
          </cell>
          <cell r="E46">
            <v>1188.1583778061772</v>
          </cell>
          <cell r="F46">
            <v>1301.7253385201172</v>
          </cell>
          <cell r="G46">
            <v>1495.9704414605083</v>
          </cell>
          <cell r="H46">
            <v>1712.6093433828082</v>
          </cell>
        </row>
        <row r="47">
          <cell r="A47" t="str">
            <v>EBIT margin</v>
          </cell>
          <cell r="E47">
            <v>0.11310807960179219</v>
          </cell>
          <cell r="F47">
            <v>0.1148526854430849</v>
          </cell>
          <cell r="G47">
            <v>0.12264812949181211</v>
          </cell>
          <cell r="H47">
            <v>0.13074247075166731</v>
          </cell>
        </row>
        <row r="48">
          <cell r="A48" t="str">
            <v>EBIT upside</v>
          </cell>
          <cell r="E48">
            <v>105.04628687793138</v>
          </cell>
          <cell r="F48">
            <v>113.33869412789522</v>
          </cell>
          <cell r="G48">
            <v>121.97254435587433</v>
          </cell>
          <cell r="H48">
            <v>130.99104931524084</v>
          </cell>
        </row>
        <row r="50">
          <cell r="A50" t="str">
            <v>Valuation impact</v>
          </cell>
          <cell r="E50">
            <v>1082.5706554978581</v>
          </cell>
          <cell r="F50">
            <v>1190.827721047644</v>
          </cell>
          <cell r="G50">
            <v>1309.9104931524084</v>
          </cell>
        </row>
        <row r="51">
          <cell r="A51" t="str">
            <v>Upside per share</v>
          </cell>
          <cell r="E51">
            <v>58.60372642951004</v>
          </cell>
        </row>
        <row r="54">
          <cell r="A54" t="str">
            <v>Margin downside</v>
          </cell>
        </row>
        <row r="55">
          <cell r="A55" t="str">
            <v>Revenue</v>
          </cell>
          <cell r="D55">
            <v>10414</v>
          </cell>
          <cell r="E55">
            <v>10504.628687793149</v>
          </cell>
          <cell r="F55">
            <v>11333.869412789531</v>
          </cell>
          <cell r="G55">
            <v>12197.254435587442</v>
          </cell>
          <cell r="H55">
            <v>13099.104931524082</v>
          </cell>
        </row>
        <row r="56">
          <cell r="A56" t="str">
            <v>Change %</v>
          </cell>
          <cell r="E56">
            <v>8.7025818891059981E-3</v>
          </cell>
          <cell r="F56">
            <v>7.8940508002914633E-2</v>
          </cell>
          <cell r="G56">
            <v>7.6177428145028481E-2</v>
          </cell>
          <cell r="H56">
            <v>7.3938811451317088E-2</v>
          </cell>
        </row>
        <row r="57">
          <cell r="A57" t="str">
            <v xml:space="preserve">EBIT </v>
          </cell>
          <cell r="E57">
            <v>925.54266061134865</v>
          </cell>
          <cell r="F57">
            <v>1018.3786032003791</v>
          </cell>
          <cell r="G57">
            <v>1130.052808392885</v>
          </cell>
          <cell r="H57">
            <v>1385.1317200947062</v>
          </cell>
        </row>
        <row r="58">
          <cell r="A58" t="str">
            <v>EBIT margin</v>
          </cell>
          <cell r="E58">
            <v>8.8108079601792191E-2</v>
          </cell>
          <cell r="F58">
            <v>8.9852685443084904E-2</v>
          </cell>
          <cell r="G58">
            <v>9.2648129491812115E-2</v>
          </cell>
          <cell r="H58">
            <v>0.1057424707516673</v>
          </cell>
        </row>
        <row r="59">
          <cell r="A59" t="str">
            <v>EBIT downside</v>
          </cell>
          <cell r="E59">
            <v>-157.56943031689718</v>
          </cell>
          <cell r="F59">
            <v>-170.00804119184295</v>
          </cell>
          <cell r="G59">
            <v>-243.94508871174889</v>
          </cell>
          <cell r="H59">
            <v>-196.48657397286115</v>
          </cell>
        </row>
        <row r="61">
          <cell r="A61" t="str">
            <v>Valuation impact</v>
          </cell>
          <cell r="E61">
            <v>-1623.8559832467861</v>
          </cell>
          <cell r="F61">
            <v>-1786.2415815714648</v>
          </cell>
          <cell r="G61">
            <v>-1964.8657397286115</v>
          </cell>
        </row>
        <row r="62">
          <cell r="A62" t="str">
            <v>Upside per share</v>
          </cell>
          <cell r="E62">
            <v>-87.905589644264992</v>
          </cell>
        </row>
        <row r="67">
          <cell r="A67" t="str">
            <v>Summary</v>
          </cell>
        </row>
        <row r="69">
          <cell r="J69" t="str">
            <v>2010-13e</v>
          </cell>
        </row>
        <row r="70">
          <cell r="A70" t="str">
            <v>£mn</v>
          </cell>
          <cell r="D70">
            <v>2009</v>
          </cell>
          <cell r="E70" t="str">
            <v>2010e</v>
          </cell>
          <cell r="F70" t="str">
            <v>2011e</v>
          </cell>
          <cell r="G70" t="str">
            <v>2012e</v>
          </cell>
          <cell r="H70" t="str">
            <v>2013e</v>
          </cell>
          <cell r="J70" t="str">
            <v>CAGR %</v>
          </cell>
        </row>
        <row r="71">
          <cell r="A71" t="str">
            <v>Base Case</v>
          </cell>
        </row>
        <row r="72">
          <cell r="A72" t="str">
            <v>Revenue</v>
          </cell>
          <cell r="E72">
            <v>10504.628687793149</v>
          </cell>
          <cell r="F72">
            <v>11333.869412789531</v>
          </cell>
          <cell r="G72">
            <v>12197.254435587442</v>
          </cell>
          <cell r="H72">
            <v>13099.104931524082</v>
          </cell>
          <cell r="J72">
            <v>7.6350305548355868E-2</v>
          </cell>
        </row>
        <row r="73">
          <cell r="A73" t="str">
            <v>EBIT</v>
          </cell>
          <cell r="E73">
            <v>1083.1120909282458</v>
          </cell>
          <cell r="F73">
            <v>1188.386644392222</v>
          </cell>
          <cell r="G73">
            <v>1373.9978971046339</v>
          </cell>
          <cell r="H73">
            <v>1581.6182940675674</v>
          </cell>
          <cell r="J73">
            <v>0.13451286562294129</v>
          </cell>
        </row>
        <row r="74">
          <cell r="A74" t="str">
            <v>Margin %</v>
          </cell>
          <cell r="E74">
            <v>0.10310807960179219</v>
          </cell>
          <cell r="F74">
            <v>0.1048526854430849</v>
          </cell>
          <cell r="G74">
            <v>0.11264812949181212</v>
          </cell>
          <cell r="H74">
            <v>0.1207424707516673</v>
          </cell>
        </row>
        <row r="75">
          <cell r="A75" t="str">
            <v xml:space="preserve"> Base Case EPS</v>
          </cell>
          <cell r="E75">
            <v>41.535972564754076</v>
          </cell>
          <cell r="F75">
            <v>45.387995080711818</v>
          </cell>
          <cell r="G75">
            <v>52.345540252998276</v>
          </cell>
          <cell r="H75">
            <v>60.515460194994539</v>
          </cell>
          <cell r="J75">
            <v>0.1336543325046986</v>
          </cell>
        </row>
        <row r="77">
          <cell r="A77" t="str">
            <v>Consolidated asset value</v>
          </cell>
          <cell r="E77">
            <v>675.17248977886447</v>
          </cell>
          <cell r="F77">
            <v>742.68973875675101</v>
          </cell>
          <cell r="G77">
            <v>816.95871263242623</v>
          </cell>
        </row>
        <row r="78">
          <cell r="A78" t="str">
            <v>Target forward P/E</v>
          </cell>
          <cell r="G78">
            <v>13.5</v>
          </cell>
        </row>
        <row r="79">
          <cell r="A79" t="str">
            <v>Present value of dividends</v>
          </cell>
          <cell r="E79">
            <v>44.219973163716098</v>
          </cell>
        </row>
        <row r="80">
          <cell r="A80" t="str">
            <v>Target Price</v>
          </cell>
          <cell r="E80">
            <v>720</v>
          </cell>
          <cell r="I80">
            <v>720</v>
          </cell>
        </row>
        <row r="81">
          <cell r="A81" t="str">
            <v>Implied multiples</v>
          </cell>
          <cell r="E81">
            <v>17.334372004351859</v>
          </cell>
          <cell r="F81">
            <v>15.8632254788882</v>
          </cell>
          <cell r="G81">
            <v>13.754753442606019</v>
          </cell>
        </row>
        <row r="83">
          <cell r="D83">
            <v>2009</v>
          </cell>
          <cell r="E83" t="str">
            <v>2010e</v>
          </cell>
          <cell r="F83" t="str">
            <v>2011e</v>
          </cell>
          <cell r="G83" t="str">
            <v>2012e</v>
          </cell>
          <cell r="H83" t="str">
            <v>2013e</v>
          </cell>
        </row>
        <row r="84">
          <cell r="A84" t="str">
            <v>Bull Case</v>
          </cell>
        </row>
        <row r="85">
          <cell r="A85" t="str">
            <v>Revenue</v>
          </cell>
          <cell r="E85">
            <v>10660.838687793148</v>
          </cell>
          <cell r="F85">
            <v>11662.323289861561</v>
          </cell>
          <cell r="G85">
            <v>12725.663933627004</v>
          </cell>
          <cell r="H85">
            <v>13857.469358812681</v>
          </cell>
          <cell r="J85">
            <v>9.1350332258545608E-2</v>
          </cell>
        </row>
        <row r="86">
          <cell r="A86" t="str">
            <v>EBIT</v>
          </cell>
          <cell r="E86">
            <v>1211.5898778061771</v>
          </cell>
          <cell r="F86">
            <v>1350.9934200809219</v>
          </cell>
          <cell r="G86">
            <v>1575.2318661664426</v>
          </cell>
          <cell r="H86">
            <v>1826.3640074760981</v>
          </cell>
          <cell r="J86">
            <v>0.14659638401751418</v>
          </cell>
        </row>
        <row r="87">
          <cell r="A87" t="str">
            <v>Margin %</v>
          </cell>
          <cell r="E87">
            <v>0.11364864559797433</v>
          </cell>
          <cell r="F87">
            <v>0.11584256296988309</v>
          </cell>
          <cell r="G87">
            <v>0.12378386498200397</v>
          </cell>
          <cell r="H87">
            <v>0.13179635907436582</v>
          </cell>
        </row>
        <row r="88">
          <cell r="A88" t="str">
            <v>NOPAT</v>
          </cell>
          <cell r="E88">
            <v>884.46061079850926</v>
          </cell>
          <cell r="F88">
            <v>986.22519665907294</v>
          </cell>
          <cell r="G88">
            <v>1149.9192623015031</v>
          </cell>
          <cell r="H88">
            <v>1333.2457254575515</v>
          </cell>
        </row>
        <row r="89">
          <cell r="A89" t="str">
            <v>Bull Case EPS</v>
          </cell>
          <cell r="E89">
            <v>46.619375514395799</v>
          </cell>
          <cell r="F89">
            <v>51.813843549118602</v>
          </cell>
          <cell r="G89">
            <v>60.279048787073037</v>
          </cell>
          <cell r="H89">
            <v>70.143315465319915</v>
          </cell>
          <cell r="J89">
            <v>0.14588212838028447</v>
          </cell>
        </row>
        <row r="91">
          <cell r="A91" t="str">
            <v>Consolidated asset value</v>
          </cell>
          <cell r="E91">
            <v>840.56039193978404</v>
          </cell>
          <cell r="F91">
            <v>924.61643113376249</v>
          </cell>
          <cell r="G91">
            <v>1017.0780742471388</v>
          </cell>
        </row>
        <row r="92">
          <cell r="A92" t="str">
            <v>Target forward P/E</v>
          </cell>
          <cell r="G92">
            <v>14.5</v>
          </cell>
        </row>
        <row r="93">
          <cell r="A93" t="str">
            <v>Present value of dividends</v>
          </cell>
          <cell r="E93">
            <v>44.219973163716098</v>
          </cell>
        </row>
        <row r="94">
          <cell r="A94" t="str">
            <v>Target Price</v>
          </cell>
          <cell r="E94">
            <v>884.78036510350012</v>
          </cell>
          <cell r="I94">
            <v>885</v>
          </cell>
        </row>
        <row r="95">
          <cell r="A95" t="str">
            <v>Implied multiples</v>
          </cell>
          <cell r="E95">
            <v>18.983523271921928</v>
          </cell>
          <cell r="F95">
            <v>17.080377354384755</v>
          </cell>
          <cell r="G95">
            <v>14.68171807299305</v>
          </cell>
          <cell r="I95" t="str">
            <v>.</v>
          </cell>
        </row>
        <row r="97">
          <cell r="A97" t="str">
            <v>Bear Case</v>
          </cell>
        </row>
        <row r="98">
          <cell r="A98" t="str">
            <v>Revenue</v>
          </cell>
          <cell r="E98">
            <v>10192.208687793149</v>
          </cell>
          <cell r="F98">
            <v>10691.020558645465</v>
          </cell>
          <cell r="G98">
            <v>11184.704392289337</v>
          </cell>
          <cell r="H98">
            <v>11676.147009720857</v>
          </cell>
          <cell r="J98">
            <v>4.6350249830918955E-2</v>
          </cell>
        </row>
        <row r="99">
          <cell r="A99" t="str">
            <v>EBIT</v>
          </cell>
          <cell r="E99">
            <v>878.6796606113486</v>
          </cell>
          <cell r="F99">
            <v>921.95127507876919</v>
          </cell>
          <cell r="G99">
            <v>978.17030189816933</v>
          </cell>
          <cell r="H99">
            <v>1171.6880318242224</v>
          </cell>
          <cell r="J99">
            <v>0.10067847492641824</v>
          </cell>
        </row>
        <row r="100">
          <cell r="A100" t="str">
            <v>Margin %</v>
          </cell>
          <cell r="E100">
            <v>8.6210917331756801E-2</v>
          </cell>
          <cell r="F100">
            <v>8.623603986367967E-2</v>
          </cell>
          <cell r="G100">
            <v>8.7456071040421385E-2</v>
          </cell>
          <cell r="H100">
            <v>0.10034885916122378</v>
          </cell>
        </row>
        <row r="101">
          <cell r="A101" t="str">
            <v>NOPAT</v>
          </cell>
          <cell r="E101">
            <v>641.43615224628445</v>
          </cell>
          <cell r="F101">
            <v>673.02443080750152</v>
          </cell>
          <cell r="G101">
            <v>714.06432038566356</v>
          </cell>
          <cell r="H101">
            <v>855.3322632316823</v>
          </cell>
        </row>
        <row r="102">
          <cell r="A102" t="str">
            <v>Bear Case EPS</v>
          </cell>
          <cell r="E102">
            <v>33.447318140291472</v>
          </cell>
          <cell r="F102">
            <v>34.859077681169367</v>
          </cell>
          <cell r="G102">
            <v>36.740314061647659</v>
          </cell>
          <cell r="H102">
            <v>44.389542478848384</v>
          </cell>
          <cell r="J102">
            <v>9.8937826747595992E-2</v>
          </cell>
        </row>
        <row r="104">
          <cell r="A104" t="str">
            <v>Consolidated asset value</v>
          </cell>
          <cell r="E104">
            <v>458.56965370711129</v>
          </cell>
          <cell r="F104">
            <v>504.42661907782247</v>
          </cell>
          <cell r="G104">
            <v>554.86928098560475</v>
          </cell>
        </row>
        <row r="105">
          <cell r="A105" t="str">
            <v>Target forward P/E</v>
          </cell>
          <cell r="G105">
            <v>12.5</v>
          </cell>
        </row>
        <row r="106">
          <cell r="A106" t="str">
            <v>Present value of dividends</v>
          </cell>
          <cell r="E106">
            <v>44.219973163716098</v>
          </cell>
        </row>
        <row r="107">
          <cell r="A107" t="str">
            <v>Target Price</v>
          </cell>
          <cell r="E107">
            <v>500</v>
          </cell>
          <cell r="I107">
            <v>500</v>
          </cell>
        </row>
        <row r="108">
          <cell r="A108" t="str">
            <v>Implied multiples</v>
          </cell>
          <cell r="E108">
            <v>14.948881638366323</v>
          </cell>
          <cell r="F108">
            <v>14.343466128769567</v>
          </cell>
          <cell r="G108">
            <v>13.609029012681688</v>
          </cell>
        </row>
        <row r="111">
          <cell r="K111" t="str">
            <v>Current share price</v>
          </cell>
          <cell r="L111">
            <v>580</v>
          </cell>
        </row>
        <row r="112">
          <cell r="K112" t="str">
            <v>Upside to bull</v>
          </cell>
          <cell r="L112">
            <v>0.52586206896551735</v>
          </cell>
        </row>
        <row r="113">
          <cell r="K113" t="str">
            <v>Upside to base</v>
          </cell>
          <cell r="L113">
            <v>0.24137931034482762</v>
          </cell>
        </row>
        <row r="114">
          <cell r="K114" t="str">
            <v>Dowside to bear</v>
          </cell>
          <cell r="L114">
            <v>-0.13793103448275867</v>
          </cell>
        </row>
        <row r="115">
          <cell r="E115">
            <v>790.67182637761948</v>
          </cell>
          <cell r="F115">
            <v>867.52225040632209</v>
          </cell>
          <cell r="G115">
            <v>1003.0184648863827</v>
          </cell>
          <cell r="H115">
            <v>1154.5813546693241</v>
          </cell>
        </row>
        <row r="118">
          <cell r="D118">
            <v>2009</v>
          </cell>
          <cell r="E118" t="str">
            <v>2010e</v>
          </cell>
          <cell r="F118" t="str">
            <v>2011e</v>
          </cell>
          <cell r="G118" t="str">
            <v>2012e</v>
          </cell>
          <cell r="H118" t="str">
            <v>2013e</v>
          </cell>
        </row>
        <row r="119">
          <cell r="A119" t="str">
            <v>Dividends</v>
          </cell>
          <cell r="D119">
            <v>15.011513216700001</v>
          </cell>
          <cell r="E119">
            <v>15.762088877535001</v>
          </cell>
          <cell r="F119">
            <v>16.550193321411751</v>
          </cell>
          <cell r="G119">
            <v>17.377702987482341</v>
          </cell>
          <cell r="H119">
            <v>18.24658813685646</v>
          </cell>
        </row>
      </sheetData>
      <sheetData sheetId="17"/>
      <sheetData sheetId="18"/>
      <sheetData sheetId="19"/>
      <sheetData sheetId="20"/>
      <sheetData sheetId="21" refreshError="1">
        <row r="4">
          <cell r="A4" t="str">
            <v>Dollarised content</v>
          </cell>
        </row>
        <row r="6">
          <cell r="B6" t="str">
            <v>Percentage USD costs</v>
          </cell>
          <cell r="E6" t="str">
            <v>EIS</v>
          </cell>
        </row>
        <row r="7">
          <cell r="A7" t="str">
            <v>RB211</v>
          </cell>
          <cell r="B7">
            <v>0.25</v>
          </cell>
          <cell r="E7">
            <v>1972</v>
          </cell>
        </row>
        <row r="8">
          <cell r="A8" t="str">
            <v>Trent 700</v>
          </cell>
          <cell r="B8">
            <v>0.45</v>
          </cell>
          <cell r="E8">
            <v>1993</v>
          </cell>
        </row>
        <row r="9">
          <cell r="A9" t="str">
            <v>Trent 1000</v>
          </cell>
          <cell r="B9">
            <v>0.7</v>
          </cell>
          <cell r="E9" t="str">
            <v>3Q09</v>
          </cell>
        </row>
        <row r="10">
          <cell r="A10" t="str">
            <v>RB282</v>
          </cell>
          <cell r="B10">
            <v>0.85</v>
          </cell>
          <cell r="E10">
            <v>2012</v>
          </cell>
        </row>
        <row r="14">
          <cell r="A14" t="str">
            <v>Changes to estimates</v>
          </cell>
        </row>
        <row r="15">
          <cell r="B15" t="str">
            <v>2008e</v>
          </cell>
          <cell r="C15" t="str">
            <v>2009e</v>
          </cell>
          <cell r="D15" t="str">
            <v>2010e</v>
          </cell>
          <cell r="E15" t="str">
            <v>2011e</v>
          </cell>
          <cell r="F15" t="str">
            <v>2012e</v>
          </cell>
        </row>
        <row r="16">
          <cell r="A16" t="str">
            <v>Current</v>
          </cell>
        </row>
        <row r="17">
          <cell r="A17" t="str">
            <v>Revenue</v>
          </cell>
          <cell r="B17">
            <v>9082</v>
          </cell>
          <cell r="C17">
            <v>10414</v>
          </cell>
          <cell r="D17">
            <v>10504.628687793149</v>
          </cell>
          <cell r="E17">
            <v>11333.869412789531</v>
          </cell>
          <cell r="F17">
            <v>12197.254435587442</v>
          </cell>
          <cell r="H17">
            <v>7.6627748591430844E-2</v>
          </cell>
        </row>
        <row r="18">
          <cell r="A18" t="str">
            <v xml:space="preserve">Underlying EBIT </v>
          </cell>
          <cell r="B18">
            <v>919</v>
          </cell>
          <cell r="C18">
            <v>983</v>
          </cell>
          <cell r="D18">
            <v>1083.1120909282458</v>
          </cell>
          <cell r="E18">
            <v>1188.386644392222</v>
          </cell>
          <cell r="F18">
            <v>1373.9978971046339</v>
          </cell>
          <cell r="H18">
            <v>8.9467009223566984E-2</v>
          </cell>
        </row>
        <row r="19">
          <cell r="A19" t="str">
            <v>Margin %</v>
          </cell>
          <cell r="B19">
            <v>0.10118916538207444</v>
          </cell>
          <cell r="C19">
            <v>9.439216439408489E-2</v>
          </cell>
          <cell r="D19">
            <v>0.10310807960179219</v>
          </cell>
          <cell r="E19">
            <v>0.1048526854430849</v>
          </cell>
          <cell r="F19">
            <v>0.11264812949181212</v>
          </cell>
          <cell r="H19">
            <v>1.1925440941805476E-2</v>
          </cell>
        </row>
        <row r="20">
          <cell r="A20" t="str">
            <v>EPS</v>
          </cell>
          <cell r="B20">
            <v>-73.626373626373635</v>
          </cell>
          <cell r="C20">
            <v>120.37940379403793</v>
          </cell>
          <cell r="D20">
            <v>41.535972564754076</v>
          </cell>
          <cell r="E20">
            <v>45.387995080711818</v>
          </cell>
          <cell r="F20">
            <v>52.345540252998276</v>
          </cell>
          <cell r="H20">
            <v>-1.8510776706010228</v>
          </cell>
        </row>
        <row r="22">
          <cell r="A22" t="str">
            <v>Prior</v>
          </cell>
        </row>
        <row r="23">
          <cell r="A23" t="str">
            <v>Revenue</v>
          </cell>
          <cell r="B23">
            <v>8028.001201904106</v>
          </cell>
          <cell r="C23">
            <v>8592.4855591195756</v>
          </cell>
          <cell r="D23">
            <v>9238.1087377510903</v>
          </cell>
          <cell r="E23">
            <v>9584.8931342761462</v>
          </cell>
          <cell r="F23">
            <v>10095.928147389963</v>
          </cell>
        </row>
        <row r="24">
          <cell r="A24" t="str">
            <v xml:space="preserve">Underlying EBIT </v>
          </cell>
          <cell r="B24">
            <v>916.76796025048441</v>
          </cell>
          <cell r="C24">
            <v>969.2546835260755</v>
          </cell>
          <cell r="D24">
            <v>1045.1409000307481</v>
          </cell>
          <cell r="E24">
            <v>1074.397143580898</v>
          </cell>
          <cell r="F24">
            <v>1133.2909731549125</v>
          </cell>
        </row>
        <row r="25">
          <cell r="A25" t="str">
            <v>Margin %</v>
          </cell>
          <cell r="B25">
            <v>0.11419629085668828</v>
          </cell>
          <cell r="C25">
            <v>0.11280259674074909</v>
          </cell>
          <cell r="D25">
            <v>0.11313364344368775</v>
          </cell>
          <cell r="E25">
            <v>0.11209276186280995</v>
          </cell>
          <cell r="F25">
            <v>0.11225228197051849</v>
          </cell>
        </row>
        <row r="26">
          <cell r="A26" t="str">
            <v>EPS</v>
          </cell>
          <cell r="B26">
            <v>35.623517741419313</v>
          </cell>
          <cell r="C26">
            <v>37.961719406606811</v>
          </cell>
          <cell r="D26">
            <v>41.175894534746114</v>
          </cell>
          <cell r="E26">
            <v>42.96894110681103</v>
          </cell>
          <cell r="F26">
            <v>46.190081547557483</v>
          </cell>
        </row>
        <row r="28">
          <cell r="A28" t="str">
            <v>Change %</v>
          </cell>
        </row>
        <row r="29">
          <cell r="A29" t="str">
            <v>Revenue</v>
          </cell>
          <cell r="B29">
            <v>0.13129031393840651</v>
          </cell>
          <cell r="C29">
            <v>0.21198923505285072</v>
          </cell>
          <cell r="D29">
            <v>0.1370973200246588</v>
          </cell>
          <cell r="E29">
            <v>0.18247217303434948</v>
          </cell>
          <cell r="F29">
            <v>0.20813601855325414</v>
          </cell>
        </row>
        <row r="30">
          <cell r="A30" t="str">
            <v xml:space="preserve">Underlying EBIT </v>
          </cell>
          <cell r="B30">
            <v>2.4346834164075126E-3</v>
          </cell>
          <cell r="C30">
            <v>1.4181325824416113E-2</v>
          </cell>
          <cell r="D30">
            <v>3.6331169219748993E-2</v>
          </cell>
          <cell r="E30">
            <v>0.10609624336062939</v>
          </cell>
          <cell r="F30">
            <v>0.21239640096984913</v>
          </cell>
        </row>
        <row r="31">
          <cell r="A31" t="str">
            <v>EPS</v>
          </cell>
          <cell r="B31">
            <v>-3.0667912181162436</v>
          </cell>
          <cell r="C31">
            <v>2.1710735360708462</v>
          </cell>
          <cell r="D31">
            <v>8.7448744969975678E-3</v>
          </cell>
          <cell r="E31">
            <v>5.6297733004115003E-2</v>
          </cell>
          <cell r="F31">
            <v>0.13326364663597978</v>
          </cell>
        </row>
        <row r="35">
          <cell r="A35" t="str">
            <v xml:space="preserve">Marine growth </v>
          </cell>
        </row>
        <row r="36">
          <cell r="B36" t="str">
            <v>1H05</v>
          </cell>
          <cell r="C36" t="str">
            <v>2H05</v>
          </cell>
          <cell r="D36" t="str">
            <v>1H06</v>
          </cell>
          <cell r="E36" t="str">
            <v>2H06</v>
          </cell>
          <cell r="F36" t="str">
            <v>1H07</v>
          </cell>
          <cell r="G36" t="str">
            <v>2H07</v>
          </cell>
          <cell r="H36" t="str">
            <v>1H08</v>
          </cell>
        </row>
        <row r="37">
          <cell r="A37" t="str">
            <v>Marine revenue</v>
          </cell>
          <cell r="B37">
            <v>488</v>
          </cell>
          <cell r="C37">
            <v>609</v>
          </cell>
          <cell r="D37">
            <v>620</v>
          </cell>
          <cell r="E37">
            <v>679</v>
          </cell>
          <cell r="F37">
            <v>698</v>
          </cell>
          <cell r="G37">
            <v>850</v>
          </cell>
          <cell r="H37">
            <v>1009</v>
          </cell>
        </row>
        <row r="38">
          <cell r="A38" t="str">
            <v xml:space="preserve">Marine underlying EBIT </v>
          </cell>
          <cell r="B38">
            <v>39</v>
          </cell>
          <cell r="C38">
            <v>50</v>
          </cell>
          <cell r="D38">
            <v>50</v>
          </cell>
          <cell r="E38">
            <v>51</v>
          </cell>
          <cell r="F38">
            <v>58</v>
          </cell>
          <cell r="G38">
            <v>55</v>
          </cell>
          <cell r="H38">
            <v>87</v>
          </cell>
        </row>
        <row r="39">
          <cell r="B39">
            <v>7.9918032786885251E-2</v>
          </cell>
          <cell r="C39">
            <v>8.2101806239737271E-2</v>
          </cell>
          <cell r="D39">
            <v>8.0645161290322578E-2</v>
          </cell>
          <cell r="E39">
            <v>7.511045655375552E-2</v>
          </cell>
          <cell r="F39">
            <v>8.3094555873925502E-2</v>
          </cell>
          <cell r="G39">
            <v>6.4705882352941183E-2</v>
          </cell>
          <cell r="H39">
            <v>8.6223984142715565E-2</v>
          </cell>
        </row>
        <row r="42">
          <cell r="B42" t="str">
            <v>1H05</v>
          </cell>
          <cell r="C42" t="str">
            <v>2H05</v>
          </cell>
          <cell r="D42" t="str">
            <v>1H06</v>
          </cell>
          <cell r="E42" t="str">
            <v>2H06</v>
          </cell>
          <cell r="F42" t="str">
            <v>1H07</v>
          </cell>
          <cell r="G42" t="str">
            <v>2H07</v>
          </cell>
          <cell r="H42" t="str">
            <v>1H08</v>
          </cell>
        </row>
        <row r="43">
          <cell r="A43" t="str">
            <v>Order book</v>
          </cell>
          <cell r="B43">
            <v>1.7</v>
          </cell>
          <cell r="C43">
            <v>1.9</v>
          </cell>
          <cell r="D43">
            <v>2.1</v>
          </cell>
          <cell r="E43">
            <v>2.4</v>
          </cell>
          <cell r="F43">
            <v>3.1</v>
          </cell>
          <cell r="G43">
            <v>4.7</v>
          </cell>
          <cell r="H43">
            <v>5.5</v>
          </cell>
        </row>
        <row r="48">
          <cell r="B48" t="str">
            <v>1H05</v>
          </cell>
          <cell r="C48" t="str">
            <v>2H05</v>
          </cell>
          <cell r="D48" t="str">
            <v>1H06</v>
          </cell>
          <cell r="E48" t="str">
            <v>2H06</v>
          </cell>
          <cell r="F48" t="str">
            <v>1H07</v>
          </cell>
          <cell r="G48" t="str">
            <v>2H07</v>
          </cell>
          <cell r="I48" t="str">
            <v>CAGR</v>
          </cell>
        </row>
        <row r="49">
          <cell r="A49" t="str">
            <v>Marine revenue</v>
          </cell>
          <cell r="B49">
            <v>488</v>
          </cell>
          <cell r="C49">
            <v>609</v>
          </cell>
          <cell r="D49">
            <v>620</v>
          </cell>
          <cell r="E49">
            <v>679</v>
          </cell>
          <cell r="F49">
            <v>698</v>
          </cell>
          <cell r="G49">
            <v>850</v>
          </cell>
          <cell r="I49">
            <v>0.1173772395573629</v>
          </cell>
        </row>
        <row r="50">
          <cell r="A50" t="str">
            <v>Order book</v>
          </cell>
          <cell r="B50">
            <v>1700</v>
          </cell>
          <cell r="C50">
            <v>1900</v>
          </cell>
          <cell r="D50">
            <v>2100</v>
          </cell>
          <cell r="E50">
            <v>2400</v>
          </cell>
          <cell r="F50">
            <v>3100</v>
          </cell>
          <cell r="G50">
            <v>4700</v>
          </cell>
          <cell r="I50">
            <v>0.22554648108752806</v>
          </cell>
        </row>
        <row r="55">
          <cell r="A55" t="str">
            <v>ROIC improvement</v>
          </cell>
          <cell r="B55">
            <v>2006</v>
          </cell>
          <cell r="C55">
            <v>2007</v>
          </cell>
          <cell r="D55" t="str">
            <v>2008e</v>
          </cell>
          <cell r="E55" t="str">
            <v>2009e</v>
          </cell>
          <cell r="F55" t="str">
            <v>2010e</v>
          </cell>
          <cell r="G55" t="str">
            <v>2011e</v>
          </cell>
          <cell r="H55" t="str">
            <v>2012e</v>
          </cell>
        </row>
        <row r="56">
          <cell r="A56" t="str">
            <v>ROIC</v>
          </cell>
          <cell r="B56">
            <v>0.11089277049975739</v>
          </cell>
          <cell r="C56">
            <v>7.5356022206130815E-2</v>
          </cell>
          <cell r="D56">
            <v>0.11649419218585004</v>
          </cell>
          <cell r="E56">
            <v>0.14340231630909436</v>
          </cell>
          <cell r="F56">
            <v>0.12528145420424655</v>
          </cell>
          <cell r="G56">
            <v>0.12964233440802561</v>
          </cell>
          <cell r="H56">
            <v>0.13981334207096835</v>
          </cell>
        </row>
        <row r="90">
          <cell r="I90" t="str">
            <v>EPS estimates</v>
          </cell>
          <cell r="M90" t="str">
            <v>Revenue</v>
          </cell>
          <cell r="Q90" t="str">
            <v>EBIT</v>
          </cell>
        </row>
        <row r="92">
          <cell r="A92" t="str">
            <v>Consensus estimates</v>
          </cell>
          <cell r="B92" t="str">
            <v>2008e</v>
          </cell>
          <cell r="C92" t="str">
            <v>2009e</v>
          </cell>
          <cell r="D92" t="str">
            <v>2010e</v>
          </cell>
          <cell r="I92" t="str">
            <v>2008e</v>
          </cell>
          <cell r="J92" t="str">
            <v>2009e</v>
          </cell>
          <cell r="K92" t="str">
            <v>2010e</v>
          </cell>
          <cell r="M92" t="str">
            <v>2008e</v>
          </cell>
          <cell r="N92" t="str">
            <v>2009e</v>
          </cell>
          <cell r="O92" t="str">
            <v>2010e</v>
          </cell>
          <cell r="Q92" t="str">
            <v>2008e</v>
          </cell>
          <cell r="R92" t="str">
            <v>2009e</v>
          </cell>
          <cell r="S92" t="str">
            <v>2010e</v>
          </cell>
        </row>
        <row r="93">
          <cell r="A93" t="str">
            <v>Revenue</v>
          </cell>
          <cell r="B93">
            <v>8317.6923076923085</v>
          </cell>
          <cell r="C93">
            <v>8944.4166666666661</v>
          </cell>
          <cell r="D93">
            <v>9394.8333333333339</v>
          </cell>
          <cell r="I93">
            <v>32.5</v>
          </cell>
          <cell r="J93">
            <v>34.4</v>
          </cell>
          <cell r="K93">
            <v>39</v>
          </cell>
          <cell r="M93">
            <v>8484</v>
          </cell>
          <cell r="N93">
            <v>9062</v>
          </cell>
          <cell r="O93">
            <v>9855</v>
          </cell>
          <cell r="Q93">
            <v>920</v>
          </cell>
          <cell r="R93">
            <v>975</v>
          </cell>
          <cell r="S93">
            <v>924</v>
          </cell>
        </row>
        <row r="94">
          <cell r="A94" t="str">
            <v>EBIT</v>
          </cell>
          <cell r="B94">
            <v>880.33333333333337</v>
          </cell>
          <cell r="C94">
            <v>922.81818181818187</v>
          </cell>
          <cell r="D94">
            <v>991.33333333333337</v>
          </cell>
          <cell r="I94">
            <v>33.6</v>
          </cell>
          <cell r="J94">
            <v>36.200000000000003</v>
          </cell>
          <cell r="K94">
            <v>37.4</v>
          </cell>
          <cell r="M94">
            <v>7991</v>
          </cell>
          <cell r="N94">
            <v>8464</v>
          </cell>
          <cell r="O94">
            <v>9467</v>
          </cell>
          <cell r="Q94">
            <v>882</v>
          </cell>
          <cell r="R94">
            <v>944</v>
          </cell>
          <cell r="S94">
            <v>1025</v>
          </cell>
        </row>
        <row r="95">
          <cell r="A95" t="str">
            <v>EBIT margin %</v>
          </cell>
          <cell r="B95">
            <v>0.10583865100650451</v>
          </cell>
          <cell r="C95">
            <v>0.10317253949687592</v>
          </cell>
          <cell r="D95">
            <v>0.10551899093473363</v>
          </cell>
          <cell r="I95">
            <v>32</v>
          </cell>
          <cell r="J95">
            <v>34.1</v>
          </cell>
          <cell r="K95">
            <v>38.5</v>
          </cell>
          <cell r="M95">
            <v>8605</v>
          </cell>
          <cell r="N95">
            <v>9153</v>
          </cell>
          <cell r="O95">
            <v>8924</v>
          </cell>
          <cell r="Q95">
            <v>810</v>
          </cell>
          <cell r="R95">
            <v>882</v>
          </cell>
          <cell r="S95">
            <v>940</v>
          </cell>
        </row>
        <row r="96">
          <cell r="A96" t="str">
            <v>EPS</v>
          </cell>
          <cell r="B96">
            <v>34.649999999999991</v>
          </cell>
          <cell r="C96">
            <v>37.53</v>
          </cell>
          <cell r="D96">
            <v>39.54</v>
          </cell>
          <cell r="I96">
            <v>32.4</v>
          </cell>
          <cell r="J96">
            <v>36.799999999999997</v>
          </cell>
          <cell r="K96">
            <v>40.1</v>
          </cell>
          <cell r="M96">
            <v>7915</v>
          </cell>
          <cell r="N96">
            <v>8144</v>
          </cell>
          <cell r="O96">
            <v>9445</v>
          </cell>
          <cell r="Q96">
            <v>860</v>
          </cell>
          <cell r="R96">
            <v>900</v>
          </cell>
          <cell r="S96">
            <v>1003</v>
          </cell>
        </row>
        <row r="97">
          <cell r="I97">
            <v>36</v>
          </cell>
          <cell r="J97">
            <v>38</v>
          </cell>
          <cell r="K97">
            <v>42.7</v>
          </cell>
          <cell r="M97">
            <v>8190</v>
          </cell>
          <cell r="N97">
            <v>8740</v>
          </cell>
          <cell r="O97">
            <v>9203</v>
          </cell>
          <cell r="Q97">
            <v>844</v>
          </cell>
          <cell r="R97">
            <v>882</v>
          </cell>
          <cell r="S97">
            <v>1100</v>
          </cell>
        </row>
        <row r="98">
          <cell r="A98" t="str">
            <v xml:space="preserve">MS estimates </v>
          </cell>
          <cell r="I98">
            <v>35.4</v>
          </cell>
          <cell r="J98">
            <v>37.4</v>
          </cell>
          <cell r="M98">
            <v>8561</v>
          </cell>
          <cell r="N98">
            <v>9292</v>
          </cell>
          <cell r="Q98">
            <v>928</v>
          </cell>
          <cell r="R98">
            <v>1003</v>
          </cell>
          <cell r="S98">
            <v>956</v>
          </cell>
        </row>
        <row r="99">
          <cell r="A99" t="str">
            <v xml:space="preserve">Revenue </v>
          </cell>
          <cell r="B99">
            <v>9082</v>
          </cell>
          <cell r="C99">
            <v>10414</v>
          </cell>
          <cell r="D99">
            <v>10504.628687793149</v>
          </cell>
          <cell r="I99">
            <v>36.299999999999997</v>
          </cell>
          <cell r="J99">
            <v>39.6</v>
          </cell>
          <cell r="M99">
            <v>8382</v>
          </cell>
          <cell r="N99">
            <v>8815</v>
          </cell>
          <cell r="O99">
            <v>9475</v>
          </cell>
          <cell r="Q99">
            <v>921</v>
          </cell>
          <cell r="R99">
            <v>1032</v>
          </cell>
        </row>
        <row r="100">
          <cell r="A100" t="str">
            <v xml:space="preserve">EBIT </v>
          </cell>
          <cell r="B100">
            <v>919</v>
          </cell>
          <cell r="C100">
            <v>983</v>
          </cell>
          <cell r="D100">
            <v>1083.1120909282458</v>
          </cell>
          <cell r="I100">
            <v>35.700000000000003</v>
          </cell>
          <cell r="J100">
            <v>43.3</v>
          </cell>
          <cell r="M100">
            <v>8528</v>
          </cell>
          <cell r="N100">
            <v>9328</v>
          </cell>
          <cell r="Q100">
            <v>928</v>
          </cell>
          <cell r="R100">
            <v>825</v>
          </cell>
        </row>
        <row r="101">
          <cell r="A101" t="str">
            <v>EBIT margin %</v>
          </cell>
          <cell r="B101">
            <v>0.10118916538207444</v>
          </cell>
          <cell r="C101">
            <v>9.439216439408489E-2</v>
          </cell>
          <cell r="D101">
            <v>0.10310807960179219</v>
          </cell>
          <cell r="I101">
            <v>38.700000000000003</v>
          </cell>
          <cell r="J101">
            <v>35.5</v>
          </cell>
          <cell r="M101">
            <v>8554</v>
          </cell>
          <cell r="N101">
            <v>9525</v>
          </cell>
          <cell r="Q101">
            <v>810</v>
          </cell>
          <cell r="R101">
            <v>879</v>
          </cell>
        </row>
        <row r="102">
          <cell r="A102" t="str">
            <v>EPS</v>
          </cell>
          <cell r="B102">
            <v>-73.626373626373635</v>
          </cell>
          <cell r="C102">
            <v>120.37940379403793</v>
          </cell>
          <cell r="D102">
            <v>41.535972564754076</v>
          </cell>
          <cell r="I102">
            <v>33.9</v>
          </cell>
          <cell r="J102">
            <v>40</v>
          </cell>
          <cell r="M102">
            <v>8090</v>
          </cell>
          <cell r="N102">
            <v>8455</v>
          </cell>
          <cell r="Q102">
            <v>860</v>
          </cell>
          <cell r="R102">
            <v>1028</v>
          </cell>
        </row>
        <row r="103">
          <cell r="M103">
            <v>8221</v>
          </cell>
          <cell r="N103">
            <v>8985</v>
          </cell>
          <cell r="Q103">
            <v>955</v>
          </cell>
          <cell r="R103">
            <v>801</v>
          </cell>
        </row>
        <row r="104">
          <cell r="I104">
            <v>34.649999999999991</v>
          </cell>
          <cell r="J104">
            <v>37.53</v>
          </cell>
          <cell r="K104">
            <v>39.54</v>
          </cell>
          <cell r="M104">
            <v>8625</v>
          </cell>
          <cell r="N104">
            <v>9370</v>
          </cell>
          <cell r="Q104">
            <v>846</v>
          </cell>
        </row>
        <row r="105">
          <cell r="A105" t="str">
            <v>Revenue</v>
          </cell>
          <cell r="B105">
            <v>9.1889392398039282E-2</v>
          </cell>
          <cell r="C105">
            <v>0.16430175248991463</v>
          </cell>
          <cell r="D105">
            <v>0.11812826423670608</v>
          </cell>
          <cell r="M105">
            <v>7984</v>
          </cell>
          <cell r="Q105">
            <v>880.33333333333337</v>
          </cell>
          <cell r="R105">
            <v>922.81818181818187</v>
          </cell>
          <cell r="S105">
            <v>991.33333333333337</v>
          </cell>
        </row>
        <row r="106">
          <cell r="A106" t="str">
            <v xml:space="preserve">EBIT </v>
          </cell>
          <cell r="B106">
            <v>4.3922756531616702E-2</v>
          </cell>
          <cell r="C106">
            <v>6.5215249729090763E-2</v>
          </cell>
          <cell r="D106">
            <v>9.2581127365412685E-2</v>
          </cell>
          <cell r="M106">
            <v>8317.6923076923085</v>
          </cell>
          <cell r="N106">
            <v>8944.4166666666661</v>
          </cell>
          <cell r="O106">
            <v>9394.8333333333339</v>
          </cell>
        </row>
        <row r="107">
          <cell r="A107" t="str">
            <v>EPS</v>
          </cell>
          <cell r="B107">
            <v>-3.1248592677164115</v>
          </cell>
          <cell r="C107">
            <v>2.2075513933929636</v>
          </cell>
          <cell r="D107">
            <v>5.0479832189025631E-2</v>
          </cell>
        </row>
        <row r="113">
          <cell r="A113" t="str">
            <v>FX effect on FV</v>
          </cell>
        </row>
        <row r="117">
          <cell r="B117" t="str">
            <v xml:space="preserve">FCF </v>
          </cell>
          <cell r="C117" t="str">
            <v>FV</v>
          </cell>
        </row>
        <row r="118">
          <cell r="A118" t="str">
            <v>FV at 1.95</v>
          </cell>
          <cell r="B118">
            <v>0</v>
          </cell>
          <cell r="C118">
            <v>716.82770788580683</v>
          </cell>
          <cell r="E118">
            <v>358.41385394290342</v>
          </cell>
        </row>
        <row r="120">
          <cell r="B120" t="str">
            <v>2008e</v>
          </cell>
          <cell r="C120" t="str">
            <v>2009e</v>
          </cell>
          <cell r="D120" t="str">
            <v>2010e</v>
          </cell>
          <cell r="E120" t="str">
            <v>2011e</v>
          </cell>
        </row>
        <row r="121">
          <cell r="A121" t="str">
            <v>EPS</v>
          </cell>
          <cell r="B121">
            <v>-73.626373626373635</v>
          </cell>
          <cell r="C121">
            <v>120.37940379403793</v>
          </cell>
          <cell r="D121">
            <v>41.535972564754076</v>
          </cell>
          <cell r="E121">
            <v>45.387995080711818</v>
          </cell>
        </row>
        <row r="124">
          <cell r="B124" t="str">
            <v xml:space="preserve">FCF </v>
          </cell>
          <cell r="C124" t="str">
            <v>FV</v>
          </cell>
        </row>
        <row r="125">
          <cell r="A125" t="str">
            <v>FV at 2.05</v>
          </cell>
          <cell r="B125">
            <v>492.53194569714242</v>
          </cell>
          <cell r="C125">
            <v>545.99807087321074</v>
          </cell>
          <cell r="E125">
            <v>519.26500828517658</v>
          </cell>
        </row>
        <row r="127">
          <cell r="B127" t="str">
            <v>2008e</v>
          </cell>
          <cell r="C127" t="str">
            <v>2009e</v>
          </cell>
          <cell r="D127" t="str">
            <v>2010e</v>
          </cell>
          <cell r="E127" t="str">
            <v>2011e</v>
          </cell>
        </row>
        <row r="128">
          <cell r="A128" t="str">
            <v>EPS</v>
          </cell>
          <cell r="B128">
            <v>35.623517741419313</v>
          </cell>
          <cell r="C128">
            <v>37.961719406606811</v>
          </cell>
          <cell r="D128">
            <v>41.175894534746114</v>
          </cell>
          <cell r="E128">
            <v>43.14640215682121</v>
          </cell>
        </row>
        <row r="131">
          <cell r="A131" t="str">
            <v>Cut to EPS</v>
          </cell>
          <cell r="B131">
            <v>-1.4838418081297249</v>
          </cell>
          <cell r="C131">
            <v>-0.68464938178662949</v>
          </cell>
          <cell r="D131">
            <v>-8.6690646149335526E-3</v>
          </cell>
          <cell r="E131">
            <v>-4.9387352754940217E-2</v>
          </cell>
        </row>
        <row r="133">
          <cell r="B133">
            <v>-492.53194569714242</v>
          </cell>
          <cell r="C133">
            <v>170.82963701259609</v>
          </cell>
        </row>
        <row r="140">
          <cell r="B140">
            <v>2004</v>
          </cell>
          <cell r="C140">
            <v>2005</v>
          </cell>
          <cell r="D140">
            <v>2006</v>
          </cell>
          <cell r="E140">
            <v>2007</v>
          </cell>
          <cell r="F140" t="str">
            <v>2008e</v>
          </cell>
          <cell r="G140" t="str">
            <v>2009e</v>
          </cell>
          <cell r="H140" t="str">
            <v>2010e</v>
          </cell>
          <cell r="I140" t="str">
            <v>2011e</v>
          </cell>
        </row>
        <row r="141">
          <cell r="A141" t="str">
            <v>Civil Aerospace</v>
          </cell>
          <cell r="B141">
            <v>194</v>
          </cell>
          <cell r="C141">
            <v>454</v>
          </cell>
          <cell r="D141">
            <v>519</v>
          </cell>
          <cell r="E141">
            <v>564</v>
          </cell>
          <cell r="F141">
            <v>566</v>
          </cell>
          <cell r="G141">
            <v>493</v>
          </cell>
          <cell r="H141">
            <v>472.81882601904039</v>
          </cell>
          <cell r="I141">
            <v>554.72726895351991</v>
          </cell>
        </row>
        <row r="142">
          <cell r="A142" t="str">
            <v xml:space="preserve">Non-civil divisions </v>
          </cell>
          <cell r="B142">
            <v>223</v>
          </cell>
          <cell r="C142">
            <v>225</v>
          </cell>
          <cell r="D142">
            <v>229</v>
          </cell>
          <cell r="E142">
            <v>268</v>
          </cell>
          <cell r="F142">
            <v>353</v>
          </cell>
          <cell r="G142">
            <v>490</v>
          </cell>
          <cell r="H142">
            <v>610.29326490920539</v>
          </cell>
          <cell r="I142">
            <v>633.65937543870211</v>
          </cell>
        </row>
        <row r="143">
          <cell r="A143" t="str">
            <v xml:space="preserve">Total </v>
          </cell>
          <cell r="B143">
            <v>417</v>
          </cell>
          <cell r="C143">
            <v>679</v>
          </cell>
          <cell r="D143">
            <v>748</v>
          </cell>
          <cell r="E143">
            <v>832</v>
          </cell>
          <cell r="F143">
            <v>919</v>
          </cell>
          <cell r="G143">
            <v>983</v>
          </cell>
          <cell r="H143">
            <v>1083.1120909282458</v>
          </cell>
          <cell r="I143">
            <v>1188.386644392222</v>
          </cell>
        </row>
        <row r="146">
          <cell r="B146">
            <v>1.1494845360824741</v>
          </cell>
          <cell r="C146">
            <v>0.49559471365638769</v>
          </cell>
          <cell r="D146">
            <v>0.44123314065510599</v>
          </cell>
          <cell r="E146">
            <v>0.47517730496453903</v>
          </cell>
          <cell r="F146">
            <v>0.62367491166077738</v>
          </cell>
          <cell r="G146">
            <v>0.99391480730223125</v>
          </cell>
          <cell r="H146">
            <v>1.2907550023920344</v>
          </cell>
          <cell r="I146">
            <v>1.1422899339960082</v>
          </cell>
        </row>
      </sheetData>
      <sheetData sheetId="22"/>
      <sheetData sheetId="23"/>
      <sheetData sheetId="24"/>
      <sheetData sheetId="25"/>
      <sheetData sheetId="2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odel"/>
      <sheetName val="Comm.Aero.Prod"/>
      <sheetName val="BizJet.Prod"/>
      <sheetName val="10K"/>
      <sheetName val="10Q"/>
      <sheetName val="__FDSCACHE__"/>
      <sheetName val="Notes"/>
      <sheetName val="Guidance Tracker"/>
      <sheetName val="M&amp;A"/>
      <sheetName val="Valuation"/>
      <sheetName val="DCF"/>
      <sheetName val="ROIC"/>
      <sheetName val="Other ---&gt;"/>
      <sheetName val="Bull Bear"/>
      <sheetName val="Revenue Data"/>
      <sheetName val="EPS walk"/>
      <sheetName val="MWA RR"/>
      <sheetName val="mwareDates"/>
      <sheetName val="mwareSettings"/>
      <sheetName val="BEAV.Notes"/>
      <sheetName val="Revenue Build-up"/>
      <sheetName val="Quarterly Analysis"/>
      <sheetName val="Variance"/>
      <sheetName val="Working Cap"/>
      <sheetName val="Output"/>
      <sheetName val="BEAV.10Q"/>
      <sheetName val="BEAV.10K"/>
      <sheetName val="#REF"/>
      <sheetName val="Monthly Note"/>
      <sheetName val="Boeing Del Schedule- Reported"/>
      <sheetName val="787 vs A350 Orders"/>
      <sheetName val="Paris 05 Orders"/>
      <sheetName val="Boeing Del Schedule"/>
      <sheetName val="New Tables 2006"/>
      <sheetName val="Graphs"/>
      <sheetName val="Main"/>
      <sheetName val="F'boro 08 Orde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Fleet v2"/>
      <sheetName val="Main"/>
      <sheetName val="Deliveries"/>
      <sheetName val="Old Format"/>
      <sheetName val="Deliveries LCA &amp; RJ"/>
      <sheetName val="Backlog v Deliveries"/>
      <sheetName val="Airbus Monthly"/>
      <sheetName val="Boeing Monthly"/>
      <sheetName val="Storage Summary"/>
      <sheetName val="WW Fleet Stats"/>
      <sheetName val="Sang-scratch"/>
      <sheetName val="from AIRCAP"/>
      <sheetName val="Program Lifecycles"/>
      <sheetName val="Sang - Charts"/>
      <sheetName val="Boeing Charts"/>
      <sheetName val="StoredAC"/>
      <sheetName val="StoredAC v2"/>
      <sheetName val="Table of Contents"/>
    </sheetNames>
    <sheetDataSet>
      <sheetData sheetId="0">
        <row r="5">
          <cell r="A5" t="str">
            <v>Boeing ceded share in North America</v>
          </cell>
        </row>
      </sheetData>
      <sheetData sheetId="1" refreshError="1"/>
      <sheetData sheetId="2">
        <row r="1">
          <cell r="A1" t="str">
            <v>Global Fleet by Region, OEM and Plane Type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redAC"/>
      <sheetName val="Total Stored AC"/>
      <sheetName val="By Type"/>
      <sheetName val="Summary"/>
      <sheetName val="Graphs"/>
      <sheetName val="MWare_Cached"/>
      <sheetName val="BJs charts"/>
      <sheetName val="Biz Jet Output Data"/>
    </sheetNames>
    <sheetDataSet>
      <sheetData sheetId="0"/>
      <sheetData sheetId="1" refreshError="1"/>
      <sheetData sheetId="2" refreshError="1"/>
      <sheetData sheetId="3" refreshError="1"/>
      <sheetData sheetId="4">
        <row r="78">
          <cell r="B78" t="str">
            <v>SE-210 (Caravelle)</v>
          </cell>
        </row>
      </sheetData>
      <sheetData sheetId="5" refreshError="1"/>
      <sheetData sheetId="6" refreshError="1"/>
      <sheetData sheetId="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 val="Sheet1"/>
    </sheetNames>
    <sheetDataSet>
      <sheetData sheetId="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Funded Status (%)</v>
          </cell>
          <cell r="AD8">
            <v>0</v>
          </cell>
        </row>
        <row r="10">
          <cell r="C10" t="str">
            <v>Input your data here:</v>
          </cell>
          <cell r="BC10" t="str">
            <v>.</v>
          </cell>
        </row>
        <row r="11">
          <cell r="D11" t="str">
            <v>Funded Status (%)</v>
          </cell>
          <cell r="E11" t="str">
            <v>% of Market Cap</v>
          </cell>
          <cell r="BC11" t="str">
            <v>.</v>
          </cell>
        </row>
        <row r="12">
          <cell r="C12">
            <v>2005</v>
          </cell>
          <cell r="D12">
            <v>0.91</v>
          </cell>
          <cell r="E12">
            <v>0.45</v>
          </cell>
        </row>
        <row r="13">
          <cell r="C13">
            <v>2006</v>
          </cell>
          <cell r="D13">
            <v>0.98</v>
          </cell>
          <cell r="E13">
            <v>0.5</v>
          </cell>
        </row>
        <row r="14">
          <cell r="C14">
            <v>2007</v>
          </cell>
          <cell r="D14">
            <v>1.05</v>
          </cell>
          <cell r="E14">
            <v>0.35</v>
          </cell>
          <cell r="BC14" t="str">
            <v>.</v>
          </cell>
        </row>
        <row r="15">
          <cell r="C15">
            <v>2008</v>
          </cell>
          <cell r="D15">
            <v>0.77</v>
          </cell>
          <cell r="E15">
            <v>0.6</v>
          </cell>
          <cell r="BC15" t="str">
            <v>.</v>
          </cell>
        </row>
        <row r="16">
          <cell r="C16">
            <v>2009</v>
          </cell>
          <cell r="D16">
            <v>0.82</v>
          </cell>
          <cell r="E16">
            <v>0.56000000000000005</v>
          </cell>
          <cell r="BC16" t="str">
            <v>.</v>
          </cell>
        </row>
        <row r="17">
          <cell r="C17">
            <v>2010</v>
          </cell>
          <cell r="D17">
            <v>0.84</v>
          </cell>
          <cell r="E17">
            <v>0.52</v>
          </cell>
          <cell r="BC17" t="str">
            <v>.</v>
          </cell>
        </row>
        <row r="18">
          <cell r="C18">
            <v>2011</v>
          </cell>
          <cell r="D18">
            <v>0.78</v>
          </cell>
          <cell r="E18">
            <v>0.6</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OC"/>
      <sheetName val="Main"/>
      <sheetName val="Qtr"/>
      <sheetName val="Scratch"/>
      <sheetName val="Valuation"/>
      <sheetName val="DCF"/>
      <sheetName val="SOTP"/>
      <sheetName val="Govt Systems"/>
      <sheetName val="Comm Systems"/>
      <sheetName val="Capital Deployment"/>
      <sheetName val="M&amp;A"/>
      <sheetName val="Tables"/>
      <sheetName val="Comm Systems Old"/>
      <sheetName val="Variance"/>
      <sheetName val="Breakdown"/>
      <sheetName val="RI"/>
      <sheetName val="DDM"/>
      <sheetName val="FCF"/>
      <sheetName val="HV"/>
      <sheetName val="Output"/>
      <sheetName val="9-11"/>
      <sheetName val="Guid"/>
      <sheetName val="mwareDates"/>
      <sheetName val="MWA RR"/>
      <sheetName val="CS old"/>
      <sheetName val="mwareSettings"/>
      <sheetName val="MW-Cache"/>
      <sheetName val="Sheet1"/>
      <sheetName val="To Do's"/>
      <sheetName val="Guidance History"/>
      <sheetName val="#REF"/>
      <sheetName val="EPS walk"/>
      <sheetName val="DCF-2"/>
      <sheetName val="QTR Analysis"/>
      <sheetName val="Other--&gt;"/>
      <sheetName val="Rev Breakdown"/>
      <sheetName val="C1500"/>
    </sheetNames>
    <sheetDataSet>
      <sheetData sheetId="0" refreshError="1"/>
      <sheetData sheetId="1" refreshError="1"/>
      <sheetData sheetId="2" refreshError="1"/>
      <sheetData sheetId="3" refreshError="1"/>
      <sheetData sheetId="4" refreshError="1">
        <row r="1">
          <cell r="B1" t="str">
            <v>2009 Cash Distribution</v>
          </cell>
        </row>
        <row r="2">
          <cell r="B2" t="str">
            <v>$MM</v>
          </cell>
        </row>
        <row r="3">
          <cell r="C3" t="str">
            <v xml:space="preserve">YTD </v>
          </cell>
          <cell r="D3" t="str">
            <v xml:space="preserve">4Q </v>
          </cell>
          <cell r="E3" t="str">
            <v xml:space="preserve">FY </v>
          </cell>
          <cell r="G3" t="str">
            <v>Notes</v>
          </cell>
        </row>
        <row r="4">
          <cell r="B4" t="str">
            <v>OCF</v>
          </cell>
          <cell r="C4">
            <v>381</v>
          </cell>
          <cell r="D4">
            <v>252</v>
          </cell>
          <cell r="E4">
            <v>633</v>
          </cell>
          <cell r="G4" t="str">
            <v>Guidance range: $625-675MM</v>
          </cell>
        </row>
        <row r="5">
          <cell r="B5" t="str">
            <v>Capex</v>
          </cell>
          <cell r="C5">
            <v>-117</v>
          </cell>
          <cell r="D5">
            <v>-36</v>
          </cell>
          <cell r="E5">
            <v>-153</v>
          </cell>
          <cell r="G5" t="str">
            <v>Guidance: $150MM</v>
          </cell>
        </row>
        <row r="6">
          <cell r="B6" t="str">
            <v>Dividend</v>
          </cell>
          <cell r="C6">
            <v>-114</v>
          </cell>
          <cell r="D6">
            <v>-38</v>
          </cell>
          <cell r="E6">
            <v>-152</v>
          </cell>
          <cell r="G6" t="str">
            <v>Continued at $0.24 per share</v>
          </cell>
        </row>
        <row r="7">
          <cell r="B7" t="str">
            <v>Repo</v>
          </cell>
          <cell r="C7">
            <v>-95</v>
          </cell>
          <cell r="D7">
            <v>-58</v>
          </cell>
          <cell r="E7">
            <v>-153</v>
          </cell>
          <cell r="G7" t="str">
            <v>Within $67MM remaing program balance</v>
          </cell>
        </row>
        <row r="8">
          <cell r="B8" t="str">
            <v>Remaining FCF</v>
          </cell>
          <cell r="C8">
            <v>55</v>
          </cell>
          <cell r="D8">
            <v>120</v>
          </cell>
          <cell r="E8">
            <v>175</v>
          </cell>
          <cell r="G8" t="str">
            <v>69% generated in 4Q</v>
          </cell>
        </row>
        <row r="9">
          <cell r="B9" t="str">
            <v>Net Income</v>
          </cell>
          <cell r="C9">
            <v>460</v>
          </cell>
          <cell r="D9">
            <v>134</v>
          </cell>
          <cell r="E9">
            <v>594</v>
          </cell>
          <cell r="G9" t="str">
            <v>MS EPS estimate of $3.81</v>
          </cell>
        </row>
        <row r="10">
          <cell r="B10" t="str">
            <v>OCF Conversion</v>
          </cell>
          <cell r="C10">
            <v>0.82826086956521738</v>
          </cell>
          <cell r="D10">
            <v>1.8805970149253732</v>
          </cell>
          <cell r="E10">
            <v>1.0656565656565657</v>
          </cell>
          <cell r="G10" t="str">
            <v>OCF guidance implies knockout 4Q09</v>
          </cell>
        </row>
        <row r="12">
          <cell r="B12" t="str">
            <v>2011 Tailwinds / Headwinds</v>
          </cell>
        </row>
        <row r="13">
          <cell r="H13" t="str">
            <v>Guidance Cushion</v>
          </cell>
        </row>
        <row r="14">
          <cell r="B14" t="str">
            <v>Pension</v>
          </cell>
          <cell r="C14">
            <v>40</v>
          </cell>
          <cell r="D14" t="str">
            <v>Tailwind</v>
          </cell>
          <cell r="J14" t="str">
            <v xml:space="preserve">Low </v>
          </cell>
          <cell r="K14" t="str">
            <v xml:space="preserve">High </v>
          </cell>
          <cell r="M14" t="str">
            <v xml:space="preserve">Delta </v>
          </cell>
        </row>
        <row r="15">
          <cell r="B15" t="str">
            <v>incentive Comp</v>
          </cell>
          <cell r="C15">
            <v>27</v>
          </cell>
          <cell r="D15" t="str">
            <v>Headwind; $100M versus $73M last year</v>
          </cell>
          <cell r="H15" t="str">
            <v>Margin Cushion Holding Sales Constant</v>
          </cell>
        </row>
        <row r="16">
          <cell r="B16" t="str">
            <v>Gov Systems Revs</v>
          </cell>
          <cell r="C16">
            <v>150</v>
          </cell>
          <cell r="D16" t="str">
            <v>Headwind F-22</v>
          </cell>
          <cell r="H16" t="str">
            <v>EPS Range</v>
          </cell>
          <cell r="J16">
            <v>3.7</v>
          </cell>
          <cell r="K16">
            <v>3.9</v>
          </cell>
          <cell r="M16">
            <v>0.19999999999999973</v>
          </cell>
        </row>
        <row r="17">
          <cell r="B17" t="str">
            <v>KC-X - Gov Sys Revs</v>
          </cell>
          <cell r="C17">
            <v>60</v>
          </cell>
          <cell r="D17" t="str">
            <v>Tailwind</v>
          </cell>
          <cell r="H17" t="str">
            <v>MSe Sharecount</v>
          </cell>
          <cell r="J17">
            <v>159.4</v>
          </cell>
          <cell r="K17">
            <v>159.4</v>
          </cell>
        </row>
        <row r="18">
          <cell r="H18" t="str">
            <v>Implied Net Income</v>
          </cell>
          <cell r="J18">
            <v>589.78000000000009</v>
          </cell>
          <cell r="K18">
            <v>621.66</v>
          </cell>
        </row>
        <row r="19">
          <cell r="H19" t="str">
            <v>Tax Guidance</v>
          </cell>
          <cell r="J19">
            <v>0.32</v>
          </cell>
          <cell r="K19">
            <v>0.32</v>
          </cell>
        </row>
        <row r="20">
          <cell r="H20" t="str">
            <v>Implied EBT</v>
          </cell>
          <cell r="J20">
            <v>867.32352941176487</v>
          </cell>
          <cell r="K20">
            <v>914.20588235294122</v>
          </cell>
        </row>
        <row r="21">
          <cell r="H21" t="str">
            <v>MSe Corp, Int. &amp; Stock-based comp.</v>
          </cell>
          <cell r="J21">
            <v>39</v>
          </cell>
          <cell r="K21">
            <v>39</v>
          </cell>
        </row>
        <row r="22">
          <cell r="H22" t="str">
            <v>Implied Segment Op. Profit</v>
          </cell>
          <cell r="J22">
            <v>828.32352941176487</v>
          </cell>
          <cell r="K22">
            <v>875.20588235294122</v>
          </cell>
          <cell r="M22">
            <v>46.88235294117635</v>
          </cell>
        </row>
        <row r="23">
          <cell r="H23" t="str">
            <v>Implied Segment Margin</v>
          </cell>
          <cell r="J23">
            <v>0.18204912734324502</v>
          </cell>
          <cell r="K23">
            <v>0.19235294117647059</v>
          </cell>
          <cell r="M23">
            <v>1.0303813833225567E-2</v>
          </cell>
        </row>
        <row r="24">
          <cell r="H24" t="str">
            <v>Revenue Guidance</v>
          </cell>
          <cell r="J24">
            <v>4550</v>
          </cell>
          <cell r="K24">
            <v>4550</v>
          </cell>
        </row>
        <row r="26">
          <cell r="H26" t="str">
            <v>Sales Cushion Holding Margins Constant</v>
          </cell>
        </row>
        <row r="27">
          <cell r="H27" t="str">
            <v>EPS Range</v>
          </cell>
          <cell r="J27">
            <v>3.7</v>
          </cell>
          <cell r="K27">
            <v>3.9</v>
          </cell>
          <cell r="M27">
            <v>0.19999999999999973</v>
          </cell>
        </row>
        <row r="28">
          <cell r="H28" t="str">
            <v>MSe Sharecount</v>
          </cell>
          <cell r="J28">
            <v>159.19999999999999</v>
          </cell>
          <cell r="K28">
            <v>159.19999999999999</v>
          </cell>
        </row>
        <row r="29">
          <cell r="H29" t="str">
            <v>Implied Net Income</v>
          </cell>
          <cell r="J29">
            <v>589.04</v>
          </cell>
          <cell r="K29">
            <v>620.88</v>
          </cell>
        </row>
        <row r="30">
          <cell r="H30" t="str">
            <v>Tax Guidance</v>
          </cell>
          <cell r="J30">
            <v>0.32</v>
          </cell>
          <cell r="K30">
            <v>0.32</v>
          </cell>
        </row>
        <row r="31">
          <cell r="H31" t="str">
            <v>Implied EBT</v>
          </cell>
          <cell r="J31">
            <v>866.23529411764707</v>
          </cell>
          <cell r="K31">
            <v>913.05882352941182</v>
          </cell>
        </row>
        <row r="32">
          <cell r="H32" t="str">
            <v>MSe Corp, Int. &amp; Stock-based comp.</v>
          </cell>
          <cell r="J32">
            <v>39</v>
          </cell>
          <cell r="K32">
            <v>39</v>
          </cell>
        </row>
        <row r="33">
          <cell r="H33" t="str">
            <v>Implied Segment Op. Profit</v>
          </cell>
          <cell r="J33">
            <v>827.23529411764707</v>
          </cell>
          <cell r="K33">
            <v>874.05882352941182</v>
          </cell>
        </row>
        <row r="34">
          <cell r="H34" t="str">
            <v>Implied Segment Margin</v>
          </cell>
          <cell r="J34">
            <v>0.21</v>
          </cell>
          <cell r="K34">
            <v>0.21</v>
          </cell>
        </row>
        <row r="35">
          <cell r="H35" t="str">
            <v>Revenue Guidance</v>
          </cell>
          <cell r="J35">
            <v>3939.2156862745101</v>
          </cell>
          <cell r="K35">
            <v>4162.1848739495799</v>
          </cell>
          <cell r="M35">
            <v>222.96918767506986</v>
          </cell>
        </row>
        <row r="39">
          <cell r="O39" t="str">
            <v>Sum-of-the-Parts Analysis</v>
          </cell>
        </row>
        <row r="41">
          <cell r="P41" t="str">
            <v>Target P/E Multiple</v>
          </cell>
          <cell r="R41" t="str">
            <v xml:space="preserve">2010E </v>
          </cell>
          <cell r="T41" t="str">
            <v>Implied Value</v>
          </cell>
        </row>
        <row r="42">
          <cell r="P42" t="str">
            <v xml:space="preserve">Low </v>
          </cell>
          <cell r="Q42" t="str">
            <v xml:space="preserve">High </v>
          </cell>
          <cell r="R42" t="str">
            <v>EPS (3)</v>
          </cell>
          <cell r="T42" t="str">
            <v xml:space="preserve">Low </v>
          </cell>
          <cell r="U42" t="str">
            <v xml:space="preserve">High </v>
          </cell>
        </row>
        <row r="43">
          <cell r="O43" t="str">
            <v>GS (1)</v>
          </cell>
          <cell r="P43">
            <v>9</v>
          </cell>
          <cell r="Q43">
            <v>12</v>
          </cell>
          <cell r="R43">
            <v>2.4042925741389092</v>
          </cell>
          <cell r="T43">
            <v>21.638633167250184</v>
          </cell>
          <cell r="U43">
            <v>28.851510889666912</v>
          </cell>
        </row>
        <row r="44">
          <cell r="O44" t="str">
            <v>CS (2)</v>
          </cell>
          <cell r="P44">
            <v>15</v>
          </cell>
          <cell r="Q44">
            <v>17</v>
          </cell>
          <cell r="R44">
            <v>1.2420470485026005</v>
          </cell>
          <cell r="T44">
            <v>18.630705727539009</v>
          </cell>
          <cell r="U44">
            <v>21.114799824544207</v>
          </cell>
        </row>
        <row r="45">
          <cell r="O45" t="str">
            <v>Total</v>
          </cell>
          <cell r="P45">
            <v>11.043770757046753</v>
          </cell>
          <cell r="Q45">
            <v>13.703142297538959</v>
          </cell>
          <cell r="R45">
            <v>3.6463396226415097</v>
          </cell>
          <cell r="T45">
            <v>40.269338894789193</v>
          </cell>
          <cell r="U45">
            <v>49.966310714211119</v>
          </cell>
        </row>
        <row r="47">
          <cell r="O47" t="str">
            <v>Notes</v>
          </cell>
          <cell r="T47" t="str">
            <v>Midpoint</v>
          </cell>
          <cell r="U47">
            <v>45.11782480450016</v>
          </cell>
        </row>
        <row r="49">
          <cell r="O49" t="str">
            <v>(1) Defense multiples likely rangebound in current DoD budget environment (50-75% S&amp;P P/E).</v>
          </cell>
        </row>
        <row r="50">
          <cell r="O50" t="str">
            <v>Margins and growth prospects, however, likely warrant multiple premium over 'Primes'. CAE, HRS</v>
          </cell>
        </row>
        <row r="51">
          <cell r="O51" t="str">
            <v>and Thales are the best comps, in our opinion.</v>
          </cell>
        </row>
        <row r="52">
          <cell r="O52" t="str">
            <v>(2) If defense multiples are appropriate, implication is mid-cycle commercial multiples.</v>
          </cell>
        </row>
        <row r="53">
          <cell r="O53" t="str">
            <v>(3) 2010 EPS allocated by segment operating profit.</v>
          </cell>
          <cell r="Z53" t="str">
            <v>Rolling LTM EBITDA Valuation</v>
          </cell>
        </row>
        <row r="55">
          <cell r="AB55">
            <v>39994</v>
          </cell>
          <cell r="AC55">
            <v>40086</v>
          </cell>
          <cell r="AD55">
            <v>40451</v>
          </cell>
        </row>
        <row r="57">
          <cell r="Z57" t="str">
            <v>LTM EBITDA</v>
          </cell>
          <cell r="AB57">
            <v>1075</v>
          </cell>
          <cell r="AC57">
            <v>1050</v>
          </cell>
          <cell r="AD57">
            <v>1019.1784615384616</v>
          </cell>
        </row>
        <row r="59">
          <cell r="Z59" t="str">
            <v>Rolling valuation at today's trough multiples…</v>
          </cell>
        </row>
        <row r="60">
          <cell r="Z60" t="str">
            <v>Target Multiple</v>
          </cell>
          <cell r="AB60">
            <v>7</v>
          </cell>
          <cell r="AC60">
            <v>7</v>
          </cell>
          <cell r="AD60">
            <v>7</v>
          </cell>
        </row>
        <row r="61">
          <cell r="Z61" t="str">
            <v>Enterprise Value ($Bn)</v>
          </cell>
          <cell r="AB61">
            <v>7.5250000000000004</v>
          </cell>
          <cell r="AC61">
            <v>7.3500000000000005</v>
          </cell>
          <cell r="AD61">
            <v>7.1342492307692318</v>
          </cell>
        </row>
        <row r="62">
          <cell r="Z62" t="str">
            <v>Equity Value ($Bn)</v>
          </cell>
          <cell r="AB62" t="e">
            <v>#REF!</v>
          </cell>
          <cell r="AC62" t="e">
            <v>#REF!</v>
          </cell>
          <cell r="AD62" t="e">
            <v>#REF!</v>
          </cell>
        </row>
        <row r="63">
          <cell r="Z63" t="str">
            <v>Implied Price</v>
          </cell>
          <cell r="AB63" t="e">
            <v>#REF!</v>
          </cell>
          <cell r="AC63" t="e">
            <v>#REF!</v>
          </cell>
          <cell r="AD63" t="e">
            <v>#REF!</v>
          </cell>
        </row>
        <row r="65">
          <cell r="Z65" t="str">
            <v>If multiples return to post 9/11 lows…</v>
          </cell>
        </row>
        <row r="66">
          <cell r="Z66" t="str">
            <v>Target Multiple</v>
          </cell>
          <cell r="AB66">
            <v>9</v>
          </cell>
          <cell r="AC66">
            <v>9</v>
          </cell>
          <cell r="AD66">
            <v>9</v>
          </cell>
        </row>
        <row r="67">
          <cell r="P67">
            <v>39748</v>
          </cell>
          <cell r="Q67">
            <v>40283</v>
          </cell>
          <cell r="Z67" t="str">
            <v>Enterprise Value</v>
          </cell>
          <cell r="AB67">
            <v>9.6750000000000007</v>
          </cell>
          <cell r="AC67">
            <v>9.4500000000000011</v>
          </cell>
          <cell r="AD67">
            <v>9.1726061538461554</v>
          </cell>
        </row>
        <row r="68">
          <cell r="O68" t="str">
            <v>COL</v>
          </cell>
          <cell r="P68">
            <v>31.59</v>
          </cell>
          <cell r="Q68" t="str">
            <v>#Calc</v>
          </cell>
          <cell r="R68" t="e">
            <v>#VALUE!</v>
          </cell>
          <cell r="Z68" t="str">
            <v>Equity Value</v>
          </cell>
          <cell r="AB68" t="e">
            <v>#REF!</v>
          </cell>
          <cell r="AC68" t="e">
            <v>#REF!</v>
          </cell>
          <cell r="AD68" t="e">
            <v>#REF!</v>
          </cell>
        </row>
        <row r="69">
          <cell r="O69" t="str">
            <v>SP50</v>
          </cell>
          <cell r="P69">
            <v>848.92</v>
          </cell>
          <cell r="Q69" t="str">
            <v>#Calc</v>
          </cell>
          <cell r="R69" t="e">
            <v>#VALUE!</v>
          </cell>
          <cell r="Z69" t="str">
            <v>Implied Price</v>
          </cell>
          <cell r="AB69" t="e">
            <v>#REF!</v>
          </cell>
          <cell r="AC69" t="e">
            <v>#REF!</v>
          </cell>
          <cell r="AD69" t="e">
            <v>#REF!</v>
          </cell>
        </row>
        <row r="70">
          <cell r="R70" t="e">
            <v>#VALUE!</v>
          </cell>
        </row>
        <row r="71">
          <cell r="AH71" t="str">
            <v>COL</v>
          </cell>
        </row>
        <row r="72">
          <cell r="AJ72">
            <v>64.05</v>
          </cell>
          <cell r="AK72" t="str">
            <v>Current Price</v>
          </cell>
        </row>
        <row r="74">
          <cell r="AO74" t="str">
            <v>Implied</v>
          </cell>
          <cell r="AP74" t="str">
            <v>2011 P/E</v>
          </cell>
          <cell r="AR74" t="str">
            <v>Implied Value</v>
          </cell>
        </row>
        <row r="75">
          <cell r="AM75" t="str">
            <v>EBIT</v>
          </cell>
          <cell r="AN75" t="str">
            <v>% Total</v>
          </cell>
          <cell r="AO75" t="str">
            <v>EPS</v>
          </cell>
          <cell r="AP75" t="str">
            <v xml:space="preserve">Low </v>
          </cell>
          <cell r="AQ75" t="str">
            <v xml:space="preserve">High </v>
          </cell>
          <cell r="AR75" t="str">
            <v xml:space="preserve">Low </v>
          </cell>
          <cell r="AS75" t="str">
            <v xml:space="preserve">High </v>
          </cell>
        </row>
        <row r="77">
          <cell r="AI77" t="str">
            <v>Government Systems</v>
          </cell>
          <cell r="AM77">
            <v>630.48249999999996</v>
          </cell>
          <cell r="AN77">
            <v>0.61246817167741208</v>
          </cell>
          <cell r="AO77">
            <v>2.6403668868014867</v>
          </cell>
          <cell r="AP77">
            <v>12</v>
          </cell>
          <cell r="AQ77">
            <v>14</v>
          </cell>
          <cell r="AR77">
            <v>31.68440264161784</v>
          </cell>
          <cell r="AS77">
            <v>36.965136415220812</v>
          </cell>
        </row>
        <row r="79">
          <cell r="AI79" t="str">
            <v>Commercial Systems</v>
          </cell>
          <cell r="AM79">
            <v>398.9301767</v>
          </cell>
          <cell r="AN79">
            <v>0.38753182832258781</v>
          </cell>
          <cell r="AO79">
            <v>1.6706602145254563</v>
          </cell>
          <cell r="AP79">
            <v>19.37293836112298</v>
          </cell>
          <cell r="AQ79">
            <v>16.21207193975857</v>
          </cell>
          <cell r="AR79">
            <v>32.365597358382161</v>
          </cell>
          <cell r="AS79">
            <v>27.084863584779185</v>
          </cell>
        </row>
        <row r="81">
          <cell r="AH81" t="str">
            <v>Total Segmet EBIT</v>
          </cell>
          <cell r="AM81">
            <v>1029.4126767</v>
          </cell>
          <cell r="AN81">
            <v>0.99999999999999989</v>
          </cell>
          <cell r="AO81">
            <v>4.3110271013269434</v>
          </cell>
          <cell r="AP81">
            <v>14.85724828319573</v>
          </cell>
          <cell r="AQ81">
            <v>14.85724828319573</v>
          </cell>
          <cell r="AR81">
            <v>64.05</v>
          </cell>
          <cell r="AS81">
            <v>64.05</v>
          </cell>
        </row>
        <row r="83">
          <cell r="AH83" t="str">
            <v xml:space="preserve">Eliminations &amp; Corporate </v>
          </cell>
          <cell r="AM83">
            <v>-72.25</v>
          </cell>
        </row>
        <row r="85">
          <cell r="AH85" t="str">
            <v>EBIT</v>
          </cell>
          <cell r="AM85">
            <v>957.16267670000002</v>
          </cell>
        </row>
        <row r="87">
          <cell r="AH87" t="str">
            <v>BA</v>
          </cell>
        </row>
        <row r="88">
          <cell r="AJ88">
            <v>69.5</v>
          </cell>
          <cell r="AK88" t="str">
            <v>Current Price</v>
          </cell>
        </row>
        <row r="90">
          <cell r="AO90" t="str">
            <v>Implied</v>
          </cell>
          <cell r="AP90" t="str">
            <v>2011 P/E</v>
          </cell>
          <cell r="AR90" t="str">
            <v>Implied Value</v>
          </cell>
        </row>
        <row r="91">
          <cell r="AM91" t="str">
            <v>EBIT</v>
          </cell>
          <cell r="AN91" t="str">
            <v>% Total</v>
          </cell>
          <cell r="AO91" t="str">
            <v>EPS</v>
          </cell>
          <cell r="AP91" t="str">
            <v xml:space="preserve">Low </v>
          </cell>
          <cell r="AQ91" t="str">
            <v xml:space="preserve">High </v>
          </cell>
          <cell r="AR91" t="str">
            <v xml:space="preserve">Low </v>
          </cell>
          <cell r="AS91" t="str">
            <v xml:space="preserve">High </v>
          </cell>
        </row>
        <row r="93">
          <cell r="AI93" t="str">
            <v>Defense</v>
          </cell>
          <cell r="AM93">
            <v>2823.85</v>
          </cell>
          <cell r="AN93">
            <v>0.46390109381342148</v>
          </cell>
          <cell r="AO93">
            <v>1.9006451329606506</v>
          </cell>
          <cell r="AP93">
            <v>10</v>
          </cell>
          <cell r="AQ93">
            <v>12</v>
          </cell>
          <cell r="AR93">
            <v>19.006451329606506</v>
          </cell>
          <cell r="AS93">
            <v>22.807741595527808</v>
          </cell>
        </row>
        <row r="95">
          <cell r="AI95" t="str">
            <v>BCA</v>
          </cell>
          <cell r="AM95">
            <v>3263.33116352564</v>
          </cell>
          <cell r="AN95">
            <v>0.53609890618657852</v>
          </cell>
          <cell r="AO95">
            <v>2.1964461615148907</v>
          </cell>
          <cell r="AP95">
            <v>22.988748622715182</v>
          </cell>
          <cell r="AQ95">
            <v>21.258093743699369</v>
          </cell>
          <cell r="AR95">
            <v>50.493548670393494</v>
          </cell>
          <cell r="AS95">
            <v>46.692258404472192</v>
          </cell>
        </row>
        <row r="97">
          <cell r="AH97" t="str">
            <v>Total Segmet EBIT</v>
          </cell>
          <cell r="AM97">
            <v>6087.1811635256399</v>
          </cell>
          <cell r="AN97">
            <v>1</v>
          </cell>
          <cell r="AO97">
            <v>4.0970912944755415</v>
          </cell>
          <cell r="AP97">
            <v>16.963253929370037</v>
          </cell>
          <cell r="AQ97">
            <v>16.963253929370037</v>
          </cell>
          <cell r="AR97">
            <v>69.5</v>
          </cell>
          <cell r="AS97">
            <v>69.5</v>
          </cell>
        </row>
        <row r="100">
          <cell r="AH100" t="str">
            <v>COL CONS</v>
          </cell>
        </row>
        <row r="101">
          <cell r="AN101" t="str">
            <v>Implied</v>
          </cell>
          <cell r="AO101" t="str">
            <v>2011 P/E</v>
          </cell>
          <cell r="AQ101" t="str">
            <v>Implied Value</v>
          </cell>
        </row>
        <row r="102">
          <cell r="AM102" t="str">
            <v>% Total</v>
          </cell>
          <cell r="AN102" t="str">
            <v>EPS</v>
          </cell>
          <cell r="AO102" t="str">
            <v xml:space="preserve">Low </v>
          </cell>
          <cell r="AP102" t="str">
            <v xml:space="preserve">High </v>
          </cell>
          <cell r="AQ102" t="str">
            <v xml:space="preserve">Low </v>
          </cell>
          <cell r="AR102" t="str">
            <v xml:space="preserve">High </v>
          </cell>
        </row>
        <row r="104">
          <cell r="AJ104" t="str">
            <v>Government Systems</v>
          </cell>
          <cell r="AM104">
            <v>0.61246817167741208</v>
          </cell>
          <cell r="AN104">
            <v>2.5647104688991629</v>
          </cell>
          <cell r="AO104">
            <v>12</v>
          </cell>
          <cell r="AP104">
            <v>14</v>
          </cell>
          <cell r="AQ104">
            <v>30.776525626789955</v>
          </cell>
          <cell r="AR104">
            <v>35.905946564588277</v>
          </cell>
        </row>
        <row r="106">
          <cell r="AJ106" t="str">
            <v>Commercial Systems</v>
          </cell>
          <cell r="AM106">
            <v>0.38753182832258781</v>
          </cell>
          <cell r="AN106">
            <v>1.6227895311008365</v>
          </cell>
          <cell r="AO106">
            <v>20.503875416695983</v>
          </cell>
          <cell r="AP106">
            <v>17.343008995331576</v>
          </cell>
          <cell r="AQ106">
            <v>33.273474373210043</v>
          </cell>
          <cell r="AR106">
            <v>28.14405343541172</v>
          </cell>
        </row>
        <row r="108">
          <cell r="AN108">
            <v>4.1875</v>
          </cell>
          <cell r="AO108">
            <v>15.2955223880597</v>
          </cell>
          <cell r="AP108">
            <v>15.2955223880597</v>
          </cell>
          <cell r="AQ108">
            <v>64.05</v>
          </cell>
          <cell r="AR108">
            <v>64.05</v>
          </cell>
        </row>
        <row r="110">
          <cell r="AH110" t="str">
            <v>BA CONS</v>
          </cell>
        </row>
        <row r="111">
          <cell r="AN111" t="str">
            <v>Implied</v>
          </cell>
          <cell r="AO111" t="str">
            <v>2011 P/E</v>
          </cell>
          <cell r="AQ111" t="str">
            <v>Implied Value</v>
          </cell>
        </row>
        <row r="112">
          <cell r="AM112" t="str">
            <v>% Total</v>
          </cell>
          <cell r="AN112" t="str">
            <v>EPS</v>
          </cell>
          <cell r="AO112" t="str">
            <v xml:space="preserve">Low </v>
          </cell>
          <cell r="AP112" t="str">
            <v xml:space="preserve">High </v>
          </cell>
          <cell r="AQ112" t="str">
            <v xml:space="preserve">Low </v>
          </cell>
          <cell r="AR112" t="str">
            <v xml:space="preserve">High </v>
          </cell>
        </row>
        <row r="114">
          <cell r="AJ114" t="str">
            <v>Government Systems</v>
          </cell>
          <cell r="AM114">
            <v>0.46390109381342148</v>
          </cell>
          <cell r="AN114">
            <v>1.9530236049545044</v>
          </cell>
          <cell r="AO114">
            <v>10</v>
          </cell>
          <cell r="AP114">
            <v>12</v>
          </cell>
          <cell r="AQ114">
            <v>19.530236049545046</v>
          </cell>
          <cell r="AR114">
            <v>23.436283259454054</v>
          </cell>
        </row>
        <row r="116">
          <cell r="AJ116" t="str">
            <v>Commercial Systems</v>
          </cell>
          <cell r="AM116">
            <v>0.53609890618657852</v>
          </cell>
          <cell r="AN116">
            <v>2.2569763950454957</v>
          </cell>
          <cell r="AO116">
            <v>22.140135829576398</v>
          </cell>
          <cell r="AP116">
            <v>20.409480950560582</v>
          </cell>
          <cell r="AQ116">
            <v>49.969763950454954</v>
          </cell>
          <cell r="AR116">
            <v>46.063716740545942</v>
          </cell>
        </row>
        <row r="118">
          <cell r="AN118">
            <v>4.21</v>
          </cell>
          <cell r="AO118">
            <v>16.5083135391924</v>
          </cell>
          <cell r="AP118">
            <v>16.5083135391924</v>
          </cell>
          <cell r="AQ118">
            <v>69.5</v>
          </cell>
          <cell r="AR118">
            <v>69.5</v>
          </cell>
          <cell r="AU118" t="str">
            <v>MS #'s</v>
          </cell>
        </row>
        <row r="120">
          <cell r="AV120" t="str">
            <v xml:space="preserve">Implied Commercial </v>
          </cell>
        </row>
        <row r="121">
          <cell r="AV121" t="str">
            <v>Earnings Multiple</v>
          </cell>
        </row>
        <row r="122">
          <cell r="AU122" t="str">
            <v>BA</v>
          </cell>
          <cell r="AV122">
            <v>21.258093743699369</v>
          </cell>
          <cell r="AW122">
            <v>22.988748622715182</v>
          </cell>
        </row>
        <row r="123">
          <cell r="AU123" t="str">
            <v>COL</v>
          </cell>
          <cell r="AV123">
            <v>16.21207193975857</v>
          </cell>
          <cell r="AW123">
            <v>19.37293836112298</v>
          </cell>
        </row>
        <row r="124">
          <cell r="AU124" t="str">
            <v>Difference</v>
          </cell>
          <cell r="AV124">
            <v>5.0460218039407998</v>
          </cell>
          <cell r="AW124">
            <v>3.6158102615922019</v>
          </cell>
        </row>
        <row r="126">
          <cell r="AU126" t="str">
            <v>CONS</v>
          </cell>
        </row>
        <row r="128">
          <cell r="AV128" t="str">
            <v xml:space="preserve">Implied Commercial </v>
          </cell>
        </row>
        <row r="129">
          <cell r="AV129" t="str">
            <v>Earnings Multiple</v>
          </cell>
        </row>
        <row r="130">
          <cell r="AU130" t="str">
            <v>BA</v>
          </cell>
          <cell r="AV130">
            <v>20.409480950560582</v>
          </cell>
          <cell r="AW130">
            <v>22.140135829576398</v>
          </cell>
        </row>
        <row r="131">
          <cell r="AU131" t="str">
            <v>COL</v>
          </cell>
          <cell r="AV131">
            <v>17.343008995331576</v>
          </cell>
          <cell r="AW131">
            <v>20.503875416695983</v>
          </cell>
        </row>
        <row r="132">
          <cell r="AU132" t="str">
            <v>Difference</v>
          </cell>
          <cell r="AV132">
            <v>3.0664719552290052</v>
          </cell>
          <cell r="AW132">
            <v>1.6362604128804143</v>
          </cell>
        </row>
      </sheetData>
      <sheetData sheetId="5" refreshError="1"/>
      <sheetData sheetId="6" refreshError="1"/>
      <sheetData sheetId="7" refreshError="1">
        <row r="1">
          <cell r="A1" t="str">
            <v>Rockwell Collins, Inc.</v>
          </cell>
        </row>
        <row r="2">
          <cell r="A2" t="str">
            <v>Sum-of-the-Parts Valuation Analysis</v>
          </cell>
        </row>
        <row r="3">
          <cell r="A3" t="str">
            <v>Morgan Stanley Research</v>
          </cell>
        </row>
        <row r="4">
          <cell r="A4" t="str">
            <v>($ in Millions Except EPS)</v>
          </cell>
        </row>
        <row r="5">
          <cell r="A5" t="str">
            <v>Model Updated: 4/10</v>
          </cell>
        </row>
        <row r="8">
          <cell r="B8" t="str">
            <v>Current Peer Multiple SOTP: 2012 P/E Basis</v>
          </cell>
        </row>
        <row r="10">
          <cell r="I10" t="str">
            <v>Implied</v>
          </cell>
          <cell r="J10" t="str">
            <v>Peer</v>
          </cell>
          <cell r="K10" t="str">
            <v>Implied</v>
          </cell>
        </row>
        <row r="11">
          <cell r="G11" t="str">
            <v>EBIT</v>
          </cell>
          <cell r="H11" t="str">
            <v>% Total</v>
          </cell>
          <cell r="I11" t="str">
            <v>EPS</v>
          </cell>
          <cell r="J11" t="str">
            <v>P/E</v>
          </cell>
          <cell r="K11" t="str">
            <v>Value</v>
          </cell>
          <cell r="L11" t="str">
            <v>% Total</v>
          </cell>
          <cell r="N11" t="str">
            <v>Best Trading Comps</v>
          </cell>
        </row>
        <row r="12">
          <cell r="C12" t="str">
            <v>Commercial Systems</v>
          </cell>
          <cell r="G12">
            <v>439.625</v>
          </cell>
          <cell r="H12">
            <v>0.40395571074152348</v>
          </cell>
          <cell r="I12">
            <v>1.715291211886153</v>
          </cell>
          <cell r="J12">
            <v>16</v>
          </cell>
          <cell r="K12">
            <v>27.5</v>
          </cell>
          <cell r="L12">
            <v>0.37671232876712329</v>
          </cell>
          <cell r="N12" t="str">
            <v>Thales, Honeywell, Aerospace suppliers (i.e. Goodrich)</v>
          </cell>
        </row>
        <row r="14">
          <cell r="C14" t="str">
            <v>Government Systems</v>
          </cell>
          <cell r="G14">
            <v>648.67499999999995</v>
          </cell>
          <cell r="H14">
            <v>0.59604428925847652</v>
          </cell>
          <cell r="I14">
            <v>2.5309446161393239</v>
          </cell>
          <cell r="J14">
            <v>18</v>
          </cell>
          <cell r="K14">
            <v>45.5</v>
          </cell>
          <cell r="L14">
            <v>0.62328767123287676</v>
          </cell>
          <cell r="N14" t="str">
            <v>Thales, CAE, ViaSat, Harris</v>
          </cell>
        </row>
        <row r="16">
          <cell r="B16" t="str">
            <v>Total Segmet EBIT</v>
          </cell>
          <cell r="G16">
            <v>1088.3</v>
          </cell>
          <cell r="H16">
            <v>1</v>
          </cell>
          <cell r="I16">
            <v>4.2462358280254771</v>
          </cell>
          <cell r="J16">
            <v>17.19169705982755</v>
          </cell>
          <cell r="K16">
            <v>73</v>
          </cell>
          <cell r="L16">
            <v>1</v>
          </cell>
        </row>
        <row r="18">
          <cell r="B18" t="str">
            <v>Eliminations &amp; Corporate expense</v>
          </cell>
          <cell r="G18">
            <v>-76.377499999999998</v>
          </cell>
        </row>
        <row r="20">
          <cell r="B20" t="str">
            <v>EBIT</v>
          </cell>
          <cell r="G20">
            <v>1011.9224999999999</v>
          </cell>
        </row>
        <row r="23">
          <cell r="B23" t="str">
            <v>Peer CY2012 P/E Valuation</v>
          </cell>
        </row>
        <row r="25">
          <cell r="B25" t="str">
            <v>COL</v>
          </cell>
          <cell r="D25" t="str">
            <v>Ticker</v>
          </cell>
          <cell r="F25" t="str">
            <v>Company</v>
          </cell>
          <cell r="J25" t="str">
            <v xml:space="preserve">Price </v>
          </cell>
          <cell r="K25" t="str">
            <v xml:space="preserve">EPS </v>
          </cell>
          <cell r="L25" t="str">
            <v xml:space="preserve">P/E </v>
          </cell>
          <cell r="N25" t="str">
            <v>Comments</v>
          </cell>
        </row>
        <row r="26">
          <cell r="C26" t="str">
            <v>Commercial Systems</v>
          </cell>
          <cell r="D26">
            <v>63.73</v>
          </cell>
          <cell r="E26" t="str">
            <v>Current Price</v>
          </cell>
        </row>
        <row r="27">
          <cell r="D27" t="str">
            <v>HON</v>
          </cell>
          <cell r="F27" t="str">
            <v>Honeywell International Inc.</v>
          </cell>
          <cell r="J27">
            <v>45.25</v>
          </cell>
          <cell r="K27">
            <v>2.9610069999999999</v>
          </cell>
          <cell r="L27">
            <v>15.281963196979946</v>
          </cell>
          <cell r="N27">
            <v>14</v>
          </cell>
          <cell r="O27">
            <v>16</v>
          </cell>
          <cell r="P27">
            <v>15</v>
          </cell>
        </row>
        <row r="28">
          <cell r="D28" t="str">
            <v>HO-FR</v>
          </cell>
          <cell r="F28" t="str">
            <v>Thales S.A.</v>
          </cell>
          <cell r="I28" t="str">
            <v>Implied</v>
          </cell>
          <cell r="J28">
            <v>29.28</v>
          </cell>
          <cell r="K28">
            <v>2.9053459999999998</v>
          </cell>
          <cell r="L28">
            <v>10.077973501262846</v>
          </cell>
          <cell r="N28">
            <v>12</v>
          </cell>
          <cell r="O28">
            <v>14</v>
          </cell>
          <cell r="P28">
            <v>13</v>
          </cell>
        </row>
        <row r="29">
          <cell r="D29" t="str">
            <v>GR</v>
          </cell>
          <cell r="F29" t="str">
            <v>Goodrich Corp.</v>
          </cell>
          <cell r="G29" t="str">
            <v>EBIT</v>
          </cell>
          <cell r="H29" t="str">
            <v>% Total</v>
          </cell>
          <cell r="I29" t="str">
            <v>EPS</v>
          </cell>
          <cell r="J29">
            <v>70.430000000000007</v>
          </cell>
          <cell r="K29">
            <v>5.0086729999999999</v>
          </cell>
          <cell r="L29">
            <v>14.061608733490889</v>
          </cell>
          <cell r="M29" t="str">
            <v xml:space="preserve">High </v>
          </cell>
          <cell r="N29">
            <v>14</v>
          </cell>
          <cell r="O29">
            <v>18</v>
          </cell>
          <cell r="P29">
            <v>16</v>
          </cell>
        </row>
        <row r="30">
          <cell r="C30" t="str">
            <v>Government Systems</v>
          </cell>
        </row>
        <row r="31">
          <cell r="C31" t="str">
            <v>Government Systems</v>
          </cell>
          <cell r="D31" t="str">
            <v>HO-FR</v>
          </cell>
          <cell r="F31" t="str">
            <v>Thales S.A.</v>
          </cell>
          <cell r="G31">
            <v>630.48249999999996</v>
          </cell>
          <cell r="H31">
            <v>0.61246817167741208</v>
          </cell>
          <cell r="I31">
            <v>2.6403668868014867</v>
          </cell>
          <cell r="J31">
            <v>29.28</v>
          </cell>
          <cell r="K31">
            <v>2.9053459999999998</v>
          </cell>
          <cell r="L31">
            <v>10.077973501262846</v>
          </cell>
          <cell r="M31">
            <v>36.965136415220812</v>
          </cell>
          <cell r="N31">
            <v>12</v>
          </cell>
          <cell r="O31">
            <v>14</v>
          </cell>
          <cell r="P31">
            <v>13</v>
          </cell>
        </row>
        <row r="32">
          <cell r="D32" t="str">
            <v>CAE-CA</v>
          </cell>
          <cell r="F32" t="str">
            <v>CAE Inc.</v>
          </cell>
          <cell r="J32">
            <v>10.210000000000001</v>
          </cell>
          <cell r="K32">
            <v>0.70489889999999999</v>
          </cell>
          <cell r="L32">
            <v>14.484346620486996</v>
          </cell>
          <cell r="N32">
            <v>15</v>
          </cell>
          <cell r="O32">
            <v>20</v>
          </cell>
          <cell r="P32">
            <v>17.5</v>
          </cell>
        </row>
        <row r="33">
          <cell r="C33" t="str">
            <v>Commercial Systems</v>
          </cell>
          <cell r="D33" t="str">
            <v>VSAT</v>
          </cell>
          <cell r="F33" t="str">
            <v>ViaSat Inc.</v>
          </cell>
          <cell r="G33">
            <v>398.9301767</v>
          </cell>
          <cell r="H33">
            <v>0.38753182832258781</v>
          </cell>
          <cell r="I33">
            <v>1.6706602145254563</v>
          </cell>
          <cell r="J33">
            <v>34.99</v>
          </cell>
          <cell r="K33">
            <v>1.8557079999999999</v>
          </cell>
          <cell r="L33">
            <v>18.855337154336784</v>
          </cell>
          <cell r="M33">
            <v>26.764863584779185</v>
          </cell>
          <cell r="N33">
            <v>18</v>
          </cell>
          <cell r="O33">
            <v>22</v>
          </cell>
          <cell r="P33">
            <v>20</v>
          </cell>
        </row>
        <row r="34">
          <cell r="D34" t="str">
            <v>ESLT</v>
          </cell>
          <cell r="F34" t="str">
            <v>Elbit Systems Ltd.</v>
          </cell>
          <cell r="J34">
            <v>64.61</v>
          </cell>
          <cell r="K34">
            <v>5.4442360000000001</v>
          </cell>
          <cell r="L34">
            <v>11.867597216579149</v>
          </cell>
          <cell r="N34">
            <v>14</v>
          </cell>
          <cell r="O34">
            <v>18</v>
          </cell>
          <cell r="P34">
            <v>16</v>
          </cell>
        </row>
        <row r="35">
          <cell r="B35" t="str">
            <v>Total Segmet EBIT</v>
          </cell>
          <cell r="D35" t="str">
            <v>HRS</v>
          </cell>
          <cell r="F35" t="str">
            <v>Harris Corp.</v>
          </cell>
          <cell r="G35">
            <v>1029.4126767</v>
          </cell>
          <cell r="H35">
            <v>0.99999999999999989</v>
          </cell>
          <cell r="I35">
            <v>4.3110271013269434</v>
          </cell>
          <cell r="J35">
            <v>48.45</v>
          </cell>
          <cell r="K35">
            <v>4.3130939999999995</v>
          </cell>
          <cell r="L35">
            <v>11.233235352626213</v>
          </cell>
          <cell r="M35">
            <v>63.73</v>
          </cell>
          <cell r="N35">
            <v>15</v>
          </cell>
          <cell r="O35">
            <v>20</v>
          </cell>
          <cell r="P35">
            <v>17.5</v>
          </cell>
        </row>
        <row r="36">
          <cell r="C36" t="str">
            <v>Competitors Listed in COL 10-K</v>
          </cell>
        </row>
        <row r="37">
          <cell r="B37" t="str">
            <v xml:space="preserve">Eliminations &amp; Corporate </v>
          </cell>
          <cell r="D37" t="str">
            <v>HON</v>
          </cell>
          <cell r="F37" t="str">
            <v>Honeywell International Inc.</v>
          </cell>
          <cell r="G37">
            <v>-72.25</v>
          </cell>
          <cell r="J37">
            <v>45.25</v>
          </cell>
          <cell r="K37">
            <v>2.9610069999999999</v>
          </cell>
          <cell r="L37">
            <v>15.281963196979946</v>
          </cell>
          <cell r="N37" t="str">
            <v>Avionics competitor but diversified industrial conglomerate</v>
          </cell>
        </row>
        <row r="38">
          <cell r="D38" t="str">
            <v>HO-FR</v>
          </cell>
          <cell r="F38" t="str">
            <v>Thales S.A.</v>
          </cell>
          <cell r="J38">
            <v>29.28</v>
          </cell>
          <cell r="K38">
            <v>2.9053459999999998</v>
          </cell>
          <cell r="L38">
            <v>10.077973501262846</v>
          </cell>
          <cell r="N38" t="str">
            <v>Best overall comp</v>
          </cell>
        </row>
        <row r="39">
          <cell r="B39" t="str">
            <v>EBIT</v>
          </cell>
          <cell r="D39" t="str">
            <v>PC</v>
          </cell>
          <cell r="F39" t="str">
            <v>Panasonic Corp. (ADS)</v>
          </cell>
          <cell r="G39">
            <v>957.16267670000002</v>
          </cell>
          <cell r="J39">
            <v>15.33</v>
          </cell>
          <cell r="K39">
            <v>0.73164940000000001</v>
          </cell>
          <cell r="L39">
            <v>20.952658472760312</v>
          </cell>
          <cell r="N39" t="str">
            <v>Not a revelent public market comp. Consumer electronics company.</v>
          </cell>
        </row>
        <row r="40">
          <cell r="D40" t="str">
            <v>RTN</v>
          </cell>
          <cell r="F40" t="str">
            <v>Raytheon Co.</v>
          </cell>
          <cell r="J40">
            <v>56.81</v>
          </cell>
          <cell r="K40">
            <v>5.2703749999999996</v>
          </cell>
          <cell r="L40">
            <v>10.779119132889027</v>
          </cell>
          <cell r="N40" t="str">
            <v>Defense primes have less attactive margin and growth profile than COL</v>
          </cell>
        </row>
        <row r="41">
          <cell r="B41" t="str">
            <v>2012 Annualized PE Multiple</v>
          </cell>
          <cell r="D41" t="str">
            <v>HRS</v>
          </cell>
          <cell r="F41" t="str">
            <v>Harris Corp.</v>
          </cell>
          <cell r="J41">
            <v>48.45</v>
          </cell>
          <cell r="K41">
            <v>4.3130939999999995</v>
          </cell>
          <cell r="L41">
            <v>11.233235352626213</v>
          </cell>
          <cell r="N41" t="str">
            <v>Close competitor for Government systems but trades like Defense primes</v>
          </cell>
        </row>
        <row r="42">
          <cell r="D42" t="str">
            <v>BA-GB</v>
          </cell>
          <cell r="F42" t="str">
            <v>BAE Systems PLC</v>
          </cell>
          <cell r="I42" t="str">
            <v>Implied</v>
          </cell>
          <cell r="J42">
            <v>3.7050000000000001</v>
          </cell>
          <cell r="K42">
            <v>0.43944610000000001</v>
          </cell>
          <cell r="L42">
            <v>8.4310681105145768</v>
          </cell>
          <cell r="N42" t="str">
            <v>Defense primes have less attactive margin and growth profile than COL</v>
          </cell>
        </row>
        <row r="43">
          <cell r="D43" t="str">
            <v>GD</v>
          </cell>
          <cell r="F43" t="str">
            <v>General Dynamics Corp.</v>
          </cell>
          <cell r="G43" t="str">
            <v>EBIT</v>
          </cell>
          <cell r="H43" t="str">
            <v>% Total</v>
          </cell>
          <cell r="I43" t="str">
            <v>EPS</v>
          </cell>
          <cell r="J43">
            <v>76.47</v>
          </cell>
          <cell r="K43">
            <v>6.9860530000000001</v>
          </cell>
          <cell r="L43">
            <v>10.946095026762608</v>
          </cell>
          <cell r="N43" t="str">
            <v>Defense primes have less attactive margin and growth profile than COL</v>
          </cell>
        </row>
        <row r="44">
          <cell r="C44" t="str">
            <v>Commercial Systems</v>
          </cell>
          <cell r="D44" t="str">
            <v>LLL</v>
          </cell>
          <cell r="F44" t="str">
            <v>L-3 Communications Holdings Inc.</v>
          </cell>
          <cell r="G44">
            <v>498.66588632000003</v>
          </cell>
          <cell r="H44">
            <v>0.43179549437468223</v>
          </cell>
          <cell r="I44">
            <v>2.1127525220745791</v>
          </cell>
          <cell r="J44">
            <v>92.67</v>
          </cell>
          <cell r="K44">
            <v>8.7632500000000011</v>
          </cell>
          <cell r="L44">
            <v>10.574843807947964</v>
          </cell>
          <cell r="N44" t="str">
            <v>Defense primes have less attactive margin and growth profile than COL</v>
          </cell>
        </row>
        <row r="45">
          <cell r="D45" t="str">
            <v>BA</v>
          </cell>
          <cell r="F45" t="str">
            <v>Boeing Co.</v>
          </cell>
          <cell r="J45">
            <v>72.099999999999994</v>
          </cell>
          <cell r="K45">
            <v>4.5076679999999998</v>
          </cell>
          <cell r="L45">
            <v>15.994966798797071</v>
          </cell>
          <cell r="N45" t="str">
            <v>Trades primarily on commercial aero OEM business</v>
          </cell>
        </row>
        <row r="46">
          <cell r="C46" t="str">
            <v>Government Systems</v>
          </cell>
          <cell r="D46" t="str">
            <v>NOC</v>
          </cell>
          <cell r="F46" t="str">
            <v>Northrop Grumman Corp.</v>
          </cell>
          <cell r="G46">
            <v>656.2</v>
          </cell>
          <cell r="H46">
            <v>0.56820450562531777</v>
          </cell>
          <cell r="I46">
            <v>2.7801946012719161</v>
          </cell>
          <cell r="J46">
            <v>65.22</v>
          </cell>
          <cell r="K46">
            <v>6.6385549999999993</v>
          </cell>
          <cell r="L46">
            <v>9.8244271531982488</v>
          </cell>
          <cell r="N46" t="str">
            <v>Defense primes have less attactive margin and growth profile than COL</v>
          </cell>
        </row>
        <row r="47">
          <cell r="D47" t="str">
            <v>CAE-CA</v>
          </cell>
          <cell r="F47" t="str">
            <v>CAE Inc.</v>
          </cell>
          <cell r="J47">
            <v>10.210000000000001</v>
          </cell>
          <cell r="K47">
            <v>0.70489889999999999</v>
          </cell>
          <cell r="L47">
            <v>14.484346620486996</v>
          </cell>
          <cell r="N47" t="str">
            <v>Good comp for Government Systems (simulation and training)</v>
          </cell>
        </row>
        <row r="48">
          <cell r="B48" t="str">
            <v>Total Segmet EBIT</v>
          </cell>
          <cell r="G48">
            <v>1154.8658863200001</v>
          </cell>
          <cell r="H48">
            <v>1</v>
          </cell>
          <cell r="I48">
            <v>4.8929471233464952</v>
          </cell>
          <cell r="J48">
            <v>15.634748970611884</v>
          </cell>
          <cell r="K48">
            <v>76.5</v>
          </cell>
          <cell r="L48">
            <v>1.0234113712374582</v>
          </cell>
        </row>
        <row r="50">
          <cell r="B50" t="str">
            <v xml:space="preserve">Eliminations &amp; Corporate </v>
          </cell>
          <cell r="C50" t="str">
            <v>Calendar Year</v>
          </cell>
          <cell r="E50">
            <v>2011</v>
          </cell>
          <cell r="G50">
            <v>-77</v>
          </cell>
        </row>
        <row r="52">
          <cell r="B52" t="str">
            <v>EBIT</v>
          </cell>
          <cell r="G52">
            <v>1077.8658863200001</v>
          </cell>
        </row>
        <row r="55">
          <cell r="B55" t="str">
            <v>Current Peer Multiple SOTP: 2013 P/E Basis - Year Ended Sept</v>
          </cell>
        </row>
        <row r="57">
          <cell r="I57" t="str">
            <v>Implied</v>
          </cell>
          <cell r="J57" t="str">
            <v>Peer</v>
          </cell>
          <cell r="K57" t="str">
            <v>Implied</v>
          </cell>
        </row>
        <row r="58">
          <cell r="G58" t="str">
            <v>EBIT</v>
          </cell>
          <cell r="H58" t="str">
            <v>% Total</v>
          </cell>
          <cell r="I58" t="str">
            <v>EPS</v>
          </cell>
          <cell r="J58" t="str">
            <v>P/E</v>
          </cell>
          <cell r="K58" t="str">
            <v>Value</v>
          </cell>
          <cell r="L58" t="str">
            <v>% Total</v>
          </cell>
        </row>
        <row r="59">
          <cell r="C59" t="str">
            <v>Commercial Systems</v>
          </cell>
          <cell r="G59">
            <v>548.63802487999999</v>
          </cell>
          <cell r="H59">
            <v>0.45299380715452248</v>
          </cell>
          <cell r="I59">
            <v>2.3468718580783743</v>
          </cell>
          <cell r="J59">
            <v>17</v>
          </cell>
          <cell r="K59">
            <v>40</v>
          </cell>
          <cell r="L59">
            <v>0.53511705685618727</v>
          </cell>
        </row>
        <row r="61">
          <cell r="C61" t="str">
            <v>Government Systems</v>
          </cell>
          <cell r="G61">
            <v>662.5</v>
          </cell>
          <cell r="H61">
            <v>0.54700619284547747</v>
          </cell>
          <cell r="I61">
            <v>2.8339315458803549</v>
          </cell>
          <cell r="J61">
            <v>11</v>
          </cell>
          <cell r="K61">
            <v>31.25</v>
          </cell>
          <cell r="L61">
            <v>0.41806020066889632</v>
          </cell>
        </row>
        <row r="63">
          <cell r="B63" t="str">
            <v>Total Segmet EBIT</v>
          </cell>
          <cell r="G63">
            <v>1211.1380248800001</v>
          </cell>
          <cell r="H63">
            <v>1</v>
          </cell>
          <cell r="I63">
            <v>5.1808034039587296</v>
          </cell>
          <cell r="J63">
            <v>13.752693249382288</v>
          </cell>
          <cell r="K63">
            <v>71.25</v>
          </cell>
          <cell r="L63">
            <v>0.95317725752508364</v>
          </cell>
        </row>
        <row r="65">
          <cell r="B65" t="str">
            <v xml:space="preserve">Eliminations &amp; Corporate </v>
          </cell>
          <cell r="G65">
            <v>-80</v>
          </cell>
        </row>
        <row r="67">
          <cell r="B67" t="str">
            <v>EBIT</v>
          </cell>
          <cell r="G67">
            <v>1131.1380248800001</v>
          </cell>
        </row>
        <row r="72">
          <cell r="B72" t="str">
            <v>Peer CY2012 P/E Valuation</v>
          </cell>
        </row>
        <row r="74">
          <cell r="D74" t="str">
            <v>Ticker</v>
          </cell>
          <cell r="F74" t="str">
            <v>Company</v>
          </cell>
          <cell r="J74" t="str">
            <v xml:space="preserve">Price </v>
          </cell>
          <cell r="K74" t="str">
            <v xml:space="preserve">EPS </v>
          </cell>
          <cell r="L74" t="str">
            <v xml:space="preserve">P/E </v>
          </cell>
          <cell r="N74" t="str">
            <v>Comments</v>
          </cell>
        </row>
        <row r="75">
          <cell r="C75" t="str">
            <v>Commercial Systems</v>
          </cell>
          <cell r="N75" t="str">
            <v>Historical Multiples</v>
          </cell>
        </row>
        <row r="76">
          <cell r="D76" t="str">
            <v>HON</v>
          </cell>
          <cell r="F76" t="str">
            <v>Honeywell International Inc.</v>
          </cell>
          <cell r="J76">
            <v>54.3</v>
          </cell>
          <cell r="K76">
            <v>4.3372820000000001</v>
          </cell>
          <cell r="L76">
            <v>12.519361203629369</v>
          </cell>
          <cell r="N76">
            <v>14</v>
          </cell>
          <cell r="O76">
            <v>16</v>
          </cell>
          <cell r="P76">
            <v>15</v>
          </cell>
        </row>
        <row r="77">
          <cell r="D77" t="str">
            <v>HO-FR</v>
          </cell>
          <cell r="F77" t="str">
            <v>Thales S.A.</v>
          </cell>
          <cell r="J77">
            <v>26.535</v>
          </cell>
          <cell r="K77">
            <v>3.5024700000000002</v>
          </cell>
          <cell r="L77">
            <v>7.5760820221158207</v>
          </cell>
          <cell r="N77">
            <v>12</v>
          </cell>
          <cell r="O77">
            <v>14</v>
          </cell>
          <cell r="P77">
            <v>13</v>
          </cell>
        </row>
        <row r="78">
          <cell r="D78" t="str">
            <v>GR</v>
          </cell>
          <cell r="F78" t="str">
            <v>Goodrich Corp.</v>
          </cell>
          <cell r="J78">
            <v>89.78</v>
          </cell>
          <cell r="K78">
            <v>6.0215500000000004</v>
          </cell>
          <cell r="L78">
            <v>14.909782365005688</v>
          </cell>
          <cell r="N78">
            <v>14</v>
          </cell>
          <cell r="O78">
            <v>18</v>
          </cell>
          <cell r="P78">
            <v>16</v>
          </cell>
        </row>
        <row r="79">
          <cell r="C79" t="str">
            <v>Government Systems</v>
          </cell>
        </row>
        <row r="80">
          <cell r="D80" t="str">
            <v>HO-FR</v>
          </cell>
          <cell r="F80" t="str">
            <v>Thales S.A.</v>
          </cell>
          <cell r="J80">
            <v>26.535</v>
          </cell>
          <cell r="K80">
            <v>3.5024700000000002</v>
          </cell>
          <cell r="L80">
            <v>7.5760820221158207</v>
          </cell>
          <cell r="N80">
            <v>12</v>
          </cell>
          <cell r="O80">
            <v>14</v>
          </cell>
          <cell r="P80">
            <v>13</v>
          </cell>
        </row>
        <row r="81">
          <cell r="D81" t="str">
            <v>CAE-CA</v>
          </cell>
          <cell r="F81" t="str">
            <v>CAE Inc.</v>
          </cell>
          <cell r="J81">
            <v>11.82</v>
          </cell>
          <cell r="K81">
            <v>0.82252179999999997</v>
          </cell>
          <cell r="L81">
            <v>14.370439786519945</v>
          </cell>
          <cell r="N81">
            <v>15</v>
          </cell>
          <cell r="O81">
            <v>20</v>
          </cell>
          <cell r="P81">
            <v>17.5</v>
          </cell>
        </row>
        <row r="82">
          <cell r="D82" t="str">
            <v>ESLT</v>
          </cell>
          <cell r="F82" t="str">
            <v>Elbit Systems Ltd.</v>
          </cell>
          <cell r="J82">
            <v>55.75</v>
          </cell>
          <cell r="K82">
            <v>4.8813000000000004</v>
          </cell>
          <cell r="L82">
            <v>11.421137811648535</v>
          </cell>
          <cell r="N82">
            <v>14</v>
          </cell>
          <cell r="O82">
            <v>18</v>
          </cell>
          <cell r="P82">
            <v>16</v>
          </cell>
        </row>
        <row r="83">
          <cell r="D83" t="str">
            <v>HRS</v>
          </cell>
          <cell r="F83" t="str">
            <v>Harris Corp.</v>
          </cell>
          <cell r="J83">
            <v>46.36</v>
          </cell>
          <cell r="K83">
            <v>5.2782029999999995</v>
          </cell>
          <cell r="L83">
            <v>8.7832923440042006</v>
          </cell>
          <cell r="N83">
            <v>15</v>
          </cell>
          <cell r="O83">
            <v>20</v>
          </cell>
          <cell r="P83">
            <v>17.5</v>
          </cell>
        </row>
        <row r="84">
          <cell r="C84" t="str">
            <v>Competitors Listed in COL 10-K</v>
          </cell>
        </row>
        <row r="85">
          <cell r="D85" t="str">
            <v>HON</v>
          </cell>
          <cell r="F85" t="str">
            <v>Honeywell International Inc.</v>
          </cell>
          <cell r="J85">
            <v>54.3</v>
          </cell>
          <cell r="K85">
            <v>4.3372820000000001</v>
          </cell>
          <cell r="L85">
            <v>12.519361203629369</v>
          </cell>
          <cell r="N85" t="str">
            <v>Avionics competitor but diversified industrial conglomerate</v>
          </cell>
        </row>
        <row r="86">
          <cell r="D86" t="str">
            <v>HO-FR</v>
          </cell>
          <cell r="F86" t="str">
            <v>Thales S.A.</v>
          </cell>
          <cell r="J86">
            <v>26.535</v>
          </cell>
          <cell r="K86">
            <v>3.5024700000000002</v>
          </cell>
          <cell r="L86">
            <v>7.5760820221158207</v>
          </cell>
          <cell r="N86" t="str">
            <v>Best overall comp</v>
          </cell>
        </row>
        <row r="87">
          <cell r="D87" t="str">
            <v>PC</v>
          </cell>
          <cell r="F87" t="str">
            <v>Panasonic Corp. ADS</v>
          </cell>
          <cell r="J87">
            <v>14.28</v>
          </cell>
          <cell r="K87">
            <v>0.97861139999999991</v>
          </cell>
          <cell r="L87">
            <v>14.592104690380676</v>
          </cell>
          <cell r="N87" t="str">
            <v>Not a revelent public market comp. Consumer electronics company.</v>
          </cell>
        </row>
        <row r="88">
          <cell r="D88" t="str">
            <v>RTN</v>
          </cell>
          <cell r="F88" t="str">
            <v>Raytheon Co.</v>
          </cell>
          <cell r="J88">
            <v>49.85</v>
          </cell>
          <cell r="K88">
            <v>5.4044609999999995</v>
          </cell>
          <cell r="L88">
            <v>9.2238615469701806</v>
          </cell>
          <cell r="N88" t="str">
            <v>Defense primes have less attactive margin and growth profile than COL</v>
          </cell>
        </row>
        <row r="89">
          <cell r="D89" t="str">
            <v>HRS</v>
          </cell>
          <cell r="F89" t="str">
            <v>Harris Corp.</v>
          </cell>
          <cell r="J89">
            <v>46.36</v>
          </cell>
          <cell r="K89">
            <v>5.2782029999999995</v>
          </cell>
          <cell r="L89">
            <v>8.7832923440042006</v>
          </cell>
          <cell r="N89" t="str">
            <v>Close competitor for Government systems but trades like Defense primes</v>
          </cell>
        </row>
        <row r="90">
          <cell r="D90" t="str">
            <v>BA-GB</v>
          </cell>
          <cell r="F90" t="str">
            <v>BAE Systems PLC</v>
          </cell>
          <cell r="J90">
            <v>3.468</v>
          </cell>
          <cell r="K90">
            <v>0.4393571</v>
          </cell>
          <cell r="L90">
            <v>7.8933514446449138</v>
          </cell>
          <cell r="N90" t="str">
            <v>Defense primes have less attactive margin and growth profile than COL</v>
          </cell>
        </row>
        <row r="91">
          <cell r="D91" t="str">
            <v>GD</v>
          </cell>
          <cell r="F91" t="str">
            <v>General Dynamics Corp.</v>
          </cell>
          <cell r="J91">
            <v>72.010000000000005</v>
          </cell>
          <cell r="K91">
            <v>7.7467000000000006</v>
          </cell>
          <cell r="L91">
            <v>9.2955710173364139</v>
          </cell>
          <cell r="N91" t="str">
            <v>Defense primes have less attactive margin and growth profile than COL</v>
          </cell>
        </row>
        <row r="92">
          <cell r="D92" t="str">
            <v>LLL</v>
          </cell>
          <cell r="F92" t="str">
            <v>L-3 Communications Holdings Inc.</v>
          </cell>
          <cell r="J92">
            <v>78.23</v>
          </cell>
          <cell r="K92">
            <v>8.9269999999999996</v>
          </cell>
          <cell r="L92">
            <v>8.7633023412120536</v>
          </cell>
          <cell r="N92" t="str">
            <v>Defense primes have less attactive margin and growth profile than COL</v>
          </cell>
        </row>
        <row r="93">
          <cell r="D93" t="str">
            <v>BA</v>
          </cell>
          <cell r="F93" t="str">
            <v>Boeing Co.</v>
          </cell>
          <cell r="J93">
            <v>69.38</v>
          </cell>
          <cell r="K93">
            <v>5.5007419999999998</v>
          </cell>
          <cell r="L93">
            <v>12.612843867245546</v>
          </cell>
          <cell r="N93" t="str">
            <v>Trades primarily on commercial aero OEM business</v>
          </cell>
        </row>
        <row r="94">
          <cell r="D94" t="str">
            <v>NOC</v>
          </cell>
          <cell r="F94" t="str">
            <v>Northrop Grumman Corp.</v>
          </cell>
          <cell r="J94">
            <v>68.06</v>
          </cell>
          <cell r="K94">
            <v>7.3796100000000004</v>
          </cell>
          <cell r="L94">
            <v>9.2227096011848868</v>
          </cell>
          <cell r="N94" t="str">
            <v>Defense primes have less attactive margin and growth profile than COL</v>
          </cell>
        </row>
        <row r="95">
          <cell r="D95" t="str">
            <v>CAE-CA</v>
          </cell>
          <cell r="F95" t="str">
            <v>CAE Inc.</v>
          </cell>
          <cell r="J95">
            <v>11.82</v>
          </cell>
          <cell r="K95">
            <v>0.82252179999999997</v>
          </cell>
          <cell r="L95">
            <v>14.370439786519945</v>
          </cell>
          <cell r="N95" t="str">
            <v>Good comp for Government Systems (simulation and training)</v>
          </cell>
        </row>
        <row r="98">
          <cell r="C98" t="str">
            <v>Calendar Year</v>
          </cell>
          <cell r="E98">
            <v>2012</v>
          </cell>
        </row>
      </sheetData>
      <sheetData sheetId="8" refreshError="1">
        <row r="1">
          <cell r="A1" t="str">
            <v>Rockwell Collins, Inc.</v>
          </cell>
        </row>
        <row r="2">
          <cell r="A2" t="str">
            <v>Government Systems Segment Detail</v>
          </cell>
        </row>
        <row r="3">
          <cell r="A3" t="str">
            <v>Morgan Stanley Research</v>
          </cell>
        </row>
        <row r="4">
          <cell r="A4" t="str">
            <v>($ in Millions Except EPS)</v>
          </cell>
        </row>
        <row r="5">
          <cell r="A5" t="str">
            <v>Model Updated: 4/10</v>
          </cell>
        </row>
        <row r="6">
          <cell r="A6" t="str">
            <v>Fiscal Year Ended Sept. 30</v>
          </cell>
          <cell r="E6">
            <v>2008</v>
          </cell>
          <cell r="I6" t="str">
            <v>2009A</v>
          </cell>
          <cell r="M6" t="str">
            <v>2010E</v>
          </cell>
          <cell r="Q6" t="str">
            <v>2011E</v>
          </cell>
          <cell r="U6" t="str">
            <v>2012E</v>
          </cell>
        </row>
        <row r="8">
          <cell r="E8" t="str">
            <v>Q1</v>
          </cell>
          <cell r="F8" t="str">
            <v>Q2</v>
          </cell>
          <cell r="G8" t="str">
            <v>Q3</v>
          </cell>
          <cell r="H8" t="str">
            <v>Q4</v>
          </cell>
          <cell r="I8" t="str">
            <v>Q1</v>
          </cell>
          <cell r="J8" t="str">
            <v>Q2</v>
          </cell>
          <cell r="K8" t="str">
            <v>Q3</v>
          </cell>
          <cell r="L8" t="str">
            <v>Q4</v>
          </cell>
          <cell r="M8" t="str">
            <v>Q1A</v>
          </cell>
          <cell r="N8" t="str">
            <v>Q2E</v>
          </cell>
          <cell r="O8" t="str">
            <v>Q3E</v>
          </cell>
          <cell r="P8" t="str">
            <v>Q4E</v>
          </cell>
          <cell r="Q8">
            <v>2006</v>
          </cell>
          <cell r="R8">
            <v>2007</v>
          </cell>
          <cell r="S8">
            <v>2008</v>
          </cell>
          <cell r="T8" t="str">
            <v>2009A</v>
          </cell>
          <cell r="U8" t="str">
            <v>2010E</v>
          </cell>
          <cell r="V8" t="str">
            <v>2011E</v>
          </cell>
          <cell r="W8" t="str">
            <v>2012E</v>
          </cell>
          <cell r="X8" t="str">
            <v>2013E</v>
          </cell>
          <cell r="Y8" t="str">
            <v>2014E</v>
          </cell>
          <cell r="Z8" t="str">
            <v>2015E</v>
          </cell>
          <cell r="AA8" t="str">
            <v>2012E</v>
          </cell>
          <cell r="AB8" t="str">
            <v>Comment</v>
          </cell>
          <cell r="AC8" t="str">
            <v>2014E</v>
          </cell>
          <cell r="AD8" t="str">
            <v>2015E</v>
          </cell>
          <cell r="AE8" t="str">
            <v>2012E</v>
          </cell>
          <cell r="AF8" t="str">
            <v>Comment</v>
          </cell>
          <cell r="AG8" t="str">
            <v>2014E</v>
          </cell>
          <cell r="AH8" t="str">
            <v>2015E</v>
          </cell>
          <cell r="AJ8" t="str">
            <v>Comment</v>
          </cell>
        </row>
        <row r="9">
          <cell r="A9" t="str">
            <v>Segment Revenue</v>
          </cell>
        </row>
        <row r="11">
          <cell r="B11" t="str">
            <v>Airborne Solutions</v>
          </cell>
          <cell r="E11">
            <v>375</v>
          </cell>
          <cell r="F11">
            <v>399</v>
          </cell>
          <cell r="G11">
            <v>429</v>
          </cell>
          <cell r="H11">
            <v>459</v>
          </cell>
          <cell r="I11">
            <v>403</v>
          </cell>
          <cell r="J11">
            <v>431</v>
          </cell>
          <cell r="K11">
            <v>452</v>
          </cell>
          <cell r="L11">
            <v>475</v>
          </cell>
          <cell r="M11">
            <v>410</v>
          </cell>
          <cell r="N11">
            <v>460</v>
          </cell>
          <cell r="O11">
            <v>475</v>
          </cell>
          <cell r="P11">
            <v>525</v>
          </cell>
          <cell r="Q11">
            <v>1462</v>
          </cell>
          <cell r="R11">
            <v>1605</v>
          </cell>
          <cell r="S11">
            <v>1662</v>
          </cell>
          <cell r="T11">
            <v>1761</v>
          </cell>
          <cell r="U11">
            <v>1870</v>
          </cell>
          <cell r="V11">
            <v>1970</v>
          </cell>
          <cell r="W11">
            <v>2070</v>
          </cell>
          <cell r="X11">
            <v>2200</v>
          </cell>
          <cell r="Y11">
            <v>2300</v>
          </cell>
          <cell r="Z11">
            <v>2400</v>
          </cell>
          <cell r="AA11">
            <v>1995</v>
          </cell>
          <cell r="AB11">
            <v>2020</v>
          </cell>
          <cell r="AC11">
            <v>2040</v>
          </cell>
          <cell r="AD11">
            <v>2050</v>
          </cell>
          <cell r="AE11">
            <v>2000</v>
          </cell>
          <cell r="AF11">
            <v>2100</v>
          </cell>
          <cell r="AG11">
            <v>2150</v>
          </cell>
          <cell r="AH11">
            <v>2250</v>
          </cell>
        </row>
        <row r="12">
          <cell r="C12" t="str">
            <v>Y/Y Growth</v>
          </cell>
          <cell r="I12">
            <v>7.4666666666666659E-2</v>
          </cell>
          <cell r="J12">
            <v>8.0200501253132828E-2</v>
          </cell>
          <cell r="K12">
            <v>5.3613053613053685E-2</v>
          </cell>
          <cell r="L12">
            <v>3.4858387799564294E-2</v>
          </cell>
          <cell r="M12">
            <v>1.7369727047146455E-2</v>
          </cell>
          <cell r="N12">
            <v>6.728538283062635E-2</v>
          </cell>
          <cell r="O12">
            <v>5.0884955752212413E-2</v>
          </cell>
          <cell r="P12">
            <v>0.10526315789473695</v>
          </cell>
          <cell r="Q12">
            <v>6.8292682926829329E-2</v>
          </cell>
          <cell r="R12">
            <v>9.7811217510259896E-2</v>
          </cell>
          <cell r="S12">
            <v>3.5514018691588767E-2</v>
          </cell>
          <cell r="T12">
            <v>5.9566787003610067E-2</v>
          </cell>
          <cell r="U12">
            <v>6.1896649630891476E-2</v>
          </cell>
          <cell r="V12">
            <v>5.3475935828876997E-2</v>
          </cell>
          <cell r="W12">
            <v>5.0761421319796884E-2</v>
          </cell>
          <cell r="X12">
            <v>6.2801932367149815E-2</v>
          </cell>
          <cell r="Y12">
            <v>4.5454545454545414E-2</v>
          </cell>
          <cell r="Z12">
            <v>4.3478260869565188E-2</v>
          </cell>
          <cell r="AA12">
            <v>2.3076923076922995E-2</v>
          </cell>
          <cell r="AB12">
            <v>1.2531328320801949E-2</v>
          </cell>
          <cell r="AC12">
            <v>9.9009900990099098E-3</v>
          </cell>
          <cell r="AD12">
            <v>4.9019607843137081E-3</v>
          </cell>
          <cell r="AE12">
            <v>1.5228426395939021E-2</v>
          </cell>
          <cell r="AF12">
            <v>5.0000000000000044E-2</v>
          </cell>
          <cell r="AG12">
            <v>2.3809523809523725E-2</v>
          </cell>
          <cell r="AH12">
            <v>4.6511627906976827E-2</v>
          </cell>
        </row>
        <row r="14">
          <cell r="B14" t="str">
            <v>DataPath</v>
          </cell>
          <cell r="E14">
            <v>0</v>
          </cell>
          <cell r="F14">
            <v>0</v>
          </cell>
          <cell r="G14">
            <v>0</v>
          </cell>
          <cell r="H14">
            <v>0</v>
          </cell>
          <cell r="I14">
            <v>0</v>
          </cell>
          <cell r="J14">
            <v>0</v>
          </cell>
          <cell r="K14">
            <v>23</v>
          </cell>
          <cell r="L14">
            <v>61</v>
          </cell>
          <cell r="M14">
            <v>60</v>
          </cell>
          <cell r="N14">
            <v>60</v>
          </cell>
          <cell r="O14">
            <v>65</v>
          </cell>
          <cell r="P14">
            <v>65</v>
          </cell>
          <cell r="Q14">
            <v>0</v>
          </cell>
          <cell r="R14">
            <v>0</v>
          </cell>
          <cell r="S14">
            <v>0</v>
          </cell>
          <cell r="T14">
            <v>84</v>
          </cell>
          <cell r="U14">
            <v>250</v>
          </cell>
          <cell r="V14">
            <v>260</v>
          </cell>
          <cell r="W14">
            <v>270</v>
          </cell>
          <cell r="X14">
            <v>280</v>
          </cell>
          <cell r="Y14">
            <v>290</v>
          </cell>
          <cell r="Z14">
            <v>300</v>
          </cell>
          <cell r="AA14">
            <v>275</v>
          </cell>
          <cell r="AB14" t="str">
            <v>Annuity-like business, low sgl-digits sales growth</v>
          </cell>
          <cell r="AC14">
            <v>290</v>
          </cell>
          <cell r="AD14">
            <v>300</v>
          </cell>
          <cell r="AE14">
            <v>250</v>
          </cell>
          <cell r="AF14" t="str">
            <v>Annuity-like business, low sgl-digits sales growth</v>
          </cell>
          <cell r="AG14">
            <v>290</v>
          </cell>
          <cell r="AH14">
            <v>300</v>
          </cell>
          <cell r="AJ14" t="str">
            <v>Annuity-like business, low sgl-digits sales growth</v>
          </cell>
        </row>
        <row r="15">
          <cell r="C15" t="str">
            <v>Y/Y Growth</v>
          </cell>
          <cell r="O15">
            <v>1.8260869565217392</v>
          </cell>
          <cell r="P15">
            <v>6.5573770491803351E-2</v>
          </cell>
          <cell r="S15">
            <v>0.14035087719298245</v>
          </cell>
          <cell r="T15">
            <v>-0.11392405063291144</v>
          </cell>
          <cell r="U15" t="str">
            <v xml:space="preserve">NM </v>
          </cell>
          <cell r="V15">
            <v>4.0000000000000036E-2</v>
          </cell>
          <cell r="W15">
            <v>3.8461538461538547E-2</v>
          </cell>
          <cell r="X15">
            <v>3.7037037037036979E-2</v>
          </cell>
          <cell r="Y15">
            <v>3.5714285714285809E-2</v>
          </cell>
          <cell r="Z15">
            <v>3.4482758620689724E-2</v>
          </cell>
          <cell r="AA15">
            <v>7.8431372549019551E-2</v>
          </cell>
          <cell r="AB15">
            <v>1.8181818181818077E-2</v>
          </cell>
          <cell r="AC15">
            <v>3.5714285714285809E-2</v>
          </cell>
          <cell r="AD15">
            <v>3.4482758620689724E-2</v>
          </cell>
          <cell r="AE15">
            <v>4.1666666666666741E-2</v>
          </cell>
          <cell r="AF15">
            <v>0.10000000000000009</v>
          </cell>
          <cell r="AG15">
            <v>5.4545454545454453E-2</v>
          </cell>
          <cell r="AH15">
            <v>3.4482758620689724E-2</v>
          </cell>
        </row>
        <row r="17">
          <cell r="B17" t="str">
            <v>Surface Solutions ex. DataPath</v>
          </cell>
          <cell r="E17">
            <v>172</v>
          </cell>
          <cell r="F17">
            <v>177</v>
          </cell>
          <cell r="G17">
            <v>178</v>
          </cell>
          <cell r="H17">
            <v>177</v>
          </cell>
          <cell r="I17">
            <v>171</v>
          </cell>
          <cell r="J17">
            <v>182</v>
          </cell>
          <cell r="K17">
            <v>176</v>
          </cell>
          <cell r="L17">
            <v>205</v>
          </cell>
          <cell r="M17">
            <v>146</v>
          </cell>
          <cell r="N17">
            <v>180</v>
          </cell>
          <cell r="O17">
            <v>220</v>
          </cell>
          <cell r="P17">
            <v>234</v>
          </cell>
          <cell r="Q17">
            <v>581</v>
          </cell>
          <cell r="R17">
            <v>626</v>
          </cell>
          <cell r="S17">
            <v>704</v>
          </cell>
          <cell r="T17">
            <v>734</v>
          </cell>
          <cell r="U17">
            <v>780</v>
          </cell>
          <cell r="V17">
            <v>820</v>
          </cell>
          <cell r="W17">
            <v>860</v>
          </cell>
          <cell r="X17">
            <v>890</v>
          </cell>
          <cell r="Y17">
            <v>925</v>
          </cell>
          <cell r="Z17">
            <v>960</v>
          </cell>
          <cell r="AA17">
            <v>820</v>
          </cell>
          <cell r="AB17">
            <v>840</v>
          </cell>
          <cell r="AC17">
            <v>850</v>
          </cell>
          <cell r="AD17">
            <v>860</v>
          </cell>
          <cell r="AE17">
            <v>500</v>
          </cell>
          <cell r="AF17">
            <v>550</v>
          </cell>
          <cell r="AG17">
            <v>600</v>
          </cell>
          <cell r="AH17">
            <v>625</v>
          </cell>
        </row>
        <row r="18">
          <cell r="C18" t="str">
            <v>Y/Y Growth</v>
          </cell>
          <cell r="I18">
            <v>-5.8139534883721034E-3</v>
          </cell>
          <cell r="J18">
            <v>2.8248587570621542E-2</v>
          </cell>
          <cell r="K18">
            <v>-1.1235955056179803E-2</v>
          </cell>
          <cell r="L18">
            <v>0.15819209039548032</v>
          </cell>
          <cell r="M18">
            <v>-0.14619883040935677</v>
          </cell>
          <cell r="N18">
            <v>-1.098901098901095E-2</v>
          </cell>
          <cell r="O18">
            <v>0.25</v>
          </cell>
          <cell r="P18">
            <v>0.14146341463414625</v>
          </cell>
          <cell r="Q18">
            <v>4.1095890410958846E-2</v>
          </cell>
          <cell r="R18">
            <v>7.745266781411364E-2</v>
          </cell>
          <cell r="S18">
            <v>0.12460063897763574</v>
          </cell>
          <cell r="T18">
            <v>4.2613636363636465E-2</v>
          </cell>
          <cell r="U18">
            <v>6.2670299727520362E-2</v>
          </cell>
          <cell r="V18">
            <v>5.1282051282051322E-2</v>
          </cell>
          <cell r="W18">
            <v>4.8780487804878092E-2</v>
          </cell>
          <cell r="X18">
            <v>3.488372093023262E-2</v>
          </cell>
          <cell r="Y18">
            <v>3.9325842696629199E-2</v>
          </cell>
          <cell r="Z18">
            <v>3.7837837837837895E-2</v>
          </cell>
          <cell r="AA18">
            <v>0.10067114093959728</v>
          </cell>
          <cell r="AB18">
            <v>2.4390243902439046E-2</v>
          </cell>
          <cell r="AC18">
            <v>1.1904761904761862E-2</v>
          </cell>
          <cell r="AD18">
            <v>1.1764705882352899E-2</v>
          </cell>
          <cell r="AE18">
            <v>-0.14529914529914534</v>
          </cell>
          <cell r="AF18">
            <v>0.10000000000000009</v>
          </cell>
          <cell r="AG18">
            <v>9.0909090909090828E-2</v>
          </cell>
          <cell r="AH18">
            <v>4.1666666666666741E-2</v>
          </cell>
        </row>
        <row r="20">
          <cell r="B20" t="str">
            <v>Surface Solutions</v>
          </cell>
          <cell r="E20">
            <v>172</v>
          </cell>
          <cell r="F20">
            <v>177</v>
          </cell>
          <cell r="G20">
            <v>178</v>
          </cell>
          <cell r="H20">
            <v>177</v>
          </cell>
          <cell r="I20">
            <v>171</v>
          </cell>
          <cell r="J20">
            <v>182</v>
          </cell>
          <cell r="K20">
            <v>199</v>
          </cell>
          <cell r="L20">
            <v>266</v>
          </cell>
          <cell r="M20">
            <v>206</v>
          </cell>
          <cell r="N20">
            <v>240</v>
          </cell>
          <cell r="O20">
            <v>285</v>
          </cell>
          <cell r="P20">
            <v>299</v>
          </cell>
          <cell r="Q20">
            <v>581</v>
          </cell>
          <cell r="R20">
            <v>626</v>
          </cell>
          <cell r="S20">
            <v>704</v>
          </cell>
          <cell r="T20">
            <v>818</v>
          </cell>
          <cell r="U20">
            <v>1030</v>
          </cell>
          <cell r="V20">
            <v>1080</v>
          </cell>
          <cell r="W20">
            <v>1130</v>
          </cell>
          <cell r="X20">
            <v>1170</v>
          </cell>
          <cell r="Y20">
            <v>1215</v>
          </cell>
          <cell r="Z20">
            <v>1260</v>
          </cell>
          <cell r="AA20">
            <v>1095</v>
          </cell>
          <cell r="AB20">
            <v>1120</v>
          </cell>
          <cell r="AC20">
            <v>1140</v>
          </cell>
          <cell r="AD20">
            <v>1160</v>
          </cell>
          <cell r="AE20">
            <v>750</v>
          </cell>
          <cell r="AF20">
            <v>825</v>
          </cell>
          <cell r="AG20">
            <v>890</v>
          </cell>
          <cell r="AH20">
            <v>925</v>
          </cell>
        </row>
        <row r="21">
          <cell r="C21" t="str">
            <v>Y/Y Growth</v>
          </cell>
          <cell r="I21">
            <v>-5.8139534883721034E-3</v>
          </cell>
          <cell r="J21">
            <v>2.8248587570621542E-2</v>
          </cell>
          <cell r="K21">
            <v>0.1179775280898876</v>
          </cell>
          <cell r="L21">
            <v>0.50282485875706207</v>
          </cell>
          <cell r="M21">
            <v>0.20467836257309946</v>
          </cell>
          <cell r="N21">
            <v>0.31868131868131866</v>
          </cell>
          <cell r="O21">
            <v>0.4321608040201006</v>
          </cell>
          <cell r="P21">
            <v>0.12406015037593976</v>
          </cell>
          <cell r="Q21">
            <v>2.9126213592232997E-2</v>
          </cell>
          <cell r="R21">
            <v>7.745266781411364E-2</v>
          </cell>
          <cell r="S21">
            <v>0.12460063897763574</v>
          </cell>
          <cell r="T21">
            <v>0.16193181818181812</v>
          </cell>
          <cell r="U21">
            <v>0.25916870415647919</v>
          </cell>
          <cell r="V21">
            <v>4.8543689320388328E-2</v>
          </cell>
          <cell r="W21">
            <v>4.629629629629628E-2</v>
          </cell>
          <cell r="X21">
            <v>3.539823008849563E-2</v>
          </cell>
          <cell r="Y21">
            <v>3.8461538461538547E-2</v>
          </cell>
          <cell r="Z21">
            <v>3.7037037037036979E-2</v>
          </cell>
          <cell r="AA21">
            <v>9.4999999999999973E-2</v>
          </cell>
          <cell r="AB21">
            <v>2.2831050228310446E-2</v>
          </cell>
          <cell r="AC21">
            <v>1.7857142857142794E-2</v>
          </cell>
          <cell r="AD21">
            <v>1.7543859649122862E-2</v>
          </cell>
          <cell r="AE21">
            <v>-9.0909090909090939E-2</v>
          </cell>
          <cell r="AF21">
            <v>0.10000000000000009</v>
          </cell>
          <cell r="AG21">
            <v>7.8787878787878851E-2</v>
          </cell>
          <cell r="AH21">
            <v>3.9325842696629199E-2</v>
          </cell>
        </row>
        <row r="23">
          <cell r="B23" t="str">
            <v>Total Revenue</v>
          </cell>
          <cell r="E23">
            <v>547</v>
          </cell>
          <cell r="F23">
            <v>576</v>
          </cell>
          <cell r="G23">
            <v>607</v>
          </cell>
          <cell r="H23">
            <v>636</v>
          </cell>
          <cell r="I23">
            <v>574</v>
          </cell>
          <cell r="J23">
            <v>613</v>
          </cell>
          <cell r="K23">
            <v>651</v>
          </cell>
          <cell r="L23">
            <v>741</v>
          </cell>
          <cell r="M23">
            <v>616</v>
          </cell>
          <cell r="N23">
            <v>700</v>
          </cell>
          <cell r="O23">
            <v>760</v>
          </cell>
          <cell r="P23">
            <v>824</v>
          </cell>
          <cell r="Q23">
            <v>2043</v>
          </cell>
          <cell r="R23">
            <v>2231</v>
          </cell>
          <cell r="S23">
            <v>2366</v>
          </cell>
          <cell r="T23">
            <v>2579</v>
          </cell>
          <cell r="U23">
            <v>2900</v>
          </cell>
          <cell r="V23">
            <v>3050</v>
          </cell>
          <cell r="W23">
            <v>3200</v>
          </cell>
          <cell r="X23">
            <v>3370</v>
          </cell>
          <cell r="Y23">
            <v>3515</v>
          </cell>
          <cell r="Z23">
            <v>3660</v>
          </cell>
          <cell r="AA23">
            <v>3090</v>
          </cell>
          <cell r="AB23">
            <v>3140</v>
          </cell>
          <cell r="AC23">
            <v>3180</v>
          </cell>
          <cell r="AD23">
            <v>3210</v>
          </cell>
          <cell r="AE23">
            <v>2750</v>
          </cell>
          <cell r="AF23" t="str">
            <v xml:space="preserve">Programatic headwinds in 2011 including KC-135 GATM, F-22, Califormia Highway Patrol wrapup and JTRS revenue decline (wait for initial LRIP) </v>
          </cell>
          <cell r="AG23">
            <v>3040</v>
          </cell>
          <cell r="AH23">
            <v>3175</v>
          </cell>
          <cell r="AJ23" t="str">
            <v xml:space="preserve">Programatic headwinds in 2011 including KC-135 GATM, F-22, Califormia Highway Patrol wrapup and JTRS revenue decline (wait for initial LRIP) </v>
          </cell>
        </row>
        <row r="24">
          <cell r="C24" t="str">
            <v>Y/Y Growth</v>
          </cell>
          <cell r="I24">
            <v>4.9360146252285242E-2</v>
          </cell>
          <cell r="J24">
            <v>6.423611111111116E-2</v>
          </cell>
          <cell r="K24">
            <v>7.2487644151565167E-2</v>
          </cell>
          <cell r="L24">
            <v>0.16509433962264142</v>
          </cell>
          <cell r="M24">
            <v>7.3170731707317138E-2</v>
          </cell>
          <cell r="N24">
            <v>0.1419249592169658</v>
          </cell>
          <cell r="O24">
            <v>0.16743471582181257</v>
          </cell>
          <cell r="P24">
            <v>0.11201079622132259</v>
          </cell>
          <cell r="Q24">
            <v>5.5194805194805241E-2</v>
          </cell>
          <cell r="R24">
            <v>9.2021536955457561E-2</v>
          </cell>
          <cell r="S24">
            <v>6.0510981622590831E-2</v>
          </cell>
          <cell r="T24">
            <v>9.0025359256128423E-2</v>
          </cell>
          <cell r="U24">
            <v>0.12446684761535476</v>
          </cell>
          <cell r="V24">
            <v>5.1724137931034475E-2</v>
          </cell>
          <cell r="W24">
            <v>4.9180327868852514E-2</v>
          </cell>
          <cell r="X24">
            <v>5.3125000000000089E-2</v>
          </cell>
          <cell r="Y24">
            <v>4.3026706231453993E-2</v>
          </cell>
          <cell r="Z24">
            <v>4.1251778093883251E-2</v>
          </cell>
          <cell r="AA24">
            <v>4.7457627118643986E-2</v>
          </cell>
          <cell r="AB24">
            <v>1.6181229773462702E-2</v>
          </cell>
          <cell r="AC24">
            <v>1.2738853503184711E-2</v>
          </cell>
          <cell r="AD24">
            <v>9.4339622641510523E-3</v>
          </cell>
          <cell r="AE24">
            <v>-1.610017889087656E-2</v>
          </cell>
          <cell r="AF24">
            <v>6.3636363636363713E-2</v>
          </cell>
          <cell r="AG24">
            <v>3.9316239316239399E-2</v>
          </cell>
          <cell r="AH24">
            <v>4.4407894736842035E-2</v>
          </cell>
        </row>
        <row r="25">
          <cell r="C25" t="str">
            <v>Y/Y Growth ex. DataPath</v>
          </cell>
          <cell r="I25">
            <v>4.9360146252285242E-2</v>
          </cell>
          <cell r="J25">
            <v>6.423611111111116E-2</v>
          </cell>
          <cell r="K25">
            <v>3.4596375617792496E-2</v>
          </cell>
          <cell r="L25">
            <v>6.9182389937106903E-2</v>
          </cell>
          <cell r="M25">
            <v>-3.1358885017421567E-2</v>
          </cell>
          <cell r="N25">
            <v>4.4045676998368588E-2</v>
          </cell>
          <cell r="O25">
            <v>0.1066878980891719</v>
          </cell>
          <cell r="P25">
            <v>0.11617647058823533</v>
          </cell>
          <cell r="Q25">
            <v>6.1151079136690711E-2</v>
          </cell>
          <cell r="R25">
            <v>3.6334913112164191E-2</v>
          </cell>
          <cell r="S25">
            <v>2.582496413199431E-2</v>
          </cell>
          <cell r="T25">
            <v>2.0862308762169768E-2</v>
          </cell>
          <cell r="U25">
            <v>6.2124248496993939E-2</v>
          </cell>
          <cell r="V25">
            <v>5.2830188679245271E-2</v>
          </cell>
          <cell r="W25">
            <v>5.017921146953408E-2</v>
          </cell>
          <cell r="X25">
            <v>5.4607508532423132E-2</v>
          </cell>
          <cell r="Y25">
            <v>4.3689320388349495E-2</v>
          </cell>
          <cell r="Z25">
            <v>4.1860465116279055E-2</v>
          </cell>
          <cell r="AA25">
            <v>4.4526901669758923E-2</v>
          </cell>
          <cell r="AB25">
            <v>1.5985790408525657E-2</v>
          </cell>
          <cell r="AC25">
            <v>1.0489510489510412E-2</v>
          </cell>
          <cell r="AD25">
            <v>6.9204152249136008E-3</v>
          </cell>
          <cell r="AE25">
            <v>-2.1526418786692814E-2</v>
          </cell>
          <cell r="AF25">
            <v>6.0000000000000053E-2</v>
          </cell>
          <cell r="AG25">
            <v>3.7735849056603765E-2</v>
          </cell>
          <cell r="AH25">
            <v>4.5454545454545414E-2</v>
          </cell>
        </row>
        <row r="26">
          <cell r="B26" t="str">
            <v>vs Model</v>
          </cell>
          <cell r="I26">
            <v>574</v>
          </cell>
          <cell r="J26">
            <v>613</v>
          </cell>
          <cell r="K26">
            <v>651</v>
          </cell>
          <cell r="L26">
            <v>741</v>
          </cell>
          <cell r="M26">
            <v>616</v>
          </cell>
          <cell r="N26">
            <v>693</v>
          </cell>
          <cell r="O26">
            <v>754</v>
          </cell>
          <cell r="P26">
            <v>837</v>
          </cell>
          <cell r="Q26">
            <v>2043</v>
          </cell>
          <cell r="R26">
            <v>2231</v>
          </cell>
          <cell r="S26">
            <v>2366</v>
          </cell>
          <cell r="T26">
            <v>2579</v>
          </cell>
          <cell r="U26">
            <v>2900</v>
          </cell>
          <cell r="V26">
            <v>2990</v>
          </cell>
          <cell r="W26">
            <v>3145</v>
          </cell>
          <cell r="X26">
            <v>3270</v>
          </cell>
          <cell r="Y26">
            <v>3355</v>
          </cell>
          <cell r="Z26">
            <v>3440</v>
          </cell>
          <cell r="AA26">
            <v>3090</v>
          </cell>
          <cell r="AB26">
            <v>3140</v>
          </cell>
          <cell r="AC26">
            <v>3180</v>
          </cell>
          <cell r="AD26">
            <v>3210</v>
          </cell>
          <cell r="AE26">
            <v>33.5</v>
          </cell>
          <cell r="AF26">
            <v>-45.854599999999664</v>
          </cell>
          <cell r="AG26">
            <v>-57.987929999999778</v>
          </cell>
          <cell r="AH26">
            <v>-85.585275539999202</v>
          </cell>
        </row>
        <row r="27">
          <cell r="B27" t="str">
            <v>vs Main Model</v>
          </cell>
          <cell r="I27">
            <v>574</v>
          </cell>
          <cell r="J27">
            <v>613</v>
          </cell>
          <cell r="K27">
            <v>651</v>
          </cell>
          <cell r="L27">
            <v>741</v>
          </cell>
          <cell r="M27">
            <v>616</v>
          </cell>
          <cell r="N27">
            <v>700</v>
          </cell>
          <cell r="O27">
            <v>760</v>
          </cell>
          <cell r="P27">
            <v>824</v>
          </cell>
          <cell r="Q27">
            <v>2043</v>
          </cell>
          <cell r="R27">
            <v>2231</v>
          </cell>
          <cell r="S27">
            <v>2366</v>
          </cell>
          <cell r="T27">
            <v>2579</v>
          </cell>
          <cell r="U27">
            <v>2900</v>
          </cell>
          <cell r="V27">
            <v>3050</v>
          </cell>
          <cell r="W27">
            <v>3200</v>
          </cell>
          <cell r="X27">
            <v>3370</v>
          </cell>
          <cell r="Y27">
            <v>3515</v>
          </cell>
          <cell r="Z27">
            <v>3660</v>
          </cell>
        </row>
        <row r="28">
          <cell r="B28" t="str">
            <v>vs Main Model</v>
          </cell>
          <cell r="C28" t="str">
            <v>Difference</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3090</v>
          </cell>
          <cell r="AB28">
            <v>3140</v>
          </cell>
          <cell r="AC28">
            <v>3180</v>
          </cell>
          <cell r="AD28">
            <v>3210</v>
          </cell>
        </row>
        <row r="29">
          <cell r="B29" t="str">
            <v>Avionics</v>
          </cell>
          <cell r="C29" t="str">
            <v>Difference</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1505.7</v>
          </cell>
          <cell r="AF29">
            <v>1580.9850000000001</v>
          </cell>
          <cell r="AG29">
            <v>1660.0342500000002</v>
          </cell>
          <cell r="AH29">
            <v>1743.0359625000003</v>
          </cell>
          <cell r="AJ29" t="str">
            <v>Tanker/transports/rotary wing / UAV (small but growing) and simulation..</v>
          </cell>
        </row>
        <row r="30">
          <cell r="B30" t="str">
            <v>Incremental Revenue Analysis</v>
          </cell>
          <cell r="C30" t="str">
            <v>Y/Y Growth</v>
          </cell>
          <cell r="Q30">
            <v>3.9603960396039639E-2</v>
          </cell>
          <cell r="R30">
            <v>6.3444108761329332E-2</v>
          </cell>
          <cell r="S30">
            <v>2.3188405797101463E-2</v>
          </cell>
          <cell r="T30">
            <v>9.7560975609756184E-3</v>
          </cell>
          <cell r="U30">
            <v>2.857142857142847E-2</v>
          </cell>
          <cell r="V30">
            <v>0.03</v>
          </cell>
          <cell r="AC30">
            <v>5.6273764258555126E-2</v>
          </cell>
          <cell r="AD30">
            <v>3.2397408207343492E-2</v>
          </cell>
          <cell r="AE30">
            <v>0.05</v>
          </cell>
          <cell r="AF30">
            <v>0.05</v>
          </cell>
          <cell r="AG30">
            <v>0.05</v>
          </cell>
          <cell r="AH30">
            <v>0.05</v>
          </cell>
          <cell r="AJ30" t="str">
            <v>K390 (ERJ tanker) is a major program.  Firestorm</v>
          </cell>
        </row>
        <row r="31">
          <cell r="B31" t="str">
            <v>Incremental Revenue Analysis</v>
          </cell>
        </row>
        <row r="32">
          <cell r="B32" t="str">
            <v>Annuity Organic Revenue</v>
          </cell>
          <cell r="M32">
            <v>164</v>
          </cell>
          <cell r="N32">
            <v>197</v>
          </cell>
          <cell r="O32">
            <v>186</v>
          </cell>
          <cell r="P32">
            <v>202</v>
          </cell>
          <cell r="Q32">
            <v>156</v>
          </cell>
          <cell r="R32">
            <v>190</v>
          </cell>
          <cell r="S32">
            <v>164</v>
          </cell>
          <cell r="T32">
            <v>2495</v>
          </cell>
          <cell r="U32">
            <v>2569.85</v>
          </cell>
          <cell r="V32">
            <v>2646.9454999999998</v>
          </cell>
          <cell r="W32">
            <v>2726.353865</v>
          </cell>
          <cell r="X32">
            <v>2808.1444809499999</v>
          </cell>
          <cell r="Y32">
            <v>2892.3888153785001</v>
          </cell>
          <cell r="Z32">
            <v>2979.1604798398553</v>
          </cell>
          <cell r="AB32">
            <v>541</v>
          </cell>
          <cell r="AC32">
            <v>749</v>
          </cell>
          <cell r="AD32">
            <v>698</v>
          </cell>
          <cell r="AE32">
            <v>642.16000000000008</v>
          </cell>
          <cell r="AF32">
            <v>655.00320000000011</v>
          </cell>
          <cell r="AG32">
            <v>668.10326400000008</v>
          </cell>
          <cell r="AH32">
            <v>681.46532928000011</v>
          </cell>
          <cell r="AJ32" t="str">
            <v>Legacy Aircraft comm, old Datapath, Datalinks… JRTS, $40..  One of the</v>
          </cell>
        </row>
        <row r="33">
          <cell r="B33" t="str">
            <v>Annuity Organic Revenue</v>
          </cell>
          <cell r="C33" t="str">
            <v>Y/Y Growth</v>
          </cell>
          <cell r="Q33">
            <v>-4.8780487804878092E-2</v>
          </cell>
          <cell r="R33">
            <v>-3.5532994923857864E-2</v>
          </cell>
          <cell r="S33">
            <v>-0.11827956989247312</v>
          </cell>
          <cell r="T33">
            <v>2495</v>
          </cell>
          <cell r="U33">
            <v>0.03</v>
          </cell>
          <cell r="V33">
            <v>0.03</v>
          </cell>
          <cell r="W33">
            <v>0.03</v>
          </cell>
          <cell r="X33">
            <v>0.03</v>
          </cell>
          <cell r="Y33">
            <v>0.03</v>
          </cell>
          <cell r="Z33">
            <v>0.03</v>
          </cell>
          <cell r="AA33">
            <v>2726.353865</v>
          </cell>
          <cell r="AB33">
            <v>2808.1444809499999</v>
          </cell>
          <cell r="AC33">
            <v>2892.3888153785001</v>
          </cell>
          <cell r="AD33">
            <v>2979.1604798398553</v>
          </cell>
          <cell r="AE33">
            <v>-0.08</v>
          </cell>
          <cell r="AF33">
            <v>0.02</v>
          </cell>
          <cell r="AG33">
            <v>0.02</v>
          </cell>
          <cell r="AH33">
            <v>0.02</v>
          </cell>
          <cell r="AJ33" t="str">
            <v>JTRS decomposes into MIDS-J (data link) which is delivering, ground radio (GMR) is most uncertain, amd manpack which is still progressing</v>
          </cell>
        </row>
        <row r="34">
          <cell r="C34" t="str">
            <v>Y/Y Growth</v>
          </cell>
          <cell r="U34">
            <v>0.03</v>
          </cell>
          <cell r="V34">
            <v>0.03</v>
          </cell>
          <cell r="W34">
            <v>0.03</v>
          </cell>
          <cell r="X34">
            <v>0.03</v>
          </cell>
          <cell r="Y34">
            <v>0.03</v>
          </cell>
          <cell r="Z34">
            <v>0.03</v>
          </cell>
          <cell r="AA34">
            <v>0.03</v>
          </cell>
          <cell r="AB34">
            <v>0.03</v>
          </cell>
          <cell r="AC34">
            <v>0.03</v>
          </cell>
          <cell r="AD34">
            <v>0.03</v>
          </cell>
        </row>
        <row r="35">
          <cell r="B35" t="str">
            <v>Growing Programs</v>
          </cell>
          <cell r="M35">
            <v>78</v>
          </cell>
          <cell r="N35">
            <v>94</v>
          </cell>
          <cell r="O35">
            <v>141</v>
          </cell>
          <cell r="P35">
            <v>95</v>
          </cell>
          <cell r="Q35">
            <v>106</v>
          </cell>
          <cell r="R35">
            <v>92</v>
          </cell>
          <cell r="S35">
            <v>82</v>
          </cell>
          <cell r="T35">
            <v>97</v>
          </cell>
          <cell r="U35">
            <v>60</v>
          </cell>
          <cell r="V35">
            <v>59.800000000000004</v>
          </cell>
          <cell r="AB35">
            <v>370</v>
          </cell>
          <cell r="AC35">
            <v>408</v>
          </cell>
          <cell r="AD35">
            <v>377</v>
          </cell>
          <cell r="AE35">
            <v>346.84000000000003</v>
          </cell>
          <cell r="AF35">
            <v>357.24520000000007</v>
          </cell>
          <cell r="AG35">
            <v>367.96255600000006</v>
          </cell>
          <cell r="AH35">
            <v>379.00143268000005</v>
          </cell>
          <cell r="AJ35" t="str">
            <v>Public safety vehicles, Firestorm, JPALs.. Electronic warfare…Lumpy from a growth perpective..</v>
          </cell>
        </row>
        <row r="36">
          <cell r="B36" t="str">
            <v>Growing Programs</v>
          </cell>
          <cell r="C36" t="str">
            <v>DataPath</v>
          </cell>
          <cell r="Q36">
            <v>0.35897435897435903</v>
          </cell>
          <cell r="R36">
            <v>-2.1276595744680882E-2</v>
          </cell>
          <cell r="S36">
            <v>-0.41843971631205679</v>
          </cell>
          <cell r="T36">
            <v>84</v>
          </cell>
          <cell r="U36">
            <v>250</v>
          </cell>
          <cell r="V36">
            <v>260</v>
          </cell>
          <cell r="W36">
            <v>270</v>
          </cell>
          <cell r="X36">
            <v>280</v>
          </cell>
          <cell r="Y36">
            <v>290</v>
          </cell>
          <cell r="Z36">
            <v>300</v>
          </cell>
          <cell r="AC36">
            <v>0.10270270270270276</v>
          </cell>
          <cell r="AD36">
            <v>-7.5980392156862697E-2</v>
          </cell>
          <cell r="AE36">
            <v>-0.08</v>
          </cell>
          <cell r="AF36">
            <v>0.03</v>
          </cell>
          <cell r="AG36">
            <v>0.03</v>
          </cell>
          <cell r="AH36">
            <v>0.03</v>
          </cell>
          <cell r="AJ36" t="str">
            <v>2/12 Expected to be down 20% in '12, revised down from down low double digits</v>
          </cell>
        </row>
        <row r="37">
          <cell r="C37" t="str">
            <v>DataPath</v>
          </cell>
          <cell r="T37">
            <v>84</v>
          </cell>
          <cell r="U37">
            <v>250</v>
          </cell>
          <cell r="V37">
            <v>260</v>
          </cell>
          <cell r="W37">
            <v>270</v>
          </cell>
          <cell r="X37">
            <v>280</v>
          </cell>
          <cell r="Y37">
            <v>290</v>
          </cell>
          <cell r="Z37">
            <v>300</v>
          </cell>
          <cell r="AA37">
            <v>275</v>
          </cell>
          <cell r="AB37">
            <v>280</v>
          </cell>
          <cell r="AC37">
            <v>290</v>
          </cell>
          <cell r="AD37">
            <v>300</v>
          </cell>
        </row>
        <row r="38">
          <cell r="B38" t="str">
            <v>Navigation Products</v>
          </cell>
          <cell r="C38" t="str">
            <v>Black Hawk (USG and International)</v>
          </cell>
          <cell r="M38">
            <v>71</v>
          </cell>
          <cell r="N38">
            <v>71</v>
          </cell>
          <cell r="O38">
            <v>82</v>
          </cell>
          <cell r="P38">
            <v>91</v>
          </cell>
          <cell r="Q38">
            <v>73</v>
          </cell>
          <cell r="R38">
            <v>82</v>
          </cell>
          <cell r="S38">
            <v>69</v>
          </cell>
          <cell r="T38">
            <v>80</v>
          </cell>
          <cell r="U38">
            <v>55</v>
          </cell>
          <cell r="V38">
            <v>57.4</v>
          </cell>
          <cell r="AB38">
            <v>353</v>
          </cell>
          <cell r="AC38">
            <v>315</v>
          </cell>
          <cell r="AD38">
            <v>304</v>
          </cell>
          <cell r="AE38">
            <v>288.8</v>
          </cell>
          <cell r="AF38">
            <v>285.91200000000003</v>
          </cell>
          <cell r="AG38">
            <v>285.91200000000003</v>
          </cell>
          <cell r="AH38">
            <v>285.91200000000003</v>
          </cell>
          <cell r="AJ38" t="str">
            <v>GPS products, Half of 2011.  Dagger, cutting 50%</v>
          </cell>
        </row>
        <row r="39">
          <cell r="C39" t="str">
            <v>JTRS (combined programs: GMR, HMS, MIDS)</v>
          </cell>
          <cell r="Q39">
            <v>2.8169014084507005E-2</v>
          </cell>
          <cell r="R39">
            <v>0.15492957746478875</v>
          </cell>
          <cell r="S39">
            <v>-0.15853658536585369</v>
          </cell>
          <cell r="T39">
            <v>0</v>
          </cell>
          <cell r="U39">
            <v>0</v>
          </cell>
          <cell r="V39">
            <v>0</v>
          </cell>
          <cell r="W39">
            <v>50</v>
          </cell>
          <cell r="X39">
            <v>100</v>
          </cell>
          <cell r="Y39">
            <v>150</v>
          </cell>
          <cell r="Z39">
            <v>200</v>
          </cell>
          <cell r="AB39" t="str">
            <v>$5.5B program over 20 years</v>
          </cell>
          <cell r="AC39">
            <v>-0.1076487252124646</v>
          </cell>
          <cell r="AD39">
            <v>-3.4920634920634908E-2</v>
          </cell>
          <cell r="AE39">
            <v>-0.05</v>
          </cell>
          <cell r="AF39">
            <v>-0.01</v>
          </cell>
          <cell r="AG39">
            <v>0</v>
          </cell>
          <cell r="AH39">
            <v>0</v>
          </cell>
        </row>
        <row r="40">
          <cell r="C40" t="str">
            <v>Boeing Tanker</v>
          </cell>
          <cell r="T40">
            <v>0</v>
          </cell>
          <cell r="U40">
            <v>25</v>
          </cell>
          <cell r="V40">
            <v>50</v>
          </cell>
          <cell r="W40">
            <v>75</v>
          </cell>
          <cell r="X40">
            <v>100</v>
          </cell>
          <cell r="Y40">
            <v>100</v>
          </cell>
          <cell r="Z40">
            <v>100</v>
          </cell>
          <cell r="AA40">
            <v>50</v>
          </cell>
          <cell r="AB40" t="str">
            <v>"Big program per plane"…179 planes, estimated $5MM per plane</v>
          </cell>
          <cell r="AC40">
            <v>150</v>
          </cell>
          <cell r="AD40">
            <v>200</v>
          </cell>
          <cell r="AF40" t="str">
            <v>$5.5B program over 20 years</v>
          </cell>
        </row>
        <row r="41">
          <cell r="B41" t="str">
            <v>Total Revenue</v>
          </cell>
          <cell r="C41" t="str">
            <v>Athena Technologies (UAV Controls)</v>
          </cell>
          <cell r="M41">
            <v>616</v>
          </cell>
          <cell r="N41">
            <v>693</v>
          </cell>
          <cell r="O41">
            <v>754</v>
          </cell>
          <cell r="P41">
            <v>798</v>
          </cell>
          <cell r="Q41">
            <v>650</v>
          </cell>
          <cell r="R41">
            <v>716</v>
          </cell>
          <cell r="S41">
            <v>668</v>
          </cell>
          <cell r="T41">
            <v>0</v>
          </cell>
          <cell r="U41">
            <v>25</v>
          </cell>
          <cell r="V41">
            <v>50</v>
          </cell>
          <cell r="W41">
            <v>75</v>
          </cell>
          <cell r="X41">
            <v>100</v>
          </cell>
          <cell r="Y41">
            <v>100</v>
          </cell>
          <cell r="Z41">
            <v>100</v>
          </cell>
          <cell r="AA41">
            <v>75</v>
          </cell>
          <cell r="AB41" t="str">
            <v>Predator, Reaper, Watchkeeper</v>
          </cell>
          <cell r="AC41">
            <v>100</v>
          </cell>
          <cell r="AD41">
            <v>100</v>
          </cell>
          <cell r="AE41">
            <v>2783.5</v>
          </cell>
          <cell r="AF41" t="str">
            <v>"Big program per plane"…179 planes, estimated $5MM per plane</v>
          </cell>
          <cell r="AG41">
            <v>2982.0120700000002</v>
          </cell>
          <cell r="AH41">
            <v>3089.4147244600008</v>
          </cell>
          <cell r="AJ41" t="str">
            <v>~50% of government business is priced commercially.</v>
          </cell>
        </row>
        <row r="42">
          <cell r="C42" t="str">
            <v>Athena Technologies (UAV Controls)</v>
          </cell>
          <cell r="Q42">
            <v>5.5194805194805241E-2</v>
          </cell>
          <cell r="R42">
            <v>3.3189033189033212E-2</v>
          </cell>
          <cell r="S42">
            <v>-0.11405835543766574</v>
          </cell>
          <cell r="T42">
            <v>-2.3809523809523836E-2</v>
          </cell>
          <cell r="U42">
            <v>-0.1</v>
          </cell>
          <cell r="V42">
            <v>-0.1</v>
          </cell>
          <cell r="W42">
            <v>0.08</v>
          </cell>
          <cell r="X42">
            <v>0.08</v>
          </cell>
          <cell r="AB42" t="str">
            <v>Predator, Reaper, Watchkeeper</v>
          </cell>
          <cell r="AC42">
            <v>0.10934470725087242</v>
          </cell>
          <cell r="AD42">
            <v>-1.6777350576721473E-2</v>
          </cell>
          <cell r="AE42">
            <v>-1.0487024528972655E-2</v>
          </cell>
          <cell r="AF42" t="str">
            <v>Predator, Reaper, Watchkeeper</v>
          </cell>
          <cell r="AG42">
            <v>3.5728195595817969E-2</v>
          </cell>
          <cell r="AH42">
            <v>3.6016840957991292E-2</v>
          </cell>
          <cell r="AJ42" t="str">
            <v>12/7/11 - def biz should grow +1-2pts off a flat def environment"</v>
          </cell>
        </row>
        <row r="43">
          <cell r="B43" t="str">
            <v>Total Growth</v>
          </cell>
          <cell r="T43">
            <v>84</v>
          </cell>
          <cell r="U43">
            <v>275</v>
          </cell>
          <cell r="V43">
            <v>310</v>
          </cell>
          <cell r="W43">
            <v>395</v>
          </cell>
          <cell r="X43">
            <v>480</v>
          </cell>
          <cell r="Y43">
            <v>540</v>
          </cell>
          <cell r="Z43">
            <v>600</v>
          </cell>
        </row>
        <row r="44">
          <cell r="B44" t="str">
            <v>Total Growth</v>
          </cell>
          <cell r="M44">
            <v>0</v>
          </cell>
          <cell r="N44">
            <v>0</v>
          </cell>
          <cell r="O44">
            <v>0</v>
          </cell>
          <cell r="P44">
            <v>0</v>
          </cell>
          <cell r="Q44">
            <v>0</v>
          </cell>
          <cell r="R44">
            <v>0</v>
          </cell>
          <cell r="S44">
            <v>0</v>
          </cell>
          <cell r="T44">
            <v>84</v>
          </cell>
          <cell r="U44">
            <v>275</v>
          </cell>
          <cell r="V44">
            <v>310</v>
          </cell>
          <cell r="W44">
            <v>395</v>
          </cell>
          <cell r="X44">
            <v>480</v>
          </cell>
          <cell r="Y44">
            <v>540</v>
          </cell>
          <cell r="Z44">
            <v>600</v>
          </cell>
          <cell r="AA44">
            <v>400</v>
          </cell>
          <cell r="AB44">
            <v>480</v>
          </cell>
          <cell r="AC44">
            <v>540</v>
          </cell>
          <cell r="AD44">
            <v>600</v>
          </cell>
          <cell r="AE44">
            <v>0</v>
          </cell>
          <cell r="AF44">
            <v>0</v>
          </cell>
          <cell r="AG44">
            <v>0</v>
          </cell>
          <cell r="AH44">
            <v>0</v>
          </cell>
          <cell r="AJ44" t="str">
            <v>-Thre GEMS, secured communication..  20</v>
          </cell>
        </row>
        <row r="45">
          <cell r="B45" t="str">
            <v>Decaying Programs</v>
          </cell>
          <cell r="X45">
            <v>8.6600000000003092</v>
          </cell>
          <cell r="AJ45" t="str">
            <v xml:space="preserve"> Canadian SCAMP..20</v>
          </cell>
        </row>
        <row r="46">
          <cell r="B46" t="str">
            <v>Decaying Programs</v>
          </cell>
          <cell r="C46" t="str">
            <v>DAGR</v>
          </cell>
          <cell r="Q46">
            <v>0.48461538461538461</v>
          </cell>
          <cell r="R46">
            <v>0.49162011173184356</v>
          </cell>
          <cell r="S46">
            <v>0.52844311377245512</v>
          </cell>
          <cell r="T46">
            <v>-50</v>
          </cell>
          <cell r="U46">
            <v>-100</v>
          </cell>
          <cell r="V46">
            <v>-150</v>
          </cell>
          <cell r="W46">
            <v>-150</v>
          </cell>
          <cell r="X46">
            <v>-150</v>
          </cell>
          <cell r="Y46">
            <v>-150</v>
          </cell>
          <cell r="Z46">
            <v>-150</v>
          </cell>
          <cell r="AB46">
            <v>0.5098875533152385</v>
          </cell>
          <cell r="AC46">
            <v>0.48549458231387627</v>
          </cell>
          <cell r="AD46">
            <v>0.50977603981514397</v>
          </cell>
          <cell r="AE46">
            <v>0.54093766840308966</v>
          </cell>
          <cell r="AF46">
            <v>0.54911606756643827</v>
          </cell>
          <cell r="AG46">
            <v>0.55668260591581042</v>
          </cell>
          <cell r="AH46">
            <v>0.5641961724011223</v>
          </cell>
          <cell r="AJ46" t="str">
            <v>Integrated Combat… 20</v>
          </cell>
        </row>
        <row r="47">
          <cell r="B47" t="str">
            <v>Communication Products</v>
          </cell>
          <cell r="C47" t="str">
            <v>DAGR</v>
          </cell>
          <cell r="Q47">
            <v>0.24</v>
          </cell>
          <cell r="R47">
            <v>0.26536312849162014</v>
          </cell>
          <cell r="S47">
            <v>0.24550898203592814</v>
          </cell>
          <cell r="T47">
            <v>0</v>
          </cell>
          <cell r="U47">
            <v>0</v>
          </cell>
          <cell r="V47">
            <v>0</v>
          </cell>
          <cell r="W47">
            <v>0</v>
          </cell>
          <cell r="X47">
            <v>0</v>
          </cell>
          <cell r="Y47">
            <v>0</v>
          </cell>
          <cell r="Z47">
            <v>0</v>
          </cell>
          <cell r="AA47">
            <v>-150</v>
          </cell>
          <cell r="AB47">
            <v>-150</v>
          </cell>
          <cell r="AC47">
            <v>-150</v>
          </cell>
          <cell r="AD47">
            <v>-150</v>
          </cell>
          <cell r="AE47">
            <v>0.23070235315250587</v>
          </cell>
          <cell r="AF47">
            <v>0.22749917388680685</v>
          </cell>
          <cell r="AG47">
            <v>0.22404445331436906</v>
          </cell>
          <cell r="AH47">
            <v>0.22058072161195955</v>
          </cell>
        </row>
        <row r="48">
          <cell r="B48" t="str">
            <v>Surface Solutions</v>
          </cell>
          <cell r="Q48">
            <v>0.16307692307692306</v>
          </cell>
          <cell r="R48">
            <v>0.12849162011173185</v>
          </cell>
          <cell r="S48">
            <v>0.12275449101796407</v>
          </cell>
          <cell r="T48">
            <v>0</v>
          </cell>
          <cell r="U48">
            <v>0</v>
          </cell>
          <cell r="V48">
            <v>0</v>
          </cell>
          <cell r="W48">
            <v>0</v>
          </cell>
          <cell r="X48">
            <v>0</v>
          </cell>
          <cell r="Y48">
            <v>0</v>
          </cell>
          <cell r="Z48">
            <v>0</v>
          </cell>
          <cell r="AA48">
            <v>0</v>
          </cell>
          <cell r="AB48">
            <v>0</v>
          </cell>
          <cell r="AC48">
            <v>0</v>
          </cell>
          <cell r="AD48">
            <v>0</v>
          </cell>
          <cell r="AE48">
            <v>0.12460571223280044</v>
          </cell>
          <cell r="AF48">
            <v>0.12408029132533564</v>
          </cell>
          <cell r="AG48">
            <v>0.12339405319710864</v>
          </cell>
          <cell r="AH48">
            <v>0.12267742160976648</v>
          </cell>
        </row>
        <row r="49">
          <cell r="B49" t="str">
            <v>Total Decay</v>
          </cell>
          <cell r="Q49">
            <v>0.1123076923076923</v>
          </cell>
          <cell r="R49">
            <v>0.11452513966480447</v>
          </cell>
          <cell r="S49">
            <v>0.10329341317365269</v>
          </cell>
          <cell r="T49">
            <v>-50</v>
          </cell>
          <cell r="U49">
            <v>-100</v>
          </cell>
          <cell r="V49">
            <v>-150</v>
          </cell>
          <cell r="W49">
            <v>-150</v>
          </cell>
          <cell r="X49">
            <v>-150</v>
          </cell>
          <cell r="Y49">
            <v>-150</v>
          </cell>
          <cell r="Z49">
            <v>-150</v>
          </cell>
          <cell r="AA49">
            <v>0</v>
          </cell>
          <cell r="AB49">
            <v>0</v>
          </cell>
          <cell r="AC49">
            <v>0</v>
          </cell>
          <cell r="AD49">
            <v>0</v>
          </cell>
          <cell r="AE49">
            <v>0.10375426621160409</v>
          </cell>
          <cell r="AF49">
            <v>9.9304467221419251E-2</v>
          </cell>
          <cell r="AG49">
            <v>9.5878887572711943E-2</v>
          </cell>
          <cell r="AH49">
            <v>9.2545684377151605E-2</v>
          </cell>
        </row>
        <row r="50">
          <cell r="B50" t="str">
            <v>Total Decay</v>
          </cell>
          <cell r="I50">
            <v>574</v>
          </cell>
          <cell r="J50">
            <v>613</v>
          </cell>
          <cell r="K50">
            <v>651</v>
          </cell>
          <cell r="L50">
            <v>741</v>
          </cell>
          <cell r="M50">
            <v>616</v>
          </cell>
          <cell r="N50">
            <v>693</v>
          </cell>
          <cell r="O50">
            <v>754</v>
          </cell>
          <cell r="P50">
            <v>798</v>
          </cell>
          <cell r="Q50">
            <v>1068</v>
          </cell>
          <cell r="R50">
            <v>1115</v>
          </cell>
          <cell r="S50">
            <v>1270</v>
          </cell>
          <cell r="T50">
            <v>-50</v>
          </cell>
          <cell r="U50">
            <v>-100</v>
          </cell>
          <cell r="V50">
            <v>-150</v>
          </cell>
          <cell r="W50">
            <v>-150</v>
          </cell>
          <cell r="X50">
            <v>-150</v>
          </cell>
          <cell r="Y50">
            <v>-150</v>
          </cell>
          <cell r="Z50">
            <v>-150</v>
          </cell>
          <cell r="AA50">
            <v>-150</v>
          </cell>
          <cell r="AB50">
            <v>-150</v>
          </cell>
          <cell r="AC50">
            <v>-150</v>
          </cell>
          <cell r="AD50">
            <v>-150</v>
          </cell>
          <cell r="AE50">
            <v>2783.5</v>
          </cell>
          <cell r="AF50">
            <v>2879.1454000000003</v>
          </cell>
          <cell r="AG50">
            <v>2982.0120700000002</v>
          </cell>
          <cell r="AH50">
            <v>3089.4147244600008</v>
          </cell>
        </row>
        <row r="51">
          <cell r="C51" t="str">
            <v>Assumed M&amp;A</v>
          </cell>
          <cell r="I51">
            <v>0</v>
          </cell>
          <cell r="J51">
            <v>0</v>
          </cell>
          <cell r="K51">
            <v>0</v>
          </cell>
          <cell r="L51">
            <v>0</v>
          </cell>
          <cell r="M51">
            <v>0</v>
          </cell>
          <cell r="N51">
            <v>0</v>
          </cell>
          <cell r="O51">
            <v>0</v>
          </cell>
          <cell r="P51">
            <v>0</v>
          </cell>
          <cell r="Q51">
            <v>-418</v>
          </cell>
          <cell r="R51">
            <v>-399</v>
          </cell>
          <cell r="S51">
            <v>-602</v>
          </cell>
          <cell r="T51">
            <v>0</v>
          </cell>
          <cell r="U51">
            <v>25</v>
          </cell>
          <cell r="V51">
            <v>50</v>
          </cell>
          <cell r="W51">
            <v>75</v>
          </cell>
          <cell r="X51">
            <v>100</v>
          </cell>
          <cell r="Y51">
            <v>125</v>
          </cell>
          <cell r="Z51">
            <v>150</v>
          </cell>
          <cell r="AA51">
            <v>0</v>
          </cell>
          <cell r="AB51" t="str">
            <v>Assumes $25MM of annual bolt-on M&amp;A</v>
          </cell>
          <cell r="AC51">
            <v>0</v>
          </cell>
          <cell r="AD51">
            <v>-18</v>
          </cell>
          <cell r="AE51">
            <v>-33.5</v>
          </cell>
          <cell r="AF51">
            <v>45.854599999999664</v>
          </cell>
          <cell r="AG51">
            <v>57.987929999999778</v>
          </cell>
          <cell r="AH51">
            <v>85.585275539999202</v>
          </cell>
        </row>
        <row r="52">
          <cell r="C52" t="str">
            <v>Assumed Divestitures</v>
          </cell>
          <cell r="T52">
            <v>0</v>
          </cell>
          <cell r="U52">
            <v>0</v>
          </cell>
          <cell r="V52">
            <v>0</v>
          </cell>
          <cell r="W52">
            <v>0</v>
          </cell>
          <cell r="X52">
            <v>0</v>
          </cell>
          <cell r="Y52">
            <v>0</v>
          </cell>
          <cell r="Z52">
            <v>0</v>
          </cell>
          <cell r="AA52">
            <v>75</v>
          </cell>
          <cell r="AB52" t="str">
            <v>Assumes $25MM of annual bolt-on M&amp;A</v>
          </cell>
          <cell r="AC52">
            <v>125</v>
          </cell>
          <cell r="AD52">
            <v>150</v>
          </cell>
          <cell r="AF52" t="str">
            <v>Assumes $25MM of annual bolt-on M&amp;A</v>
          </cell>
        </row>
        <row r="53">
          <cell r="B53" t="str">
            <v>Incremental Revenue Analysis</v>
          </cell>
          <cell r="C53" t="str">
            <v>Assumed Divestitures</v>
          </cell>
          <cell r="T53">
            <v>0</v>
          </cell>
          <cell r="U53">
            <v>0</v>
          </cell>
          <cell r="V53">
            <v>0</v>
          </cell>
          <cell r="W53">
            <v>0</v>
          </cell>
          <cell r="X53">
            <v>0</v>
          </cell>
          <cell r="Y53">
            <v>0</v>
          </cell>
          <cell r="Z53">
            <v>0</v>
          </cell>
          <cell r="AA53">
            <v>0</v>
          </cell>
          <cell r="AB53">
            <v>0</v>
          </cell>
          <cell r="AC53">
            <v>0</v>
          </cell>
          <cell r="AD53">
            <v>0</v>
          </cell>
        </row>
        <row r="54">
          <cell r="B54" t="str">
            <v>Projected Revenue</v>
          </cell>
          <cell r="T54">
            <v>2529</v>
          </cell>
          <cell r="U54">
            <v>2769.85</v>
          </cell>
          <cell r="V54">
            <v>2856.9454999999998</v>
          </cell>
          <cell r="W54">
            <v>3046.353865</v>
          </cell>
          <cell r="X54">
            <v>3238.1444809499999</v>
          </cell>
          <cell r="Y54">
            <v>3407.3888153785001</v>
          </cell>
          <cell r="Z54">
            <v>3579.1604798398553</v>
          </cell>
        </row>
        <row r="55">
          <cell r="B55" t="str">
            <v>Projected Revenue</v>
          </cell>
          <cell r="C55" t="str">
            <v>Y/Y Growth</v>
          </cell>
          <cell r="T55">
            <v>2529</v>
          </cell>
          <cell r="U55">
            <v>9.5235270858046617E-2</v>
          </cell>
          <cell r="V55">
            <v>3.1444121522826052E-2</v>
          </cell>
          <cell r="W55">
            <v>6.6297507250313359E-2</v>
          </cell>
          <cell r="X55">
            <v>6.2957431883902348E-2</v>
          </cell>
          <cell r="Y55">
            <v>5.22658378661498E-2</v>
          </cell>
          <cell r="Z55">
            <v>5.0411524416028364E-2</v>
          </cell>
          <cell r="AA55">
            <v>3051.353865</v>
          </cell>
          <cell r="AB55">
            <v>3238.1444809499999</v>
          </cell>
          <cell r="AC55">
            <v>3407.3888153785001</v>
          </cell>
          <cell r="AD55">
            <v>3579.1604798398553</v>
          </cell>
          <cell r="AE55">
            <v>2726.353865</v>
          </cell>
          <cell r="AF55">
            <v>2808.1444809499999</v>
          </cell>
          <cell r="AG55">
            <v>2892.3888153785001</v>
          </cell>
          <cell r="AH55">
            <v>2979.1604798398553</v>
          </cell>
        </row>
        <row r="56">
          <cell r="C56" t="str">
            <v>Difference vs. Top-Down Segment Forecast</v>
          </cell>
          <cell r="U56">
            <v>-130.15000000000009</v>
          </cell>
          <cell r="V56">
            <v>-193.05450000000019</v>
          </cell>
          <cell r="W56">
            <v>-153.64613499999996</v>
          </cell>
          <cell r="X56">
            <v>-131.85551905000011</v>
          </cell>
          <cell r="Y56">
            <v>-107.61118462149989</v>
          </cell>
          <cell r="Z56">
            <v>-80.83952016014473</v>
          </cell>
          <cell r="AA56">
            <v>6.9920117688083483E-2</v>
          </cell>
          <cell r="AB56">
            <v>6.121565187589284E-2</v>
          </cell>
          <cell r="AC56">
            <v>5.22658378661498E-2</v>
          </cell>
          <cell r="AD56">
            <v>5.0411524416028364E-2</v>
          </cell>
          <cell r="AE56">
            <v>0.03</v>
          </cell>
          <cell r="AF56">
            <v>0.03</v>
          </cell>
          <cell r="AG56">
            <v>0.03</v>
          </cell>
          <cell r="AH56">
            <v>0.03</v>
          </cell>
        </row>
        <row r="57">
          <cell r="C57" t="str">
            <v>Difference vs. Top-Down Segment Forecast</v>
          </cell>
          <cell r="U57">
            <v>-130.15000000000009</v>
          </cell>
          <cell r="V57">
            <v>-133.05450000000019</v>
          </cell>
          <cell r="W57">
            <v>-98.646134999999958</v>
          </cell>
          <cell r="X57">
            <v>-31.855519050000112</v>
          </cell>
          <cell r="Y57">
            <v>52.388815378500112</v>
          </cell>
          <cell r="Z57">
            <v>139.16047983985527</v>
          </cell>
          <cell r="AA57">
            <v>-38.646134999999958</v>
          </cell>
          <cell r="AB57">
            <v>98.144480949999888</v>
          </cell>
          <cell r="AC57">
            <v>227.38881537850011</v>
          </cell>
          <cell r="AD57">
            <v>369.16047983985527</v>
          </cell>
        </row>
        <row r="58">
          <cell r="B58" t="str">
            <v>Change in Revenue</v>
          </cell>
          <cell r="I58">
            <v>27</v>
          </cell>
          <cell r="J58">
            <v>37</v>
          </cell>
          <cell r="K58">
            <v>44</v>
          </cell>
          <cell r="L58">
            <v>105</v>
          </cell>
          <cell r="R58">
            <v>188</v>
          </cell>
          <cell r="S58">
            <v>135</v>
          </cell>
          <cell r="T58">
            <v>213</v>
          </cell>
        </row>
        <row r="59">
          <cell r="B59" t="str">
            <v>M&amp;A Pickup</v>
          </cell>
          <cell r="C59" t="str">
            <v>DataPath</v>
          </cell>
          <cell r="I59">
            <v>8</v>
          </cell>
          <cell r="J59">
            <v>10</v>
          </cell>
          <cell r="K59">
            <v>27</v>
          </cell>
          <cell r="L59">
            <v>66</v>
          </cell>
          <cell r="R59">
            <v>38</v>
          </cell>
          <cell r="S59">
            <v>17</v>
          </cell>
          <cell r="T59">
            <v>111</v>
          </cell>
          <cell r="V59">
            <v>188</v>
          </cell>
          <cell r="W59">
            <v>135</v>
          </cell>
          <cell r="X59">
            <v>213</v>
          </cell>
          <cell r="AB59">
            <v>84</v>
          </cell>
          <cell r="AC59">
            <v>256</v>
          </cell>
          <cell r="AD59">
            <v>240</v>
          </cell>
          <cell r="AE59">
            <v>250</v>
          </cell>
          <cell r="AF59">
            <v>275</v>
          </cell>
          <cell r="AG59">
            <v>290</v>
          </cell>
          <cell r="AH59">
            <v>300</v>
          </cell>
        </row>
        <row r="60">
          <cell r="B60" t="str">
            <v>Organic Change in Revenue</v>
          </cell>
          <cell r="I60">
            <v>19</v>
          </cell>
          <cell r="J60">
            <v>27</v>
          </cell>
          <cell r="K60">
            <v>17</v>
          </cell>
          <cell r="L60">
            <v>39</v>
          </cell>
          <cell r="R60">
            <v>150</v>
          </cell>
          <cell r="S60">
            <v>118</v>
          </cell>
          <cell r="T60">
            <v>102</v>
          </cell>
          <cell r="V60">
            <v>38</v>
          </cell>
          <cell r="W60">
            <v>17</v>
          </cell>
          <cell r="X60">
            <v>111</v>
          </cell>
        </row>
        <row r="61">
          <cell r="B61" t="str">
            <v>Organic Change in Revenue</v>
          </cell>
          <cell r="C61" t="str">
            <v>Black Hawk (USG and International)</v>
          </cell>
          <cell r="I61">
            <v>19</v>
          </cell>
          <cell r="J61">
            <v>27</v>
          </cell>
          <cell r="K61">
            <v>17</v>
          </cell>
          <cell r="L61">
            <v>39</v>
          </cell>
          <cell r="R61">
            <v>150</v>
          </cell>
          <cell r="S61">
            <v>118</v>
          </cell>
          <cell r="T61">
            <v>102</v>
          </cell>
          <cell r="V61">
            <v>150</v>
          </cell>
          <cell r="W61">
            <v>118</v>
          </cell>
          <cell r="X61">
            <v>102</v>
          </cell>
        </row>
        <row r="62">
          <cell r="C62" t="str">
            <v>JTRS (combined programs: GMR, HMS, MIDS)</v>
          </cell>
          <cell r="AB62">
            <v>0</v>
          </cell>
          <cell r="AC62">
            <v>0</v>
          </cell>
          <cell r="AD62">
            <v>0</v>
          </cell>
          <cell r="AE62">
            <v>50</v>
          </cell>
          <cell r="AF62">
            <v>100</v>
          </cell>
          <cell r="AG62">
            <v>150</v>
          </cell>
          <cell r="AH62">
            <v>200</v>
          </cell>
          <cell r="AJ62" t="str">
            <v>$5.5B program over 20 years</v>
          </cell>
        </row>
        <row r="63">
          <cell r="A63" t="str">
            <v>Segment Operating Profit</v>
          </cell>
          <cell r="C63" t="str">
            <v>Boeing Tanker</v>
          </cell>
          <cell r="AB63">
            <v>0</v>
          </cell>
          <cell r="AC63">
            <v>25</v>
          </cell>
          <cell r="AD63">
            <v>50</v>
          </cell>
          <cell r="AE63">
            <v>75</v>
          </cell>
          <cell r="AF63">
            <v>100</v>
          </cell>
          <cell r="AG63">
            <v>100</v>
          </cell>
          <cell r="AH63">
            <v>100</v>
          </cell>
          <cell r="AJ63" t="str">
            <v>"Big program per plane"…179 planes, estimated $5MM per plane</v>
          </cell>
        </row>
        <row r="64">
          <cell r="A64" t="str">
            <v>Segment Operating Profit</v>
          </cell>
          <cell r="C64" t="str">
            <v>Athena Technologies (UAV Controls)</v>
          </cell>
          <cell r="AJ64" t="str">
            <v>Predator, Reaper, Watchkeeper</v>
          </cell>
        </row>
        <row r="65">
          <cell r="B65" t="str">
            <v>Airborne Solutions</v>
          </cell>
          <cell r="K65">
            <v>113</v>
          </cell>
          <cell r="L65">
            <v>109.25</v>
          </cell>
          <cell r="M65">
            <v>94.3</v>
          </cell>
          <cell r="N65">
            <v>105.80000000000001</v>
          </cell>
          <cell r="O65">
            <v>109.25</v>
          </cell>
          <cell r="P65">
            <v>110.25</v>
          </cell>
          <cell r="Q65">
            <v>287.67694566813509</v>
          </cell>
          <cell r="R65">
            <v>317.25907664724338</v>
          </cell>
          <cell r="S65">
            <v>341.39137785291632</v>
          </cell>
          <cell r="T65">
            <v>422.11169999999998</v>
          </cell>
          <cell r="U65">
            <v>419.6</v>
          </cell>
          <cell r="V65">
            <v>433.4</v>
          </cell>
          <cell r="W65">
            <v>434.7</v>
          </cell>
          <cell r="X65">
            <v>462</v>
          </cell>
          <cell r="Y65">
            <v>483</v>
          </cell>
          <cell r="Z65">
            <v>504</v>
          </cell>
        </row>
        <row r="66">
          <cell r="B66" t="str">
            <v>Airborne Solutions</v>
          </cell>
          <cell r="C66" t="str">
            <v>% Margin</v>
          </cell>
          <cell r="K66">
            <v>0.25</v>
          </cell>
          <cell r="L66">
            <v>0.23</v>
          </cell>
          <cell r="M66">
            <v>0.23</v>
          </cell>
          <cell r="N66">
            <v>0.23</v>
          </cell>
          <cell r="O66">
            <v>0.23</v>
          </cell>
          <cell r="P66">
            <v>0.21</v>
          </cell>
          <cell r="Q66">
            <v>0.19676945668135096</v>
          </cell>
          <cell r="R66">
            <v>0.1976692066337965</v>
          </cell>
          <cell r="S66">
            <v>0.20540997464074387</v>
          </cell>
          <cell r="T66">
            <v>0.2397</v>
          </cell>
          <cell r="U66">
            <v>0.22438502673796792</v>
          </cell>
          <cell r="V66">
            <v>0.22</v>
          </cell>
          <cell r="W66">
            <v>0.21</v>
          </cell>
          <cell r="X66">
            <v>0.21</v>
          </cell>
          <cell r="Y66">
            <v>0.21</v>
          </cell>
          <cell r="Z66">
            <v>0.21</v>
          </cell>
          <cell r="AA66">
            <v>434.91</v>
          </cell>
          <cell r="AB66" t="str">
            <v>Airborne/Surface equivalent margins; assumes some erosion from return of bonuses (frozen FY09)</v>
          </cell>
          <cell r="AC66">
            <v>428.4</v>
          </cell>
          <cell r="AD66">
            <v>430.5</v>
          </cell>
          <cell r="AE66">
            <v>375</v>
          </cell>
          <cell r="AF66">
            <v>475</v>
          </cell>
          <cell r="AG66">
            <v>540</v>
          </cell>
          <cell r="AH66">
            <v>600</v>
          </cell>
        </row>
        <row r="67">
          <cell r="C67" t="str">
            <v>% Margin</v>
          </cell>
          <cell r="K67">
            <v>0.25</v>
          </cell>
          <cell r="L67">
            <v>0.23</v>
          </cell>
          <cell r="M67">
            <v>0.23</v>
          </cell>
          <cell r="N67">
            <v>0.22750000000000001</v>
          </cell>
          <cell r="O67">
            <v>0.21199999999999999</v>
          </cell>
          <cell r="P67">
            <v>0.21</v>
          </cell>
          <cell r="Q67">
            <v>0.19676945668135096</v>
          </cell>
          <cell r="R67">
            <v>0.1976692066337965</v>
          </cell>
          <cell r="S67">
            <v>0.20540997464074387</v>
          </cell>
          <cell r="T67">
            <v>0.2397</v>
          </cell>
          <cell r="U67">
            <v>0.21913502673796789</v>
          </cell>
          <cell r="V67">
            <v>0.22</v>
          </cell>
          <cell r="W67">
            <v>0.215</v>
          </cell>
          <cell r="X67">
            <v>0.21299999999999999</v>
          </cell>
          <cell r="Y67">
            <v>0.21</v>
          </cell>
          <cell r="Z67">
            <v>0.21</v>
          </cell>
          <cell r="AA67">
            <v>0.218</v>
          </cell>
          <cell r="AB67" t="str">
            <v>Airborne/Surface equivalent margins; assumes some erosion from return of bonuses (frozen FY09)</v>
          </cell>
          <cell r="AC67">
            <v>0.21</v>
          </cell>
          <cell r="AD67">
            <v>0.21</v>
          </cell>
          <cell r="AF67" t="str">
            <v>Airborne/Surface equivalent margins; assumes some erosion from return of bonuses (frozen FY09)</v>
          </cell>
        </row>
        <row r="68">
          <cell r="B68" t="str">
            <v>DataPath</v>
          </cell>
          <cell r="K68">
            <v>1.1500000000000001</v>
          </cell>
          <cell r="L68">
            <v>3.0500000000000003</v>
          </cell>
          <cell r="M68">
            <v>6.6</v>
          </cell>
          <cell r="N68">
            <v>6</v>
          </cell>
          <cell r="O68">
            <v>6.5</v>
          </cell>
          <cell r="P68">
            <v>6.5</v>
          </cell>
          <cell r="T68">
            <v>4.2</v>
          </cell>
          <cell r="U68">
            <v>25.6</v>
          </cell>
          <cell r="V68">
            <v>32.5</v>
          </cell>
          <cell r="W68">
            <v>40.5</v>
          </cell>
          <cell r="X68">
            <v>49</v>
          </cell>
          <cell r="Y68">
            <v>50.75</v>
          </cell>
          <cell r="Z68">
            <v>52.5</v>
          </cell>
          <cell r="AB68" t="str">
            <v>Low sgl digit with potential for high-teens margin</v>
          </cell>
        </row>
        <row r="69">
          <cell r="B69" t="str">
            <v>DataPath</v>
          </cell>
          <cell r="C69" t="str">
            <v>% Margin</v>
          </cell>
          <cell r="K69">
            <v>0.05</v>
          </cell>
          <cell r="L69">
            <v>0.05</v>
          </cell>
          <cell r="M69">
            <v>0.11</v>
          </cell>
          <cell r="N69">
            <v>0.1</v>
          </cell>
          <cell r="O69">
            <v>0.1</v>
          </cell>
          <cell r="P69">
            <v>0.1</v>
          </cell>
          <cell r="Q69">
            <v>6.6</v>
          </cell>
          <cell r="R69">
            <v>7.5</v>
          </cell>
          <cell r="S69">
            <v>8.7100000000000009</v>
          </cell>
          <cell r="T69">
            <v>0.05</v>
          </cell>
          <cell r="U69">
            <v>0.1024</v>
          </cell>
          <cell r="V69">
            <v>0.125</v>
          </cell>
          <cell r="W69">
            <v>0.15</v>
          </cell>
          <cell r="X69">
            <v>0.17499999999999999</v>
          </cell>
          <cell r="Y69">
            <v>0.17499999999999999</v>
          </cell>
          <cell r="Z69">
            <v>0.17499999999999999</v>
          </cell>
          <cell r="AA69">
            <v>41.25</v>
          </cell>
          <cell r="AB69" t="str">
            <v>Low sgl digit with potential for high-teens margin</v>
          </cell>
          <cell r="AC69">
            <v>50.75</v>
          </cell>
          <cell r="AD69">
            <v>52.5</v>
          </cell>
          <cell r="AE69">
            <v>-150</v>
          </cell>
          <cell r="AF69" t="str">
            <v>Low sgl digit with potential for high-teens margin</v>
          </cell>
          <cell r="AG69">
            <v>-150</v>
          </cell>
          <cell r="AH69">
            <v>-150</v>
          </cell>
        </row>
        <row r="70">
          <cell r="C70" t="str">
            <v>% Margin</v>
          </cell>
          <cell r="K70">
            <v>0.05</v>
          </cell>
          <cell r="L70">
            <v>0.05</v>
          </cell>
          <cell r="M70">
            <v>0.11</v>
          </cell>
          <cell r="N70">
            <v>0.1</v>
          </cell>
          <cell r="O70">
            <v>0.1</v>
          </cell>
          <cell r="P70">
            <v>0.1</v>
          </cell>
          <cell r="Q70">
            <v>0.11</v>
          </cell>
          <cell r="R70">
            <v>0.125</v>
          </cell>
          <cell r="S70">
            <v>0.13400000000000001</v>
          </cell>
          <cell r="T70">
            <v>0.05</v>
          </cell>
          <cell r="U70">
            <v>0.1024</v>
          </cell>
          <cell r="V70">
            <v>0.12</v>
          </cell>
          <cell r="W70">
            <v>0.15</v>
          </cell>
          <cell r="X70">
            <v>0.17</v>
          </cell>
          <cell r="Y70">
            <v>0.17499999999999999</v>
          </cell>
          <cell r="Z70">
            <v>0.17499999999999999</v>
          </cell>
          <cell r="AA70">
            <v>0.15</v>
          </cell>
          <cell r="AB70">
            <v>0.17</v>
          </cell>
          <cell r="AC70">
            <v>0.17499999999999999</v>
          </cell>
          <cell r="AD70">
            <v>0.17499999999999999</v>
          </cell>
          <cell r="AE70">
            <v>0</v>
          </cell>
          <cell r="AF70">
            <v>0</v>
          </cell>
          <cell r="AG70">
            <v>0</v>
          </cell>
          <cell r="AH70">
            <v>0</v>
          </cell>
        </row>
        <row r="71">
          <cell r="B71" t="str">
            <v>Surface Solutions ex. DataPath</v>
          </cell>
          <cell r="K71">
            <v>44</v>
          </cell>
          <cell r="L71">
            <v>47.15</v>
          </cell>
          <cell r="M71">
            <v>33.1</v>
          </cell>
          <cell r="N71">
            <v>41.4</v>
          </cell>
          <cell r="O71">
            <v>50.6</v>
          </cell>
          <cell r="P71">
            <v>49.14</v>
          </cell>
          <cell r="T71">
            <v>175.93979999999999</v>
          </cell>
          <cell r="U71">
            <v>174.24</v>
          </cell>
          <cell r="V71">
            <v>180.4</v>
          </cell>
          <cell r="W71">
            <v>180.6</v>
          </cell>
          <cell r="X71">
            <v>186.9</v>
          </cell>
          <cell r="Y71">
            <v>194.25</v>
          </cell>
          <cell r="Z71">
            <v>201.6</v>
          </cell>
          <cell r="AB71">
            <v>0</v>
          </cell>
          <cell r="AC71">
            <v>0</v>
          </cell>
          <cell r="AD71">
            <v>0</v>
          </cell>
          <cell r="AE71">
            <v>0</v>
          </cell>
          <cell r="AF71">
            <v>0</v>
          </cell>
          <cell r="AG71">
            <v>0</v>
          </cell>
          <cell r="AH71">
            <v>0</v>
          </cell>
        </row>
        <row r="72">
          <cell r="B72" t="str">
            <v>Surface Solutions ex. DataPath</v>
          </cell>
          <cell r="C72" t="str">
            <v>% Margin</v>
          </cell>
          <cell r="K72">
            <v>0.25</v>
          </cell>
          <cell r="L72">
            <v>0.23</v>
          </cell>
          <cell r="M72">
            <v>0.23</v>
          </cell>
          <cell r="N72">
            <v>0.23</v>
          </cell>
          <cell r="O72">
            <v>0.23</v>
          </cell>
          <cell r="P72">
            <v>0.21</v>
          </cell>
          <cell r="Q72">
            <v>33.1</v>
          </cell>
          <cell r="R72">
            <v>34.979999999999997</v>
          </cell>
          <cell r="S72">
            <v>50.76</v>
          </cell>
          <cell r="T72">
            <v>0.2397</v>
          </cell>
          <cell r="U72">
            <v>0.2233846153846154</v>
          </cell>
          <cell r="V72">
            <v>0.22</v>
          </cell>
          <cell r="W72">
            <v>0.21</v>
          </cell>
          <cell r="X72">
            <v>0.21</v>
          </cell>
          <cell r="Y72">
            <v>0.21</v>
          </cell>
          <cell r="Z72">
            <v>0.21</v>
          </cell>
          <cell r="AA72">
            <v>177.94</v>
          </cell>
          <cell r="AB72">
            <v>180.6</v>
          </cell>
          <cell r="AC72">
            <v>178.5</v>
          </cell>
          <cell r="AD72">
            <v>180.6</v>
          </cell>
          <cell r="AE72">
            <v>-150</v>
          </cell>
          <cell r="AF72">
            <v>-150</v>
          </cell>
          <cell r="AG72">
            <v>-150</v>
          </cell>
          <cell r="AH72">
            <v>-150</v>
          </cell>
        </row>
        <row r="73">
          <cell r="C73" t="str">
            <v>% Margin</v>
          </cell>
          <cell r="K73">
            <v>0.25</v>
          </cell>
          <cell r="L73">
            <v>0.23</v>
          </cell>
          <cell r="M73">
            <v>0.23</v>
          </cell>
          <cell r="N73">
            <v>0.22750000000000001</v>
          </cell>
          <cell r="O73">
            <v>0.21199999999999999</v>
          </cell>
          <cell r="P73">
            <v>0.21</v>
          </cell>
          <cell r="Q73">
            <v>0.20799999999999999</v>
          </cell>
          <cell r="R73">
            <v>0.22</v>
          </cell>
          <cell r="S73">
            <v>0.216</v>
          </cell>
          <cell r="T73">
            <v>0.2397</v>
          </cell>
          <cell r="U73">
            <v>0.2177294871794872</v>
          </cell>
          <cell r="V73">
            <v>0.22</v>
          </cell>
          <cell r="W73">
            <v>0.215</v>
          </cell>
          <cell r="X73">
            <v>0.21299999999999999</v>
          </cell>
          <cell r="Y73">
            <v>0.21</v>
          </cell>
          <cell r="Z73">
            <v>0.21</v>
          </cell>
          <cell r="AA73">
            <v>0.217</v>
          </cell>
          <cell r="AB73">
            <v>0.215</v>
          </cell>
          <cell r="AC73">
            <v>0.21</v>
          </cell>
          <cell r="AD73">
            <v>0.21</v>
          </cell>
        </row>
        <row r="74">
          <cell r="B74" t="str">
            <v>Surface Solutions</v>
          </cell>
          <cell r="C74" t="str">
            <v>Assumed M&amp;A</v>
          </cell>
          <cell r="K74">
            <v>45.15</v>
          </cell>
          <cell r="L74">
            <v>50.199999999999996</v>
          </cell>
          <cell r="M74">
            <v>39.700000000000003</v>
          </cell>
          <cell r="N74">
            <v>47.4</v>
          </cell>
          <cell r="O74">
            <v>57.1</v>
          </cell>
          <cell r="P74">
            <v>55.64</v>
          </cell>
          <cell r="Q74">
            <v>114.32305433186491</v>
          </cell>
          <cell r="R74">
            <v>123.74092335275662</v>
          </cell>
          <cell r="S74">
            <v>144.60862214708368</v>
          </cell>
          <cell r="T74">
            <v>180.13979999999998</v>
          </cell>
          <cell r="U74">
            <v>199.84</v>
          </cell>
          <cell r="V74">
            <v>212.9</v>
          </cell>
          <cell r="W74">
            <v>221.1</v>
          </cell>
          <cell r="X74">
            <v>235.9</v>
          </cell>
          <cell r="Y74">
            <v>245</v>
          </cell>
          <cell r="Z74">
            <v>254.1</v>
          </cell>
          <cell r="AB74">
            <v>0</v>
          </cell>
          <cell r="AC74">
            <v>25</v>
          </cell>
          <cell r="AD74">
            <v>50</v>
          </cell>
          <cell r="AE74">
            <v>75</v>
          </cell>
          <cell r="AF74">
            <v>100</v>
          </cell>
          <cell r="AG74">
            <v>125</v>
          </cell>
          <cell r="AH74">
            <v>150</v>
          </cell>
          <cell r="AJ74" t="str">
            <v>Assumes $25MM of annual bolt-on M&amp;A</v>
          </cell>
        </row>
        <row r="75">
          <cell r="B75" t="str">
            <v>Surface Solutions</v>
          </cell>
          <cell r="C75" t="str">
            <v>% Margin</v>
          </cell>
          <cell r="K75">
            <v>0.22688442211055276</v>
          </cell>
          <cell r="L75">
            <v>0.18872180451127818</v>
          </cell>
          <cell r="M75">
            <v>0.19271844660194176</v>
          </cell>
          <cell r="N75">
            <v>0.19749999999999998</v>
          </cell>
          <cell r="O75">
            <v>0.20035087719298247</v>
          </cell>
          <cell r="P75">
            <v>0.18608695652173912</v>
          </cell>
          <cell r="Q75">
            <v>0.19676945668135096</v>
          </cell>
          <cell r="R75">
            <v>0.19766920663379653</v>
          </cell>
          <cell r="S75">
            <v>0.20540997464074387</v>
          </cell>
          <cell r="T75">
            <v>0.22021980440097796</v>
          </cell>
          <cell r="U75">
            <v>0.19401941747572815</v>
          </cell>
          <cell r="V75">
            <v>0.19712962962962963</v>
          </cell>
          <cell r="W75">
            <v>0.19566371681415928</v>
          </cell>
          <cell r="X75">
            <v>0.20162393162393163</v>
          </cell>
          <cell r="Y75">
            <v>0.20164609053497942</v>
          </cell>
          <cell r="Z75">
            <v>0.20166666666666666</v>
          </cell>
          <cell r="AA75">
            <v>219.19</v>
          </cell>
          <cell r="AB75" t="str">
            <v>Airborne/Surface equivalent margins; assumes some erosion from return of bonuses (frozen FY09)</v>
          </cell>
          <cell r="AC75">
            <v>229.25</v>
          </cell>
          <cell r="AD75">
            <v>233.1</v>
          </cell>
          <cell r="AE75">
            <v>0</v>
          </cell>
          <cell r="AF75">
            <v>0</v>
          </cell>
          <cell r="AG75">
            <v>0</v>
          </cell>
          <cell r="AH75">
            <v>0</v>
          </cell>
        </row>
        <row r="76">
          <cell r="C76" t="str">
            <v>% Margin</v>
          </cell>
          <cell r="K76">
            <v>0.22688442211055276</v>
          </cell>
          <cell r="L76">
            <v>0.18872180451127818</v>
          </cell>
          <cell r="M76">
            <v>0.19271844660194176</v>
          </cell>
          <cell r="N76">
            <v>0.19535714285714287</v>
          </cell>
          <cell r="O76">
            <v>0.19028571428571431</v>
          </cell>
          <cell r="P76">
            <v>0.18249999999999997</v>
          </cell>
          <cell r="Q76">
            <v>0.19676945668135096</v>
          </cell>
          <cell r="R76">
            <v>0.19766920663379653</v>
          </cell>
          <cell r="S76">
            <v>0.20540997464074387</v>
          </cell>
          <cell r="T76">
            <v>0.22021980440097796</v>
          </cell>
          <cell r="U76">
            <v>0.18973689320388351</v>
          </cell>
          <cell r="V76">
            <v>0.19558685446009388</v>
          </cell>
          <cell r="W76">
            <v>0.19939999999999999</v>
          </cell>
          <cell r="X76">
            <v>0.20270940170940169</v>
          </cell>
          <cell r="Y76">
            <v>0.20157676348547718</v>
          </cell>
          <cell r="Z76">
            <v>0.20153225806451613</v>
          </cell>
          <cell r="AA76">
            <v>0.20017351598173516</v>
          </cell>
          <cell r="AB76" t="str">
            <v>Airborne/Surface equivalent margins; assumes some erosion from return of bonuses (frozen FY09)</v>
          </cell>
          <cell r="AC76">
            <v>0.20109649122807016</v>
          </cell>
          <cell r="AD76">
            <v>0.20094827586206895</v>
          </cell>
          <cell r="AF76" t="str">
            <v>Airborne/Surface equivalent margins; assumes some erosion from return of bonuses (frozen FY09)</v>
          </cell>
        </row>
        <row r="77">
          <cell r="B77" t="str">
            <v>Total Operating Profit</v>
          </cell>
          <cell r="E77">
            <v>115</v>
          </cell>
          <cell r="F77">
            <v>115</v>
          </cell>
          <cell r="G77">
            <v>131</v>
          </cell>
          <cell r="H77">
            <v>125</v>
          </cell>
          <cell r="I77">
            <v>140</v>
          </cell>
          <cell r="J77">
            <v>145</v>
          </cell>
          <cell r="K77">
            <v>158</v>
          </cell>
          <cell r="L77">
            <v>159</v>
          </cell>
          <cell r="M77">
            <v>134</v>
          </cell>
          <cell r="N77">
            <v>153.20000000000002</v>
          </cell>
          <cell r="O77">
            <v>166.35</v>
          </cell>
          <cell r="P77">
            <v>165.89</v>
          </cell>
          <cell r="Q77">
            <v>402</v>
          </cell>
          <cell r="R77">
            <v>441</v>
          </cell>
          <cell r="S77">
            <v>486</v>
          </cell>
          <cell r="T77">
            <v>602</v>
          </cell>
          <cell r="U77">
            <v>619.44000000000005</v>
          </cell>
          <cell r="V77">
            <v>646.29999999999995</v>
          </cell>
          <cell r="W77">
            <v>655.8</v>
          </cell>
          <cell r="X77">
            <v>697.9</v>
          </cell>
          <cell r="Y77">
            <v>728</v>
          </cell>
          <cell r="Z77">
            <v>758.1</v>
          </cell>
          <cell r="AB77">
            <v>2529</v>
          </cell>
          <cell r="AC77">
            <v>2775.85</v>
          </cell>
          <cell r="AD77">
            <v>2836.9454999999998</v>
          </cell>
          <cell r="AE77">
            <v>3026.353865</v>
          </cell>
          <cell r="AF77">
            <v>3233.1444809499999</v>
          </cell>
          <cell r="AG77">
            <v>3407.3888153785001</v>
          </cell>
          <cell r="AH77">
            <v>3579.1604798398553</v>
          </cell>
        </row>
        <row r="78">
          <cell r="B78" t="str">
            <v>Total Operating Profit</v>
          </cell>
          <cell r="C78" t="str">
            <v>% Margin</v>
          </cell>
          <cell r="E78">
            <v>0.21023765996343693</v>
          </cell>
          <cell r="F78">
            <v>0.19965277777777779</v>
          </cell>
          <cell r="G78">
            <v>0.21581548599670511</v>
          </cell>
          <cell r="H78">
            <v>0.19654088050314467</v>
          </cell>
          <cell r="I78">
            <v>0.24390243902439024</v>
          </cell>
          <cell r="J78">
            <v>0.2365415986949429</v>
          </cell>
          <cell r="K78">
            <v>0.24270353302611367</v>
          </cell>
          <cell r="L78">
            <v>0.2145748987854251</v>
          </cell>
          <cell r="M78">
            <v>0.21753246753246752</v>
          </cell>
          <cell r="N78">
            <v>0.21885714285714289</v>
          </cell>
          <cell r="O78">
            <v>0.21888157894736843</v>
          </cell>
          <cell r="P78">
            <v>0.20132281553398057</v>
          </cell>
          <cell r="Q78">
            <v>0.19676945668135096</v>
          </cell>
          <cell r="R78">
            <v>0.1976692066337965</v>
          </cell>
          <cell r="S78">
            <v>0.20540997464074387</v>
          </cell>
          <cell r="T78">
            <v>0.23342380767739435</v>
          </cell>
          <cell r="U78">
            <v>0.21360000000000001</v>
          </cell>
          <cell r="V78">
            <v>0.21190163934426229</v>
          </cell>
          <cell r="W78">
            <v>0.20493749999999999</v>
          </cell>
          <cell r="X78">
            <v>0.20709198813056379</v>
          </cell>
          <cell r="Y78">
            <v>0.20711237553342818</v>
          </cell>
          <cell r="Z78">
            <v>0.20713114754098361</v>
          </cell>
          <cell r="AA78">
            <v>654.1</v>
          </cell>
          <cell r="AB78">
            <v>662.5</v>
          </cell>
          <cell r="AC78">
            <v>657.65</v>
          </cell>
          <cell r="AD78">
            <v>663.6</v>
          </cell>
          <cell r="AE78">
            <v>6.6764893791579905E-2</v>
          </cell>
          <cell r="AF78">
            <v>6.8329952535144178E-2</v>
          </cell>
          <cell r="AG78">
            <v>5.3893148127207136E-2</v>
          </cell>
          <cell r="AH78">
            <v>5.0411524416028364E-2</v>
          </cell>
        </row>
        <row r="79">
          <cell r="C79" t="str">
            <v>% Margin</v>
          </cell>
          <cell r="E79">
            <v>0.21023765996343693</v>
          </cell>
          <cell r="F79">
            <v>0.19965277777777779</v>
          </cell>
          <cell r="G79">
            <v>0.21581548599670511</v>
          </cell>
          <cell r="H79">
            <v>0.19654088050314467</v>
          </cell>
          <cell r="I79">
            <v>0.24390243902439024</v>
          </cell>
          <cell r="J79">
            <v>0.2365415986949429</v>
          </cell>
          <cell r="K79">
            <v>0.15000000000000568</v>
          </cell>
          <cell r="L79">
            <v>0.44999999999998863</v>
          </cell>
          <cell r="M79">
            <v>0</v>
          </cell>
          <cell r="N79">
            <v>0</v>
          </cell>
          <cell r="O79">
            <v>0</v>
          </cell>
          <cell r="P79">
            <v>0</v>
          </cell>
          <cell r="Q79">
            <v>0.19676945668135096</v>
          </cell>
          <cell r="R79">
            <v>0.1976692066337965</v>
          </cell>
          <cell r="S79">
            <v>0.20540997464074387</v>
          </cell>
          <cell r="T79">
            <v>0.25149999999996453</v>
          </cell>
          <cell r="U79">
            <v>0</v>
          </cell>
          <cell r="V79">
            <v>0</v>
          </cell>
          <cell r="W79">
            <v>0</v>
          </cell>
          <cell r="X79">
            <v>0</v>
          </cell>
          <cell r="Y79">
            <v>0</v>
          </cell>
          <cell r="Z79">
            <v>0</v>
          </cell>
          <cell r="AA79">
            <v>0.21168284789644012</v>
          </cell>
          <cell r="AB79">
            <v>0.21098726114649682</v>
          </cell>
          <cell r="AC79">
            <v>0.20680817610062893</v>
          </cell>
          <cell r="AD79">
            <v>0.20672897196261683</v>
          </cell>
          <cell r="AE79">
            <v>242.85386500000004</v>
          </cell>
          <cell r="AF79">
            <v>353.99908094999955</v>
          </cell>
          <cell r="AG79">
            <v>425.37674537849989</v>
          </cell>
          <cell r="AH79">
            <v>489.74575537985447</v>
          </cell>
        </row>
        <row r="80">
          <cell r="B80" t="str">
            <v>Check</v>
          </cell>
          <cell r="E80">
            <v>115</v>
          </cell>
          <cell r="F80">
            <v>115</v>
          </cell>
          <cell r="G80">
            <v>131</v>
          </cell>
          <cell r="H80">
            <v>125</v>
          </cell>
          <cell r="I80">
            <v>140</v>
          </cell>
          <cell r="J80">
            <v>145</v>
          </cell>
          <cell r="K80">
            <v>158</v>
          </cell>
          <cell r="L80">
            <v>159</v>
          </cell>
          <cell r="M80">
            <v>134</v>
          </cell>
          <cell r="N80">
            <v>150</v>
          </cell>
          <cell r="O80">
            <v>153</v>
          </cell>
          <cell r="P80">
            <v>168.2115</v>
          </cell>
          <cell r="Q80">
            <v>402</v>
          </cell>
          <cell r="R80">
            <v>441</v>
          </cell>
          <cell r="S80">
            <v>486</v>
          </cell>
          <cell r="T80">
            <v>602</v>
          </cell>
          <cell r="U80">
            <v>605.2115</v>
          </cell>
          <cell r="V80">
            <v>631.79999999999995</v>
          </cell>
          <cell r="W80">
            <v>658.625</v>
          </cell>
          <cell r="X80">
            <v>684.47</v>
          </cell>
          <cell r="Y80">
            <v>694.4</v>
          </cell>
          <cell r="Z80">
            <v>711.9</v>
          </cell>
          <cell r="AA80">
            <v>654.1</v>
          </cell>
          <cell r="AB80">
            <v>662.5</v>
          </cell>
          <cell r="AC80">
            <v>657.65</v>
          </cell>
          <cell r="AD80">
            <v>663.6</v>
          </cell>
        </row>
        <row r="81">
          <cell r="B81" t="str">
            <v>Revenue = Model?</v>
          </cell>
          <cell r="E81" t="b">
            <v>1</v>
          </cell>
          <cell r="F81" t="b">
            <v>1</v>
          </cell>
          <cell r="G81" t="b">
            <v>1</v>
          </cell>
          <cell r="H81" t="b">
            <v>1</v>
          </cell>
          <cell r="I81" t="b">
            <v>1</v>
          </cell>
          <cell r="J81" t="b">
            <v>1</v>
          </cell>
          <cell r="K81" t="b">
            <v>1</v>
          </cell>
          <cell r="L81" t="b">
            <v>1</v>
          </cell>
          <cell r="M81" t="b">
            <v>1</v>
          </cell>
          <cell r="N81" t="b">
            <v>1</v>
          </cell>
          <cell r="O81" t="b">
            <v>1</v>
          </cell>
          <cell r="P81" t="b">
            <v>1</v>
          </cell>
          <cell r="Q81" t="b">
            <v>1</v>
          </cell>
          <cell r="R81" t="b">
            <v>1</v>
          </cell>
          <cell r="S81" t="b">
            <v>1</v>
          </cell>
          <cell r="T81" t="b">
            <v>1</v>
          </cell>
          <cell r="U81" t="b">
            <v>1</v>
          </cell>
          <cell r="V81" t="b">
            <v>1</v>
          </cell>
          <cell r="W81" t="b">
            <v>1</v>
          </cell>
          <cell r="X81" t="b">
            <v>1</v>
          </cell>
          <cell r="Y81" t="b">
            <v>1</v>
          </cell>
          <cell r="Z81" t="b">
            <v>1</v>
          </cell>
          <cell r="AA81">
            <v>135</v>
          </cell>
          <cell r="AB81">
            <v>213</v>
          </cell>
        </row>
        <row r="82">
          <cell r="B82" t="str">
            <v>Op Profit = Model?</v>
          </cell>
          <cell r="E82" t="b">
            <v>1</v>
          </cell>
          <cell r="F82" t="b">
            <v>1</v>
          </cell>
          <cell r="G82" t="b">
            <v>1</v>
          </cell>
          <cell r="H82" t="b">
            <v>1</v>
          </cell>
          <cell r="I82" t="b">
            <v>1</v>
          </cell>
          <cell r="J82" t="b">
            <v>1</v>
          </cell>
          <cell r="K82" t="b">
            <v>1</v>
          </cell>
          <cell r="L82" t="b">
            <v>1</v>
          </cell>
          <cell r="M82" t="b">
            <v>1</v>
          </cell>
          <cell r="N82">
            <v>1.2000000000000171</v>
          </cell>
          <cell r="O82">
            <v>1.3499999999999943</v>
          </cell>
          <cell r="P82">
            <v>-2.5500000000000682</v>
          </cell>
          <cell r="Q82" t="b">
            <v>1</v>
          </cell>
          <cell r="R82" t="b">
            <v>1</v>
          </cell>
          <cell r="S82" t="b">
            <v>1</v>
          </cell>
          <cell r="T82" t="b">
            <v>1</v>
          </cell>
          <cell r="U82" t="b">
            <v>1</v>
          </cell>
          <cell r="V82">
            <v>-21.6</v>
          </cell>
          <cell r="W82" t="b">
            <v>1</v>
          </cell>
          <cell r="X82" t="b">
            <v>1</v>
          </cell>
          <cell r="Y82" t="b">
            <v>1</v>
          </cell>
          <cell r="Z82" t="b">
            <v>1</v>
          </cell>
          <cell r="AA82">
            <v>0.22492857142857151</v>
          </cell>
          <cell r="AB82">
            <v>0.16799999999999954</v>
          </cell>
          <cell r="AC82">
            <v>-0.12125000000000057</v>
          </cell>
          <cell r="AD82">
            <v>0.19833333333333486</v>
          </cell>
        </row>
        <row r="83">
          <cell r="B83" t="str">
            <v>Pension</v>
          </cell>
          <cell r="E83" t="b">
            <v>1</v>
          </cell>
          <cell r="F83" t="b">
            <v>1</v>
          </cell>
          <cell r="G83" t="b">
            <v>1</v>
          </cell>
          <cell r="H83" t="b">
            <v>1</v>
          </cell>
          <cell r="I83" t="b">
            <v>1</v>
          </cell>
          <cell r="J83" t="b">
            <v>1</v>
          </cell>
          <cell r="K83" t="b">
            <v>1</v>
          </cell>
          <cell r="L83" t="b">
            <v>1</v>
          </cell>
          <cell r="M83" t="b">
            <v>1</v>
          </cell>
          <cell r="N83" t="b">
            <v>1</v>
          </cell>
          <cell r="O83">
            <v>0</v>
          </cell>
          <cell r="P83">
            <v>-14.600000000000023</v>
          </cell>
          <cell r="Q83" t="b">
            <v>1</v>
          </cell>
          <cell r="R83" t="b">
            <v>1</v>
          </cell>
          <cell r="S83" t="b">
            <v>1</v>
          </cell>
          <cell r="T83" t="b">
            <v>1</v>
          </cell>
          <cell r="U83" t="b">
            <v>1</v>
          </cell>
          <cell r="V83">
            <v>-2</v>
          </cell>
          <cell r="W83" t="b">
            <v>1</v>
          </cell>
          <cell r="X83" t="b">
            <v>1</v>
          </cell>
          <cell r="Y83" t="b">
            <v>1</v>
          </cell>
          <cell r="Z83" t="b">
            <v>1</v>
          </cell>
          <cell r="AA83">
            <v>118</v>
          </cell>
          <cell r="AB83">
            <v>102</v>
          </cell>
        </row>
        <row r="84">
          <cell r="B84" t="str">
            <v>San Jose</v>
          </cell>
          <cell r="E84" t="b">
            <v>1</v>
          </cell>
          <cell r="F84" t="b">
            <v>1</v>
          </cell>
          <cell r="G84" t="b">
            <v>1</v>
          </cell>
          <cell r="H84" t="b">
            <v>1</v>
          </cell>
          <cell r="I84" t="b">
            <v>1</v>
          </cell>
          <cell r="J84" t="b">
            <v>1</v>
          </cell>
          <cell r="K84" t="b">
            <v>1</v>
          </cell>
          <cell r="L84" t="b">
            <v>1</v>
          </cell>
          <cell r="M84" t="b">
            <v>1</v>
          </cell>
          <cell r="N84" t="b">
            <v>1</v>
          </cell>
          <cell r="O84" t="b">
            <v>1</v>
          </cell>
          <cell r="P84" t="b">
            <v>1</v>
          </cell>
          <cell r="Q84" t="b">
            <v>1</v>
          </cell>
          <cell r="R84" t="b">
            <v>1</v>
          </cell>
          <cell r="S84" t="b">
            <v>1</v>
          </cell>
          <cell r="T84" t="b">
            <v>1</v>
          </cell>
          <cell r="U84" t="b">
            <v>1</v>
          </cell>
          <cell r="V84">
            <v>18</v>
          </cell>
          <cell r="W84" t="b">
            <v>1</v>
          </cell>
          <cell r="X84" t="b">
            <v>1</v>
          </cell>
          <cell r="Y84" t="b">
            <v>1</v>
          </cell>
          <cell r="Z84" t="b">
            <v>1</v>
          </cell>
        </row>
        <row r="85">
          <cell r="A85" t="str">
            <v>Airborne Solutions Program Build</v>
          </cell>
          <cell r="B85" t="str">
            <v>Op Profit = Model?</v>
          </cell>
          <cell r="E85" t="b">
            <v>1</v>
          </cell>
          <cell r="F85" t="b">
            <v>1</v>
          </cell>
          <cell r="G85" t="b">
            <v>1</v>
          </cell>
          <cell r="H85" t="b">
            <v>1</v>
          </cell>
          <cell r="I85" t="b">
            <v>1</v>
          </cell>
          <cell r="J85" t="b">
            <v>1</v>
          </cell>
          <cell r="K85" t="b">
            <v>0</v>
          </cell>
          <cell r="L85" t="b">
            <v>0</v>
          </cell>
          <cell r="M85" t="b">
            <v>1</v>
          </cell>
          <cell r="N85" t="b">
            <v>0</v>
          </cell>
          <cell r="O85">
            <v>0.46399999999999864</v>
          </cell>
          <cell r="P85">
            <v>-0.47149999999999181</v>
          </cell>
          <cell r="Q85" t="b">
            <v>1</v>
          </cell>
          <cell r="R85" t="b">
            <v>1</v>
          </cell>
          <cell r="S85" t="b">
            <v>1</v>
          </cell>
          <cell r="T85" t="b">
            <v>0</v>
          </cell>
          <cell r="U85" t="b">
            <v>1</v>
          </cell>
          <cell r="V85" t="b">
            <v>1</v>
          </cell>
          <cell r="W85" t="b">
            <v>1</v>
          </cell>
          <cell r="X85" t="b">
            <v>1</v>
          </cell>
          <cell r="Y85" t="b">
            <v>1</v>
          </cell>
          <cell r="Z85" t="b">
            <v>1</v>
          </cell>
        </row>
        <row r="86">
          <cell r="A86" t="str">
            <v>Airborne Solutions Program Build</v>
          </cell>
          <cell r="B86" t="str">
            <v>Revenue = Model?</v>
          </cell>
          <cell r="E86" t="b">
            <v>1</v>
          </cell>
          <cell r="F86" t="b">
            <v>1</v>
          </cell>
          <cell r="G86" t="b">
            <v>1</v>
          </cell>
          <cell r="H86" t="b">
            <v>1</v>
          </cell>
          <cell r="I86" t="b">
            <v>1</v>
          </cell>
          <cell r="J86" t="b">
            <v>1</v>
          </cell>
          <cell r="K86" t="b">
            <v>1</v>
          </cell>
          <cell r="L86" t="b">
            <v>1</v>
          </cell>
          <cell r="M86" t="b">
            <v>1</v>
          </cell>
          <cell r="N86" t="b">
            <v>1</v>
          </cell>
          <cell r="O86" t="b">
            <v>1</v>
          </cell>
          <cell r="P86" t="b">
            <v>1</v>
          </cell>
          <cell r="Q86" t="b">
            <v>1</v>
          </cell>
          <cell r="R86" t="b">
            <v>1</v>
          </cell>
          <cell r="S86" t="b">
            <v>1</v>
          </cell>
          <cell r="T86" t="b">
            <v>1</v>
          </cell>
          <cell r="U86" t="b">
            <v>1</v>
          </cell>
          <cell r="V86" t="b">
            <v>1</v>
          </cell>
          <cell r="W86" t="b">
            <v>1</v>
          </cell>
          <cell r="X86" t="b">
            <v>1</v>
          </cell>
          <cell r="Y86" t="b">
            <v>1</v>
          </cell>
          <cell r="Z86" t="b">
            <v>1</v>
          </cell>
          <cell r="AA86" t="b">
            <v>1</v>
          </cell>
          <cell r="AB86" t="b">
            <v>1</v>
          </cell>
          <cell r="AC86" t="b">
            <v>1</v>
          </cell>
          <cell r="AD86" t="b">
            <v>1</v>
          </cell>
        </row>
        <row r="87">
          <cell r="B87" t="str">
            <v>Tanker / Transport</v>
          </cell>
          <cell r="E87" t="b">
            <v>1</v>
          </cell>
          <cell r="F87" t="b">
            <v>1</v>
          </cell>
          <cell r="G87" t="b">
            <v>1</v>
          </cell>
          <cell r="H87" t="b">
            <v>1</v>
          </cell>
          <cell r="I87" t="b">
            <v>1</v>
          </cell>
          <cell r="J87" t="b">
            <v>1</v>
          </cell>
          <cell r="K87" t="b">
            <v>0</v>
          </cell>
          <cell r="L87" t="b">
            <v>0</v>
          </cell>
          <cell r="M87" t="b">
            <v>1</v>
          </cell>
          <cell r="N87" t="b">
            <v>0</v>
          </cell>
          <cell r="O87">
            <v>0.46399999999999864</v>
          </cell>
          <cell r="P87">
            <v>-0.47149999999999181</v>
          </cell>
          <cell r="Q87" t="b">
            <v>1</v>
          </cell>
          <cell r="R87" t="b">
            <v>1</v>
          </cell>
          <cell r="S87" t="b">
            <v>1</v>
          </cell>
          <cell r="T87" t="b">
            <v>0</v>
          </cell>
          <cell r="U87" t="b">
            <v>1</v>
          </cell>
          <cell r="V87" t="b">
            <v>1</v>
          </cell>
          <cell r="W87" t="b">
            <v>1</v>
          </cell>
          <cell r="X87" t="b">
            <v>1</v>
          </cell>
          <cell r="Y87" t="b">
            <v>1</v>
          </cell>
          <cell r="Z87" t="b">
            <v>1</v>
          </cell>
          <cell r="AA87" t="b">
            <v>1</v>
          </cell>
          <cell r="AB87" t="b">
            <v>1</v>
          </cell>
          <cell r="AC87" t="b">
            <v>1</v>
          </cell>
          <cell r="AD87" t="b">
            <v>1</v>
          </cell>
        </row>
        <row r="88">
          <cell r="A88" t="str">
            <v>Airborne Solutions Program Build</v>
          </cell>
          <cell r="B88" t="str">
            <v>Tanker / Transport</v>
          </cell>
          <cell r="C88" t="str">
            <v>767 Tanker</v>
          </cell>
          <cell r="E88" t="b">
            <v>1</v>
          </cell>
          <cell r="F88" t="b">
            <v>1</v>
          </cell>
          <cell r="G88" t="b">
            <v>1</v>
          </cell>
          <cell r="H88" t="b">
            <v>1</v>
          </cell>
          <cell r="I88" t="b">
            <v>1</v>
          </cell>
          <cell r="J88" t="b">
            <v>1</v>
          </cell>
          <cell r="K88" t="b">
            <v>1</v>
          </cell>
          <cell r="L88" t="b">
            <v>1</v>
          </cell>
          <cell r="M88" t="b">
            <v>1</v>
          </cell>
          <cell r="N88" t="b">
            <v>1</v>
          </cell>
          <cell r="O88" t="b">
            <v>1</v>
          </cell>
          <cell r="P88" t="b">
            <v>1</v>
          </cell>
          <cell r="Q88" t="b">
            <v>0</v>
          </cell>
          <cell r="R88" t="b">
            <v>0</v>
          </cell>
          <cell r="S88">
            <v>50</v>
          </cell>
          <cell r="T88">
            <v>50</v>
          </cell>
          <cell r="U88">
            <v>50</v>
          </cell>
          <cell r="V88">
            <v>50</v>
          </cell>
          <cell r="W88">
            <v>100</v>
          </cell>
          <cell r="X88">
            <v>150</v>
          </cell>
          <cell r="Y88">
            <v>175</v>
          </cell>
          <cell r="Z88">
            <v>200</v>
          </cell>
          <cell r="AA88" t="b">
            <v>1</v>
          </cell>
          <cell r="AB88" t="str">
            <v>Big program</v>
          </cell>
          <cell r="AC88" t="b">
            <v>1</v>
          </cell>
          <cell r="AD88" t="b">
            <v>1</v>
          </cell>
          <cell r="AE88">
            <v>426</v>
          </cell>
          <cell r="AF88">
            <v>451.5</v>
          </cell>
          <cell r="AG88" t="str">
            <v>http://www.rockwellcollins.com/products/gov/airborne/tanker-transport/boeing767/index.html</v>
          </cell>
          <cell r="AH88">
            <v>472.5</v>
          </cell>
        </row>
        <row r="89">
          <cell r="B89" t="str">
            <v>Op Profit = Model?</v>
          </cell>
          <cell r="C89" t="str">
            <v>KC-10</v>
          </cell>
          <cell r="E89" t="b">
            <v>1</v>
          </cell>
          <cell r="F89" t="b">
            <v>1</v>
          </cell>
          <cell r="G89" t="b">
            <v>1</v>
          </cell>
          <cell r="H89" t="b">
            <v>1</v>
          </cell>
          <cell r="I89" t="b">
            <v>1</v>
          </cell>
          <cell r="J89" t="b">
            <v>1</v>
          </cell>
          <cell r="K89" t="b">
            <v>0</v>
          </cell>
          <cell r="L89" t="b">
            <v>0</v>
          </cell>
          <cell r="M89" t="b">
            <v>1</v>
          </cell>
          <cell r="N89" t="b">
            <v>0</v>
          </cell>
          <cell r="O89">
            <v>0.46399999999999864</v>
          </cell>
          <cell r="P89">
            <v>-0.76300000000000523</v>
          </cell>
          <cell r="Q89" t="b">
            <v>0</v>
          </cell>
          <cell r="R89" t="b">
            <v>0</v>
          </cell>
          <cell r="S89">
            <v>0</v>
          </cell>
          <cell r="T89">
            <v>0</v>
          </cell>
          <cell r="U89">
            <v>0</v>
          </cell>
          <cell r="V89">
            <v>0</v>
          </cell>
          <cell r="W89">
            <v>0</v>
          </cell>
          <cell r="X89">
            <v>0</v>
          </cell>
          <cell r="Y89">
            <v>0</v>
          </cell>
          <cell r="Z89">
            <v>0</v>
          </cell>
          <cell r="AA89" t="b">
            <v>1</v>
          </cell>
          <cell r="AB89" t="str">
            <v>Spring 2010</v>
          </cell>
          <cell r="AC89" t="b">
            <v>1</v>
          </cell>
          <cell r="AD89" t="b">
            <v>1</v>
          </cell>
          <cell r="AE89">
            <v>0.21299999999999999</v>
          </cell>
          <cell r="AF89">
            <v>0.215</v>
          </cell>
          <cell r="AG89" t="str">
            <v>http://www.rockwellcollins.com/products/gov/airborne/tanker-transport/c130/index.html</v>
          </cell>
          <cell r="AH89">
            <v>0.21</v>
          </cell>
          <cell r="AJ89" t="str">
            <v>Airborne/Surface equivalent margins; assumes some erosion from return of bonuses (frozen FY09)</v>
          </cell>
        </row>
        <row r="90">
          <cell r="A90" t="str">
            <v>Airborne Solutions Program Build</v>
          </cell>
          <cell r="B90" t="str">
            <v>Tanker / Transport</v>
          </cell>
          <cell r="C90" t="str">
            <v>C-130 International</v>
          </cell>
          <cell r="S90">
            <v>100</v>
          </cell>
          <cell r="T90">
            <v>100</v>
          </cell>
          <cell r="U90">
            <v>100</v>
          </cell>
          <cell r="V90">
            <v>100</v>
          </cell>
          <cell r="W90">
            <v>100</v>
          </cell>
          <cell r="X90">
            <v>100</v>
          </cell>
          <cell r="Y90">
            <v>100</v>
          </cell>
          <cell r="Z90">
            <v>100</v>
          </cell>
          <cell r="AB90" t="str">
            <v>Look at LMT</v>
          </cell>
          <cell r="AG90" t="str">
            <v>http://www.rockwellcollins.com/products/gov/airborne/tanker-transport/c130/index.html</v>
          </cell>
        </row>
        <row r="91">
          <cell r="B91" t="str">
            <v>DataPath</v>
          </cell>
          <cell r="C91" t="str">
            <v>C-130 AMP (USAF Avionics Modernization Program)</v>
          </cell>
          <cell r="K91">
            <v>1.1500000000000001</v>
          </cell>
          <cell r="L91">
            <v>3.0500000000000003</v>
          </cell>
          <cell r="M91">
            <v>6.6</v>
          </cell>
          <cell r="N91">
            <v>6</v>
          </cell>
          <cell r="O91">
            <v>5.7</v>
          </cell>
          <cell r="P91">
            <v>7.9</v>
          </cell>
          <cell r="Q91">
            <v>6.6</v>
          </cell>
          <cell r="R91">
            <v>7.5</v>
          </cell>
          <cell r="S91">
            <v>0</v>
          </cell>
          <cell r="T91">
            <v>0</v>
          </cell>
          <cell r="U91">
            <v>0</v>
          </cell>
          <cell r="V91">
            <v>0</v>
          </cell>
          <cell r="W91">
            <v>0</v>
          </cell>
          <cell r="X91">
            <v>0</v>
          </cell>
          <cell r="Y91">
            <v>0</v>
          </cell>
          <cell r="Z91">
            <v>0</v>
          </cell>
          <cell r="AB91" t="str">
            <v>Look at LMT</v>
          </cell>
          <cell r="AC91">
            <v>26.200000000000003</v>
          </cell>
          <cell r="AD91">
            <v>30.48</v>
          </cell>
          <cell r="AE91">
            <v>35</v>
          </cell>
          <cell r="AF91">
            <v>41.25</v>
          </cell>
          <cell r="AG91" t="str">
            <v>http://www.rockwellcollins.com/products/gov/airborne/tanker-transport/c130/index.html</v>
          </cell>
          <cell r="AH91">
            <v>49.5</v>
          </cell>
          <cell r="AJ91" t="str">
            <v>Low sgl digit with potential for high-teens margin</v>
          </cell>
        </row>
        <row r="92">
          <cell r="A92" t="str">
            <v>Airborne Solutions Program Build</v>
          </cell>
          <cell r="B92" t="str">
            <v>Tanker / Transport</v>
          </cell>
          <cell r="C92" t="str">
            <v>C/K-135 GATM (Global Air Traffic Management)</v>
          </cell>
          <cell r="K92">
            <v>0.05</v>
          </cell>
          <cell r="L92">
            <v>0.05</v>
          </cell>
          <cell r="M92">
            <v>0.11</v>
          </cell>
          <cell r="N92">
            <v>0.1</v>
          </cell>
          <cell r="O92">
            <v>0.1</v>
          </cell>
          <cell r="P92">
            <v>0.1</v>
          </cell>
          <cell r="Q92">
            <v>0.11</v>
          </cell>
          <cell r="R92">
            <v>0.125</v>
          </cell>
          <cell r="S92">
            <v>125</v>
          </cell>
          <cell r="T92">
            <v>125</v>
          </cell>
          <cell r="U92">
            <v>125</v>
          </cell>
          <cell r="V92">
            <v>125</v>
          </cell>
          <cell r="W92">
            <v>125</v>
          </cell>
          <cell r="X92">
            <v>125</v>
          </cell>
          <cell r="Y92">
            <v>125</v>
          </cell>
          <cell r="Z92">
            <v>125</v>
          </cell>
          <cell r="AB92" t="str">
            <v>Now on block 45</v>
          </cell>
          <cell r="AC92">
            <v>0.10234375000000001</v>
          </cell>
          <cell r="AD92" t="str">
            <v>Comment in old transcript</v>
          </cell>
          <cell r="AE92">
            <v>0.14000000000000001</v>
          </cell>
          <cell r="AF92">
            <v>0.15</v>
          </cell>
          <cell r="AG92" t="str">
            <v>http://www.rockwellcollins.com/products/gov/airborne/tanker-transport/kc135/index.html</v>
          </cell>
          <cell r="AH92">
            <v>0.16500000000000001</v>
          </cell>
        </row>
        <row r="93">
          <cell r="B93" t="str">
            <v>Total</v>
          </cell>
          <cell r="C93" t="str">
            <v>767 Tanker</v>
          </cell>
          <cell r="S93">
            <v>275</v>
          </cell>
          <cell r="T93">
            <v>275</v>
          </cell>
          <cell r="U93">
            <v>275</v>
          </cell>
          <cell r="V93">
            <v>275</v>
          </cell>
          <cell r="W93">
            <v>325</v>
          </cell>
          <cell r="X93">
            <v>375</v>
          </cell>
          <cell r="Y93">
            <v>400</v>
          </cell>
          <cell r="Z93">
            <v>425</v>
          </cell>
          <cell r="AA93">
            <v>100</v>
          </cell>
          <cell r="AB93" t="str">
            <v>Big program</v>
          </cell>
          <cell r="AC93">
            <v>175</v>
          </cell>
          <cell r="AD93" t="str">
            <v>Comment in old transcript</v>
          </cell>
          <cell r="AF93" t="str">
            <v>Big program</v>
          </cell>
          <cell r="AG93" t="str">
            <v>http://www.rockwellcollins.com/products/gov/airborne/tanker-transport/boeing767/index.html</v>
          </cell>
          <cell r="AK93" t="str">
            <v>http://www.rockwellcollins.com/products/gov/airborne/tanker-transport/boeing767/index.html</v>
          </cell>
        </row>
        <row r="94">
          <cell r="B94" t="str">
            <v>Total</v>
          </cell>
          <cell r="C94" t="str">
            <v>KC-10</v>
          </cell>
          <cell r="K94">
            <v>44</v>
          </cell>
          <cell r="L94">
            <v>47.15</v>
          </cell>
          <cell r="M94">
            <v>33.1</v>
          </cell>
          <cell r="N94">
            <v>40.495000000000005</v>
          </cell>
          <cell r="O94">
            <v>50.244</v>
          </cell>
          <cell r="P94">
            <v>42.816000000000003</v>
          </cell>
          <cell r="Q94">
            <v>33.1</v>
          </cell>
          <cell r="R94">
            <v>34.979999999999997</v>
          </cell>
          <cell r="S94">
            <v>0</v>
          </cell>
          <cell r="T94">
            <v>0</v>
          </cell>
          <cell r="U94">
            <v>0</v>
          </cell>
          <cell r="V94">
            <v>0</v>
          </cell>
          <cell r="W94">
            <v>0</v>
          </cell>
          <cell r="X94">
            <v>0</v>
          </cell>
          <cell r="Y94">
            <v>0</v>
          </cell>
          <cell r="Z94">
            <v>0</v>
          </cell>
          <cell r="AA94">
            <v>0</v>
          </cell>
          <cell r="AB94" t="str">
            <v>Spring 2010</v>
          </cell>
          <cell r="AC94">
            <v>0</v>
          </cell>
          <cell r="AD94">
            <v>0</v>
          </cell>
          <cell r="AE94">
            <v>108.5</v>
          </cell>
          <cell r="AF94" t="str">
            <v>Spring 2010</v>
          </cell>
          <cell r="AG94" t="str">
            <v>http://www.rockwellcollins.com/products/gov/airborne/tanker-transport/c130/index.html</v>
          </cell>
          <cell r="AH94">
            <v>131.25</v>
          </cell>
          <cell r="AK94" t="str">
            <v>http://www.rockwellcollins.com/products/gov/airborne/tanker-transport/c130/index.html</v>
          </cell>
        </row>
        <row r="95">
          <cell r="B95" t="str">
            <v>Rotary Wing</v>
          </cell>
          <cell r="C95" t="str">
            <v>C-130 International</v>
          </cell>
          <cell r="I95" t="str">
            <v>Common Avionics Architecture System (CAAS)</v>
          </cell>
          <cell r="K95">
            <v>0.25</v>
          </cell>
          <cell r="L95">
            <v>0.23</v>
          </cell>
          <cell r="M95">
            <v>0.23</v>
          </cell>
          <cell r="N95">
            <v>0.22750000000000001</v>
          </cell>
          <cell r="O95">
            <v>0.21199999999999999</v>
          </cell>
          <cell r="P95">
            <v>0.223</v>
          </cell>
          <cell r="Q95">
            <v>0.20799999999999999</v>
          </cell>
          <cell r="R95">
            <v>0.22</v>
          </cell>
          <cell r="S95">
            <v>100</v>
          </cell>
          <cell r="T95">
            <v>100</v>
          </cell>
          <cell r="U95">
            <v>100</v>
          </cell>
          <cell r="V95">
            <v>100</v>
          </cell>
          <cell r="W95">
            <v>100</v>
          </cell>
          <cell r="X95">
            <v>100</v>
          </cell>
          <cell r="Y95">
            <v>100</v>
          </cell>
          <cell r="Z95">
            <v>100</v>
          </cell>
          <cell r="AA95">
            <v>100</v>
          </cell>
          <cell r="AB95" t="str">
            <v>Look at LMT</v>
          </cell>
          <cell r="AC95">
            <v>175</v>
          </cell>
          <cell r="AD95" t="str">
            <v>Comment in old transcript</v>
          </cell>
          <cell r="AE95">
            <v>0.217</v>
          </cell>
          <cell r="AF95" t="str">
            <v>Big program</v>
          </cell>
          <cell r="AG95" t="str">
            <v>http://www.rockwellcollins.com/products/gov/airborne/tanker-transport/c130/index.html</v>
          </cell>
          <cell r="AH95">
            <v>0.21</v>
          </cell>
          <cell r="AK95" t="str">
            <v>http://www.rockwellcollins.com/products/gov/airborne/tanker-transport/boeing767/index.html</v>
          </cell>
        </row>
        <row r="96">
          <cell r="B96" t="str">
            <v>Rotary Wing</v>
          </cell>
          <cell r="C96" t="str">
            <v>C-130 AMP (USAF Avionics Modernization Program)</v>
          </cell>
          <cell r="I96" t="str">
            <v>Common Avionics Architecture System (CAAS)</v>
          </cell>
          <cell r="S96">
            <v>125</v>
          </cell>
          <cell r="T96">
            <v>125</v>
          </cell>
          <cell r="U96">
            <v>125</v>
          </cell>
          <cell r="V96">
            <v>125</v>
          </cell>
          <cell r="W96">
            <v>125</v>
          </cell>
          <cell r="X96">
            <v>125</v>
          </cell>
          <cell r="Y96">
            <v>125</v>
          </cell>
          <cell r="Z96">
            <v>125</v>
          </cell>
          <cell r="AA96">
            <v>0</v>
          </cell>
          <cell r="AB96" t="str">
            <v>Look at LMT</v>
          </cell>
          <cell r="AC96">
            <v>0</v>
          </cell>
          <cell r="AD96">
            <v>0</v>
          </cell>
          <cell r="AF96" t="str">
            <v>Spring 2010</v>
          </cell>
          <cell r="AG96" t="str">
            <v>http://www.rockwellcollins.com/products/gov/airborne/cargo-utility/chmh53e/index.html</v>
          </cell>
          <cell r="AK96" t="str">
            <v>http://www.rockwellcollins.com/products/gov/airborne/tanker-transport/c130/index.html</v>
          </cell>
        </row>
        <row r="97">
          <cell r="B97" t="str">
            <v>Surface Solutions</v>
          </cell>
          <cell r="C97" t="str">
            <v>UH-60M Black Hawk</v>
          </cell>
          <cell r="K97">
            <v>45.15</v>
          </cell>
          <cell r="L97">
            <v>50.199999999999996</v>
          </cell>
          <cell r="M97">
            <v>39.700000000000003</v>
          </cell>
          <cell r="N97">
            <v>46.495000000000005</v>
          </cell>
          <cell r="O97">
            <v>55.944000000000003</v>
          </cell>
          <cell r="P97">
            <v>50.716000000000001</v>
          </cell>
          <cell r="Q97">
            <v>39.700000000000003</v>
          </cell>
          <cell r="R97">
            <v>42.48</v>
          </cell>
          <cell r="S97">
            <v>125</v>
          </cell>
          <cell r="T97">
            <v>125</v>
          </cell>
          <cell r="U97">
            <v>125</v>
          </cell>
          <cell r="V97">
            <v>125</v>
          </cell>
          <cell r="W97">
            <v>125</v>
          </cell>
          <cell r="X97">
            <v>125</v>
          </cell>
          <cell r="Y97">
            <v>125</v>
          </cell>
          <cell r="Z97">
            <v>125</v>
          </cell>
          <cell r="AA97">
            <v>100</v>
          </cell>
          <cell r="AB97" t="str">
            <v>Now on block 45</v>
          </cell>
          <cell r="AC97">
            <v>100</v>
          </cell>
          <cell r="AD97" t="str">
            <v>Comment in old transcript</v>
          </cell>
          <cell r="AE97">
            <v>143.5</v>
          </cell>
          <cell r="AF97" t="str">
            <v>Look at LMT</v>
          </cell>
          <cell r="AG97" t="str">
            <v>http://www.rockwellcollins.com/products/gov/airborne/cargo-utility/uh60m/index.html</v>
          </cell>
          <cell r="AH97" t="str">
            <v>Comment in old transcript</v>
          </cell>
          <cell r="AK97" t="str">
            <v>http://www.rockwellcollins.com/products/gov/airborne/tanker-transport/c130/index.html</v>
          </cell>
        </row>
        <row r="98">
          <cell r="B98" t="str">
            <v>Total</v>
          </cell>
          <cell r="C98" t="str">
            <v>International Black Hawk</v>
          </cell>
          <cell r="I98" t="str">
            <v>Common Avionics Architecture System (CAAS)</v>
          </cell>
          <cell r="K98">
            <v>0.22688442211055276</v>
          </cell>
          <cell r="L98">
            <v>0.18872180451127818</v>
          </cell>
          <cell r="M98">
            <v>0.19271844660194176</v>
          </cell>
          <cell r="N98">
            <v>0.19535714285714287</v>
          </cell>
          <cell r="O98">
            <v>0.19028571428571431</v>
          </cell>
          <cell r="P98">
            <v>0.18714391143911441</v>
          </cell>
          <cell r="Q98">
            <v>0.18726415094339624</v>
          </cell>
          <cell r="R98">
            <v>0.19397260273972602</v>
          </cell>
          <cell r="S98">
            <v>0</v>
          </cell>
          <cell r="T98">
            <v>0</v>
          </cell>
          <cell r="U98">
            <v>0</v>
          </cell>
          <cell r="V98">
            <v>0</v>
          </cell>
          <cell r="W98">
            <v>0</v>
          </cell>
          <cell r="X98">
            <v>0</v>
          </cell>
          <cell r="Y98">
            <v>0</v>
          </cell>
          <cell r="Z98">
            <v>0</v>
          </cell>
          <cell r="AA98">
            <v>0</v>
          </cell>
          <cell r="AB98" t="str">
            <v>Look at UTX</v>
          </cell>
          <cell r="AC98">
            <v>0</v>
          </cell>
          <cell r="AD98">
            <v>0</v>
          </cell>
          <cell r="AE98">
            <v>0.19133333333333333</v>
          </cell>
          <cell r="AF98" t="str">
            <v>Look at LMT</v>
          </cell>
          <cell r="AG98" t="str">
            <v>http://www.rockwellcollins.com/products/gov/airborne/cargo-utility/uh60m/index.html</v>
          </cell>
          <cell r="AH98">
            <v>0.19540540540540541</v>
          </cell>
          <cell r="AJ98" t="str">
            <v>Airborne/Surface equivalent margins; assumes some erosion from return of bonuses (frozen FY09)</v>
          </cell>
        </row>
        <row r="99">
          <cell r="C99" t="str">
            <v>CH-47 Chinook</v>
          </cell>
          <cell r="S99">
            <v>125</v>
          </cell>
          <cell r="T99">
            <v>125</v>
          </cell>
          <cell r="U99">
            <v>125</v>
          </cell>
          <cell r="V99">
            <v>125</v>
          </cell>
          <cell r="W99">
            <v>125</v>
          </cell>
          <cell r="X99">
            <v>125</v>
          </cell>
          <cell r="Y99">
            <v>125</v>
          </cell>
          <cell r="Z99">
            <v>125</v>
          </cell>
          <cell r="AA99">
            <v>125</v>
          </cell>
          <cell r="AB99" t="str">
            <v>Look at UTX</v>
          </cell>
          <cell r="AC99">
            <v>125</v>
          </cell>
          <cell r="AD99">
            <v>125</v>
          </cell>
          <cell r="AF99" t="str">
            <v>Now on block 45</v>
          </cell>
          <cell r="AG99" t="str">
            <v>http://www.rockwellcollins.com/products/gov/airborne/cargo-utility/ch47/index.html</v>
          </cell>
          <cell r="AH99" t="str">
            <v>Comment in old transcript</v>
          </cell>
          <cell r="AK99" t="str">
            <v>http://www.rockwellcollins.com/products/gov/airborne/tanker-transport/kc135/index.html</v>
          </cell>
        </row>
        <row r="100">
          <cell r="B100" t="str">
            <v>Total</v>
          </cell>
          <cell r="C100" t="str">
            <v>CH-47 Chinook</v>
          </cell>
          <cell r="E100">
            <v>115</v>
          </cell>
          <cell r="F100">
            <v>115</v>
          </cell>
          <cell r="G100">
            <v>131</v>
          </cell>
          <cell r="H100">
            <v>125</v>
          </cell>
          <cell r="I100" t="str">
            <v>Common Avionics Architecture System (CAAS)</v>
          </cell>
          <cell r="J100">
            <v>145</v>
          </cell>
          <cell r="K100">
            <v>158.15</v>
          </cell>
          <cell r="L100">
            <v>159.44999999999999</v>
          </cell>
          <cell r="M100">
            <v>134</v>
          </cell>
          <cell r="N100">
            <v>150.00749999999999</v>
          </cell>
          <cell r="O100">
            <v>153.464</v>
          </cell>
          <cell r="P100">
            <v>168.23699999999999</v>
          </cell>
          <cell r="Q100">
            <v>130.804</v>
          </cell>
          <cell r="R100">
            <v>151.82</v>
          </cell>
          <cell r="S100">
            <v>375</v>
          </cell>
          <cell r="T100">
            <v>375</v>
          </cell>
          <cell r="U100">
            <v>375</v>
          </cell>
          <cell r="V100">
            <v>375</v>
          </cell>
          <cell r="W100">
            <v>375</v>
          </cell>
          <cell r="X100">
            <v>375</v>
          </cell>
          <cell r="Y100">
            <v>375</v>
          </cell>
          <cell r="Z100">
            <v>375</v>
          </cell>
          <cell r="AA100">
            <v>325</v>
          </cell>
          <cell r="AB100">
            <v>375</v>
          </cell>
          <cell r="AC100">
            <v>400</v>
          </cell>
          <cell r="AD100">
            <v>425</v>
          </cell>
          <cell r="AE100">
            <v>569.5</v>
          </cell>
          <cell r="AF100">
            <v>609.625</v>
          </cell>
          <cell r="AG100" t="str">
            <v>http://www.rockwellcollins.com/products/gov/airborne/cargo-utility/ch47/index.html</v>
          </cell>
          <cell r="AH100">
            <v>653.25</v>
          </cell>
        </row>
        <row r="101">
          <cell r="B101" t="str">
            <v>Total</v>
          </cell>
          <cell r="C101" t="str">
            <v>USMC CH/MH-53E</v>
          </cell>
          <cell r="E101">
            <v>0.21023765996343693</v>
          </cell>
          <cell r="F101">
            <v>0.19965277777777779</v>
          </cell>
          <cell r="G101">
            <v>0.21581548599670511</v>
          </cell>
          <cell r="H101">
            <v>0.19654088050314467</v>
          </cell>
          <cell r="I101">
            <v>0.24390243902439024</v>
          </cell>
          <cell r="J101">
            <v>0.2365415986949429</v>
          </cell>
          <cell r="K101">
            <v>0.24293394777265745</v>
          </cell>
          <cell r="L101">
            <v>0.2151821862348178</v>
          </cell>
          <cell r="M101">
            <v>0.21753246753246752</v>
          </cell>
          <cell r="N101">
            <v>0.21646103896103894</v>
          </cell>
          <cell r="O101">
            <v>0.20353315649867373</v>
          </cell>
          <cell r="P101">
            <v>0.21082330827067669</v>
          </cell>
          <cell r="Q101">
            <v>0.20123692307692309</v>
          </cell>
          <cell r="R101">
            <v>0.2120391061452514</v>
          </cell>
          <cell r="S101">
            <v>125</v>
          </cell>
          <cell r="T101">
            <v>125</v>
          </cell>
          <cell r="U101">
            <v>125</v>
          </cell>
          <cell r="V101">
            <v>125</v>
          </cell>
          <cell r="W101">
            <v>125</v>
          </cell>
          <cell r="X101">
            <v>125</v>
          </cell>
          <cell r="Y101">
            <v>125</v>
          </cell>
          <cell r="Z101">
            <v>125</v>
          </cell>
          <cell r="AA101">
            <v>125</v>
          </cell>
          <cell r="AB101" t="str">
            <v>Look at UTX</v>
          </cell>
          <cell r="AC101">
            <v>125</v>
          </cell>
          <cell r="AD101">
            <v>125</v>
          </cell>
          <cell r="AE101">
            <v>0.2070909090909091</v>
          </cell>
          <cell r="AF101">
            <v>0.20841880341880342</v>
          </cell>
          <cell r="AG101" t="str">
            <v>http://www.rockwellcollins.com/products/gov/airborne/cargo-utility/chmh53e/index.html</v>
          </cell>
          <cell r="AH101">
            <v>0.20574803149606299</v>
          </cell>
          <cell r="AK101" t="str">
            <v>http://www.rockwellcollins.com/products/gov/airborne/cargo-utility/chmh53e/index.html</v>
          </cell>
        </row>
        <row r="102">
          <cell r="B102" t="str">
            <v>Special Mission</v>
          </cell>
          <cell r="C102" t="str">
            <v>UH-60M Black Hawk</v>
          </cell>
          <cell r="E102">
            <v>115</v>
          </cell>
          <cell r="F102">
            <v>115</v>
          </cell>
          <cell r="G102">
            <v>131</v>
          </cell>
          <cell r="H102">
            <v>125</v>
          </cell>
          <cell r="I102" t="str">
            <v>Common Avionics Architecture System (CAAS)</v>
          </cell>
          <cell r="J102">
            <v>145</v>
          </cell>
          <cell r="K102">
            <v>158</v>
          </cell>
          <cell r="L102">
            <v>159</v>
          </cell>
          <cell r="M102">
            <v>134</v>
          </cell>
          <cell r="N102">
            <v>150</v>
          </cell>
          <cell r="O102">
            <v>153</v>
          </cell>
          <cell r="P102">
            <v>169</v>
          </cell>
          <cell r="Q102">
            <v>131</v>
          </cell>
          <cell r="R102">
            <v>150</v>
          </cell>
          <cell r="S102">
            <v>125</v>
          </cell>
          <cell r="T102">
            <v>125</v>
          </cell>
          <cell r="U102">
            <v>125</v>
          </cell>
          <cell r="V102">
            <v>125</v>
          </cell>
          <cell r="W102">
            <v>125</v>
          </cell>
          <cell r="X102">
            <v>125</v>
          </cell>
          <cell r="Y102">
            <v>125</v>
          </cell>
          <cell r="Z102">
            <v>125</v>
          </cell>
          <cell r="AA102">
            <v>125</v>
          </cell>
          <cell r="AB102">
            <v>125</v>
          </cell>
          <cell r="AC102">
            <v>125</v>
          </cell>
          <cell r="AD102">
            <v>125</v>
          </cell>
          <cell r="AE102">
            <v>569.5</v>
          </cell>
          <cell r="AF102">
            <v>609.625</v>
          </cell>
          <cell r="AG102" t="str">
            <v>http://www.rockwellcollins.com/products/gov/airborne/cargo-utility/uh60m/index.html</v>
          </cell>
          <cell r="AH102">
            <v>653.25</v>
          </cell>
          <cell r="AK102" t="str">
            <v>http://www.rockwellcollins.com/products/gov/airborne/cargo-utility/uh60m/index.html</v>
          </cell>
        </row>
        <row r="103">
          <cell r="B103" t="str">
            <v>Special Mission</v>
          </cell>
          <cell r="C103" t="str">
            <v>International Black Hawk</v>
          </cell>
          <cell r="S103">
            <v>25</v>
          </cell>
          <cell r="T103">
            <v>25</v>
          </cell>
          <cell r="U103">
            <v>25</v>
          </cell>
          <cell r="V103">
            <v>25</v>
          </cell>
          <cell r="W103">
            <v>25</v>
          </cell>
          <cell r="X103">
            <v>25</v>
          </cell>
          <cell r="Y103">
            <v>25</v>
          </cell>
          <cell r="Z103">
            <v>25</v>
          </cell>
          <cell r="AA103">
            <v>125</v>
          </cell>
          <cell r="AB103" t="str">
            <v>Look at UTX</v>
          </cell>
          <cell r="AC103">
            <v>125</v>
          </cell>
          <cell r="AD103">
            <v>125</v>
          </cell>
          <cell r="AF103" t="str">
            <v>Look at UTX</v>
          </cell>
          <cell r="AG103" t="str">
            <v>http://www.rockwellcollins.com/products/gov/airborne/special-mission/commando-solo/index.html</v>
          </cell>
          <cell r="AK103" t="str">
            <v>http://www.rockwellcollins.com/products/gov/airborne/cargo-utility/chmh53e/index.html</v>
          </cell>
        </row>
        <row r="104">
          <cell r="B104" t="str">
            <v>Incremental Y/Y Margins</v>
          </cell>
          <cell r="C104" t="str">
            <v>E-6B Mercury</v>
          </cell>
          <cell r="I104">
            <v>0.92592592592592593</v>
          </cell>
          <cell r="J104">
            <v>0.81081081081081086</v>
          </cell>
          <cell r="K104">
            <v>0.61704545454545467</v>
          </cell>
          <cell r="L104">
            <v>0.328095238095238</v>
          </cell>
          <cell r="M104">
            <v>-0.14285714285714285</v>
          </cell>
          <cell r="N104">
            <v>6.259374999999992E-2</v>
          </cell>
          <cell r="O104">
            <v>-4.5495145631068032E-2</v>
          </cell>
          <cell r="P104">
            <v>0.15415789473684222</v>
          </cell>
          <cell r="Q104">
            <v>-9.3999999999999945E-2</v>
          </cell>
          <cell r="R104">
            <v>7.880434782608696E-2</v>
          </cell>
          <cell r="S104">
            <v>25</v>
          </cell>
          <cell r="T104">
            <v>25</v>
          </cell>
          <cell r="U104">
            <v>25</v>
          </cell>
          <cell r="V104">
            <v>25</v>
          </cell>
          <cell r="W104">
            <v>25</v>
          </cell>
          <cell r="X104">
            <v>25</v>
          </cell>
          <cell r="Y104">
            <v>25</v>
          </cell>
          <cell r="Z104">
            <v>25</v>
          </cell>
          <cell r="AA104">
            <v>125</v>
          </cell>
          <cell r="AB104">
            <v>125</v>
          </cell>
          <cell r="AC104">
            <v>125</v>
          </cell>
          <cell r="AD104">
            <v>125</v>
          </cell>
          <cell r="AE104">
            <v>0.10244444444444475</v>
          </cell>
          <cell r="AF104">
            <v>0.22928571428571429</v>
          </cell>
          <cell r="AG104" t="str">
            <v>http://www.rockwellcollins.com/products/gov/airborne/special-mission/e6b/index.html</v>
          </cell>
          <cell r="AH104">
            <v>0.21740740740740758</v>
          </cell>
          <cell r="AK104" t="str">
            <v>http://www.rockwellcollins.com/products/gov/airborne/cargo-utility/uh60m/index.html</v>
          </cell>
        </row>
        <row r="105">
          <cell r="B105" t="str">
            <v>Total</v>
          </cell>
          <cell r="C105" t="str">
            <v>U.S. Coast Guard Deepwater</v>
          </cell>
          <cell r="S105">
            <v>25</v>
          </cell>
          <cell r="T105">
            <v>25</v>
          </cell>
          <cell r="U105">
            <v>25</v>
          </cell>
          <cell r="V105">
            <v>25</v>
          </cell>
          <cell r="W105">
            <v>25</v>
          </cell>
          <cell r="X105">
            <v>25</v>
          </cell>
          <cell r="Y105">
            <v>25</v>
          </cell>
          <cell r="Z105">
            <v>25</v>
          </cell>
          <cell r="AA105" t="str">
            <v>- avionics update CN235-300M a/c</v>
          </cell>
          <cell r="AB105">
            <v>0</v>
          </cell>
          <cell r="AC105">
            <v>0</v>
          </cell>
          <cell r="AD105">
            <v>0</v>
          </cell>
          <cell r="AF105" t="str">
            <v>Look at UTX</v>
          </cell>
          <cell r="AG105" t="str">
            <v>http://www.rockwellcollins.com/products/gov/airborne/special-mission/deepwater/index.html</v>
          </cell>
        </row>
        <row r="106">
          <cell r="C106" t="str">
            <v>Joint STARS (Surveillance Target Attack Radar System)</v>
          </cell>
          <cell r="S106">
            <v>25</v>
          </cell>
          <cell r="T106">
            <v>25</v>
          </cell>
          <cell r="U106">
            <v>25</v>
          </cell>
          <cell r="V106">
            <v>25</v>
          </cell>
          <cell r="W106">
            <v>25</v>
          </cell>
          <cell r="X106">
            <v>25</v>
          </cell>
          <cell r="Y106">
            <v>25</v>
          </cell>
          <cell r="Z106">
            <v>25</v>
          </cell>
          <cell r="AA106" t="str">
            <v>- avionics update CN235-300M a/c</v>
          </cell>
          <cell r="AB106">
            <v>125</v>
          </cell>
          <cell r="AC106">
            <v>125</v>
          </cell>
          <cell r="AD106">
            <v>125</v>
          </cell>
          <cell r="AG106" t="str">
            <v>http://www.rockwellcollins.com/products/gov/airborne/special-mission/joint-stars/index.html</v>
          </cell>
          <cell r="AK106" t="str">
            <v>http://www.rockwellcollins.com/products/gov/airborne/cargo-utility/ch47/index.html</v>
          </cell>
        </row>
        <row r="107">
          <cell r="B107" t="str">
            <v>Special Mission</v>
          </cell>
          <cell r="C107" t="str">
            <v>P-3 Orion</v>
          </cell>
          <cell r="S107">
            <v>25</v>
          </cell>
          <cell r="T107">
            <v>25</v>
          </cell>
          <cell r="U107">
            <v>25</v>
          </cell>
          <cell r="V107">
            <v>25</v>
          </cell>
          <cell r="W107">
            <v>25</v>
          </cell>
          <cell r="X107">
            <v>25</v>
          </cell>
          <cell r="Y107">
            <v>25</v>
          </cell>
          <cell r="Z107">
            <v>25</v>
          </cell>
          <cell r="AA107">
            <v>375</v>
          </cell>
          <cell r="AB107">
            <v>375</v>
          </cell>
          <cell r="AC107">
            <v>375</v>
          </cell>
          <cell r="AD107">
            <v>375</v>
          </cell>
          <cell r="AG107" t="str">
            <v>http://www.rockwellcollins.com/products/gov/airborne/special-mission/p3/index.html</v>
          </cell>
        </row>
        <row r="108">
          <cell r="C108" t="str">
            <v>S-92 Multi-Mission</v>
          </cell>
          <cell r="S108">
            <v>50</v>
          </cell>
          <cell r="T108">
            <v>50</v>
          </cell>
          <cell r="U108">
            <v>50</v>
          </cell>
          <cell r="V108">
            <v>50</v>
          </cell>
          <cell r="W108">
            <v>50</v>
          </cell>
          <cell r="X108">
            <v>50</v>
          </cell>
          <cell r="Y108">
            <v>50</v>
          </cell>
          <cell r="Z108">
            <v>50</v>
          </cell>
          <cell r="AA108" t="str">
            <v>- avionics update CN235-300M a/c</v>
          </cell>
          <cell r="AB108" t="str">
            <v>Look at UTX</v>
          </cell>
          <cell r="AC108">
            <v>25</v>
          </cell>
          <cell r="AD108">
            <v>25</v>
          </cell>
          <cell r="AE108" t="str">
            <v>Cuts during F3Q11</v>
          </cell>
          <cell r="AG108" t="str">
            <v>http://www.rockwellcollins.com/products/gov/airborne/special-mission/civil-transport/index.html</v>
          </cell>
          <cell r="AK108" t="str">
            <v>http://www.rockwellcollins.com/products/gov/airborne/special-mission/commando-solo/index.html</v>
          </cell>
        </row>
        <row r="109">
          <cell r="B109" t="str">
            <v>Special Mission</v>
          </cell>
          <cell r="C109" t="str">
            <v>U.S. Coast Guard MH-60T</v>
          </cell>
          <cell r="S109">
            <v>50</v>
          </cell>
          <cell r="T109">
            <v>50</v>
          </cell>
          <cell r="U109">
            <v>50</v>
          </cell>
          <cell r="V109">
            <v>50</v>
          </cell>
          <cell r="W109">
            <v>50</v>
          </cell>
          <cell r="X109">
            <v>50</v>
          </cell>
          <cell r="Y109">
            <v>50</v>
          </cell>
          <cell r="Z109">
            <v>50</v>
          </cell>
          <cell r="AA109">
            <v>25</v>
          </cell>
          <cell r="AB109" t="str">
            <v>Look at UTX</v>
          </cell>
          <cell r="AC109">
            <v>25</v>
          </cell>
          <cell r="AD109">
            <v>25</v>
          </cell>
          <cell r="AE109" t="str">
            <v>-Thre GEMS, secured communication..  20</v>
          </cell>
          <cell r="AG109" t="str">
            <v>http://www.rockwellcollins.com/products/gov/airborne/special-mission/mh-60t/index.html</v>
          </cell>
          <cell r="AI109" t="str">
            <v>Communications</v>
          </cell>
          <cell r="AK109" t="str">
            <v>http://www.rockwellcollins.com/products/gov/airborne/special-mission/e6b/index.html</v>
          </cell>
        </row>
        <row r="110">
          <cell r="C110" t="str">
            <v>S-70B SEAHAWK</v>
          </cell>
          <cell r="S110">
            <v>50</v>
          </cell>
          <cell r="T110">
            <v>50</v>
          </cell>
          <cell r="U110">
            <v>50</v>
          </cell>
          <cell r="V110">
            <v>50</v>
          </cell>
          <cell r="W110">
            <v>50</v>
          </cell>
          <cell r="X110">
            <v>50</v>
          </cell>
          <cell r="Y110">
            <v>50</v>
          </cell>
          <cell r="Z110">
            <v>50</v>
          </cell>
          <cell r="AA110" t="str">
            <v>- avionics update CN235-300M a/c</v>
          </cell>
          <cell r="AB110" t="str">
            <v>Look at UTX</v>
          </cell>
          <cell r="AC110">
            <v>25</v>
          </cell>
          <cell r="AD110">
            <v>25</v>
          </cell>
          <cell r="AE110" t="str">
            <v>- avionics update CN235-300M a/c</v>
          </cell>
          <cell r="AG110" t="str">
            <v>http://www.rockwellcollins.com/products/gov/airborne/special-mission/s-70b/index.html</v>
          </cell>
          <cell r="AI110" t="str">
            <v>Surface</v>
          </cell>
          <cell r="AK110" t="str">
            <v>http://www.rockwellcollins.com/products/gov/airborne/special-mission/commando-solo/index.html</v>
          </cell>
        </row>
        <row r="111">
          <cell r="C111" t="str">
            <v>USMC VH-60N (Presidential Helicopter)</v>
          </cell>
          <cell r="S111">
            <v>25</v>
          </cell>
          <cell r="T111">
            <v>25</v>
          </cell>
          <cell r="U111">
            <v>25</v>
          </cell>
          <cell r="V111">
            <v>25</v>
          </cell>
          <cell r="W111">
            <v>25</v>
          </cell>
          <cell r="X111">
            <v>25</v>
          </cell>
          <cell r="Y111">
            <v>25</v>
          </cell>
          <cell r="Z111">
            <v>25</v>
          </cell>
          <cell r="AA111">
            <v>25</v>
          </cell>
          <cell r="AB111" t="str">
            <v>Look at UTX</v>
          </cell>
          <cell r="AC111">
            <v>25</v>
          </cell>
          <cell r="AD111">
            <v>25</v>
          </cell>
          <cell r="AE111" t="str">
            <v>Integrated Combat… 20</v>
          </cell>
          <cell r="AG111" t="str">
            <v>http://www.rockwellcollins.com/products/gov/airborne/special-mission/vh-60n/index.html</v>
          </cell>
          <cell r="AI111" t="str">
            <v>Surface</v>
          </cell>
          <cell r="AK111" t="str">
            <v>http://www.rockwellcollins.com/products/gov/airborne/special-mission/e6b/index.html</v>
          </cell>
        </row>
        <row r="112">
          <cell r="B112" t="str">
            <v>Total</v>
          </cell>
          <cell r="C112" t="str">
            <v>P-3 Orion</v>
          </cell>
          <cell r="S112">
            <v>300</v>
          </cell>
          <cell r="T112">
            <v>300</v>
          </cell>
          <cell r="U112">
            <v>300</v>
          </cell>
          <cell r="V112">
            <v>300</v>
          </cell>
          <cell r="W112">
            <v>300</v>
          </cell>
          <cell r="X112">
            <v>300</v>
          </cell>
          <cell r="Y112">
            <v>300</v>
          </cell>
          <cell r="Z112">
            <v>300</v>
          </cell>
          <cell r="AA112">
            <v>25</v>
          </cell>
          <cell r="AB112" t="str">
            <v>Look at UTX</v>
          </cell>
          <cell r="AC112">
            <v>25</v>
          </cell>
          <cell r="AD112">
            <v>25</v>
          </cell>
          <cell r="AE112" t="str">
            <v>- avionics update CN235-300M a/c</v>
          </cell>
          <cell r="AG112" t="str">
            <v>http://www.rockwellcollins.com/products/gov/airborne/special-mission/p3/index.html</v>
          </cell>
          <cell r="AK112" t="str">
            <v>http://www.rockwellcollins.com/products/gov/airborne/special-mission/deepwater/index.html</v>
          </cell>
        </row>
        <row r="113">
          <cell r="B113" t="str">
            <v>Total</v>
          </cell>
          <cell r="C113" t="str">
            <v>S-92 Multi-Mission</v>
          </cell>
          <cell r="S113">
            <v>50</v>
          </cell>
          <cell r="T113">
            <v>50</v>
          </cell>
          <cell r="U113">
            <v>50</v>
          </cell>
          <cell r="V113">
            <v>50</v>
          </cell>
          <cell r="W113">
            <v>50</v>
          </cell>
          <cell r="X113">
            <v>50</v>
          </cell>
          <cell r="Y113">
            <v>50</v>
          </cell>
          <cell r="Z113">
            <v>50</v>
          </cell>
          <cell r="AA113">
            <v>25</v>
          </cell>
          <cell r="AB113" t="str">
            <v>Look at UTX</v>
          </cell>
          <cell r="AC113">
            <v>25</v>
          </cell>
          <cell r="AD113">
            <v>25</v>
          </cell>
          <cell r="AE113" t="str">
            <v>Additonal cuts post F3Q11</v>
          </cell>
          <cell r="AF113" t="str">
            <v>Look at UTX</v>
          </cell>
          <cell r="AG113" t="str">
            <v>http://www.rockwellcollins.com/products/gov/airborne/special-mission/civil-transport/index.html</v>
          </cell>
          <cell r="AK113" t="str">
            <v>http://www.rockwellcollins.com/products/gov/airborne/special-mission/joint-stars/index.html</v>
          </cell>
        </row>
        <row r="114">
          <cell r="B114" t="str">
            <v>Fighter / Bomber</v>
          </cell>
          <cell r="C114" t="str">
            <v>U.S. Coast Guard MH-60T</v>
          </cell>
          <cell r="S114">
            <v>50</v>
          </cell>
          <cell r="T114">
            <v>50</v>
          </cell>
          <cell r="U114">
            <v>50</v>
          </cell>
          <cell r="V114">
            <v>50</v>
          </cell>
          <cell r="W114">
            <v>50</v>
          </cell>
          <cell r="X114">
            <v>50</v>
          </cell>
          <cell r="Y114">
            <v>50</v>
          </cell>
          <cell r="Z114">
            <v>50</v>
          </cell>
          <cell r="AA114">
            <v>25</v>
          </cell>
          <cell r="AB114" t="str">
            <v>Look at UTX</v>
          </cell>
          <cell r="AC114">
            <v>25</v>
          </cell>
          <cell r="AD114">
            <v>25</v>
          </cell>
          <cell r="AE114" t="str">
            <v>-- DAGR $75mn drawdown due to lower optempo, mostly first half</v>
          </cell>
          <cell r="AF114" t="str">
            <v>Look at UTX</v>
          </cell>
          <cell r="AG114" t="str">
            <v>http://www.rockwellcollins.com/products/gov/airborne/special-mission/mh-60t/index.html</v>
          </cell>
          <cell r="AK114" t="str">
            <v>http://www.rockwellcollins.com/products/gov/airborne/special-mission/p3/index.html</v>
          </cell>
        </row>
        <row r="115">
          <cell r="B115" t="str">
            <v>Fighter / Bomber</v>
          </cell>
          <cell r="C115" t="str">
            <v>S-70B SEAHAWK</v>
          </cell>
          <cell r="S115">
            <v>20</v>
          </cell>
          <cell r="T115">
            <v>20</v>
          </cell>
          <cell r="U115">
            <v>20</v>
          </cell>
          <cell r="V115">
            <v>20</v>
          </cell>
          <cell r="W115">
            <v>20</v>
          </cell>
          <cell r="X115">
            <v>20</v>
          </cell>
          <cell r="Y115">
            <v>20</v>
          </cell>
          <cell r="Z115">
            <v>20</v>
          </cell>
          <cell r="AA115">
            <v>50</v>
          </cell>
          <cell r="AB115" t="str">
            <v>Look at UTX</v>
          </cell>
          <cell r="AC115">
            <v>50</v>
          </cell>
          <cell r="AD115">
            <v>50</v>
          </cell>
          <cell r="AE115" t="str">
            <v>$100mn total impact from lower OCO (from $150 to $50)</v>
          </cell>
          <cell r="AF115" t="str">
            <v>Look at UTX</v>
          </cell>
          <cell r="AG115" t="str">
            <v>http://www.rockwellcollins.com/products/gov/airborne/fighters/f15/index.html</v>
          </cell>
          <cell r="AK115" t="str">
            <v>http://www.rockwellcollins.com/products/gov/airborne/special-mission/civil-transport/index.html</v>
          </cell>
        </row>
        <row r="116">
          <cell r="C116" t="str">
            <v>F-16 Fighting Falcon</v>
          </cell>
          <cell r="S116">
            <v>20</v>
          </cell>
          <cell r="T116">
            <v>20</v>
          </cell>
          <cell r="U116">
            <v>20</v>
          </cell>
          <cell r="V116">
            <v>20</v>
          </cell>
          <cell r="W116">
            <v>20</v>
          </cell>
          <cell r="X116">
            <v>20</v>
          </cell>
          <cell r="Y116">
            <v>20</v>
          </cell>
          <cell r="Z116">
            <v>20</v>
          </cell>
          <cell r="AA116">
            <v>50</v>
          </cell>
          <cell r="AB116">
            <v>50</v>
          </cell>
          <cell r="AC116">
            <v>50</v>
          </cell>
          <cell r="AD116">
            <v>50</v>
          </cell>
          <cell r="AF116" t="str">
            <v>Look at UTX</v>
          </cell>
          <cell r="AG116" t="str">
            <v>http://www.rockwellcollins.com/products/gov/airborne/fighters/f16/index.html</v>
          </cell>
          <cell r="AK116" t="str">
            <v>http://www.rockwellcollins.com/products/gov/airborne/special-mission/mh-60t/index.html</v>
          </cell>
        </row>
        <row r="117">
          <cell r="B117" t="str">
            <v>Total</v>
          </cell>
          <cell r="C117" t="str">
            <v>F/A-18 Super Hornet</v>
          </cell>
          <cell r="S117">
            <v>20</v>
          </cell>
          <cell r="T117">
            <v>20</v>
          </cell>
          <cell r="U117">
            <v>20</v>
          </cell>
          <cell r="V117">
            <v>20</v>
          </cell>
          <cell r="W117">
            <v>20</v>
          </cell>
          <cell r="X117">
            <v>20</v>
          </cell>
          <cell r="Y117">
            <v>20</v>
          </cell>
          <cell r="Z117">
            <v>20</v>
          </cell>
          <cell r="AA117">
            <v>50</v>
          </cell>
          <cell r="AB117">
            <v>50</v>
          </cell>
          <cell r="AC117">
            <v>50</v>
          </cell>
          <cell r="AD117">
            <v>50</v>
          </cell>
          <cell r="AE117" t="str">
            <v>At Risk</v>
          </cell>
          <cell r="AF117" t="str">
            <v>Look at UTX</v>
          </cell>
          <cell r="AG117" t="str">
            <v>http://www.rockwellcollins.com/products/gov/airborne/fighters/f18/index.html</v>
          </cell>
          <cell r="AK117" t="str">
            <v>http://www.rockwellcollins.com/products/gov/airborne/special-mission/s-70b/index.html</v>
          </cell>
        </row>
        <row r="118">
          <cell r="C118" t="str">
            <v>F-22A Raptor</v>
          </cell>
          <cell r="S118">
            <v>20</v>
          </cell>
          <cell r="T118">
            <v>20</v>
          </cell>
          <cell r="U118">
            <v>20</v>
          </cell>
          <cell r="V118">
            <v>20</v>
          </cell>
          <cell r="W118">
            <v>20</v>
          </cell>
          <cell r="X118">
            <v>20</v>
          </cell>
          <cell r="Y118">
            <v>20</v>
          </cell>
          <cell r="Z118">
            <v>20</v>
          </cell>
          <cell r="AA118">
            <v>25</v>
          </cell>
          <cell r="AB118">
            <v>25</v>
          </cell>
          <cell r="AC118">
            <v>25</v>
          </cell>
          <cell r="AD118">
            <v>25</v>
          </cell>
          <cell r="AE118" t="str">
            <v>JTRS</v>
          </cell>
          <cell r="AG118" t="str">
            <v>http://www.rockwellcollins.com/products/gov/airborne/fighters/f22/index.html</v>
          </cell>
          <cell r="AK118" t="str">
            <v>http://www.rockwellcollins.com/products/gov/airborne/special-mission/vh-60n/index.html</v>
          </cell>
        </row>
        <row r="119">
          <cell r="B119" t="str">
            <v>Fighter / Bomber</v>
          </cell>
          <cell r="C119" t="str">
            <v>F-35 Joint Strike Fighter</v>
          </cell>
          <cell r="S119">
            <v>20</v>
          </cell>
          <cell r="T119">
            <v>20</v>
          </cell>
          <cell r="U119">
            <v>20</v>
          </cell>
          <cell r="V119">
            <v>20</v>
          </cell>
          <cell r="W119">
            <v>20</v>
          </cell>
          <cell r="X119">
            <v>20</v>
          </cell>
          <cell r="Y119">
            <v>20</v>
          </cell>
          <cell r="Z119">
            <v>20</v>
          </cell>
          <cell r="AA119">
            <v>300</v>
          </cell>
          <cell r="AB119">
            <v>300</v>
          </cell>
          <cell r="AC119">
            <v>300</v>
          </cell>
          <cell r="AD119">
            <v>300</v>
          </cell>
          <cell r="AE119" t="str">
            <v>-- GMR at risk - current a stop work order.. Already anticipated in guidance</v>
          </cell>
          <cell r="AG119" t="str">
            <v>http://www.rockwellcollins.com/products/gov/airborne/fighters/f35/index.html</v>
          </cell>
        </row>
        <row r="120">
          <cell r="C120" t="str">
            <v>B-1B Lancer</v>
          </cell>
          <cell r="S120">
            <v>20</v>
          </cell>
          <cell r="T120">
            <v>20</v>
          </cell>
          <cell r="U120">
            <v>20</v>
          </cell>
          <cell r="V120">
            <v>20</v>
          </cell>
          <cell r="W120">
            <v>20</v>
          </cell>
          <cell r="X120">
            <v>20</v>
          </cell>
          <cell r="Y120">
            <v>20</v>
          </cell>
          <cell r="Z120">
            <v>20</v>
          </cell>
          <cell r="AA120">
            <v>20</v>
          </cell>
          <cell r="AB120">
            <v>20</v>
          </cell>
          <cell r="AC120">
            <v>20</v>
          </cell>
          <cell r="AD120">
            <v>20</v>
          </cell>
          <cell r="AE120" t="str">
            <v>-- HMS (Manpack) - continuing to go forward</v>
          </cell>
          <cell r="AG120" t="str">
            <v>http://www.rockwellcollins.com/products/gov/airborne/fighters/B-1B/index.html</v>
          </cell>
          <cell r="AK120" t="str">
            <v>http://www.rockwellcollins.com/products/gov/airborne/fighters/f15/index.html</v>
          </cell>
        </row>
        <row r="121">
          <cell r="B121" t="str">
            <v>Fighter / Bomber</v>
          </cell>
          <cell r="C121" t="str">
            <v>B-52H</v>
          </cell>
          <cell r="S121">
            <v>20</v>
          </cell>
          <cell r="T121">
            <v>20</v>
          </cell>
          <cell r="U121">
            <v>20</v>
          </cell>
          <cell r="V121">
            <v>20</v>
          </cell>
          <cell r="W121">
            <v>20</v>
          </cell>
          <cell r="X121">
            <v>20</v>
          </cell>
          <cell r="Y121">
            <v>20</v>
          </cell>
          <cell r="Z121">
            <v>20</v>
          </cell>
          <cell r="AA121">
            <v>20</v>
          </cell>
          <cell r="AB121">
            <v>20</v>
          </cell>
          <cell r="AC121">
            <v>20</v>
          </cell>
          <cell r="AD121">
            <v>20</v>
          </cell>
          <cell r="AE121" t="str">
            <v>-- MIDS-J - currently delivering</v>
          </cell>
          <cell r="AG121" t="str">
            <v>http://www.rockwellcollins.com/products/gov/airborne/fighters/B-52/index.html</v>
          </cell>
          <cell r="AK121" t="str">
            <v>http://www.rockwellcollins.com/products/gov/airborne/fighters/f16/index.html</v>
          </cell>
        </row>
        <row r="122">
          <cell r="B122" t="str">
            <v>Pension</v>
          </cell>
          <cell r="C122" t="str">
            <v>Mirage 2000 (Dassault)</v>
          </cell>
          <cell r="S122">
            <v>20</v>
          </cell>
          <cell r="T122">
            <v>20</v>
          </cell>
          <cell r="U122">
            <v>20</v>
          </cell>
          <cell r="V122">
            <v>20</v>
          </cell>
          <cell r="W122">
            <v>20</v>
          </cell>
          <cell r="X122">
            <v>20</v>
          </cell>
          <cell r="Y122">
            <v>20</v>
          </cell>
          <cell r="Z122">
            <v>20</v>
          </cell>
          <cell r="AA122">
            <v>20</v>
          </cell>
          <cell r="AB122">
            <v>20</v>
          </cell>
          <cell r="AC122">
            <v>20</v>
          </cell>
          <cell r="AD122">
            <v>20</v>
          </cell>
          <cell r="AG122" t="str">
            <v>http://www.rockwellcollins.com/products/gov/airborne/fighters/mirage/index.html</v>
          </cell>
          <cell r="AK122" t="str">
            <v>http://www.rockwellcollins.com/products/gov/airborne/fighters/f15/index.html</v>
          </cell>
        </row>
        <row r="123">
          <cell r="B123" t="str">
            <v>San Jose</v>
          </cell>
          <cell r="C123" t="str">
            <v>Gripen (SAAB)</v>
          </cell>
          <cell r="S123">
            <v>20</v>
          </cell>
          <cell r="T123">
            <v>20</v>
          </cell>
          <cell r="U123">
            <v>20</v>
          </cell>
          <cell r="V123">
            <v>20</v>
          </cell>
          <cell r="W123">
            <v>20</v>
          </cell>
          <cell r="X123">
            <v>20</v>
          </cell>
          <cell r="Y123">
            <v>20</v>
          </cell>
          <cell r="Z123">
            <v>20</v>
          </cell>
          <cell r="AA123">
            <v>20</v>
          </cell>
          <cell r="AB123">
            <v>20</v>
          </cell>
          <cell r="AC123">
            <v>20</v>
          </cell>
          <cell r="AD123">
            <v>20</v>
          </cell>
          <cell r="AE123" t="str">
            <v>Opportunities</v>
          </cell>
          <cell r="AG123" t="str">
            <v>http://www.rockwellcollins.com/products/gov/airborne/fighters/gripen/index.html</v>
          </cell>
          <cell r="AK123" t="str">
            <v>http://www.rockwellcollins.com/products/gov/airborne/fighters/f16/index.html</v>
          </cell>
        </row>
        <row r="124">
          <cell r="B124" t="str">
            <v>Total</v>
          </cell>
          <cell r="C124" t="str">
            <v>F-35 Joint Strike Fighter</v>
          </cell>
          <cell r="S124">
            <v>180</v>
          </cell>
          <cell r="T124">
            <v>180</v>
          </cell>
          <cell r="U124">
            <v>180</v>
          </cell>
          <cell r="V124">
            <v>180</v>
          </cell>
          <cell r="W124">
            <v>180</v>
          </cell>
          <cell r="X124">
            <v>180</v>
          </cell>
          <cell r="Y124">
            <v>180</v>
          </cell>
          <cell r="Z124">
            <v>180</v>
          </cell>
          <cell r="AA124">
            <v>20</v>
          </cell>
          <cell r="AB124">
            <v>20</v>
          </cell>
          <cell r="AC124">
            <v>20</v>
          </cell>
          <cell r="AD124">
            <v>20</v>
          </cell>
          <cell r="AE124" t="str">
            <v>90% Fixed price, 50% on commercial terms</v>
          </cell>
          <cell r="AG124" t="str">
            <v>http://www.rockwellcollins.com/products/gov/airborne/fighters/f35/index.html</v>
          </cell>
          <cell r="AK124" t="str">
            <v>http://www.rockwellcollins.com/products/gov/airborne/fighters/f18/index.html</v>
          </cell>
        </row>
        <row r="125">
          <cell r="B125" t="str">
            <v>Total</v>
          </cell>
          <cell r="C125" t="str">
            <v>B-1B Lancer</v>
          </cell>
          <cell r="E125" t="b">
            <v>1</v>
          </cell>
          <cell r="F125" t="b">
            <v>1</v>
          </cell>
          <cell r="G125" t="b">
            <v>1</v>
          </cell>
          <cell r="H125" t="b">
            <v>1</v>
          </cell>
          <cell r="I125" t="b">
            <v>1</v>
          </cell>
          <cell r="J125" t="b">
            <v>1</v>
          </cell>
          <cell r="K125" t="b">
            <v>1</v>
          </cell>
          <cell r="L125" t="b">
            <v>1</v>
          </cell>
          <cell r="M125" t="b">
            <v>1</v>
          </cell>
          <cell r="N125" t="b">
            <v>1</v>
          </cell>
          <cell r="O125" t="b">
            <v>1</v>
          </cell>
          <cell r="P125" t="b">
            <v>1</v>
          </cell>
          <cell r="Q125" t="b">
            <v>0</v>
          </cell>
          <cell r="R125" t="b">
            <v>0</v>
          </cell>
          <cell r="S125">
            <v>20</v>
          </cell>
          <cell r="T125">
            <v>20</v>
          </cell>
          <cell r="U125">
            <v>20</v>
          </cell>
          <cell r="V125">
            <v>20</v>
          </cell>
          <cell r="W125">
            <v>20</v>
          </cell>
          <cell r="X125">
            <v>20</v>
          </cell>
          <cell r="Y125">
            <v>20</v>
          </cell>
          <cell r="Z125">
            <v>20</v>
          </cell>
          <cell r="AA125">
            <v>20</v>
          </cell>
          <cell r="AB125">
            <v>20</v>
          </cell>
          <cell r="AC125">
            <v>20</v>
          </cell>
          <cell r="AD125">
            <v>20</v>
          </cell>
          <cell r="AE125" t="b">
            <v>0</v>
          </cell>
          <cell r="AF125" t="b">
            <v>0</v>
          </cell>
          <cell r="AG125" t="str">
            <v>http://www.rockwellcollins.com/products/gov/airborne/fighters/B-1B/index.html</v>
          </cell>
          <cell r="AH125" t="b">
            <v>0</v>
          </cell>
          <cell r="AK125" t="str">
            <v>http://www.rockwellcollins.com/products/gov/airborne/fighters/f22/index.html</v>
          </cell>
        </row>
        <row r="126">
          <cell r="B126" t="str">
            <v>Unmanned Systems</v>
          </cell>
          <cell r="C126" t="str">
            <v>B-52H</v>
          </cell>
          <cell r="E126" t="b">
            <v>1</v>
          </cell>
          <cell r="F126" t="b">
            <v>1</v>
          </cell>
          <cell r="G126" t="b">
            <v>1</v>
          </cell>
          <cell r="H126" t="b">
            <v>1</v>
          </cell>
          <cell r="I126" t="b">
            <v>1</v>
          </cell>
          <cell r="J126" t="b">
            <v>1</v>
          </cell>
          <cell r="K126" t="b">
            <v>0</v>
          </cell>
          <cell r="L126" t="b">
            <v>0</v>
          </cell>
          <cell r="M126" t="b">
            <v>1</v>
          </cell>
          <cell r="N126" t="b">
            <v>0</v>
          </cell>
          <cell r="O126">
            <v>0.46399999999999864</v>
          </cell>
          <cell r="P126">
            <v>-0.76300000000000523</v>
          </cell>
          <cell r="Q126" t="b">
            <v>0</v>
          </cell>
          <cell r="R126" t="b">
            <v>0</v>
          </cell>
          <cell r="S126">
            <v>20</v>
          </cell>
          <cell r="T126">
            <v>20</v>
          </cell>
          <cell r="U126">
            <v>20</v>
          </cell>
          <cell r="V126">
            <v>20</v>
          </cell>
          <cell r="W126">
            <v>20</v>
          </cell>
          <cell r="X126">
            <v>20</v>
          </cell>
          <cell r="Y126">
            <v>20</v>
          </cell>
          <cell r="Z126">
            <v>20</v>
          </cell>
          <cell r="AA126">
            <v>20</v>
          </cell>
          <cell r="AB126">
            <v>20</v>
          </cell>
          <cell r="AC126">
            <v>20</v>
          </cell>
          <cell r="AD126">
            <v>20</v>
          </cell>
          <cell r="AE126" t="b">
            <v>1</v>
          </cell>
          <cell r="AF126" t="b">
            <v>1</v>
          </cell>
          <cell r="AG126" t="str">
            <v>http://www.rockwellcollins.com/products/gov/airborne/fighters/B-52/index.html</v>
          </cell>
          <cell r="AH126" t="b">
            <v>1</v>
          </cell>
          <cell r="AK126" t="str">
            <v>http://www.rockwellcollins.com/products/gov/airborne/fighters/f35/index.html</v>
          </cell>
        </row>
        <row r="127">
          <cell r="B127" t="str">
            <v>Unmanned Systems</v>
          </cell>
          <cell r="C127" t="str">
            <v>Mirage 2000 (Dassault)</v>
          </cell>
          <cell r="S127">
            <v>22</v>
          </cell>
          <cell r="T127">
            <v>50</v>
          </cell>
          <cell r="U127">
            <v>100</v>
          </cell>
          <cell r="V127">
            <v>120</v>
          </cell>
          <cell r="W127">
            <v>140</v>
          </cell>
          <cell r="X127">
            <v>160</v>
          </cell>
          <cell r="Y127">
            <v>180</v>
          </cell>
          <cell r="Z127">
            <v>200</v>
          </cell>
          <cell r="AA127">
            <v>20</v>
          </cell>
          <cell r="AB127">
            <v>20</v>
          </cell>
          <cell r="AC127">
            <v>20</v>
          </cell>
          <cell r="AD127">
            <v>20</v>
          </cell>
          <cell r="AE127" t="str">
            <v>Firestorm</v>
          </cell>
          <cell r="AG127" t="str">
            <v>http://www.rockwellcollins.com/products/gov/airborne/uas-solutions/flight-controls/index.html</v>
          </cell>
          <cell r="AK127" t="str">
            <v>http://www.rockwellcollins.com/products/gov/airborne/fighters/B-1B/index.html</v>
          </cell>
        </row>
        <row r="128">
          <cell r="C128" t="str">
            <v>Other</v>
          </cell>
          <cell r="S128">
            <v>10</v>
          </cell>
          <cell r="T128">
            <v>20</v>
          </cell>
          <cell r="U128">
            <v>30</v>
          </cell>
          <cell r="V128">
            <v>40</v>
          </cell>
          <cell r="W128">
            <v>50</v>
          </cell>
          <cell r="X128">
            <v>60</v>
          </cell>
          <cell r="Y128">
            <v>70</v>
          </cell>
          <cell r="Z128">
            <v>80</v>
          </cell>
          <cell r="AA128">
            <v>20</v>
          </cell>
          <cell r="AB128">
            <v>20</v>
          </cell>
          <cell r="AC128">
            <v>20</v>
          </cell>
          <cell r="AD128">
            <v>20</v>
          </cell>
          <cell r="AE128" t="str">
            <v>75% of revs on legacy platforms</v>
          </cell>
          <cell r="AG128" t="str">
            <v>http://www.rockwellcollins.com/products/gov/airborne/fighters/gripen/index.html</v>
          </cell>
          <cell r="AK128" t="str">
            <v>http://www.rockwellcollins.com/products/gov/airborne/fighters/B-52/index.html</v>
          </cell>
        </row>
        <row r="129">
          <cell r="A129" t="str">
            <v>Airborne Solutions Program Build</v>
          </cell>
          <cell r="B129" t="str">
            <v>Total</v>
          </cell>
          <cell r="C129" t="str">
            <v>Other</v>
          </cell>
          <cell r="S129">
            <v>32</v>
          </cell>
          <cell r="T129">
            <v>70</v>
          </cell>
          <cell r="U129">
            <v>130</v>
          </cell>
          <cell r="V129">
            <v>160</v>
          </cell>
          <cell r="W129">
            <v>190</v>
          </cell>
          <cell r="X129">
            <v>220</v>
          </cell>
          <cell r="Y129">
            <v>250</v>
          </cell>
          <cell r="Z129">
            <v>280</v>
          </cell>
          <cell r="AA129">
            <v>20</v>
          </cell>
          <cell r="AB129">
            <v>20</v>
          </cell>
          <cell r="AC129">
            <v>20</v>
          </cell>
          <cell r="AD129">
            <v>20</v>
          </cell>
          <cell r="AK129" t="str">
            <v>http://www.rockwellcollins.com/products/gov/airborne/fighters/mirage/index.html</v>
          </cell>
        </row>
        <row r="130">
          <cell r="B130" t="str">
            <v>Total</v>
          </cell>
          <cell r="C130" t="str">
            <v>Athena Technologies</v>
          </cell>
          <cell r="S130">
            <v>32</v>
          </cell>
          <cell r="T130">
            <v>70</v>
          </cell>
          <cell r="U130">
            <v>130</v>
          </cell>
          <cell r="V130">
            <v>160</v>
          </cell>
          <cell r="W130">
            <v>190</v>
          </cell>
          <cell r="X130">
            <v>220</v>
          </cell>
          <cell r="Y130">
            <v>250</v>
          </cell>
          <cell r="Z130">
            <v>280</v>
          </cell>
          <cell r="AA130">
            <v>20</v>
          </cell>
          <cell r="AB130">
            <v>20</v>
          </cell>
          <cell r="AC130">
            <v>20</v>
          </cell>
          <cell r="AD130">
            <v>20</v>
          </cell>
          <cell r="AG130" t="str">
            <v>http://www.rockwellcollins.com/products/gov/airborne/uas-solutions/flight-controls/index.html</v>
          </cell>
          <cell r="AK130" t="str">
            <v>http://www.rockwellcollins.com/products/gov/airborne/fighters/gripen/index.html</v>
          </cell>
        </row>
        <row r="131">
          <cell r="B131" t="str">
            <v>Other / Unaccounted for</v>
          </cell>
          <cell r="C131" t="str">
            <v>Other</v>
          </cell>
          <cell r="S131">
            <v>500</v>
          </cell>
          <cell r="T131">
            <v>561</v>
          </cell>
          <cell r="U131">
            <v>610</v>
          </cell>
          <cell r="V131">
            <v>680</v>
          </cell>
          <cell r="W131">
            <v>700</v>
          </cell>
          <cell r="X131">
            <v>750</v>
          </cell>
          <cell r="Y131">
            <v>795</v>
          </cell>
          <cell r="Z131">
            <v>840</v>
          </cell>
          <cell r="AA131">
            <v>180</v>
          </cell>
          <cell r="AB131">
            <v>180</v>
          </cell>
          <cell r="AC131">
            <v>180</v>
          </cell>
          <cell r="AD131">
            <v>180</v>
          </cell>
        </row>
        <row r="132">
          <cell r="B132" t="str">
            <v>Other / Unaccounted for</v>
          </cell>
          <cell r="C132" t="str">
            <v>Athena Technologies</v>
          </cell>
          <cell r="S132">
            <v>22</v>
          </cell>
          <cell r="T132">
            <v>50</v>
          </cell>
          <cell r="U132">
            <v>100</v>
          </cell>
          <cell r="V132">
            <v>120</v>
          </cell>
          <cell r="W132">
            <v>140</v>
          </cell>
          <cell r="X132">
            <v>160</v>
          </cell>
          <cell r="Y132">
            <v>180</v>
          </cell>
          <cell r="Z132">
            <v>200</v>
          </cell>
          <cell r="AA132">
            <v>140</v>
          </cell>
          <cell r="AB132">
            <v>160</v>
          </cell>
          <cell r="AC132">
            <v>180</v>
          </cell>
          <cell r="AD132">
            <v>200</v>
          </cell>
          <cell r="AE132">
            <v>100</v>
          </cell>
          <cell r="AF132">
            <v>150</v>
          </cell>
          <cell r="AG132" t="str">
            <v>http://www.rockwellcollins.com/products/gov/airborne/uas-solutions/flight-controls/index.html</v>
          </cell>
          <cell r="AH132">
            <v>200</v>
          </cell>
          <cell r="AJ132" t="str">
            <v>Big program</v>
          </cell>
          <cell r="AK132" t="str">
            <v>http://www.rockwellcollins.com/products/gov/airborne/uas-solutions/flight-controls/index.html</v>
          </cell>
          <cell r="AO132" t="str">
            <v>http://www.rockwellcollins.com/products/gov/airborne/tanker-transport/boeing767/index.html</v>
          </cell>
        </row>
        <row r="133">
          <cell r="B133" t="str">
            <v>Airborne Solutions Program Build</v>
          </cell>
          <cell r="C133" t="str">
            <v>Other</v>
          </cell>
          <cell r="S133">
            <v>1662</v>
          </cell>
          <cell r="T133">
            <v>1761</v>
          </cell>
          <cell r="U133">
            <v>1870</v>
          </cell>
          <cell r="V133">
            <v>1970</v>
          </cell>
          <cell r="W133">
            <v>2070</v>
          </cell>
          <cell r="X133">
            <v>2200</v>
          </cell>
          <cell r="Y133">
            <v>2300</v>
          </cell>
          <cell r="Z133">
            <v>2400</v>
          </cell>
          <cell r="AA133">
            <v>50</v>
          </cell>
          <cell r="AB133">
            <v>60</v>
          </cell>
          <cell r="AC133">
            <v>70</v>
          </cell>
          <cell r="AD133">
            <v>80</v>
          </cell>
          <cell r="AE133">
            <v>0</v>
          </cell>
          <cell r="AF133">
            <v>0</v>
          </cell>
          <cell r="AG133">
            <v>0</v>
          </cell>
          <cell r="AH133">
            <v>0</v>
          </cell>
          <cell r="AJ133" t="str">
            <v>Spring 2010</v>
          </cell>
          <cell r="AO133" t="str">
            <v>http://www.rockwellcollins.com/products/gov/airborne/tanker-transport/c130/index.html</v>
          </cell>
        </row>
        <row r="134">
          <cell r="B134" t="str">
            <v>Total</v>
          </cell>
          <cell r="C134" t="str">
            <v>Difference vs. Top-Down Segment Forecast</v>
          </cell>
          <cell r="S134">
            <v>0</v>
          </cell>
          <cell r="T134">
            <v>0</v>
          </cell>
          <cell r="U134">
            <v>0</v>
          </cell>
          <cell r="V134">
            <v>0</v>
          </cell>
          <cell r="W134">
            <v>0</v>
          </cell>
          <cell r="X134">
            <v>0</v>
          </cell>
          <cell r="Y134">
            <v>0</v>
          </cell>
          <cell r="Z134">
            <v>0</v>
          </cell>
          <cell r="AA134">
            <v>140</v>
          </cell>
          <cell r="AB134">
            <v>160</v>
          </cell>
          <cell r="AC134">
            <v>180</v>
          </cell>
          <cell r="AD134">
            <v>200</v>
          </cell>
          <cell r="AE134">
            <v>100</v>
          </cell>
          <cell r="AF134">
            <v>100</v>
          </cell>
          <cell r="AG134">
            <v>100</v>
          </cell>
          <cell r="AH134">
            <v>100</v>
          </cell>
          <cell r="AJ134" t="str">
            <v>Look at LMT</v>
          </cell>
          <cell r="AK134" t="str">
            <v>http://www.rockwellcollins.com/products/gov/airborne/uas-solutions/flight-controls/index.html</v>
          </cell>
          <cell r="AO134" t="str">
            <v>http://www.rockwellcollins.com/products/gov/airborne/tanker-transport/c130/index.html</v>
          </cell>
        </row>
        <row r="135">
          <cell r="B135" t="str">
            <v>San Jose</v>
          </cell>
          <cell r="C135" t="str">
            <v>Difference vs. Top-Down Segment Forecast</v>
          </cell>
          <cell r="S135">
            <v>0</v>
          </cell>
          <cell r="T135">
            <v>0</v>
          </cell>
          <cell r="U135">
            <v>0</v>
          </cell>
          <cell r="V135">
            <v>0</v>
          </cell>
          <cell r="W135">
            <v>0</v>
          </cell>
          <cell r="X135">
            <v>0</v>
          </cell>
          <cell r="Y135">
            <v>0</v>
          </cell>
          <cell r="Z135">
            <v>0</v>
          </cell>
          <cell r="AA135">
            <v>50</v>
          </cell>
          <cell r="AB135">
            <v>60</v>
          </cell>
          <cell r="AC135">
            <v>70</v>
          </cell>
          <cell r="AD135">
            <v>80</v>
          </cell>
          <cell r="AE135">
            <v>0</v>
          </cell>
          <cell r="AF135">
            <v>0</v>
          </cell>
          <cell r="AG135">
            <v>0</v>
          </cell>
          <cell r="AH135">
            <v>0</v>
          </cell>
          <cell r="AJ135" t="str">
            <v>Look at LMT</v>
          </cell>
        </row>
        <row r="136">
          <cell r="A136" t="str">
            <v>Surface Solutions Program Build</v>
          </cell>
          <cell r="B136" t="str">
            <v>Other / Unaccounted for</v>
          </cell>
          <cell r="C136" t="str">
            <v>C/K-135 GATM (Global Air Traffic Management)</v>
          </cell>
          <cell r="L136" t="str">
            <v>Program Value</v>
          </cell>
          <cell r="S136">
            <v>500</v>
          </cell>
          <cell r="T136">
            <v>561</v>
          </cell>
          <cell r="U136">
            <v>610</v>
          </cell>
          <cell r="V136">
            <v>635</v>
          </cell>
          <cell r="W136">
            <v>650</v>
          </cell>
          <cell r="X136">
            <v>650</v>
          </cell>
          <cell r="Y136">
            <v>645</v>
          </cell>
          <cell r="Z136">
            <v>640</v>
          </cell>
          <cell r="AA136">
            <v>190</v>
          </cell>
          <cell r="AB136">
            <v>220</v>
          </cell>
          <cell r="AC136">
            <v>250</v>
          </cell>
          <cell r="AD136">
            <v>280</v>
          </cell>
          <cell r="AE136">
            <v>125</v>
          </cell>
          <cell r="AF136">
            <v>125</v>
          </cell>
          <cell r="AG136">
            <v>125</v>
          </cell>
          <cell r="AH136">
            <v>125</v>
          </cell>
          <cell r="AJ136" t="str">
            <v>Now on block 45</v>
          </cell>
          <cell r="AL136" t="str">
            <v>Comment in old transcript</v>
          </cell>
          <cell r="AO136" t="str">
            <v>http://www.rockwellcollins.com/products/gov/airborne/tanker-transport/kc135/index.html</v>
          </cell>
        </row>
        <row r="137">
          <cell r="A137" t="str">
            <v>Surface Solutions Program Build</v>
          </cell>
          <cell r="B137" t="str">
            <v>Total</v>
          </cell>
          <cell r="C137" t="str">
            <v>Difference vs. Top-Down Segment Forecast</v>
          </cell>
          <cell r="E137" t="b">
            <v>1</v>
          </cell>
          <cell r="F137" t="b">
            <v>1</v>
          </cell>
          <cell r="G137" t="b">
            <v>1</v>
          </cell>
          <cell r="H137" t="b">
            <v>1</v>
          </cell>
          <cell r="I137" t="b">
            <v>1</v>
          </cell>
          <cell r="J137" t="b">
            <v>1</v>
          </cell>
          <cell r="K137" t="b">
            <v>1</v>
          </cell>
          <cell r="L137" t="str">
            <v>Program Value</v>
          </cell>
          <cell r="M137" t="b">
            <v>1</v>
          </cell>
          <cell r="N137" t="b">
            <v>1</v>
          </cell>
          <cell r="O137" t="b">
            <v>1</v>
          </cell>
          <cell r="P137" t="b">
            <v>1</v>
          </cell>
          <cell r="Q137" t="b">
            <v>0</v>
          </cell>
          <cell r="R137" t="b">
            <v>0</v>
          </cell>
          <cell r="S137">
            <v>0</v>
          </cell>
          <cell r="T137">
            <v>0</v>
          </cell>
          <cell r="U137">
            <v>0</v>
          </cell>
          <cell r="V137">
            <v>0</v>
          </cell>
          <cell r="W137">
            <v>0</v>
          </cell>
          <cell r="X137">
            <v>0</v>
          </cell>
          <cell r="Y137">
            <v>0</v>
          </cell>
          <cell r="Z137">
            <v>0</v>
          </cell>
          <cell r="AA137">
            <v>275</v>
          </cell>
          <cell r="AB137">
            <v>275</v>
          </cell>
          <cell r="AC137">
            <v>275</v>
          </cell>
          <cell r="AD137">
            <v>275</v>
          </cell>
          <cell r="AE137">
            <v>325</v>
          </cell>
          <cell r="AF137">
            <v>375</v>
          </cell>
          <cell r="AG137">
            <v>400</v>
          </cell>
          <cell r="AH137">
            <v>425</v>
          </cell>
        </row>
        <row r="138">
          <cell r="B138" t="str">
            <v>DataPath</v>
          </cell>
          <cell r="E138" t="b">
            <v>1</v>
          </cell>
          <cell r="F138" t="b">
            <v>1</v>
          </cell>
          <cell r="G138" t="b">
            <v>1</v>
          </cell>
          <cell r="H138" t="b">
            <v>1</v>
          </cell>
          <cell r="I138" t="b">
            <v>1</v>
          </cell>
          <cell r="J138" t="b">
            <v>1</v>
          </cell>
          <cell r="K138" t="b">
            <v>0</v>
          </cell>
          <cell r="L138" t="b">
            <v>0</v>
          </cell>
          <cell r="M138" t="b">
            <v>1</v>
          </cell>
          <cell r="N138" t="b">
            <v>0</v>
          </cell>
          <cell r="O138">
            <v>0.46399999999999864</v>
          </cell>
          <cell r="P138">
            <v>-0.76300000000000523</v>
          </cell>
          <cell r="Q138" t="b">
            <v>0</v>
          </cell>
          <cell r="R138" t="b">
            <v>0</v>
          </cell>
          <cell r="S138">
            <v>0</v>
          </cell>
          <cell r="T138">
            <v>84</v>
          </cell>
          <cell r="U138">
            <v>250</v>
          </cell>
          <cell r="V138">
            <v>260</v>
          </cell>
          <cell r="W138">
            <v>270</v>
          </cell>
          <cell r="X138">
            <v>280</v>
          </cell>
          <cell r="Y138">
            <v>290</v>
          </cell>
          <cell r="Z138">
            <v>300</v>
          </cell>
          <cell r="AA138">
            <v>625</v>
          </cell>
          <cell r="AB138">
            <v>570</v>
          </cell>
          <cell r="AC138">
            <v>535</v>
          </cell>
          <cell r="AD138">
            <v>490</v>
          </cell>
          <cell r="AE138" t="b">
            <v>1</v>
          </cell>
          <cell r="AF138" t="b">
            <v>1</v>
          </cell>
          <cell r="AG138" t="b">
            <v>1</v>
          </cell>
          <cell r="AH138" t="b">
            <v>1</v>
          </cell>
        </row>
        <row r="139">
          <cell r="A139" t="str">
            <v>Surface Solutions Program Build</v>
          </cell>
          <cell r="B139" t="str">
            <v>DAGR (Defense Advanced GPS Receiver)</v>
          </cell>
          <cell r="C139" t="str">
            <v>Difference vs. Top-Down Segment Forecast</v>
          </cell>
          <cell r="I139" t="str">
            <v>Common Avionics Architecture System (CAAS)</v>
          </cell>
          <cell r="L139" t="str">
            <v>Program Value</v>
          </cell>
          <cell r="P139" t="str">
            <v>Total $5.5B program potential</v>
          </cell>
          <cell r="S139">
            <v>200</v>
          </cell>
          <cell r="T139">
            <v>150</v>
          </cell>
          <cell r="U139">
            <v>100</v>
          </cell>
          <cell r="V139">
            <v>50</v>
          </cell>
          <cell r="W139">
            <v>50</v>
          </cell>
          <cell r="X139">
            <v>50</v>
          </cell>
          <cell r="Y139">
            <v>50</v>
          </cell>
          <cell r="Z139">
            <v>50</v>
          </cell>
          <cell r="AA139" t="str">
            <v>- IDIQ thru 2014, stock replenishment levels</v>
          </cell>
          <cell r="AB139">
            <v>0</v>
          </cell>
          <cell r="AC139">
            <v>0</v>
          </cell>
          <cell r="AD139">
            <v>0</v>
          </cell>
        </row>
        <row r="140">
          <cell r="B140" t="str">
            <v>JTRS GMR (Ground Mobile Radio)</v>
          </cell>
          <cell r="C140" t="str">
            <v>USMC CH/MH-53E</v>
          </cell>
          <cell r="P140" t="str">
            <v>Total $5.5B program potential</v>
          </cell>
          <cell r="S140">
            <v>200</v>
          </cell>
          <cell r="T140">
            <v>150</v>
          </cell>
          <cell r="U140">
            <v>100</v>
          </cell>
          <cell r="V140">
            <v>100</v>
          </cell>
          <cell r="W140">
            <v>100</v>
          </cell>
          <cell r="X140">
            <v>100</v>
          </cell>
          <cell r="Y140">
            <v>100</v>
          </cell>
          <cell r="Z140">
            <v>100</v>
          </cell>
          <cell r="AA140" t="str">
            <v>- IDIQ thru 2014, stock replenishment levels</v>
          </cell>
          <cell r="AB140">
            <v>2020</v>
          </cell>
          <cell r="AC140">
            <v>2040</v>
          </cell>
          <cell r="AD140">
            <v>2050</v>
          </cell>
          <cell r="AE140">
            <v>125</v>
          </cell>
          <cell r="AF140">
            <v>125</v>
          </cell>
          <cell r="AG140" t="str">
            <v>http://www.rockwellcollins.com/products/gov/surface/soldier/jtrs-hms/index.html</v>
          </cell>
          <cell r="AH140">
            <v>125</v>
          </cell>
          <cell r="AO140" t="str">
            <v>http://www.rockwellcollins.com/products/gov/airborne/cargo-utility/chmh53e/index.html</v>
          </cell>
        </row>
        <row r="141">
          <cell r="A141" t="str">
            <v>Surface Solutions Program Build</v>
          </cell>
          <cell r="B141" t="str">
            <v>JTRS HMS (Handheld / Manpack / Small Form Fit)</v>
          </cell>
          <cell r="C141" t="str">
            <v>Difference vs. Top-Down Segment Forecast</v>
          </cell>
          <cell r="L141" t="str">
            <v>Program Value</v>
          </cell>
          <cell r="S141">
            <v>0</v>
          </cell>
          <cell r="T141">
            <v>84</v>
          </cell>
          <cell r="U141">
            <v>100</v>
          </cell>
          <cell r="V141">
            <v>100</v>
          </cell>
          <cell r="W141">
            <v>100</v>
          </cell>
          <cell r="X141">
            <v>100</v>
          </cell>
          <cell r="Y141">
            <v>100</v>
          </cell>
          <cell r="Z141">
            <v>100</v>
          </cell>
          <cell r="AA141">
            <v>0</v>
          </cell>
          <cell r="AB141">
            <v>0</v>
          </cell>
          <cell r="AC141">
            <v>0</v>
          </cell>
          <cell r="AD141">
            <v>0</v>
          </cell>
          <cell r="AE141">
            <v>125</v>
          </cell>
          <cell r="AF141">
            <v>125</v>
          </cell>
          <cell r="AG141" t="str">
            <v>http://www.rockwellcollins.com/products/gov/surface/soldier/jtrs-hms/index.html</v>
          </cell>
          <cell r="AH141">
            <v>125</v>
          </cell>
          <cell r="AO141" t="str">
            <v>http://www.rockwellcollins.com/products/gov/airborne/cargo-utility/uh60m/index.html</v>
          </cell>
        </row>
        <row r="142">
          <cell r="B142" t="str">
            <v>MIDS-JTRS (DataLink Solutions JV with BAE Systems)</v>
          </cell>
          <cell r="C142" t="str">
            <v>International Black Hawk</v>
          </cell>
          <cell r="P142" t="str">
            <v>Total $5.5B program potential</v>
          </cell>
          <cell r="S142">
            <v>200</v>
          </cell>
          <cell r="T142">
            <v>150</v>
          </cell>
          <cell r="U142">
            <v>100</v>
          </cell>
          <cell r="V142">
            <v>100</v>
          </cell>
          <cell r="W142">
            <v>100</v>
          </cell>
          <cell r="X142">
            <v>100</v>
          </cell>
          <cell r="Y142">
            <v>100</v>
          </cell>
          <cell r="Z142">
            <v>100</v>
          </cell>
          <cell r="AA142" t="str">
            <v>- IDIQ thru 2014, stock replenishment levels</v>
          </cell>
          <cell r="AB142">
            <v>0</v>
          </cell>
          <cell r="AC142">
            <v>0</v>
          </cell>
          <cell r="AD142">
            <v>0</v>
          </cell>
          <cell r="AE142">
            <v>0</v>
          </cell>
          <cell r="AF142">
            <v>0</v>
          </cell>
          <cell r="AG142" t="str">
            <v>http://www.rockwellcollins.com/products/gov/surface/soldier/jtrs-hms/index.html</v>
          </cell>
          <cell r="AH142">
            <v>0</v>
          </cell>
          <cell r="AJ142" t="str">
            <v>Look at UTX</v>
          </cell>
        </row>
        <row r="143">
          <cell r="A143" t="str">
            <v>Surface Solutions Program Build</v>
          </cell>
          <cell r="B143" t="str">
            <v>JPALS (Jt. Precision Approach and Landing System)</v>
          </cell>
          <cell r="C143" t="str">
            <v>CH-47 Chinook</v>
          </cell>
          <cell r="L143">
            <v>94</v>
          </cell>
          <cell r="M143" t="str">
            <v>http://www.rockwellcollins.com/news/page11137.html</v>
          </cell>
          <cell r="S143">
            <v>0</v>
          </cell>
          <cell r="T143">
            <v>84</v>
          </cell>
          <cell r="U143">
            <v>100</v>
          </cell>
          <cell r="V143">
            <v>100</v>
          </cell>
          <cell r="W143">
            <v>100</v>
          </cell>
          <cell r="X143">
            <v>100</v>
          </cell>
          <cell r="Y143">
            <v>100</v>
          </cell>
          <cell r="Z143">
            <v>100</v>
          </cell>
          <cell r="AA143">
            <v>275</v>
          </cell>
          <cell r="AB143">
            <v>280</v>
          </cell>
          <cell r="AC143">
            <v>290</v>
          </cell>
          <cell r="AD143">
            <v>300</v>
          </cell>
          <cell r="AE143">
            <v>125</v>
          </cell>
          <cell r="AF143">
            <v>125</v>
          </cell>
          <cell r="AG143" t="str">
            <v>http://www.rockwellcollins.com/products/gov/surface/soldier/jtrs-hms/index.html</v>
          </cell>
          <cell r="AH143">
            <v>125</v>
          </cell>
          <cell r="AO143" t="str">
            <v>http://www.rockwellcollins.com/products/gov/airborne/cargo-utility/ch47/index.html</v>
          </cell>
        </row>
        <row r="144">
          <cell r="B144" t="str">
            <v>Soldier Displays</v>
          </cell>
          <cell r="C144" t="str">
            <v>767 Tanker</v>
          </cell>
          <cell r="L144">
            <v>94</v>
          </cell>
          <cell r="M144" t="str">
            <v>http://www.rockwellcollins.com/news/page11137.html</v>
          </cell>
          <cell r="P144" t="str">
            <v>Total $5.5B program potential</v>
          </cell>
          <cell r="S144">
            <v>200</v>
          </cell>
          <cell r="T144">
            <v>150</v>
          </cell>
          <cell r="U144">
            <v>100</v>
          </cell>
          <cell r="V144">
            <v>100</v>
          </cell>
          <cell r="W144">
            <v>100</v>
          </cell>
          <cell r="X144">
            <v>100</v>
          </cell>
          <cell r="Y144">
            <v>100</v>
          </cell>
          <cell r="Z144">
            <v>100</v>
          </cell>
          <cell r="AA144" t="str">
            <v>- IDIQ thru 2014, stock replenishment levels</v>
          </cell>
          <cell r="AB144">
            <v>50</v>
          </cell>
          <cell r="AC144">
            <v>50</v>
          </cell>
          <cell r="AD144">
            <v>50</v>
          </cell>
          <cell r="AE144" t="str">
            <v>- IDIQ thru 2014, stock replenishment levels</v>
          </cell>
          <cell r="AF144">
            <v>375</v>
          </cell>
          <cell r="AG144" t="str">
            <v>http://www.rockwellcollins.com/products/gov/surface/soldier/soldier-systems/index.html</v>
          </cell>
          <cell r="AH144">
            <v>375</v>
          </cell>
          <cell r="AJ144" t="str">
            <v>Big program</v>
          </cell>
          <cell r="AO144" t="str">
            <v>http://www.rockwellcollins.com/products/gov/airborne/tanker-transport/boeing767/index.html</v>
          </cell>
        </row>
        <row r="145">
          <cell r="B145" t="str">
            <v>Precision Targeting</v>
          </cell>
          <cell r="C145" t="str">
            <v>KC-10</v>
          </cell>
          <cell r="U145">
            <v>100</v>
          </cell>
          <cell r="V145">
            <v>100</v>
          </cell>
          <cell r="W145">
            <v>100</v>
          </cell>
          <cell r="X145">
            <v>100</v>
          </cell>
          <cell r="Y145">
            <v>100</v>
          </cell>
          <cell r="Z145">
            <v>100</v>
          </cell>
          <cell r="AA145">
            <v>275</v>
          </cell>
          <cell r="AB145">
            <v>280</v>
          </cell>
          <cell r="AC145">
            <v>290</v>
          </cell>
          <cell r="AD145">
            <v>300</v>
          </cell>
          <cell r="AE145">
            <v>0</v>
          </cell>
          <cell r="AF145">
            <v>0</v>
          </cell>
          <cell r="AG145" t="str">
            <v>http://www.rockwellcollins.com/products/gov/surface/precision-targeting/index.html</v>
          </cell>
          <cell r="AH145">
            <v>0</v>
          </cell>
          <cell r="AJ145" t="str">
            <v>Spring 2010</v>
          </cell>
          <cell r="AK145" t="str">
            <v>http://www.rockwellcollins.com/products/gov/surface/soldier/jtrs-hms/index.html</v>
          </cell>
          <cell r="AO145" t="str">
            <v>http://www.rockwellcollins.com/products/gov/airborne/tanker-transport/c130/index.html</v>
          </cell>
        </row>
        <row r="146">
          <cell r="B146" t="str">
            <v>Maritime Solutions</v>
          </cell>
          <cell r="C146" t="str">
            <v>C-130 International</v>
          </cell>
          <cell r="L146">
            <v>94</v>
          </cell>
          <cell r="M146" t="str">
            <v>http://www.rockwellcollins.com/news/page11137.html</v>
          </cell>
          <cell r="P146" t="str">
            <v>Total $5.5B program potential</v>
          </cell>
          <cell r="T146" t="str">
            <v>Total $5.5B program potential</v>
          </cell>
          <cell r="U146">
            <v>100</v>
          </cell>
          <cell r="V146">
            <v>100</v>
          </cell>
          <cell r="W146">
            <v>100</v>
          </cell>
          <cell r="X146">
            <v>100</v>
          </cell>
          <cell r="Y146">
            <v>100</v>
          </cell>
          <cell r="Z146">
            <v>100</v>
          </cell>
          <cell r="AA146">
            <v>100</v>
          </cell>
          <cell r="AB146">
            <v>100</v>
          </cell>
          <cell r="AC146">
            <v>100</v>
          </cell>
          <cell r="AD146">
            <v>100</v>
          </cell>
          <cell r="AE146" t="str">
            <v>- IDIQ thru 2014, stock replenishment levels</v>
          </cell>
          <cell r="AF146">
            <v>100</v>
          </cell>
          <cell r="AG146" t="str">
            <v>http://www.rockwellcollins.com/products/gov/surface/maritime-solutions/index.html</v>
          </cell>
          <cell r="AH146">
            <v>100</v>
          </cell>
          <cell r="AJ146" t="str">
            <v>Look at LMT</v>
          </cell>
          <cell r="AK146" t="str">
            <v>http://www.rockwellcollins.com/products/gov/surface/soldier/jtrs-hms/index.html</v>
          </cell>
          <cell r="AO146" t="str">
            <v>http://www.rockwellcollins.com/products/gov/airborne/tanker-transport/c130/index.html</v>
          </cell>
        </row>
        <row r="147">
          <cell r="B147" t="str">
            <v>Displays - California Highway Patrol</v>
          </cell>
          <cell r="C147" t="str">
            <v>Commando Solo (EC-130E/J)</v>
          </cell>
          <cell r="U147">
            <v>100</v>
          </cell>
          <cell r="V147">
            <v>100</v>
          </cell>
          <cell r="W147">
            <v>100</v>
          </cell>
          <cell r="X147">
            <v>100</v>
          </cell>
          <cell r="Y147">
            <v>100</v>
          </cell>
          <cell r="Z147">
            <v>100</v>
          </cell>
          <cell r="AA147">
            <v>100</v>
          </cell>
          <cell r="AB147">
            <v>100</v>
          </cell>
          <cell r="AC147">
            <v>100</v>
          </cell>
          <cell r="AD147">
            <v>100</v>
          </cell>
          <cell r="AE147">
            <v>25</v>
          </cell>
          <cell r="AF147">
            <v>25</v>
          </cell>
          <cell r="AG147" t="str">
            <v>http://www.rockwellcollins.com/products/gov/surface/soldier/jtrs-hms/index.html</v>
          </cell>
          <cell r="AH147">
            <v>25</v>
          </cell>
          <cell r="AJ147" t="str">
            <v>Look at LMT</v>
          </cell>
          <cell r="AK147" t="str">
            <v>http://www.rockwellcollins.com/products/gov/surface/soldier/jtrs-hms/index.html</v>
          </cell>
          <cell r="AO147" t="str">
            <v>http://www.rockwellcollins.com/products/gov/airborne/special-mission/commando-solo/index.html</v>
          </cell>
        </row>
        <row r="148">
          <cell r="B148" t="str">
            <v>Displays - Royal Canadian Mountain Police</v>
          </cell>
          <cell r="C148" t="str">
            <v>E-6B Mercury</v>
          </cell>
          <cell r="L148">
            <v>94</v>
          </cell>
          <cell r="M148" t="str">
            <v>http://www.rockwellcollins.com/news/page11137.html</v>
          </cell>
          <cell r="Q148" t="str">
            <v>http://www.rockwellcollins.com/news/page11137.html</v>
          </cell>
          <cell r="U148">
            <v>100</v>
          </cell>
          <cell r="V148">
            <v>100</v>
          </cell>
          <cell r="W148">
            <v>100</v>
          </cell>
          <cell r="X148">
            <v>100</v>
          </cell>
          <cell r="Y148">
            <v>100</v>
          </cell>
          <cell r="Z148">
            <v>100</v>
          </cell>
          <cell r="AA148">
            <v>100</v>
          </cell>
          <cell r="AB148">
            <v>100</v>
          </cell>
          <cell r="AC148">
            <v>100</v>
          </cell>
          <cell r="AD148">
            <v>100</v>
          </cell>
          <cell r="AE148">
            <v>25</v>
          </cell>
          <cell r="AF148">
            <v>25</v>
          </cell>
          <cell r="AG148" t="str">
            <v>http://www.rockwellcollins.com/products/gov/surface/precision-targeting/index.html</v>
          </cell>
          <cell r="AH148">
            <v>25</v>
          </cell>
          <cell r="AJ148" t="str">
            <v>Now on block 45</v>
          </cell>
          <cell r="AK148" t="str">
            <v>http://www.rockwellcollins.com/products/gov/surface/soldier/jtrs-hms/index.html</v>
          </cell>
          <cell r="AL148" t="str">
            <v>Comment in old transcript</v>
          </cell>
          <cell r="AO148" t="str">
            <v>http://www.rockwellcollins.com/products/gov/airborne/special-mission/e6b/index.html</v>
          </cell>
        </row>
        <row r="149">
          <cell r="B149" t="str">
            <v>Other</v>
          </cell>
          <cell r="C149" t="str">
            <v>U.S. Coast Guard Deepwater</v>
          </cell>
          <cell r="U149">
            <v>-20</v>
          </cell>
          <cell r="V149">
            <v>70</v>
          </cell>
          <cell r="W149">
            <v>110</v>
          </cell>
          <cell r="X149">
            <v>140</v>
          </cell>
          <cell r="Y149">
            <v>175</v>
          </cell>
          <cell r="Z149">
            <v>210</v>
          </cell>
          <cell r="AA149">
            <v>100</v>
          </cell>
          <cell r="AB149">
            <v>100</v>
          </cell>
          <cell r="AC149">
            <v>100</v>
          </cell>
          <cell r="AD149">
            <v>100</v>
          </cell>
          <cell r="AE149">
            <v>25</v>
          </cell>
          <cell r="AF149">
            <v>25</v>
          </cell>
          <cell r="AG149" t="str">
            <v>http://www.rockwellcollins.com/products/gov/surface/soldier/soldier-systems/index.html</v>
          </cell>
          <cell r="AH149">
            <v>25</v>
          </cell>
          <cell r="AI149" t="str">
            <v>- avionics update CN235-300M a/c</v>
          </cell>
          <cell r="AK149" t="str">
            <v>http://www.rockwellcollins.com/products/gov/surface/soldier/jtrs-hms/index.html</v>
          </cell>
          <cell r="AO149" t="str">
            <v>http://www.rockwellcollins.com/products/gov/airborne/special-mission/deepwater/index.html</v>
          </cell>
        </row>
        <row r="150">
          <cell r="B150" t="str">
            <v>Precision Targeting</v>
          </cell>
          <cell r="C150" t="str">
            <v>Joint STARS (Surveillance Target Attack Radar System)</v>
          </cell>
          <cell r="L150">
            <v>94</v>
          </cell>
          <cell r="M150" t="str">
            <v>http://www.rockwellcollins.com/news/page11137.html</v>
          </cell>
          <cell r="Q150" t="str">
            <v>http://www.rockwellcollins.com/news/page11137.html</v>
          </cell>
          <cell r="U150">
            <v>1030</v>
          </cell>
          <cell r="V150">
            <v>1080</v>
          </cell>
          <cell r="W150">
            <v>1130</v>
          </cell>
          <cell r="X150">
            <v>1170</v>
          </cell>
          <cell r="Y150">
            <v>1215</v>
          </cell>
          <cell r="Z150">
            <v>1260</v>
          </cell>
          <cell r="AA150">
            <v>100</v>
          </cell>
          <cell r="AB150">
            <v>100</v>
          </cell>
          <cell r="AC150">
            <v>100</v>
          </cell>
          <cell r="AD150">
            <v>100</v>
          </cell>
          <cell r="AE150">
            <v>25</v>
          </cell>
          <cell r="AF150">
            <v>25</v>
          </cell>
          <cell r="AG150" t="str">
            <v>http://www.rockwellcollins.com/products/gov/surface/precision-targeting/index.html</v>
          </cell>
          <cell r="AH150">
            <v>25</v>
          </cell>
          <cell r="AK150" t="str">
            <v>http://www.rockwellcollins.com/products/gov/surface/precision-targeting/index.html</v>
          </cell>
          <cell r="AO150" t="str">
            <v>http://www.rockwellcollins.com/products/gov/airborne/special-mission/joint-stars/index.html</v>
          </cell>
        </row>
        <row r="151">
          <cell r="B151" t="str">
            <v>Maritime Solutions</v>
          </cell>
          <cell r="C151" t="str">
            <v>P-3 Orion</v>
          </cell>
          <cell r="I151" t="str">
            <v>Common Avionics Architecture System (CAAS)</v>
          </cell>
          <cell r="U151">
            <v>1030</v>
          </cell>
          <cell r="V151">
            <v>1080</v>
          </cell>
          <cell r="W151">
            <v>1130</v>
          </cell>
          <cell r="X151">
            <v>1170</v>
          </cell>
          <cell r="Y151">
            <v>1215</v>
          </cell>
          <cell r="Z151">
            <v>1260</v>
          </cell>
          <cell r="AA151">
            <v>100</v>
          </cell>
          <cell r="AB151">
            <v>100</v>
          </cell>
          <cell r="AC151">
            <v>100</v>
          </cell>
          <cell r="AD151">
            <v>100</v>
          </cell>
          <cell r="AE151">
            <v>25</v>
          </cell>
          <cell r="AF151">
            <v>25</v>
          </cell>
          <cell r="AG151" t="str">
            <v>http://www.rockwellcollins.com/products/gov/surface/maritime-solutions/index.html</v>
          </cell>
          <cell r="AH151">
            <v>25</v>
          </cell>
          <cell r="AK151" t="str">
            <v>http://www.rockwellcollins.com/products/gov/surface/soldier/soldier-systems/index.html</v>
          </cell>
          <cell r="AO151" t="str">
            <v>http://www.rockwellcollins.com/products/gov/airborne/special-mission/p3/index.html</v>
          </cell>
        </row>
        <row r="152">
          <cell r="B152" t="str">
            <v>Displays - California Highway Patrol</v>
          </cell>
          <cell r="C152" t="str">
            <v>S-92 Multi-Mission</v>
          </cell>
          <cell r="U152">
            <v>0</v>
          </cell>
          <cell r="V152">
            <v>0</v>
          </cell>
          <cell r="W152">
            <v>0</v>
          </cell>
          <cell r="X152">
            <v>0</v>
          </cell>
          <cell r="Y152">
            <v>0</v>
          </cell>
          <cell r="Z152">
            <v>0</v>
          </cell>
          <cell r="AA152">
            <v>100</v>
          </cell>
          <cell r="AB152">
            <v>100</v>
          </cell>
          <cell r="AC152">
            <v>100</v>
          </cell>
          <cell r="AD152">
            <v>100</v>
          </cell>
          <cell r="AE152">
            <v>50</v>
          </cell>
          <cell r="AF152">
            <v>50</v>
          </cell>
          <cell r="AG152">
            <v>50</v>
          </cell>
          <cell r="AH152">
            <v>50</v>
          </cell>
          <cell r="AJ152" t="str">
            <v>Look at UTX</v>
          </cell>
          <cell r="AK152" t="str">
            <v>http://www.rockwellcollins.com/products/gov/surface/precision-targeting/index.html</v>
          </cell>
          <cell r="AO152" t="str">
            <v>http://www.rockwellcollins.com/products/gov/airborne/special-mission/civil-transport/index.html</v>
          </cell>
        </row>
        <row r="153">
          <cell r="B153" t="str">
            <v>Displays - Royal Canadian Mountain Police</v>
          </cell>
          <cell r="C153" t="str">
            <v>U.S. Coast Guard MH-60T</v>
          </cell>
          <cell r="U153">
            <v>0</v>
          </cell>
          <cell r="V153">
            <v>0</v>
          </cell>
          <cell r="W153">
            <v>0</v>
          </cell>
          <cell r="X153">
            <v>0</v>
          </cell>
          <cell r="Y153">
            <v>0</v>
          </cell>
          <cell r="Z153">
            <v>0</v>
          </cell>
          <cell r="AA153">
            <v>100</v>
          </cell>
          <cell r="AB153">
            <v>100</v>
          </cell>
          <cell r="AC153">
            <v>100</v>
          </cell>
          <cell r="AD153">
            <v>100</v>
          </cell>
          <cell r="AE153">
            <v>50</v>
          </cell>
          <cell r="AF153">
            <v>50</v>
          </cell>
          <cell r="AG153">
            <v>50</v>
          </cell>
          <cell r="AH153">
            <v>50</v>
          </cell>
          <cell r="AJ153" t="str">
            <v>Look at UTX</v>
          </cell>
          <cell r="AK153" t="str">
            <v>http://www.rockwellcollins.com/products/gov/surface/maritime-solutions/index.html</v>
          </cell>
          <cell r="AO153" t="str">
            <v>http://www.rockwellcollins.com/products/gov/airborne/special-mission/mh-60t/index.html</v>
          </cell>
        </row>
        <row r="154">
          <cell r="B154" t="str">
            <v>Other</v>
          </cell>
          <cell r="C154" t="str">
            <v>S-70B SEAHAWK</v>
          </cell>
          <cell r="U154">
            <v>-20</v>
          </cell>
          <cell r="V154">
            <v>55</v>
          </cell>
          <cell r="W154">
            <v>105</v>
          </cell>
          <cell r="X154">
            <v>140</v>
          </cell>
          <cell r="Y154">
            <v>165</v>
          </cell>
          <cell r="Z154">
            <v>190</v>
          </cell>
          <cell r="AA154">
            <v>70</v>
          </cell>
          <cell r="AB154">
            <v>90</v>
          </cell>
          <cell r="AC154">
            <v>100</v>
          </cell>
          <cell r="AD154">
            <v>110</v>
          </cell>
          <cell r="AE154">
            <v>50</v>
          </cell>
          <cell r="AF154">
            <v>50</v>
          </cell>
          <cell r="AG154">
            <v>50</v>
          </cell>
          <cell r="AH154">
            <v>50</v>
          </cell>
          <cell r="AJ154" t="str">
            <v>Look at UTX</v>
          </cell>
          <cell r="AO154" t="str">
            <v>http://www.rockwellcollins.com/products/gov/airborne/special-mission/s-70b/index.html</v>
          </cell>
        </row>
        <row r="155">
          <cell r="A155" t="str">
            <v>Quarterly Marginal Sales Disclosure</v>
          </cell>
          <cell r="B155" t="str">
            <v>Displays - Royal Canadian Mountain Police</v>
          </cell>
          <cell r="C155" t="str">
            <v>USMC VH-60N (Presidential Helicopter)</v>
          </cell>
          <cell r="L155" t="str">
            <v>Program Value</v>
          </cell>
          <cell r="U155">
            <v>1030</v>
          </cell>
          <cell r="V155">
            <v>1065</v>
          </cell>
          <cell r="W155">
            <v>1125</v>
          </cell>
          <cell r="X155">
            <v>1170</v>
          </cell>
          <cell r="Y155">
            <v>1205</v>
          </cell>
          <cell r="Z155">
            <v>1240</v>
          </cell>
          <cell r="AA155">
            <v>1095</v>
          </cell>
          <cell r="AB155">
            <v>1120</v>
          </cell>
          <cell r="AC155">
            <v>1140</v>
          </cell>
          <cell r="AD155">
            <v>1160</v>
          </cell>
          <cell r="AE155">
            <v>25</v>
          </cell>
          <cell r="AF155">
            <v>25</v>
          </cell>
          <cell r="AG155">
            <v>25</v>
          </cell>
          <cell r="AH155">
            <v>25</v>
          </cell>
          <cell r="AO155" t="str">
            <v>http://www.rockwellcollins.com/products/gov/airborne/special-mission/vh-60n/index.html</v>
          </cell>
        </row>
        <row r="156">
          <cell r="A156" t="str">
            <v>Quarterly Marginal Sales Disclosure</v>
          </cell>
          <cell r="B156" t="str">
            <v>Other</v>
          </cell>
          <cell r="L156" t="str">
            <v>Program Value</v>
          </cell>
          <cell r="U156">
            <v>1030</v>
          </cell>
          <cell r="V156">
            <v>1065</v>
          </cell>
          <cell r="W156">
            <v>1125</v>
          </cell>
          <cell r="X156">
            <v>1170</v>
          </cell>
          <cell r="Y156">
            <v>1205</v>
          </cell>
          <cell r="Z156">
            <v>1240</v>
          </cell>
          <cell r="AA156">
            <v>70</v>
          </cell>
          <cell r="AB156">
            <v>90</v>
          </cell>
          <cell r="AC156">
            <v>100</v>
          </cell>
          <cell r="AD156">
            <v>110</v>
          </cell>
          <cell r="AE156">
            <v>300</v>
          </cell>
          <cell r="AF156">
            <v>300</v>
          </cell>
          <cell r="AG156">
            <v>300</v>
          </cell>
          <cell r="AH156">
            <v>300</v>
          </cell>
        </row>
        <row r="157">
          <cell r="B157" t="str">
            <v>4Q 08 Airborne Solutions</v>
          </cell>
          <cell r="T157">
            <v>459</v>
          </cell>
          <cell r="U157">
            <v>0</v>
          </cell>
          <cell r="V157">
            <v>0</v>
          </cell>
          <cell r="W157">
            <v>0</v>
          </cell>
          <cell r="X157">
            <v>0</v>
          </cell>
          <cell r="Y157">
            <v>0</v>
          </cell>
          <cell r="Z157">
            <v>0</v>
          </cell>
          <cell r="AA157">
            <v>1095</v>
          </cell>
          <cell r="AB157">
            <v>1120</v>
          </cell>
          <cell r="AC157">
            <v>1140</v>
          </cell>
          <cell r="AD157">
            <v>1160</v>
          </cell>
        </row>
        <row r="158">
          <cell r="A158" t="str">
            <v>Quarterly Marginal Sales Disclosure</v>
          </cell>
          <cell r="B158" t="str">
            <v>SEOS Group</v>
          </cell>
          <cell r="L158" t="str">
            <v>Program Value</v>
          </cell>
          <cell r="T158">
            <v>5</v>
          </cell>
          <cell r="W158">
            <v>704</v>
          </cell>
          <cell r="X158">
            <v>818</v>
          </cell>
          <cell r="Y158">
            <v>1009</v>
          </cell>
          <cell r="Z158">
            <v>1000</v>
          </cell>
          <cell r="AA158">
            <v>1095</v>
          </cell>
          <cell r="AB158">
            <v>1120</v>
          </cell>
          <cell r="AC158">
            <v>1140</v>
          </cell>
          <cell r="AD158">
            <v>1160</v>
          </cell>
        </row>
        <row r="159">
          <cell r="B159" t="str">
            <v>Organic:</v>
          </cell>
          <cell r="C159" t="str">
            <v>F-15 Eagle</v>
          </cell>
          <cell r="T159">
            <v>11</v>
          </cell>
          <cell r="W159">
            <v>0</v>
          </cell>
          <cell r="X159">
            <v>0</v>
          </cell>
          <cell r="Y159">
            <v>0</v>
          </cell>
          <cell r="Z159">
            <v>0</v>
          </cell>
          <cell r="AA159">
            <v>0</v>
          </cell>
          <cell r="AB159">
            <v>0</v>
          </cell>
          <cell r="AC159">
            <v>0</v>
          </cell>
          <cell r="AD159">
            <v>0</v>
          </cell>
          <cell r="AE159">
            <v>20</v>
          </cell>
          <cell r="AF159">
            <v>20</v>
          </cell>
          <cell r="AG159">
            <v>20</v>
          </cell>
          <cell r="AH159">
            <v>20</v>
          </cell>
          <cell r="AO159" t="str">
            <v>http://www.rockwellcollins.com/products/gov/airborne/fighters/f15/index.html</v>
          </cell>
        </row>
        <row r="160">
          <cell r="A160" t="str">
            <v>Quarterly Marginal Sales Disclosure</v>
          </cell>
          <cell r="B160" t="str">
            <v>+ F-15 Head-Down Displays</v>
          </cell>
          <cell r="C160" t="str">
            <v>F-16 Fighting Falcon</v>
          </cell>
          <cell r="L160" t="str">
            <v>Program Value</v>
          </cell>
          <cell r="T160">
            <v>11</v>
          </cell>
          <cell r="AA160">
            <v>20</v>
          </cell>
          <cell r="AB160">
            <v>20</v>
          </cell>
          <cell r="AC160">
            <v>20</v>
          </cell>
          <cell r="AD160">
            <v>20</v>
          </cell>
          <cell r="AE160">
            <v>20</v>
          </cell>
          <cell r="AF160">
            <v>20</v>
          </cell>
          <cell r="AG160">
            <v>20</v>
          </cell>
          <cell r="AH160">
            <v>20</v>
          </cell>
          <cell r="AO160" t="str">
            <v>http://www.rockwellcollins.com/products/gov/airborne/fighters/f16/index.html</v>
          </cell>
        </row>
        <row r="161">
          <cell r="B161" t="str">
            <v>+ UAV Controls</v>
          </cell>
          <cell r="C161" t="str">
            <v>F/A-18 Super Hornet</v>
          </cell>
          <cell r="T161">
            <v>5</v>
          </cell>
          <cell r="AA161">
            <v>20</v>
          </cell>
          <cell r="AB161">
            <v>20</v>
          </cell>
          <cell r="AC161">
            <v>20</v>
          </cell>
          <cell r="AD161">
            <v>20</v>
          </cell>
          <cell r="AE161">
            <v>20</v>
          </cell>
          <cell r="AF161">
            <v>20</v>
          </cell>
          <cell r="AG161">
            <v>20</v>
          </cell>
          <cell r="AH161">
            <v>20</v>
          </cell>
          <cell r="AI161" t="str">
            <v>- avionics update CN235-300M a/c</v>
          </cell>
          <cell r="AO161" t="str">
            <v>http://www.rockwellcollins.com/products/gov/airborne/fighters/f18/index.html</v>
          </cell>
        </row>
        <row r="162">
          <cell r="A162" t="str">
            <v>Quarterly Marginal Sales Disclosure</v>
          </cell>
          <cell r="B162" t="str">
            <v>4Q09 Airborne Solutions</v>
          </cell>
          <cell r="C162" t="str">
            <v>F-22A Raptor</v>
          </cell>
          <cell r="L162" t="str">
            <v>Program Value</v>
          </cell>
          <cell r="T162">
            <v>475</v>
          </cell>
          <cell r="X162">
            <v>459</v>
          </cell>
          <cell r="AA162">
            <v>20</v>
          </cell>
          <cell r="AB162">
            <v>20</v>
          </cell>
          <cell r="AC162">
            <v>20</v>
          </cell>
          <cell r="AD162">
            <v>20</v>
          </cell>
          <cell r="AE162">
            <v>20</v>
          </cell>
          <cell r="AF162">
            <v>20</v>
          </cell>
          <cell r="AG162">
            <v>20</v>
          </cell>
          <cell r="AH162">
            <v>20</v>
          </cell>
          <cell r="AO162" t="str">
            <v>http://www.rockwellcollins.com/products/gov/airborne/fighters/f22/index.html</v>
          </cell>
        </row>
        <row r="163">
          <cell r="B163" t="str">
            <v>SEOS Group</v>
          </cell>
          <cell r="C163" t="str">
            <v>F-35 Joint Strike Fighter</v>
          </cell>
          <cell r="T163">
            <v>5</v>
          </cell>
          <cell r="X163">
            <v>5</v>
          </cell>
          <cell r="AA163">
            <v>20</v>
          </cell>
          <cell r="AB163">
            <v>20</v>
          </cell>
          <cell r="AC163">
            <v>20</v>
          </cell>
          <cell r="AD163">
            <v>20</v>
          </cell>
          <cell r="AE163">
            <v>20</v>
          </cell>
          <cell r="AF163">
            <v>20</v>
          </cell>
          <cell r="AG163">
            <v>20</v>
          </cell>
          <cell r="AH163">
            <v>20</v>
          </cell>
          <cell r="AO163" t="str">
            <v>http://www.rockwellcollins.com/products/gov/airborne/fighters/f35/index.html</v>
          </cell>
        </row>
        <row r="164">
          <cell r="B164" t="str">
            <v>4Q 08 Surface Solutions</v>
          </cell>
          <cell r="C164" t="str">
            <v>B-1B Lancer</v>
          </cell>
          <cell r="T164">
            <v>177</v>
          </cell>
          <cell r="X164">
            <v>459</v>
          </cell>
          <cell r="AA164">
            <v>20</v>
          </cell>
          <cell r="AB164">
            <v>20</v>
          </cell>
          <cell r="AC164">
            <v>20</v>
          </cell>
          <cell r="AD164">
            <v>20</v>
          </cell>
          <cell r="AE164">
            <v>20</v>
          </cell>
          <cell r="AF164">
            <v>20</v>
          </cell>
          <cell r="AG164">
            <v>20</v>
          </cell>
          <cell r="AH164">
            <v>20</v>
          </cell>
          <cell r="AJ164" t="str">
            <v>Look at UTX</v>
          </cell>
          <cell r="AO164" t="str">
            <v>http://www.rockwellcollins.com/products/gov/airborne/fighters/B-1B/index.html</v>
          </cell>
        </row>
        <row r="165">
          <cell r="B165" t="str">
            <v>DataPath</v>
          </cell>
          <cell r="C165" t="str">
            <v>B-52H</v>
          </cell>
          <cell r="T165">
            <v>61</v>
          </cell>
          <cell r="X165">
            <v>5</v>
          </cell>
          <cell r="AA165">
            <v>20</v>
          </cell>
          <cell r="AB165">
            <v>20</v>
          </cell>
          <cell r="AC165">
            <v>20</v>
          </cell>
          <cell r="AD165">
            <v>20</v>
          </cell>
          <cell r="AE165">
            <v>20</v>
          </cell>
          <cell r="AF165">
            <v>20</v>
          </cell>
          <cell r="AG165">
            <v>20</v>
          </cell>
          <cell r="AH165">
            <v>20</v>
          </cell>
          <cell r="AJ165" t="str">
            <v>Look at UTX</v>
          </cell>
          <cell r="AO165" t="str">
            <v>http://www.rockwellcollins.com/products/gov/airborne/fighters/B-52/index.html</v>
          </cell>
        </row>
        <row r="166">
          <cell r="B166" t="str">
            <v>Organic:</v>
          </cell>
          <cell r="C166" t="str">
            <v>Mirage 2000 (Dassault)</v>
          </cell>
          <cell r="T166">
            <v>28</v>
          </cell>
          <cell r="X166">
            <v>11</v>
          </cell>
          <cell r="AA166">
            <v>20</v>
          </cell>
          <cell r="AB166">
            <v>20</v>
          </cell>
          <cell r="AC166">
            <v>20</v>
          </cell>
          <cell r="AD166">
            <v>20</v>
          </cell>
          <cell r="AE166">
            <v>20</v>
          </cell>
          <cell r="AF166">
            <v>20</v>
          </cell>
          <cell r="AG166">
            <v>20</v>
          </cell>
          <cell r="AH166">
            <v>20</v>
          </cell>
          <cell r="AJ166" t="str">
            <v>Look at UTX</v>
          </cell>
          <cell r="AO166" t="str">
            <v>http://www.rockwellcollins.com/products/gov/airborne/fighters/mirage/index.html</v>
          </cell>
        </row>
        <row r="167">
          <cell r="B167" t="str">
            <v>+ UK Precision Targeting</v>
          </cell>
          <cell r="C167" t="str">
            <v>Gripen (SAAB)</v>
          </cell>
          <cell r="T167">
            <v>475</v>
          </cell>
          <cell r="X167">
            <v>475</v>
          </cell>
          <cell r="AA167">
            <v>20</v>
          </cell>
          <cell r="AB167">
            <v>20</v>
          </cell>
          <cell r="AC167">
            <v>20</v>
          </cell>
          <cell r="AD167">
            <v>20</v>
          </cell>
          <cell r="AE167">
            <v>20</v>
          </cell>
          <cell r="AF167">
            <v>20</v>
          </cell>
          <cell r="AG167">
            <v>20</v>
          </cell>
          <cell r="AH167">
            <v>20</v>
          </cell>
          <cell r="AO167" t="str">
            <v>http://www.rockwellcollins.com/products/gov/airborne/fighters/gripen/index.html</v>
          </cell>
        </row>
        <row r="168">
          <cell r="B168" t="str">
            <v>+ JTRS</v>
          </cell>
          <cell r="T168">
            <v>61</v>
          </cell>
          <cell r="AA168">
            <v>180</v>
          </cell>
          <cell r="AB168">
            <v>180</v>
          </cell>
          <cell r="AC168">
            <v>180</v>
          </cell>
          <cell r="AD168">
            <v>180</v>
          </cell>
          <cell r="AE168">
            <v>180</v>
          </cell>
          <cell r="AF168">
            <v>180</v>
          </cell>
          <cell r="AG168">
            <v>180</v>
          </cell>
          <cell r="AH168">
            <v>180</v>
          </cell>
        </row>
        <row r="169">
          <cell r="B169" t="str">
            <v>+ JPALS</v>
          </cell>
          <cell r="T169">
            <v>177</v>
          </cell>
          <cell r="X169">
            <v>475</v>
          </cell>
        </row>
        <row r="170">
          <cell r="B170" t="str">
            <v>- DAGR</v>
          </cell>
          <cell r="T170">
            <v>61</v>
          </cell>
          <cell r="X170">
            <v>61</v>
          </cell>
        </row>
        <row r="171">
          <cell r="B171" t="str">
            <v>- GB-GRAM</v>
          </cell>
          <cell r="C171" t="str">
            <v>Athena Technologies</v>
          </cell>
          <cell r="T171">
            <v>28</v>
          </cell>
          <cell r="X171">
            <v>177</v>
          </cell>
          <cell r="AA171">
            <v>22</v>
          </cell>
          <cell r="AB171">
            <v>50</v>
          </cell>
          <cell r="AC171">
            <v>100</v>
          </cell>
          <cell r="AD171">
            <v>120</v>
          </cell>
          <cell r="AE171">
            <v>140</v>
          </cell>
          <cell r="AF171">
            <v>160</v>
          </cell>
          <cell r="AG171">
            <v>180</v>
          </cell>
          <cell r="AH171">
            <v>200</v>
          </cell>
          <cell r="AO171" t="str">
            <v>http://www.rockwellcollins.com/products/gov/airborne/uas-solutions/flight-controls/index.html</v>
          </cell>
        </row>
        <row r="172">
          <cell r="B172" t="str">
            <v>4Q09 Surface Solutions</v>
          </cell>
          <cell r="C172" t="str">
            <v>Other</v>
          </cell>
          <cell r="T172">
            <v>266</v>
          </cell>
          <cell r="X172">
            <v>61</v>
          </cell>
          <cell r="AA172">
            <v>10</v>
          </cell>
          <cell r="AB172">
            <v>20</v>
          </cell>
          <cell r="AC172">
            <v>30</v>
          </cell>
          <cell r="AD172">
            <v>40</v>
          </cell>
          <cell r="AE172">
            <v>50</v>
          </cell>
          <cell r="AF172">
            <v>60</v>
          </cell>
          <cell r="AG172">
            <v>70</v>
          </cell>
          <cell r="AH172">
            <v>80</v>
          </cell>
          <cell r="AO172" t="str">
            <v>http://www.rockwellcollins.com/products/gov/airborne/fighters/f16/index.html</v>
          </cell>
        </row>
        <row r="173">
          <cell r="B173" t="str">
            <v>+ JTRS</v>
          </cell>
          <cell r="C173" t="str">
            <v>F/A-18 Super Hornet</v>
          </cell>
          <cell r="T173">
            <v>266</v>
          </cell>
          <cell r="X173">
            <v>28</v>
          </cell>
          <cell r="AA173">
            <v>32</v>
          </cell>
          <cell r="AB173">
            <v>70</v>
          </cell>
          <cell r="AC173">
            <v>130</v>
          </cell>
          <cell r="AD173">
            <v>160</v>
          </cell>
          <cell r="AE173">
            <v>190</v>
          </cell>
          <cell r="AF173">
            <v>220</v>
          </cell>
          <cell r="AG173">
            <v>250</v>
          </cell>
          <cell r="AH173">
            <v>280</v>
          </cell>
          <cell r="AO173" t="str">
            <v>http://www.rockwellcollins.com/products/gov/airborne/fighters/f18/index.html</v>
          </cell>
        </row>
        <row r="174">
          <cell r="B174" t="str">
            <v>1Q 09 Airborne Solutions</v>
          </cell>
          <cell r="C174" t="str">
            <v>F-22A Raptor</v>
          </cell>
          <cell r="T174">
            <v>403</v>
          </cell>
          <cell r="AA174">
            <v>20</v>
          </cell>
          <cell r="AB174">
            <v>20</v>
          </cell>
          <cell r="AC174">
            <v>20</v>
          </cell>
          <cell r="AD174">
            <v>20</v>
          </cell>
          <cell r="AE174">
            <v>20</v>
          </cell>
          <cell r="AF174">
            <v>20</v>
          </cell>
          <cell r="AG174">
            <v>20</v>
          </cell>
          <cell r="AH174">
            <v>20</v>
          </cell>
          <cell r="AO174" t="str">
            <v>http://www.rockwellcollins.com/products/gov/airborne/fighters/f22/index.html</v>
          </cell>
        </row>
        <row r="175">
          <cell r="B175" t="str">
            <v>SEOS Group</v>
          </cell>
          <cell r="C175" t="str">
            <v>F-35 Joint Strike Fighter</v>
          </cell>
          <cell r="T175">
            <v>5</v>
          </cell>
          <cell r="AA175">
            <v>500</v>
          </cell>
          <cell r="AB175">
            <v>561</v>
          </cell>
          <cell r="AC175">
            <v>592</v>
          </cell>
          <cell r="AD175">
            <v>680</v>
          </cell>
          <cell r="AE175">
            <v>630</v>
          </cell>
          <cell r="AF175">
            <v>650</v>
          </cell>
          <cell r="AG175">
            <v>645</v>
          </cell>
          <cell r="AH175">
            <v>690</v>
          </cell>
          <cell r="AO175" t="str">
            <v>http://www.rockwellcollins.com/products/gov/airborne/fighters/f35/index.html</v>
          </cell>
        </row>
        <row r="176">
          <cell r="B176" t="str">
            <v>Organic:</v>
          </cell>
          <cell r="C176" t="str">
            <v>B-1B Lancer</v>
          </cell>
          <cell r="T176">
            <v>2</v>
          </cell>
          <cell r="AA176">
            <v>20</v>
          </cell>
          <cell r="AB176">
            <v>20</v>
          </cell>
          <cell r="AC176">
            <v>20</v>
          </cell>
          <cell r="AD176">
            <v>20</v>
          </cell>
          <cell r="AE176">
            <v>20</v>
          </cell>
          <cell r="AF176">
            <v>20</v>
          </cell>
          <cell r="AG176">
            <v>20</v>
          </cell>
          <cell r="AH176">
            <v>20</v>
          </cell>
          <cell r="AO176" t="str">
            <v>http://www.rockwellcollins.com/products/gov/airborne/fighters/B-1B/index.html</v>
          </cell>
        </row>
        <row r="177">
          <cell r="B177" t="str">
            <v>+ Transport / Tanker</v>
          </cell>
          <cell r="C177" t="str">
            <v>B-52H</v>
          </cell>
          <cell r="T177">
            <v>266</v>
          </cell>
          <cell r="X177">
            <v>266</v>
          </cell>
          <cell r="AA177">
            <v>1662</v>
          </cell>
          <cell r="AB177">
            <v>1761</v>
          </cell>
          <cell r="AC177">
            <v>1852</v>
          </cell>
          <cell r="AD177">
            <v>1970</v>
          </cell>
          <cell r="AE177">
            <v>2000</v>
          </cell>
          <cell r="AF177">
            <v>2100</v>
          </cell>
          <cell r="AG177">
            <v>2150</v>
          </cell>
          <cell r="AH177">
            <v>2250</v>
          </cell>
          <cell r="AO177" t="str">
            <v>http://www.rockwellcollins.com/products/gov/airborne/fighters/B-52/index.html</v>
          </cell>
        </row>
        <row r="178">
          <cell r="B178" t="str">
            <v>- F-22</v>
          </cell>
          <cell r="C178" t="str">
            <v>Difference vs. Top-Down Segment Forecast</v>
          </cell>
          <cell r="T178">
            <v>5</v>
          </cell>
          <cell r="AA178">
            <v>0</v>
          </cell>
          <cell r="AB178">
            <v>0</v>
          </cell>
          <cell r="AC178">
            <v>0</v>
          </cell>
          <cell r="AD178">
            <v>0</v>
          </cell>
          <cell r="AE178">
            <v>0</v>
          </cell>
          <cell r="AF178">
            <v>0</v>
          </cell>
          <cell r="AG178">
            <v>0</v>
          </cell>
          <cell r="AH178">
            <v>0</v>
          </cell>
          <cell r="AO178" t="str">
            <v>http://www.rockwellcollins.com/products/gov/airborne/fighters/mirage/index.html</v>
          </cell>
        </row>
        <row r="179">
          <cell r="B179" t="str">
            <v>1Q10 Airborne Solutions</v>
          </cell>
          <cell r="C179" t="str">
            <v>Gripen (SAAB)</v>
          </cell>
          <cell r="T179">
            <v>410</v>
          </cell>
          <cell r="X179">
            <v>266</v>
          </cell>
          <cell r="AA179">
            <v>20</v>
          </cell>
          <cell r="AB179">
            <v>20</v>
          </cell>
          <cell r="AC179">
            <v>20</v>
          </cell>
          <cell r="AD179">
            <v>20</v>
          </cell>
          <cell r="AE179">
            <v>20</v>
          </cell>
          <cell r="AF179">
            <v>20</v>
          </cell>
          <cell r="AG179">
            <v>20</v>
          </cell>
          <cell r="AH179">
            <v>20</v>
          </cell>
          <cell r="AO179" t="str">
            <v>http://www.rockwellcollins.com/products/gov/airborne/fighters/gripen/index.html</v>
          </cell>
        </row>
        <row r="180">
          <cell r="A180" t="str">
            <v>Surface Solutions Program Build</v>
          </cell>
          <cell r="B180" t="str">
            <v>SEOS Group</v>
          </cell>
          <cell r="L180" t="str">
            <v>Program Value</v>
          </cell>
          <cell r="T180">
            <v>5</v>
          </cell>
          <cell r="X180">
            <v>5</v>
          </cell>
          <cell r="AA180">
            <v>180</v>
          </cell>
          <cell r="AB180">
            <v>180</v>
          </cell>
          <cell r="AC180">
            <v>180</v>
          </cell>
          <cell r="AD180">
            <v>180</v>
          </cell>
          <cell r="AE180">
            <v>180</v>
          </cell>
          <cell r="AF180">
            <v>180</v>
          </cell>
          <cell r="AG180">
            <v>180</v>
          </cell>
          <cell r="AH180">
            <v>180</v>
          </cell>
        </row>
        <row r="181">
          <cell r="B181" t="str">
            <v>1Q 09 Surface Solutions</v>
          </cell>
          <cell r="T181">
            <v>171</v>
          </cell>
          <cell r="X181">
            <v>403</v>
          </cell>
        </row>
        <row r="182">
          <cell r="B182" t="str">
            <v>DataPath</v>
          </cell>
          <cell r="T182">
            <v>60</v>
          </cell>
          <cell r="X182">
            <v>5</v>
          </cell>
          <cell r="AA182">
            <v>0</v>
          </cell>
          <cell r="AB182">
            <v>84</v>
          </cell>
          <cell r="AC182">
            <v>256</v>
          </cell>
          <cell r="AD182">
            <v>240</v>
          </cell>
          <cell r="AE182">
            <v>250</v>
          </cell>
          <cell r="AF182">
            <v>275</v>
          </cell>
          <cell r="AG182">
            <v>290</v>
          </cell>
          <cell r="AH182">
            <v>300</v>
          </cell>
        </row>
        <row r="183">
          <cell r="B183" t="str">
            <v>Organic:</v>
          </cell>
          <cell r="C183" t="str">
            <v>Athena Technologies</v>
          </cell>
          <cell r="P183" t="str">
            <v>Total $5.5B program potential</v>
          </cell>
          <cell r="T183">
            <v>-25</v>
          </cell>
          <cell r="X183">
            <v>2</v>
          </cell>
          <cell r="AA183">
            <v>200</v>
          </cell>
          <cell r="AB183">
            <v>150</v>
          </cell>
          <cell r="AC183">
            <v>100</v>
          </cell>
          <cell r="AD183">
            <v>50</v>
          </cell>
          <cell r="AE183">
            <v>50</v>
          </cell>
          <cell r="AF183">
            <v>50</v>
          </cell>
          <cell r="AG183">
            <v>50</v>
          </cell>
          <cell r="AH183">
            <v>50</v>
          </cell>
          <cell r="AI183" t="str">
            <v>- IDIQ thru 2014, stock replenishment levels</v>
          </cell>
          <cell r="AO183" t="str">
            <v>http://www.rockwellcollins.com/products/gov/airborne/uas-solutions/flight-controls/index.html</v>
          </cell>
        </row>
        <row r="184">
          <cell r="B184" t="str">
            <v>- DAGR</v>
          </cell>
          <cell r="C184" t="str">
            <v>Other</v>
          </cell>
          <cell r="T184">
            <v>410</v>
          </cell>
          <cell r="X184">
            <v>410</v>
          </cell>
          <cell r="AA184">
            <v>10</v>
          </cell>
          <cell r="AB184">
            <v>20</v>
          </cell>
          <cell r="AC184">
            <v>100</v>
          </cell>
          <cell r="AD184">
            <v>100</v>
          </cell>
          <cell r="AE184">
            <v>100</v>
          </cell>
          <cell r="AF184">
            <v>100</v>
          </cell>
          <cell r="AG184">
            <v>100</v>
          </cell>
          <cell r="AH184">
            <v>100</v>
          </cell>
          <cell r="AO184" t="str">
            <v>http://www.rockwellcollins.com/products/gov/surface/soldier/jtrs-hms/index.html</v>
          </cell>
        </row>
        <row r="185">
          <cell r="B185" t="str">
            <v>1Q10 Surface Solutions</v>
          </cell>
          <cell r="T185">
            <v>206</v>
          </cell>
          <cell r="AA185">
            <v>32</v>
          </cell>
          <cell r="AB185">
            <v>70</v>
          </cell>
          <cell r="AC185">
            <v>100</v>
          </cell>
          <cell r="AD185">
            <v>100</v>
          </cell>
          <cell r="AE185">
            <v>100</v>
          </cell>
          <cell r="AF185">
            <v>100</v>
          </cell>
          <cell r="AG185">
            <v>100</v>
          </cell>
          <cell r="AH185">
            <v>100</v>
          </cell>
          <cell r="AO185" t="str">
            <v>http://www.rockwellcollins.com/products/gov/surface/soldier/jtrs-hms/index.html</v>
          </cell>
        </row>
        <row r="186">
          <cell r="B186" t="str">
            <v>1Q 09 Surface Solutions</v>
          </cell>
          <cell r="T186">
            <v>171</v>
          </cell>
          <cell r="X186">
            <v>410</v>
          </cell>
          <cell r="AC186">
            <v>100</v>
          </cell>
          <cell r="AD186">
            <v>100</v>
          </cell>
          <cell r="AE186">
            <v>100</v>
          </cell>
          <cell r="AF186">
            <v>100</v>
          </cell>
          <cell r="AG186">
            <v>100</v>
          </cell>
          <cell r="AH186">
            <v>100</v>
          </cell>
          <cell r="AO186" t="str">
            <v>http://www.rockwellcollins.com/products/gov/surface/soldier/jtrs-hms/index.html</v>
          </cell>
        </row>
        <row r="187">
          <cell r="B187" t="str">
            <v>DataPath</v>
          </cell>
          <cell r="L187">
            <v>94</v>
          </cell>
          <cell r="M187" t="str">
            <v>http://www.rockwellcollins.com/news/page11137.html</v>
          </cell>
          <cell r="Q187" t="str">
            <v>http://www.rockwellcollins.com/news/page11137.html</v>
          </cell>
          <cell r="T187">
            <v>60</v>
          </cell>
          <cell r="X187">
            <v>60</v>
          </cell>
          <cell r="AA187">
            <v>500</v>
          </cell>
          <cell r="AB187">
            <v>561</v>
          </cell>
          <cell r="AC187">
            <v>100</v>
          </cell>
          <cell r="AD187">
            <v>100</v>
          </cell>
          <cell r="AE187">
            <v>100</v>
          </cell>
          <cell r="AF187">
            <v>100</v>
          </cell>
          <cell r="AG187">
            <v>100</v>
          </cell>
          <cell r="AH187">
            <v>100</v>
          </cell>
        </row>
        <row r="188">
          <cell r="B188" t="str">
            <v>Organic:</v>
          </cell>
          <cell r="T188">
            <v>-25</v>
          </cell>
          <cell r="X188">
            <v>171</v>
          </cell>
          <cell r="AC188">
            <v>100</v>
          </cell>
          <cell r="AD188">
            <v>100</v>
          </cell>
          <cell r="AE188">
            <v>100</v>
          </cell>
          <cell r="AF188">
            <v>100</v>
          </cell>
          <cell r="AG188">
            <v>100</v>
          </cell>
          <cell r="AH188">
            <v>100</v>
          </cell>
          <cell r="AO188" t="str">
            <v>http://www.rockwellcollins.com/products/gov/surface/soldier/soldier-systems/index.html</v>
          </cell>
        </row>
        <row r="189">
          <cell r="B189" t="str">
            <v>- DAGR</v>
          </cell>
          <cell r="X189">
            <v>60</v>
          </cell>
          <cell r="AA189">
            <v>1662</v>
          </cell>
          <cell r="AB189">
            <v>1761</v>
          </cell>
          <cell r="AC189">
            <v>100</v>
          </cell>
          <cell r="AD189">
            <v>100</v>
          </cell>
          <cell r="AE189">
            <v>100</v>
          </cell>
          <cell r="AF189">
            <v>100</v>
          </cell>
          <cell r="AG189">
            <v>100</v>
          </cell>
          <cell r="AH189">
            <v>100</v>
          </cell>
          <cell r="AO189" t="str">
            <v>http://www.rockwellcollins.com/products/gov/surface/precision-targeting/index.html</v>
          </cell>
        </row>
        <row r="190">
          <cell r="B190" t="str">
            <v>1Q10 Surface Solutions</v>
          </cell>
          <cell r="C190" t="str">
            <v>Difference vs. Top-Down Segment Forecast</v>
          </cell>
          <cell r="T190">
            <v>206</v>
          </cell>
          <cell r="X190">
            <v>-25</v>
          </cell>
          <cell r="AA190">
            <v>0</v>
          </cell>
          <cell r="AB190">
            <v>0</v>
          </cell>
          <cell r="AC190">
            <v>100</v>
          </cell>
          <cell r="AD190">
            <v>100</v>
          </cell>
          <cell r="AE190">
            <v>100</v>
          </cell>
          <cell r="AF190">
            <v>100</v>
          </cell>
          <cell r="AG190">
            <v>100</v>
          </cell>
          <cell r="AH190">
            <v>100</v>
          </cell>
          <cell r="AO190" t="str">
            <v>http://www.rockwellcollins.com/products/gov/surface/maritime-solutions/index.html</v>
          </cell>
        </row>
        <row r="191">
          <cell r="B191" t="str">
            <v>- DAGR</v>
          </cell>
        </row>
        <row r="192">
          <cell r="A192" t="str">
            <v>Surface Solutions Program Build</v>
          </cell>
          <cell r="B192" t="str">
            <v>1Q10 Surface Solutions</v>
          </cell>
          <cell r="L192" t="str">
            <v>Program Value</v>
          </cell>
          <cell r="X192">
            <v>206</v>
          </cell>
        </row>
        <row r="193">
          <cell r="B193" t="str">
            <v>Other</v>
          </cell>
          <cell r="AA193">
            <v>504</v>
          </cell>
          <cell r="AB193">
            <v>584</v>
          </cell>
          <cell r="AC193">
            <v>-47</v>
          </cell>
          <cell r="AD193">
            <v>-165</v>
          </cell>
          <cell r="AE193">
            <v>-250</v>
          </cell>
          <cell r="AF193">
            <v>-200</v>
          </cell>
          <cell r="AG193">
            <v>-150</v>
          </cell>
          <cell r="AH193">
            <v>-125</v>
          </cell>
        </row>
        <row r="194">
          <cell r="B194" t="str">
            <v>DataPath</v>
          </cell>
          <cell r="AA194">
            <v>704</v>
          </cell>
          <cell r="AB194">
            <v>818</v>
          </cell>
          <cell r="AC194">
            <v>1009</v>
          </cell>
          <cell r="AD194">
            <v>825</v>
          </cell>
          <cell r="AE194">
            <v>750</v>
          </cell>
          <cell r="AF194">
            <v>825</v>
          </cell>
          <cell r="AG194">
            <v>890</v>
          </cell>
          <cell r="AH194">
            <v>925</v>
          </cell>
        </row>
        <row r="195">
          <cell r="B195" t="str">
            <v>DAGR (Defense Advanced GPS Receiver)</v>
          </cell>
          <cell r="P195" t="str">
            <v>Total $5.5B program potential</v>
          </cell>
          <cell r="T195" t="str">
            <v>Total $5.5B program potential</v>
          </cell>
          <cell r="AA195">
            <v>704</v>
          </cell>
          <cell r="AB195">
            <v>818</v>
          </cell>
          <cell r="AC195">
            <v>1009</v>
          </cell>
          <cell r="AD195">
            <v>825</v>
          </cell>
          <cell r="AE195">
            <v>750</v>
          </cell>
          <cell r="AF195">
            <v>825</v>
          </cell>
          <cell r="AG195">
            <v>890</v>
          </cell>
          <cell r="AH195">
            <v>925</v>
          </cell>
          <cell r="AI195" t="str">
            <v>- IDIQ thru 2014, stock replenishment levels</v>
          </cell>
        </row>
        <row r="196">
          <cell r="B196" t="str">
            <v>JTRS GMR (Ground Mobile Radio)</v>
          </cell>
          <cell r="AA196">
            <v>0</v>
          </cell>
          <cell r="AB196">
            <v>0</v>
          </cell>
          <cell r="AC196">
            <v>0</v>
          </cell>
          <cell r="AD196">
            <v>0</v>
          </cell>
          <cell r="AE196">
            <v>0</v>
          </cell>
          <cell r="AF196">
            <v>0</v>
          </cell>
          <cell r="AG196">
            <v>0</v>
          </cell>
          <cell r="AH196">
            <v>0</v>
          </cell>
          <cell r="AO196" t="str">
            <v>http://www.rockwellcollins.com/products/gov/surface/soldier/jtrs-hms/index.html</v>
          </cell>
        </row>
        <row r="197">
          <cell r="B197" t="str">
            <v>JTRS HMS (Handheld / Manpack / Small Form Fit)</v>
          </cell>
          <cell r="AC197">
            <v>100</v>
          </cell>
          <cell r="AD197">
            <v>100</v>
          </cell>
          <cell r="AE197">
            <v>100</v>
          </cell>
          <cell r="AF197">
            <v>100</v>
          </cell>
          <cell r="AG197">
            <v>100</v>
          </cell>
          <cell r="AH197">
            <v>100</v>
          </cell>
          <cell r="AO197" t="str">
            <v>http://www.rockwellcollins.com/products/gov/surface/soldier/jtrs-hms/index.html</v>
          </cell>
        </row>
        <row r="198">
          <cell r="B198" t="str">
            <v>MIDS-JTRS (DataLink Solutions JV with BAE Systems)</v>
          </cell>
          <cell r="AC198">
            <v>100</v>
          </cell>
          <cell r="AD198">
            <v>100</v>
          </cell>
          <cell r="AE198">
            <v>100</v>
          </cell>
          <cell r="AF198">
            <v>100</v>
          </cell>
          <cell r="AG198">
            <v>100</v>
          </cell>
          <cell r="AH198">
            <v>100</v>
          </cell>
          <cell r="AO198" t="str">
            <v>http://www.rockwellcollins.com/products/gov/surface/soldier/jtrs-hms/index.html</v>
          </cell>
        </row>
        <row r="199">
          <cell r="A199" t="str">
            <v>Quarterly Marginal Sales Disclosure</v>
          </cell>
          <cell r="B199" t="str">
            <v>JPALS (Jt. Precision Approach and Landing System)</v>
          </cell>
          <cell r="L199" t="str">
            <v>Program Value</v>
          </cell>
          <cell r="M199" t="str">
            <v>http://www.rockwellcollins.com/news/page11137.html</v>
          </cell>
          <cell r="Q199" t="str">
            <v>http://www.rockwellcollins.com/news/page11137.html</v>
          </cell>
          <cell r="AC199">
            <v>100</v>
          </cell>
          <cell r="AD199">
            <v>100</v>
          </cell>
          <cell r="AE199">
            <v>100</v>
          </cell>
          <cell r="AF199">
            <v>100</v>
          </cell>
          <cell r="AG199">
            <v>100</v>
          </cell>
          <cell r="AH199">
            <v>100</v>
          </cell>
        </row>
        <row r="200">
          <cell r="B200" t="str">
            <v>Soldier Displays</v>
          </cell>
          <cell r="AC200">
            <v>100</v>
          </cell>
          <cell r="AD200">
            <v>100</v>
          </cell>
          <cell r="AE200">
            <v>100</v>
          </cell>
          <cell r="AF200">
            <v>100</v>
          </cell>
          <cell r="AG200">
            <v>100</v>
          </cell>
          <cell r="AH200">
            <v>100</v>
          </cell>
          <cell r="AO200" t="str">
            <v>http://www.rockwellcollins.com/products/gov/surface/soldier/soldier-systems/index.html</v>
          </cell>
        </row>
        <row r="201">
          <cell r="B201" t="str">
            <v>4Q 08 Airborne Solutions</v>
          </cell>
          <cell r="AB201">
            <v>459</v>
          </cell>
          <cell r="AC201">
            <v>100</v>
          </cell>
          <cell r="AD201">
            <v>100</v>
          </cell>
          <cell r="AE201">
            <v>100</v>
          </cell>
          <cell r="AF201">
            <v>100</v>
          </cell>
          <cell r="AG201">
            <v>100</v>
          </cell>
          <cell r="AH201">
            <v>100</v>
          </cell>
          <cell r="AO201" t="str">
            <v>http://www.rockwellcollins.com/products/gov/surface/precision-targeting/index.html</v>
          </cell>
        </row>
        <row r="202">
          <cell r="B202" t="str">
            <v>SEOS Group</v>
          </cell>
          <cell r="AB202">
            <v>5</v>
          </cell>
          <cell r="AC202">
            <v>100</v>
          </cell>
          <cell r="AD202">
            <v>100</v>
          </cell>
          <cell r="AE202">
            <v>100</v>
          </cell>
          <cell r="AF202">
            <v>100</v>
          </cell>
          <cell r="AG202">
            <v>100</v>
          </cell>
          <cell r="AH202">
            <v>100</v>
          </cell>
          <cell r="AO202" t="str">
            <v>http://www.rockwellcollins.com/products/gov/surface/maritime-solutions/index.html</v>
          </cell>
        </row>
        <row r="203">
          <cell r="B203" t="str">
            <v>Organic:</v>
          </cell>
          <cell r="AB203">
            <v>11</v>
          </cell>
        </row>
        <row r="204">
          <cell r="B204" t="str">
            <v>+ F-15 Head-Down Displays</v>
          </cell>
        </row>
        <row r="205">
          <cell r="B205" t="str">
            <v>+ UAV Controls</v>
          </cell>
          <cell r="AA205">
            <v>504</v>
          </cell>
          <cell r="AB205">
            <v>584</v>
          </cell>
          <cell r="AC205">
            <v>-47</v>
          </cell>
          <cell r="AD205">
            <v>-165</v>
          </cell>
          <cell r="AE205">
            <v>-250</v>
          </cell>
          <cell r="AF205">
            <v>-200</v>
          </cell>
          <cell r="AG205">
            <v>-150</v>
          </cell>
          <cell r="AH205">
            <v>-125</v>
          </cell>
        </row>
        <row r="206">
          <cell r="B206" t="str">
            <v>4Q09 Airborne Solutions</v>
          </cell>
          <cell r="AA206">
            <v>704</v>
          </cell>
          <cell r="AB206">
            <v>475</v>
          </cell>
          <cell r="AC206">
            <v>1009</v>
          </cell>
          <cell r="AD206">
            <v>825</v>
          </cell>
          <cell r="AE206">
            <v>750</v>
          </cell>
          <cell r="AF206">
            <v>825</v>
          </cell>
          <cell r="AG206">
            <v>890</v>
          </cell>
          <cell r="AH206">
            <v>925</v>
          </cell>
        </row>
        <row r="207">
          <cell r="AA207">
            <v>704</v>
          </cell>
          <cell r="AB207">
            <v>818</v>
          </cell>
          <cell r="AC207">
            <v>1009</v>
          </cell>
          <cell r="AD207">
            <v>825</v>
          </cell>
          <cell r="AE207">
            <v>750</v>
          </cell>
          <cell r="AF207">
            <v>825</v>
          </cell>
          <cell r="AG207">
            <v>890</v>
          </cell>
          <cell r="AH207">
            <v>925</v>
          </cell>
        </row>
        <row r="208">
          <cell r="B208" t="str">
            <v>4Q 08 Surface Solutions</v>
          </cell>
          <cell r="AA208">
            <v>0</v>
          </cell>
          <cell r="AB208">
            <v>177</v>
          </cell>
          <cell r="AC208">
            <v>0</v>
          </cell>
          <cell r="AD208">
            <v>0</v>
          </cell>
          <cell r="AE208">
            <v>0</v>
          </cell>
          <cell r="AF208">
            <v>0</v>
          </cell>
          <cell r="AG208">
            <v>0</v>
          </cell>
          <cell r="AH208">
            <v>0</v>
          </cell>
        </row>
        <row r="209">
          <cell r="B209" t="str">
            <v>DataPath</v>
          </cell>
          <cell r="AB209">
            <v>61</v>
          </cell>
        </row>
        <row r="210">
          <cell r="B210" t="str">
            <v>Organic:</v>
          </cell>
          <cell r="AB210">
            <v>28</v>
          </cell>
        </row>
        <row r="211">
          <cell r="A211" t="str">
            <v>Quarterly Marginal Sales Disclosure</v>
          </cell>
          <cell r="B211" t="str">
            <v>+ UK Precision Targeting</v>
          </cell>
          <cell r="L211" t="str">
            <v>Program Value</v>
          </cell>
        </row>
        <row r="212">
          <cell r="B212" t="str">
            <v>+ JTRS</v>
          </cell>
        </row>
        <row r="213">
          <cell r="B213" t="str">
            <v>+ JPALS</v>
          </cell>
          <cell r="AB213">
            <v>459</v>
          </cell>
        </row>
        <row r="214">
          <cell r="B214" t="str">
            <v>- DAGR</v>
          </cell>
          <cell r="AB214">
            <v>5</v>
          </cell>
        </row>
        <row r="215">
          <cell r="B215" t="str">
            <v>- GB-GRAM</v>
          </cell>
          <cell r="AB215">
            <v>11</v>
          </cell>
        </row>
        <row r="216">
          <cell r="B216" t="str">
            <v>4Q09 Surface Solutions</v>
          </cell>
          <cell r="AB216">
            <v>266</v>
          </cell>
        </row>
        <row r="217">
          <cell r="B217" t="str">
            <v>+ UAV Controls</v>
          </cell>
        </row>
        <row r="218">
          <cell r="B218" t="str">
            <v>1Q 09 Airborne Solutions</v>
          </cell>
          <cell r="AB218">
            <v>403</v>
          </cell>
        </row>
        <row r="219">
          <cell r="B219" t="str">
            <v>SEOS Group</v>
          </cell>
          <cell r="AB219">
            <v>5</v>
          </cell>
        </row>
        <row r="220">
          <cell r="B220" t="str">
            <v>Organic:</v>
          </cell>
          <cell r="AB220">
            <v>2</v>
          </cell>
        </row>
        <row r="221">
          <cell r="B221" t="str">
            <v>+ Transport / Tanker</v>
          </cell>
          <cell r="AB221">
            <v>61</v>
          </cell>
        </row>
        <row r="222">
          <cell r="B222" t="str">
            <v>- F-22</v>
          </cell>
          <cell r="AB222">
            <v>28</v>
          </cell>
        </row>
        <row r="223">
          <cell r="B223" t="str">
            <v>1Q10 Airborne Solutions</v>
          </cell>
          <cell r="AB223">
            <v>410</v>
          </cell>
        </row>
        <row r="224">
          <cell r="B224" t="str">
            <v>+ JTRS</v>
          </cell>
        </row>
        <row r="225">
          <cell r="B225" t="str">
            <v>1Q 09 Surface Solutions</v>
          </cell>
          <cell r="AB225">
            <v>171</v>
          </cell>
        </row>
        <row r="226">
          <cell r="B226" t="str">
            <v>DataPath</v>
          </cell>
          <cell r="AB226">
            <v>60</v>
          </cell>
        </row>
        <row r="227">
          <cell r="B227" t="str">
            <v>Organic:</v>
          </cell>
          <cell r="AB227">
            <v>-25</v>
          </cell>
        </row>
        <row r="228">
          <cell r="B228" t="str">
            <v>- DAGR</v>
          </cell>
          <cell r="AB228">
            <v>266</v>
          </cell>
        </row>
        <row r="229">
          <cell r="B229" t="str">
            <v>1Q10 Surface Solutions</v>
          </cell>
          <cell r="AB229">
            <v>206</v>
          </cell>
        </row>
        <row r="230">
          <cell r="B230" t="str">
            <v>1Q 09 Airborne Solutions</v>
          </cell>
          <cell r="AB230">
            <v>403</v>
          </cell>
        </row>
        <row r="231">
          <cell r="B231" t="str">
            <v>SEOS Group</v>
          </cell>
          <cell r="AB231">
            <v>5</v>
          </cell>
        </row>
        <row r="232">
          <cell r="B232" t="str">
            <v>Organic:</v>
          </cell>
          <cell r="AB232">
            <v>2</v>
          </cell>
        </row>
        <row r="233">
          <cell r="B233" t="str">
            <v>+ Transport / Tanker</v>
          </cell>
        </row>
        <row r="234">
          <cell r="B234" t="str">
            <v>- F-22</v>
          </cell>
        </row>
        <row r="235">
          <cell r="B235" t="str">
            <v>1Q10 Airborne Solutions</v>
          </cell>
          <cell r="AB235">
            <v>410</v>
          </cell>
        </row>
        <row r="237">
          <cell r="B237" t="str">
            <v>1Q 09 Surface Solutions</v>
          </cell>
          <cell r="AB237">
            <v>171</v>
          </cell>
        </row>
        <row r="238">
          <cell r="B238" t="str">
            <v>DataPath</v>
          </cell>
          <cell r="AB238">
            <v>60</v>
          </cell>
        </row>
        <row r="239">
          <cell r="B239" t="str">
            <v>Organic:</v>
          </cell>
          <cell r="AB239">
            <v>-25</v>
          </cell>
        </row>
        <row r="240">
          <cell r="B240" t="str">
            <v>- DAGR</v>
          </cell>
        </row>
        <row r="241">
          <cell r="B241" t="str">
            <v>1Q10 Surface Solutions</v>
          </cell>
          <cell r="AB241">
            <v>206</v>
          </cell>
        </row>
      </sheetData>
      <sheetData sheetId="9" refreshError="1">
        <row r="1">
          <cell r="A1" t="str">
            <v>Rockwell Collins, Inc.</v>
          </cell>
          <cell r="AB1" t="str">
            <v>6mn adjustment in gov</v>
          </cell>
        </row>
        <row r="2">
          <cell r="A2" t="str">
            <v>Commercial Systems Segment Detail</v>
          </cell>
          <cell r="AB2" t="str">
            <v>9mn in commercial</v>
          </cell>
        </row>
        <row r="3">
          <cell r="A3" t="str">
            <v>Morgan Stanley Research</v>
          </cell>
          <cell r="O3" t="str">
            <v>IAM Strike</v>
          </cell>
        </row>
        <row r="4">
          <cell r="A4" t="str">
            <v>($ in Millions Except EPS)</v>
          </cell>
        </row>
        <row r="5">
          <cell r="A5" t="str">
            <v>Model Updated: 4/10</v>
          </cell>
        </row>
        <row r="6">
          <cell r="A6" t="str">
            <v>Fiscal Year Ended Sept. 30</v>
          </cell>
          <cell r="H6">
            <v>2007</v>
          </cell>
          <cell r="L6">
            <v>2008</v>
          </cell>
          <cell r="P6" t="str">
            <v>2009A</v>
          </cell>
          <cell r="T6" t="str">
            <v>2010E</v>
          </cell>
        </row>
        <row r="7">
          <cell r="I7" t="str">
            <v>Dec. 31</v>
          </cell>
          <cell r="J7" t="str">
            <v>March 31</v>
          </cell>
          <cell r="K7" t="str">
            <v>June 30</v>
          </cell>
          <cell r="L7" t="str">
            <v>Sept. 30</v>
          </cell>
          <cell r="M7" t="str">
            <v>Dec. 31</v>
          </cell>
          <cell r="N7" t="str">
            <v>March 31</v>
          </cell>
          <cell r="O7" t="str">
            <v>June 30</v>
          </cell>
          <cell r="P7" t="str">
            <v>Sept. 30</v>
          </cell>
          <cell r="Q7" t="str">
            <v>Dec</v>
          </cell>
          <cell r="R7" t="str">
            <v>March</v>
          </cell>
          <cell r="S7" t="str">
            <v>June</v>
          </cell>
          <cell r="T7" t="str">
            <v>Sept</v>
          </cell>
          <cell r="U7" t="str">
            <v>Dec</v>
          </cell>
          <cell r="V7" t="str">
            <v>March</v>
          </cell>
          <cell r="W7" t="str">
            <v>June</v>
          </cell>
          <cell r="X7" t="str">
            <v>Sept</v>
          </cell>
          <cell r="Y7" t="str">
            <v>Dec</v>
          </cell>
          <cell r="Z7" t="str">
            <v>March</v>
          </cell>
          <cell r="AA7" t="str">
            <v>June</v>
          </cell>
          <cell r="AB7" t="str">
            <v>Sept</v>
          </cell>
          <cell r="AC7" t="str">
            <v>Dec</v>
          </cell>
          <cell r="AD7" t="str">
            <v>March</v>
          </cell>
          <cell r="AE7" t="str">
            <v>June</v>
          </cell>
          <cell r="AF7" t="str">
            <v>Sept</v>
          </cell>
          <cell r="AJ7" t="str">
            <v>Y/Y Growth Rates</v>
          </cell>
          <cell r="AN7" t="str">
            <v>Y/Y Growth Rates</v>
          </cell>
          <cell r="AR7" t="str">
            <v>Y/Y Growth Rates</v>
          </cell>
        </row>
        <row r="8">
          <cell r="H8" t="str">
            <v>Q1</v>
          </cell>
          <cell r="I8" t="str">
            <v>1Q07</v>
          </cell>
          <cell r="J8" t="str">
            <v>2Q07</v>
          </cell>
          <cell r="K8" t="str">
            <v>3Q07</v>
          </cell>
          <cell r="L8" t="str">
            <v>4Q07</v>
          </cell>
          <cell r="M8" t="str">
            <v>1Q08</v>
          </cell>
          <cell r="N8" t="str">
            <v>2Q08</v>
          </cell>
          <cell r="O8" t="str">
            <v>3Q08</v>
          </cell>
          <cell r="P8" t="str">
            <v>4Q08</v>
          </cell>
          <cell r="Q8" t="str">
            <v>1Q09</v>
          </cell>
          <cell r="R8" t="str">
            <v>2Q09</v>
          </cell>
          <cell r="S8" t="str">
            <v>3Q09</v>
          </cell>
          <cell r="T8" t="str">
            <v>4Q09</v>
          </cell>
          <cell r="U8" t="str">
            <v>1Q10A</v>
          </cell>
          <cell r="V8" t="str">
            <v>2Q10A</v>
          </cell>
          <cell r="W8" t="str">
            <v>3Q10A</v>
          </cell>
          <cell r="X8" t="str">
            <v>4Q10E</v>
          </cell>
          <cell r="Y8">
            <v>2006</v>
          </cell>
          <cell r="Z8">
            <v>2007</v>
          </cell>
          <cell r="AA8">
            <v>2008</v>
          </cell>
          <cell r="AB8">
            <v>2009</v>
          </cell>
          <cell r="AC8">
            <v>2010</v>
          </cell>
          <cell r="AD8">
            <v>2011</v>
          </cell>
          <cell r="AE8">
            <v>2012</v>
          </cell>
          <cell r="AF8">
            <v>2013</v>
          </cell>
          <cell r="AG8">
            <v>2014</v>
          </cell>
          <cell r="AH8">
            <v>2015</v>
          </cell>
          <cell r="AI8" t="str">
            <v>2012E</v>
          </cell>
          <cell r="AJ8">
            <v>2010</v>
          </cell>
          <cell r="AK8">
            <v>2011</v>
          </cell>
          <cell r="AL8">
            <v>2012</v>
          </cell>
          <cell r="AM8">
            <v>2013</v>
          </cell>
          <cell r="AN8">
            <v>2014</v>
          </cell>
          <cell r="AO8">
            <v>2015</v>
          </cell>
          <cell r="AP8" t="str">
            <v>1Q10A</v>
          </cell>
          <cell r="AQ8" t="str">
            <v>2Q10A</v>
          </cell>
          <cell r="AR8" t="str">
            <v>3Q10A</v>
          </cell>
          <cell r="AS8" t="str">
            <v>4Q10E</v>
          </cell>
          <cell r="AT8" t="str">
            <v>1Q10</v>
          </cell>
          <cell r="AU8" t="str">
            <v>Notes</v>
          </cell>
          <cell r="AV8" t="str">
            <v>3Q10</v>
          </cell>
          <cell r="AW8" t="str">
            <v>4Q10</v>
          </cell>
          <cell r="AX8" t="str">
            <v>1Q10</v>
          </cell>
          <cell r="AY8" t="str">
            <v>Notes</v>
          </cell>
          <cell r="AZ8" t="str">
            <v>3Q10</v>
          </cell>
          <cell r="BA8" t="str">
            <v>4Q10</v>
          </cell>
          <cell r="BC8" t="str">
            <v>Notes</v>
          </cell>
        </row>
        <row r="9">
          <cell r="A9" t="str">
            <v>Macro Indicators</v>
          </cell>
        </row>
        <row r="10">
          <cell r="B10" t="str">
            <v>Commercial Systems Sales</v>
          </cell>
        </row>
        <row r="11">
          <cell r="B11" t="str">
            <v>Aircraft Deliveries</v>
          </cell>
          <cell r="C11" t="str">
            <v>Air Transport Aviation Electronics:</v>
          </cell>
        </row>
        <row r="12">
          <cell r="B12" t="str">
            <v>Boeing</v>
          </cell>
          <cell r="D12" t="str">
            <v>Original Equipment</v>
          </cell>
          <cell r="Q12">
            <v>67</v>
          </cell>
          <cell r="R12">
            <v>102</v>
          </cell>
          <cell r="S12">
            <v>91</v>
          </cell>
          <cell r="T12">
            <v>105</v>
          </cell>
          <cell r="U12">
            <v>98</v>
          </cell>
          <cell r="V12">
            <v>113</v>
          </cell>
          <cell r="W12">
            <v>114</v>
          </cell>
          <cell r="X12">
            <v>525</v>
          </cell>
          <cell r="Y12">
            <v>381</v>
          </cell>
          <cell r="Z12">
            <v>281</v>
          </cell>
          <cell r="AA12">
            <v>285</v>
          </cell>
          <cell r="AB12">
            <v>365</v>
          </cell>
          <cell r="AC12">
            <v>440</v>
          </cell>
          <cell r="AD12">
            <v>497.19999999999993</v>
          </cell>
          <cell r="AE12">
            <v>546.91999999999996</v>
          </cell>
          <cell r="AF12">
            <v>601.61199999999997</v>
          </cell>
          <cell r="AG12">
            <v>632.72986206896553</v>
          </cell>
          <cell r="AH12">
            <v>663.8477241379311</v>
          </cell>
          <cell r="AI12">
            <v>509</v>
          </cell>
          <cell r="AJ12">
            <v>0.20547945205479445</v>
          </cell>
          <cell r="AK12">
            <v>0.12999999999999989</v>
          </cell>
          <cell r="AL12">
            <v>0.10000000000000009</v>
          </cell>
          <cell r="AM12">
            <v>0.10000000000000009</v>
          </cell>
          <cell r="AN12">
            <v>5.1724137931034475E-2</v>
          </cell>
          <cell r="AO12">
            <v>4.9180327868852514E-2</v>
          </cell>
          <cell r="AP12">
            <v>0.46268656716417911</v>
          </cell>
          <cell r="AQ12">
            <v>0.10784313725490202</v>
          </cell>
          <cell r="AR12">
            <v>0.25274725274725274</v>
          </cell>
          <cell r="AS12">
            <v>9.5238095238095344E-2</v>
          </cell>
          <cell r="AT12">
            <v>0.46268656716417911</v>
          </cell>
          <cell r="AU12">
            <v>0.10784313725490202</v>
          </cell>
          <cell r="AV12">
            <v>0.25274725274725274</v>
          </cell>
          <cell r="AW12">
            <v>8.5714285714285632E-2</v>
          </cell>
          <cell r="AX12">
            <v>0.46268656716417911</v>
          </cell>
          <cell r="AY12">
            <v>0.10784313725490202</v>
          </cell>
          <cell r="AZ12">
            <v>0.25274725274725274</v>
          </cell>
          <cell r="BA12">
            <v>8.5714285714285632E-2</v>
          </cell>
        </row>
        <row r="13">
          <cell r="C13" t="str">
            <v>Y/Y Change</v>
          </cell>
          <cell r="D13" t="str">
            <v>Aftermarket</v>
          </cell>
          <cell r="Q13">
            <v>132</v>
          </cell>
          <cell r="R13">
            <v>140</v>
          </cell>
          <cell r="S13">
            <v>130</v>
          </cell>
          <cell r="T13">
            <v>134</v>
          </cell>
          <cell r="U13">
            <v>125</v>
          </cell>
          <cell r="V13">
            <v>127</v>
          </cell>
          <cell r="W13">
            <v>115</v>
          </cell>
          <cell r="X13">
            <v>147.4</v>
          </cell>
          <cell r="Y13">
            <v>-0.27428571428571424</v>
          </cell>
          <cell r="Z13">
            <v>-0.26246719160104992</v>
          </cell>
          <cell r="AA13">
            <v>1.4234875444839812E-2</v>
          </cell>
          <cell r="AB13">
            <v>536</v>
          </cell>
          <cell r="AC13">
            <v>514.4</v>
          </cell>
          <cell r="AD13">
            <v>565.84</v>
          </cell>
          <cell r="AE13">
            <v>622.42400000000009</v>
          </cell>
          <cell r="AF13">
            <v>672.21792000000016</v>
          </cell>
          <cell r="AG13">
            <v>703.24336246153871</v>
          </cell>
          <cell r="AH13">
            <v>734.26880492307725</v>
          </cell>
          <cell r="AI13">
            <v>0.1782407407407407</v>
          </cell>
          <cell r="AJ13">
            <v>-4.0298507462686595E-2</v>
          </cell>
          <cell r="AK13">
            <v>0.10000000000000009</v>
          </cell>
          <cell r="AL13">
            <v>0.10000000000000009</v>
          </cell>
          <cell r="AM13">
            <v>8.0000000000000071E-2</v>
          </cell>
          <cell r="AN13">
            <v>4.6153846153846212E-2</v>
          </cell>
          <cell r="AO13">
            <v>4.4117647058823595E-2</v>
          </cell>
          <cell r="AP13">
            <v>-5.3030303030302983E-2</v>
          </cell>
          <cell r="AQ13">
            <v>-9.285714285714286E-2</v>
          </cell>
          <cell r="AR13">
            <v>-0.11538461538461542</v>
          </cell>
          <cell r="AS13">
            <v>0.10000000000000009</v>
          </cell>
          <cell r="AT13">
            <v>-0.24242424242424243</v>
          </cell>
          <cell r="AU13" t="str">
            <v>7/10 - half non discretionary; 50% of discretionary is IFE (Inflight Entertainment)</v>
          </cell>
          <cell r="AV13">
            <v>-0.29230769230769227</v>
          </cell>
          <cell r="AW13">
            <v>-0.11194029850746268</v>
          </cell>
          <cell r="AX13">
            <v>-0.24242424242424243</v>
          </cell>
          <cell r="AY13" t="str">
            <v>7/10 - half non discretionary; 50% of discretionary is IFE (Inflight Entertainment)</v>
          </cell>
          <cell r="AZ13">
            <v>-0.33846153846153848</v>
          </cell>
          <cell r="BA13">
            <v>-0.19402985074626866</v>
          </cell>
          <cell r="BC13" t="str">
            <v>7/10 - half non discretionary; 50% of discretionary is IFE (Inflight Entertainment)</v>
          </cell>
        </row>
        <row r="14">
          <cell r="D14" t="str">
            <v xml:space="preserve">Wide-Body In-Flight Entertainment </v>
          </cell>
          <cell r="Q14">
            <v>21</v>
          </cell>
          <cell r="R14">
            <v>17</v>
          </cell>
          <cell r="S14">
            <v>23</v>
          </cell>
          <cell r="T14">
            <v>24</v>
          </cell>
          <cell r="U14">
            <v>18</v>
          </cell>
          <cell r="V14">
            <v>11</v>
          </cell>
          <cell r="W14">
            <v>10</v>
          </cell>
          <cell r="X14">
            <v>6</v>
          </cell>
          <cell r="Y14">
            <v>27</v>
          </cell>
          <cell r="Z14">
            <v>29</v>
          </cell>
          <cell r="AA14">
            <v>24</v>
          </cell>
          <cell r="AB14">
            <v>85</v>
          </cell>
          <cell r="AC14">
            <v>45</v>
          </cell>
          <cell r="AD14">
            <v>27</v>
          </cell>
          <cell r="AE14">
            <v>18.899999999999999</v>
          </cell>
          <cell r="AF14">
            <v>13.229999999999999</v>
          </cell>
          <cell r="AG14">
            <v>9.2609999999999992</v>
          </cell>
          <cell r="AH14">
            <v>6.4826999999999995</v>
          </cell>
          <cell r="AI14">
            <v>69.02</v>
          </cell>
          <cell r="AJ14">
            <v>-0.47058823529411764</v>
          </cell>
          <cell r="AK14">
            <v>-0.4</v>
          </cell>
          <cell r="AL14">
            <v>23.673859999999994</v>
          </cell>
          <cell r="AM14">
            <v>83.3</v>
          </cell>
          <cell r="AN14">
            <v>0.70588235294117641</v>
          </cell>
          <cell r="AO14">
            <v>-0.32000000000000006</v>
          </cell>
          <cell r="AP14">
            <v>-0.1428571428571429</v>
          </cell>
          <cell r="AQ14">
            <v>-0.3529411764705882</v>
          </cell>
          <cell r="AR14">
            <v>-0.56521739130434789</v>
          </cell>
          <cell r="AS14">
            <v>-0.75</v>
          </cell>
          <cell r="AT14">
            <v>1.0476190476190474</v>
          </cell>
          <cell r="AU14">
            <v>1.0588235294117645</v>
          </cell>
          <cell r="AV14">
            <v>0.43478260869565211</v>
          </cell>
          <cell r="AW14">
            <v>0.41666666666666674</v>
          </cell>
          <cell r="AX14">
            <v>1.0476190476190474</v>
          </cell>
          <cell r="AY14">
            <v>1.0588235294117645</v>
          </cell>
          <cell r="AZ14">
            <v>0.43478260869565211</v>
          </cell>
          <cell r="BA14">
            <v>0.41666666666666674</v>
          </cell>
        </row>
        <row r="15">
          <cell r="B15" t="str">
            <v>Airbus</v>
          </cell>
          <cell r="D15" t="str">
            <v>Total Air Transport Electronics</v>
          </cell>
          <cell r="Q15">
            <v>220</v>
          </cell>
          <cell r="R15">
            <v>259</v>
          </cell>
          <cell r="S15">
            <v>244</v>
          </cell>
          <cell r="T15">
            <v>263</v>
          </cell>
          <cell r="U15">
            <v>241</v>
          </cell>
          <cell r="V15">
            <v>251</v>
          </cell>
          <cell r="W15">
            <v>239</v>
          </cell>
          <cell r="X15">
            <v>325</v>
          </cell>
          <cell r="Y15">
            <v>303</v>
          </cell>
          <cell r="Z15">
            <v>305</v>
          </cell>
          <cell r="AA15">
            <v>320</v>
          </cell>
          <cell r="AB15">
            <v>986</v>
          </cell>
          <cell r="AC15">
            <v>999.4</v>
          </cell>
          <cell r="AD15">
            <v>1090.04</v>
          </cell>
          <cell r="AE15">
            <v>1188.2440000000001</v>
          </cell>
          <cell r="AF15">
            <v>1287.0599200000001</v>
          </cell>
          <cell r="AG15">
            <v>1345.2342245305042</v>
          </cell>
          <cell r="AH15">
            <v>1404.5992290610084</v>
          </cell>
          <cell r="AI15">
            <v>453</v>
          </cell>
          <cell r="AJ15">
            <v>1.3590263691683591E-2</v>
          </cell>
          <cell r="AK15">
            <v>9.0694416649989895E-2</v>
          </cell>
          <cell r="AL15">
            <v>9.0092106711680442E-2</v>
          </cell>
          <cell r="AM15">
            <v>8.3161303570647105E-2</v>
          </cell>
          <cell r="AN15">
            <v>4.5199375434287425E-2</v>
          </cell>
          <cell r="AO15">
            <v>4.4129864857715084E-2</v>
          </cell>
          <cell r="AP15">
            <v>9.5454545454545459E-2</v>
          </cell>
          <cell r="AQ15">
            <v>-3.0888030888030937E-2</v>
          </cell>
          <cell r="AR15">
            <v>-2.0491803278688492E-2</v>
          </cell>
          <cell r="AS15">
            <v>2.0532319391634912E-2</v>
          </cell>
          <cell r="AT15">
            <v>9.5454545454545459E-2</v>
          </cell>
          <cell r="AU15">
            <v>-3.0888030888030937E-2</v>
          </cell>
          <cell r="AV15">
            <v>-2.0491803278688492E-2</v>
          </cell>
          <cell r="AW15">
            <v>1.5209125475285079E-2</v>
          </cell>
          <cell r="AX15">
            <v>9.5454545454545459E-2</v>
          </cell>
          <cell r="AY15">
            <v>-3.0888030888030937E-2</v>
          </cell>
          <cell r="AZ15">
            <v>-4.5081967213114749E-2</v>
          </cell>
          <cell r="BA15">
            <v>-2.6615969581749055E-2</v>
          </cell>
        </row>
        <row r="16">
          <cell r="C16" t="str">
            <v>Y/Y Change</v>
          </cell>
          <cell r="Y16">
            <v>-6.7692307692307718E-2</v>
          </cell>
          <cell r="Z16">
            <v>6.6006600660066805E-3</v>
          </cell>
          <cell r="AA16">
            <v>4.9180327868852514E-2</v>
          </cell>
          <cell r="AB16">
            <v>0.18124999999999991</v>
          </cell>
          <cell r="AC16">
            <v>0.14814814814814814</v>
          </cell>
          <cell r="AD16">
            <v>4.377880184331806E-2</v>
          </cell>
          <cell r="AE16">
            <v>6.6225165562913801E-2</v>
          </cell>
          <cell r="AF16">
            <v>0</v>
          </cell>
          <cell r="AG16">
            <v>-0.10144927536231885</v>
          </cell>
          <cell r="AH16">
            <v>1.6129032258064502E-2</v>
          </cell>
          <cell r="AI16">
            <v>2.7210884353741527E-2</v>
          </cell>
          <cell r="AJ16">
            <v>1.7660044150110465E-2</v>
          </cell>
          <cell r="AK16">
            <v>3.0368763557483636E-2</v>
          </cell>
          <cell r="AL16">
            <v>5.2631578947368363E-2</v>
          </cell>
        </row>
        <row r="17">
          <cell r="C17" t="str">
            <v>Business and Regional Aviation Electronics:</v>
          </cell>
          <cell r="AM17">
            <v>0.15770127118644051</v>
          </cell>
        </row>
        <row r="18">
          <cell r="B18" t="str">
            <v>Large Commercial Deliveries</v>
          </cell>
          <cell r="D18" t="str">
            <v>Orginal Equipment</v>
          </cell>
          <cell r="Q18">
            <v>177</v>
          </cell>
          <cell r="R18">
            <v>193</v>
          </cell>
          <cell r="S18">
            <v>120</v>
          </cell>
          <cell r="T18">
            <v>115</v>
          </cell>
          <cell r="U18">
            <v>103</v>
          </cell>
          <cell r="V18">
            <v>120</v>
          </cell>
          <cell r="W18">
            <v>126</v>
          </cell>
          <cell r="X18">
            <v>850</v>
          </cell>
          <cell r="Y18">
            <v>683.72571428571428</v>
          </cell>
          <cell r="Z18">
            <v>585.73753280839901</v>
          </cell>
          <cell r="AA18">
            <v>605.0142348754448</v>
          </cell>
          <cell r="AB18">
            <v>605</v>
          </cell>
          <cell r="AC18">
            <v>479</v>
          </cell>
          <cell r="AD18">
            <v>526.90000000000009</v>
          </cell>
          <cell r="AE18">
            <v>632.28000000000009</v>
          </cell>
          <cell r="AF18">
            <v>720.79920000000016</v>
          </cell>
          <cell r="AG18">
            <v>821.71108800000025</v>
          </cell>
          <cell r="AH18">
            <v>887.4479750400003</v>
          </cell>
          <cell r="AI18">
            <v>962.17824074074076</v>
          </cell>
          <cell r="AJ18">
            <v>-0.20826446280991739</v>
          </cell>
          <cell r="AK18">
            <v>0.10000000000000009</v>
          </cell>
          <cell r="AL18">
            <v>0.19999999999999996</v>
          </cell>
          <cell r="AM18">
            <v>0.14000000000000012</v>
          </cell>
          <cell r="AN18">
            <v>0.14000000000000012</v>
          </cell>
          <cell r="AO18">
            <v>8.0000000000000071E-2</v>
          </cell>
          <cell r="AP18">
            <v>-0.41807909604519777</v>
          </cell>
          <cell r="AQ18">
            <v>-0.37823834196891193</v>
          </cell>
          <cell r="AR18">
            <v>5.0000000000000044E-2</v>
          </cell>
          <cell r="AS18">
            <v>0.13043478260869557</v>
          </cell>
          <cell r="AT18">
            <v>-0.41807909604519777</v>
          </cell>
          <cell r="AU18" t="str">
            <v>7/10 - 7% biz jet OEM growth would translate into 14% growth for COL</v>
          </cell>
          <cell r="AV18">
            <v>5.0000000000000044E-2</v>
          </cell>
          <cell r="AW18">
            <v>1.7391304347825987E-2</v>
          </cell>
          <cell r="AX18">
            <v>-0.41807909604519777</v>
          </cell>
          <cell r="AY18" t="str">
            <v>7/10 - 7% biz jet OEM growth would translate into 14% growth for COL</v>
          </cell>
          <cell r="AZ18">
            <v>5.0000000000000044E-2</v>
          </cell>
          <cell r="BA18">
            <v>1.7391304347825987E-2</v>
          </cell>
          <cell r="BC18" t="str">
            <v>7/10 - 7% biz jet OEM growth would translate into 14% growth for COL</v>
          </cell>
        </row>
        <row r="19">
          <cell r="C19" t="str">
            <v>Y/Y Change</v>
          </cell>
          <cell r="D19" t="str">
            <v>Aftermarket</v>
          </cell>
          <cell r="Q19">
            <v>87</v>
          </cell>
          <cell r="R19">
            <v>73</v>
          </cell>
          <cell r="S19">
            <v>69</v>
          </cell>
          <cell r="T19">
            <v>71</v>
          </cell>
          <cell r="U19">
            <v>67</v>
          </cell>
          <cell r="V19">
            <v>78</v>
          </cell>
          <cell r="W19">
            <v>95</v>
          </cell>
          <cell r="X19">
            <v>88</v>
          </cell>
          <cell r="Y19">
            <v>-0.19561680672268911</v>
          </cell>
          <cell r="Z19">
            <v>-0.14331504495144398</v>
          </cell>
          <cell r="AA19">
            <v>3.2910136344893148E-2</v>
          </cell>
          <cell r="AB19">
            <v>300</v>
          </cell>
          <cell r="AC19">
            <v>328</v>
          </cell>
          <cell r="AD19">
            <v>354.24</v>
          </cell>
          <cell r="AE19">
            <v>382.57920000000001</v>
          </cell>
          <cell r="AF19">
            <v>409.35974400000003</v>
          </cell>
          <cell r="AG19">
            <v>433.92132864000007</v>
          </cell>
          <cell r="AH19">
            <v>459.9566083584001</v>
          </cell>
          <cell r="AI19">
            <v>0.10218836139961085</v>
          </cell>
          <cell r="AJ19">
            <v>9.3333333333333268E-2</v>
          </cell>
          <cell r="AK19">
            <v>8.0000000000000071E-2</v>
          </cell>
          <cell r="AL19">
            <v>8.0000000000000071E-2</v>
          </cell>
          <cell r="AM19">
            <v>7.0000000000000062E-2</v>
          </cell>
          <cell r="AN19">
            <v>6.0000000000000053E-2</v>
          </cell>
          <cell r="AO19">
            <v>6.0000000000000053E-2</v>
          </cell>
          <cell r="AP19">
            <v>-0.22988505747126442</v>
          </cell>
          <cell r="AQ19">
            <v>6.8493150684931559E-2</v>
          </cell>
          <cell r="AR19">
            <v>0.37681159420289845</v>
          </cell>
          <cell r="AS19">
            <v>0.23943661971830976</v>
          </cell>
          <cell r="AT19">
            <v>-0.22988505747126442</v>
          </cell>
          <cell r="AU19">
            <v>6.8493150684931559E-2</v>
          </cell>
          <cell r="AV19">
            <v>0.37681159420289845</v>
          </cell>
          <cell r="AW19">
            <v>0.40845070422535201</v>
          </cell>
          <cell r="AX19">
            <v>-0.22988505747126442</v>
          </cell>
          <cell r="AY19">
            <v>6.8493150684931559E-2</v>
          </cell>
          <cell r="AZ19">
            <v>0.37681159420289845</v>
          </cell>
          <cell r="BA19">
            <v>0.40845070422535201</v>
          </cell>
        </row>
        <row r="20">
          <cell r="D20" t="str">
            <v>Total Business and Regional Aviation</v>
          </cell>
          <cell r="Q20">
            <v>264</v>
          </cell>
          <cell r="R20">
            <v>266</v>
          </cell>
          <cell r="S20">
            <v>189</v>
          </cell>
          <cell r="T20">
            <v>186</v>
          </cell>
          <cell r="U20">
            <v>170</v>
          </cell>
          <cell r="V20">
            <v>198</v>
          </cell>
          <cell r="W20">
            <v>221</v>
          </cell>
          <cell r="X20">
            <v>218</v>
          </cell>
          <cell r="Y20">
            <v>210</v>
          </cell>
          <cell r="Z20">
            <v>231</v>
          </cell>
          <cell r="AA20">
            <v>242</v>
          </cell>
          <cell r="AB20">
            <v>905</v>
          </cell>
          <cell r="AC20">
            <v>807</v>
          </cell>
          <cell r="AD20">
            <v>881.1400000000001</v>
          </cell>
          <cell r="AE20">
            <v>1014.8592000000001</v>
          </cell>
          <cell r="AF20">
            <v>1130.1589440000002</v>
          </cell>
          <cell r="AG20">
            <v>1255.6324166400004</v>
          </cell>
          <cell r="AH20">
            <v>1347.4045833984005</v>
          </cell>
          <cell r="AI20">
            <v>1069.5906</v>
          </cell>
          <cell r="AJ20">
            <v>-0.10828729281767957</v>
          </cell>
          <cell r="AK20">
            <v>9.1871127633209593E-2</v>
          </cell>
          <cell r="AL20">
            <v>0.15175704201375484</v>
          </cell>
          <cell r="AM20">
            <v>0.11361156700358044</v>
          </cell>
          <cell r="AN20">
            <v>0.11102285506488907</v>
          </cell>
          <cell r="AO20">
            <v>7.3088401941690195E-2</v>
          </cell>
          <cell r="AP20">
            <v>-0.35606060606060608</v>
          </cell>
          <cell r="AQ20">
            <v>-0.25563909774436089</v>
          </cell>
          <cell r="AR20">
            <v>0.1693121693121693</v>
          </cell>
          <cell r="AS20">
            <v>0.17204301075268824</v>
          </cell>
          <cell r="AT20">
            <v>-0.35606060606060608</v>
          </cell>
          <cell r="AU20">
            <v>-0.25563909774436089</v>
          </cell>
          <cell r="AV20">
            <v>0.1693121693121693</v>
          </cell>
          <cell r="AW20">
            <v>0.16666666666666674</v>
          </cell>
          <cell r="AX20">
            <v>-0.35606060606060608</v>
          </cell>
          <cell r="AY20">
            <v>-0.25563909774436089</v>
          </cell>
          <cell r="AZ20">
            <v>0.1693121693121693</v>
          </cell>
          <cell r="BA20">
            <v>0.16666666666666674</v>
          </cell>
        </row>
        <row r="21">
          <cell r="B21" t="str">
            <v>Regional Jet Deliveries</v>
          </cell>
          <cell r="X21">
            <v>330</v>
          </cell>
          <cell r="Y21">
            <v>315</v>
          </cell>
          <cell r="Z21">
            <v>316</v>
          </cell>
          <cell r="AA21">
            <v>331</v>
          </cell>
          <cell r="AB21">
            <v>258</v>
          </cell>
          <cell r="AC21">
            <v>210</v>
          </cell>
          <cell r="AD21">
            <v>258</v>
          </cell>
          <cell r="AE21">
            <v>272</v>
          </cell>
          <cell r="AF21">
            <v>200</v>
          </cell>
          <cell r="AG21">
            <v>160</v>
          </cell>
          <cell r="AH21">
            <v>110</v>
          </cell>
          <cell r="AI21">
            <v>105</v>
          </cell>
          <cell r="AJ21">
            <v>135</v>
          </cell>
          <cell r="AK21">
            <v>150</v>
          </cell>
          <cell r="AL21">
            <v>150</v>
          </cell>
          <cell r="AN21" t="str">
            <v>Source: Airline Monitor, Bombardier/Embraer</v>
          </cell>
        </row>
        <row r="22">
          <cell r="C22" t="str">
            <v>Y/Y Change</v>
          </cell>
          <cell r="Q22">
            <v>484</v>
          </cell>
          <cell r="R22">
            <v>525</v>
          </cell>
          <cell r="S22">
            <v>433</v>
          </cell>
          <cell r="T22">
            <v>449</v>
          </cell>
          <cell r="U22">
            <v>411</v>
          </cell>
          <cell r="V22">
            <v>449</v>
          </cell>
          <cell r="W22">
            <v>460</v>
          </cell>
          <cell r="X22">
            <v>486.4</v>
          </cell>
          <cell r="Y22">
            <v>-4.5454545454545414E-2</v>
          </cell>
          <cell r="Z22">
            <v>3.1746031746031633E-3</v>
          </cell>
          <cell r="AA22">
            <v>4.7468354430379778E-2</v>
          </cell>
          <cell r="AB22">
            <v>-0.22054380664652573</v>
          </cell>
          <cell r="AC22">
            <v>-0.18604651162790697</v>
          </cell>
          <cell r="AD22">
            <v>0.22857142857142865</v>
          </cell>
          <cell r="AE22">
            <v>5.4263565891472965E-2</v>
          </cell>
          <cell r="AF22">
            <v>-0.26470588235294112</v>
          </cell>
          <cell r="AG22">
            <v>-0.19999999999999996</v>
          </cell>
          <cell r="AH22">
            <v>-0.3125</v>
          </cell>
          <cell r="AI22">
            <v>-4.5454545454545414E-2</v>
          </cell>
          <cell r="AJ22">
            <v>-4.4738233738762512E-2</v>
          </cell>
          <cell r="AK22">
            <v>9.1220106288750991E-2</v>
          </cell>
          <cell r="AL22">
            <v>0.11765703791637527</v>
          </cell>
          <cell r="AM22">
            <v>9.7188213425499104E-2</v>
          </cell>
          <cell r="AN22">
            <v>7.5974823755348586E-2</v>
          </cell>
          <cell r="AO22">
            <v>5.8110311730895203E-2</v>
          </cell>
          <cell r="AP22">
            <v>-0.15082644628099173</v>
          </cell>
          <cell r="AQ22">
            <v>-0.14476190476190476</v>
          </cell>
          <cell r="AR22">
            <v>6.2355658198614217E-2</v>
          </cell>
          <cell r="AS22">
            <v>8.3296213808463193E-2</v>
          </cell>
          <cell r="AT22">
            <v>-0.15082644628099173</v>
          </cell>
          <cell r="AU22">
            <v>-0.14476190476190476</v>
          </cell>
          <cell r="AV22">
            <v>6.2355658198614217E-2</v>
          </cell>
          <cell r="AW22">
            <v>7.795100222717144E-2</v>
          </cell>
          <cell r="AX22">
            <v>-0.15082644628099173</v>
          </cell>
          <cell r="AY22">
            <v>-0.14476190476190476</v>
          </cell>
          <cell r="AZ22">
            <v>4.8498845265589008E-2</v>
          </cell>
          <cell r="BA22">
            <v>5.3452115812917533E-2</v>
          </cell>
        </row>
        <row r="23">
          <cell r="D23" t="str">
            <v>Check</v>
          </cell>
          <cell r="I23">
            <v>492</v>
          </cell>
          <cell r="J23">
            <v>542</v>
          </cell>
          <cell r="K23">
            <v>545</v>
          </cell>
          <cell r="L23">
            <v>605</v>
          </cell>
          <cell r="M23">
            <v>565</v>
          </cell>
          <cell r="N23">
            <v>610</v>
          </cell>
          <cell r="O23">
            <v>587</v>
          </cell>
          <cell r="P23">
            <v>641</v>
          </cell>
          <cell r="Q23">
            <v>484</v>
          </cell>
          <cell r="R23">
            <v>525</v>
          </cell>
          <cell r="S23">
            <v>433</v>
          </cell>
          <cell r="T23">
            <v>449</v>
          </cell>
          <cell r="U23">
            <v>411</v>
          </cell>
          <cell r="V23">
            <v>449</v>
          </cell>
          <cell r="W23">
            <v>460</v>
          </cell>
          <cell r="X23">
            <v>486.40000000000009</v>
          </cell>
          <cell r="Y23">
            <v>1820</v>
          </cell>
          <cell r="Z23">
            <v>2184</v>
          </cell>
          <cell r="AA23">
            <v>2403</v>
          </cell>
          <cell r="AB23">
            <v>1891</v>
          </cell>
          <cell r="AC23">
            <v>1806.4</v>
          </cell>
          <cell r="AD23">
            <v>1971.18</v>
          </cell>
          <cell r="AE23">
            <v>2203.1032000000005</v>
          </cell>
          <cell r="AF23">
            <v>2417.2188640000004</v>
          </cell>
          <cell r="AG23">
            <v>2600.8666411705044</v>
          </cell>
          <cell r="AH23">
            <v>2752.0038124594089</v>
          </cell>
          <cell r="AI23">
            <v>2252.3762000000002</v>
          </cell>
          <cell r="AJ23">
            <v>2493.8092040000001</v>
          </cell>
          <cell r="AK23">
            <v>2698.2184133600003</v>
          </cell>
          <cell r="AL23">
            <v>2856.3530421728001</v>
          </cell>
          <cell r="AM23">
            <v>2255.63</v>
          </cell>
          <cell r="AN23">
            <v>2492.8658</v>
          </cell>
          <cell r="AO23">
            <v>2696.2151020689657</v>
          </cell>
          <cell r="AP23">
            <v>2852.7883950179312</v>
          </cell>
        </row>
        <row r="24">
          <cell r="B24" t="str">
            <v>Total Large and Regional</v>
          </cell>
          <cell r="D24" t="str">
            <v>Difference</v>
          </cell>
          <cell r="Q24">
            <v>0</v>
          </cell>
          <cell r="R24">
            <v>0</v>
          </cell>
          <cell r="S24">
            <v>0</v>
          </cell>
          <cell r="T24">
            <v>0</v>
          </cell>
          <cell r="U24">
            <v>0</v>
          </cell>
          <cell r="V24">
            <v>0</v>
          </cell>
          <cell r="W24">
            <v>0</v>
          </cell>
          <cell r="X24">
            <v>1180</v>
          </cell>
          <cell r="Y24">
            <v>998.72571428571428</v>
          </cell>
          <cell r="Z24">
            <v>901.73753280839901</v>
          </cell>
          <cell r="AA24">
            <v>936.0142348754448</v>
          </cell>
          <cell r="AB24">
            <v>926.01754385964909</v>
          </cell>
          <cell r="AC24">
            <v>1042.3724137931035</v>
          </cell>
          <cell r="AD24">
            <v>1152.108040201005</v>
          </cell>
          <cell r="AE24">
            <v>1129.8503401360545</v>
          </cell>
          <cell r="AF24">
            <v>1158.2666666666667</v>
          </cell>
          <cell r="AG24">
            <v>1038.9368421052632</v>
          </cell>
          <cell r="AH24">
            <v>982.97078651685388</v>
          </cell>
          <cell r="AI24">
            <v>1067.1782407407409</v>
          </cell>
          <cell r="AJ24">
            <v>1131.0510805500983</v>
          </cell>
          <cell r="AK24">
            <v>1166.0112149532711</v>
          </cell>
          <cell r="AL24">
            <v>1192.0018484288355</v>
          </cell>
          <cell r="AM24">
            <v>0</v>
          </cell>
          <cell r="AN24">
            <v>0</v>
          </cell>
          <cell r="AO24">
            <v>0</v>
          </cell>
          <cell r="AP24">
            <v>0</v>
          </cell>
        </row>
        <row r="25">
          <cell r="C25" t="str">
            <v>Y/Y Change</v>
          </cell>
          <cell r="Q25">
            <v>219</v>
          </cell>
          <cell r="R25">
            <v>213</v>
          </cell>
          <cell r="S25">
            <v>199</v>
          </cell>
          <cell r="T25">
            <v>205</v>
          </cell>
          <cell r="U25">
            <v>167</v>
          </cell>
          <cell r="V25">
            <v>181</v>
          </cell>
          <cell r="W25">
            <v>187</v>
          </cell>
          <cell r="X25">
            <v>219</v>
          </cell>
          <cell r="Y25">
            <v>-0.15362227602905565</v>
          </cell>
          <cell r="Z25">
            <v>-9.7111929822174425E-2</v>
          </cell>
          <cell r="AA25">
            <v>3.8011839165985828E-2</v>
          </cell>
          <cell r="AB25">
            <v>-1.0680063019688935E-2</v>
          </cell>
          <cell r="AC25">
            <v>0.12565082670948802</v>
          </cell>
          <cell r="AD25">
            <v>0.10527487580814121</v>
          </cell>
          <cell r="AE25">
            <v>-1.9319108354688086E-2</v>
          </cell>
          <cell r="AF25">
            <v>2.5150522614517667E-2</v>
          </cell>
          <cell r="AG25">
            <v>-0.10302448304484013</v>
          </cell>
          <cell r="AH25">
            <v>-5.386858307479192E-2</v>
          </cell>
          <cell r="AI25">
            <v>8.5666283656582687E-2</v>
          </cell>
          <cell r="AJ25">
            <v>5.9852082221075298E-2</v>
          </cell>
          <cell r="AK25">
            <v>3.0909421337690146E-2</v>
          </cell>
          <cell r="AL25">
            <v>2.2290208826684532E-2</v>
          </cell>
        </row>
        <row r="26">
          <cell r="C26" t="str">
            <v>Y/Y Growth Rates</v>
          </cell>
          <cell r="Q26">
            <v>265</v>
          </cell>
          <cell r="R26">
            <v>312</v>
          </cell>
          <cell r="S26">
            <v>234</v>
          </cell>
          <cell r="T26">
            <v>244</v>
          </cell>
          <cell r="U26">
            <v>244</v>
          </cell>
          <cell r="V26">
            <v>268</v>
          </cell>
          <cell r="W26">
            <v>273</v>
          </cell>
          <cell r="X26">
            <v>265</v>
          </cell>
          <cell r="Y26">
            <v>260</v>
          </cell>
          <cell r="Z26">
            <v>299</v>
          </cell>
          <cell r="AA26">
            <v>313</v>
          </cell>
          <cell r="AB26">
            <v>309.84999999999997</v>
          </cell>
          <cell r="AC26">
            <v>0</v>
          </cell>
          <cell r="AD26">
            <v>0</v>
          </cell>
          <cell r="AE26">
            <v>0</v>
          </cell>
          <cell r="AF26">
            <v>1055</v>
          </cell>
          <cell r="AG26">
            <v>1050</v>
          </cell>
          <cell r="AH26">
            <v>1181.8499999999999</v>
          </cell>
          <cell r="AI26">
            <v>1316.3748000000001</v>
          </cell>
          <cell r="AJ26">
            <v>1472.9776080000001</v>
          </cell>
          <cell r="AK26">
            <v>1596.81380352</v>
          </cell>
          <cell r="AL26">
            <v>1688.7445424016</v>
          </cell>
          <cell r="AM26">
            <v>1303.8499999999999</v>
          </cell>
          <cell r="AN26">
            <v>1455.4256</v>
          </cell>
          <cell r="AO26">
            <v>1575.7796860689655</v>
          </cell>
          <cell r="AP26">
            <v>1665.1268540579313</v>
          </cell>
        </row>
        <row r="27">
          <cell r="B27" t="str">
            <v>Biz Jets</v>
          </cell>
          <cell r="C27" t="str">
            <v>Air Transport Aviation Electronics:</v>
          </cell>
          <cell r="Q27">
            <v>219</v>
          </cell>
          <cell r="R27">
            <v>213</v>
          </cell>
          <cell r="S27">
            <v>199</v>
          </cell>
          <cell r="T27">
            <v>205</v>
          </cell>
          <cell r="U27">
            <v>167</v>
          </cell>
          <cell r="V27">
            <v>181</v>
          </cell>
          <cell r="W27">
            <v>181</v>
          </cell>
          <cell r="X27">
            <v>784</v>
          </cell>
          <cell r="Y27">
            <v>676</v>
          </cell>
          <cell r="Z27">
            <v>515</v>
          </cell>
          <cell r="AA27">
            <v>591</v>
          </cell>
          <cell r="AB27">
            <v>750</v>
          </cell>
          <cell r="AC27">
            <v>886</v>
          </cell>
          <cell r="AD27">
            <v>1138</v>
          </cell>
          <cell r="AE27">
            <v>1315</v>
          </cell>
          <cell r="AF27">
            <v>800</v>
          </cell>
          <cell r="AG27">
            <v>625</v>
          </cell>
          <cell r="AH27">
            <v>800</v>
          </cell>
          <cell r="AI27">
            <v>900</v>
          </cell>
          <cell r="AJ27">
            <v>1000</v>
          </cell>
          <cell r="AK27">
            <v>1100</v>
          </cell>
          <cell r="AL27">
            <v>1200</v>
          </cell>
          <cell r="AM27">
            <v>951.78</v>
          </cell>
          <cell r="AN27" t="str">
            <v>Source: GAMA, Honeywell</v>
          </cell>
          <cell r="AO27">
            <v>1120.4354160000003</v>
          </cell>
          <cell r="AP27">
            <v>1187.6615409600004</v>
          </cell>
        </row>
        <row r="28">
          <cell r="C28" t="str">
            <v>Y/Y Change</v>
          </cell>
          <cell r="D28" t="str">
            <v>Original Equipment</v>
          </cell>
          <cell r="U28">
            <v>0.46268656716417911</v>
          </cell>
          <cell r="V28">
            <v>0.10784313725490202</v>
          </cell>
          <cell r="W28">
            <v>0.25274725274725274</v>
          </cell>
          <cell r="X28">
            <v>9.5238095238095344E-2</v>
          </cell>
          <cell r="Y28">
            <v>-0.13775510204081631</v>
          </cell>
          <cell r="Z28">
            <v>-0.23816568047337283</v>
          </cell>
          <cell r="AA28">
            <v>0.14757281553398061</v>
          </cell>
          <cell r="AB28">
            <v>0.26903553299492389</v>
          </cell>
          <cell r="AC28">
            <v>0.20547945205479445</v>
          </cell>
          <cell r="AD28">
            <v>0.13</v>
          </cell>
          <cell r="AE28">
            <v>0.1</v>
          </cell>
          <cell r="AF28">
            <v>0.1</v>
          </cell>
          <cell r="AG28">
            <v>5.1724137931034475E-2</v>
          </cell>
          <cell r="AH28">
            <v>4.9180327868852514E-2</v>
          </cell>
          <cell r="AI28">
            <v>0.125</v>
          </cell>
          <cell r="AJ28">
            <v>0.11111111111111116</v>
          </cell>
          <cell r="AK28">
            <v>0.10000000000000009</v>
          </cell>
          <cell r="AL28">
            <v>9.0909090909090828E-2</v>
          </cell>
        </row>
        <row r="29">
          <cell r="C29" t="str">
            <v>Y/Y Growth Rates</v>
          </cell>
          <cell r="D29" t="str">
            <v>Aftermarket</v>
          </cell>
          <cell r="U29">
            <v>-5.3030303030302983E-2</v>
          </cell>
          <cell r="V29">
            <v>-9.285714285714286E-2</v>
          </cell>
          <cell r="W29">
            <v>-0.11538461538461542</v>
          </cell>
          <cell r="X29">
            <v>0.10000000000000009</v>
          </cell>
          <cell r="Y29">
            <v>0.17346938775510212</v>
          </cell>
          <cell r="Z29">
            <v>0.16814159292035402</v>
          </cell>
          <cell r="AA29">
            <v>0.13157894736842102</v>
          </cell>
          <cell r="AB29">
            <v>0.16877192982456091</v>
          </cell>
          <cell r="AC29">
            <v>-4.0298507462686595E-2</v>
          </cell>
          <cell r="AD29">
            <v>0.1</v>
          </cell>
          <cell r="AE29">
            <v>0.1</v>
          </cell>
          <cell r="AF29">
            <v>0.08</v>
          </cell>
          <cell r="AG29">
            <v>4.6153846153846212E-2</v>
          </cell>
          <cell r="AH29">
            <v>4.4117647058823595E-2</v>
          </cell>
          <cell r="AI29">
            <v>0.14000000000000001</v>
          </cell>
          <cell r="AJ29">
            <v>0.15</v>
          </cell>
          <cell r="AK29">
            <v>5.1724137931034475E-2</v>
          </cell>
          <cell r="AL29">
            <v>4.9180327868852514E-2</v>
          </cell>
        </row>
        <row r="30">
          <cell r="A30" t="str">
            <v>Segment Revenue</v>
          </cell>
          <cell r="C30" t="str">
            <v>Air Transport Aviation Electronics:</v>
          </cell>
          <cell r="D30" t="str">
            <v xml:space="preserve">Wide-Body In-Flight Entertainment </v>
          </cell>
          <cell r="U30">
            <v>-0.1428571428571429</v>
          </cell>
          <cell r="V30">
            <v>-0.3529411764705882</v>
          </cell>
          <cell r="W30">
            <v>-0.56521739130434789</v>
          </cell>
          <cell r="X30">
            <v>-0.75</v>
          </cell>
          <cell r="Y30">
            <v>8.0000000000000071E-2</v>
          </cell>
          <cell r="Z30">
            <v>0.11650485436893199</v>
          </cell>
          <cell r="AA30">
            <v>0.25</v>
          </cell>
          <cell r="AB30">
            <v>5.6134453781513161E-2</v>
          </cell>
          <cell r="AC30">
            <v>-0.47058823529411764</v>
          </cell>
          <cell r="AD30">
            <v>-0.4</v>
          </cell>
          <cell r="AE30">
            <v>-0.3</v>
          </cell>
          <cell r="AF30">
            <v>-0.3</v>
          </cell>
          <cell r="AG30">
            <v>-0.3</v>
          </cell>
          <cell r="AH30">
            <v>-0.3</v>
          </cell>
          <cell r="AI30">
            <v>0.15</v>
          </cell>
          <cell r="AJ30">
            <v>0.09</v>
          </cell>
          <cell r="AK30">
            <v>0.08</v>
          </cell>
          <cell r="AL30">
            <v>0.06</v>
          </cell>
        </row>
        <row r="31">
          <cell r="D31" t="str">
            <v>Total Air Transport Electronics</v>
          </cell>
          <cell r="U31">
            <v>9.5454545454545459E-2</v>
          </cell>
          <cell r="V31">
            <v>-3.0888030888030937E-2</v>
          </cell>
          <cell r="W31">
            <v>-2.0491803278688492E-2</v>
          </cell>
          <cell r="X31">
            <v>2.0532319391634912E-2</v>
          </cell>
          <cell r="Y31">
            <v>-0.37209302325581395</v>
          </cell>
          <cell r="Z31">
            <v>-0.17142857142857137</v>
          </cell>
          <cell r="AA31">
            <v>-0.27272727272727271</v>
          </cell>
          <cell r="AB31">
            <v>-0.4529411764705884</v>
          </cell>
          <cell r="AC31">
            <v>1.3590263691683591E-2</v>
          </cell>
          <cell r="AD31">
            <v>9.0694416649989895E-2</v>
          </cell>
          <cell r="AE31">
            <v>9.0092106711680442E-2</v>
          </cell>
          <cell r="AF31">
            <v>8.3161303570647105E-2</v>
          </cell>
          <cell r="AG31">
            <v>4.5199375434287425E-2</v>
          </cell>
          <cell r="AH31">
            <v>4.4129864857715084E-2</v>
          </cell>
          <cell r="AI31">
            <v>-0.3</v>
          </cell>
          <cell r="AJ31">
            <v>-0.3</v>
          </cell>
          <cell r="AK31">
            <v>-0.3</v>
          </cell>
          <cell r="AL31">
            <v>-0.3</v>
          </cell>
          <cell r="AM31">
            <v>0.14000000000000001</v>
          </cell>
          <cell r="AN31">
            <v>0.15</v>
          </cell>
          <cell r="AO31">
            <v>5.1724137931034475E-2</v>
          </cell>
          <cell r="AP31">
            <v>4.9180327868852514E-2</v>
          </cell>
        </row>
        <row r="32">
          <cell r="B32" t="str">
            <v>OEM Revenue</v>
          </cell>
          <cell r="D32" t="str">
            <v>Total Air Transport Electronics</v>
          </cell>
          <cell r="U32">
            <v>9.5454545454545459E-2</v>
          </cell>
          <cell r="V32">
            <v>-3.0888030888030937E-2</v>
          </cell>
          <cell r="W32">
            <v>-2.0491803278688492E-2</v>
          </cell>
          <cell r="X32">
            <v>1.5209125475285079E-2</v>
          </cell>
          <cell r="Y32">
            <v>3.7344398340249052E-2</v>
          </cell>
          <cell r="Z32">
            <v>9.960159362549792E-2</v>
          </cell>
          <cell r="AA32">
            <v>0.12133891213389125</v>
          </cell>
          <cell r="AB32">
            <v>3.9400749063670304E-2</v>
          </cell>
          <cell r="AC32">
            <v>0.11111111111111116</v>
          </cell>
          <cell r="AG32">
            <v>1.2170385395537497E-2</v>
          </cell>
          <cell r="AH32">
            <v>7.3667334669338613E-2</v>
          </cell>
          <cell r="AI32">
            <v>0.10383903240256842</v>
          </cell>
          <cell r="AJ32">
            <v>9.6691167021309754E-2</v>
          </cell>
          <cell r="AK32">
            <v>5.1293484737607642E-2</v>
          </cell>
          <cell r="AL32">
            <v>4.5500978679041459E-2</v>
          </cell>
          <cell r="AM32">
            <v>0.15</v>
          </cell>
          <cell r="AN32">
            <v>0.09</v>
          </cell>
          <cell r="AO32">
            <v>0.08</v>
          </cell>
          <cell r="AP32">
            <v>0.06</v>
          </cell>
        </row>
        <row r="33">
          <cell r="C33" t="str">
            <v>Business and Regional Aviation Electronics:</v>
          </cell>
          <cell r="D33" t="str">
            <v xml:space="preserve">Wide-Body In-Flight Entertainment </v>
          </cell>
          <cell r="U33">
            <v>1.0476190476190474</v>
          </cell>
          <cell r="V33">
            <v>1.0588235294117645</v>
          </cell>
          <cell r="W33">
            <v>0.43478260869565211</v>
          </cell>
          <cell r="X33">
            <v>0.41666666666666674</v>
          </cell>
          <cell r="Y33">
            <v>-0.37209302325581395</v>
          </cell>
          <cell r="Z33">
            <v>-0.17142857142857137</v>
          </cell>
          <cell r="AA33">
            <v>-0.15151515151515149</v>
          </cell>
          <cell r="AB33">
            <v>-0.2720588235294118</v>
          </cell>
          <cell r="AC33">
            <v>-7.407407407407407E-2</v>
          </cell>
          <cell r="AG33">
            <v>0.70588235294117641</v>
          </cell>
          <cell r="AH33">
            <v>-0.25</v>
          </cell>
          <cell r="AI33">
            <v>-0.3</v>
          </cell>
          <cell r="AJ33">
            <v>-0.3</v>
          </cell>
          <cell r="AK33">
            <v>-0.3</v>
          </cell>
          <cell r="AL33">
            <v>-0.3</v>
          </cell>
          <cell r="AM33">
            <v>-0.3</v>
          </cell>
          <cell r="AN33">
            <v>-0.3</v>
          </cell>
          <cell r="AO33">
            <v>-0.3</v>
          </cell>
          <cell r="AP33">
            <v>-0.3</v>
          </cell>
        </row>
        <row r="34">
          <cell r="C34" t="str">
            <v>Large Commercial OEM</v>
          </cell>
          <cell r="D34" t="str">
            <v>Orginal Equipment</v>
          </cell>
          <cell r="U34">
            <v>-0.41807909604519777</v>
          </cell>
          <cell r="V34">
            <v>-0.37823834196891193</v>
          </cell>
          <cell r="W34">
            <v>5.0000000000000044E-2</v>
          </cell>
          <cell r="X34">
            <v>0.13043478260869557</v>
          </cell>
          <cell r="Y34">
            <v>0.14563106796116498</v>
          </cell>
          <cell r="Z34">
            <v>4.1666666666666741E-2</v>
          </cell>
          <cell r="AA34">
            <v>7.1428571428571397E-2</v>
          </cell>
          <cell r="AB34">
            <v>0.23008547008547064</v>
          </cell>
          <cell r="AC34">
            <v>-0.20826446280991739</v>
          </cell>
          <cell r="AD34">
            <v>0.1</v>
          </cell>
          <cell r="AE34">
            <v>0.2</v>
          </cell>
          <cell r="AF34">
            <v>365</v>
          </cell>
          <cell r="AG34">
            <v>405</v>
          </cell>
          <cell r="AH34">
            <v>470</v>
          </cell>
          <cell r="AI34">
            <v>525</v>
          </cell>
          <cell r="AJ34">
            <v>600</v>
          </cell>
          <cell r="AK34">
            <v>650</v>
          </cell>
          <cell r="AL34">
            <v>700</v>
          </cell>
          <cell r="AM34">
            <v>9.4877589453860711E-2</v>
          </cell>
          <cell r="AN34" t="str">
            <v>~10% increase</v>
          </cell>
          <cell r="AO34">
            <v>4.7963861295757804E-2</v>
          </cell>
          <cell r="AP34">
            <v>4.3353651606964139E-2</v>
          </cell>
        </row>
        <row r="35">
          <cell r="D35" t="str">
            <v>Y/Y Change</v>
          </cell>
          <cell r="U35">
            <v>-0.22988505747126442</v>
          </cell>
          <cell r="V35">
            <v>6.8493150684931559E-2</v>
          </cell>
          <cell r="W35">
            <v>0.37681159420289845</v>
          </cell>
          <cell r="X35">
            <v>0.23943661971830976</v>
          </cell>
          <cell r="Y35">
            <v>0.14563106796116498</v>
          </cell>
          <cell r="Z35">
            <v>0.14999999999999991</v>
          </cell>
          <cell r="AA35">
            <v>0.11111111111111116</v>
          </cell>
          <cell r="AB35">
            <v>0.11606837606837539</v>
          </cell>
          <cell r="AC35">
            <v>9.3333333333333268E-2</v>
          </cell>
          <cell r="AD35">
            <v>0.08</v>
          </cell>
          <cell r="AE35">
            <v>0.08</v>
          </cell>
          <cell r="AF35">
            <v>7.0000000000000007E-2</v>
          </cell>
          <cell r="AG35">
            <v>0.1095890410958904</v>
          </cell>
          <cell r="AH35">
            <v>0.16049382716049387</v>
          </cell>
          <cell r="AI35">
            <v>0.11702127659574457</v>
          </cell>
          <cell r="AJ35">
            <v>0.14285714285714279</v>
          </cell>
          <cell r="AK35">
            <v>8.3333333333333259E-2</v>
          </cell>
          <cell r="AL35">
            <v>7.6923076923076872E-2</v>
          </cell>
        </row>
        <row r="36">
          <cell r="C36" t="str">
            <v>Business and Regional Aviation Electronics:</v>
          </cell>
          <cell r="D36" t="str">
            <v>Total Business and Regional Aviation</v>
          </cell>
          <cell r="U36">
            <v>-0.35606060606060608</v>
          </cell>
          <cell r="V36">
            <v>-0.25563909774436089</v>
          </cell>
          <cell r="W36">
            <v>0.1693121693121693</v>
          </cell>
          <cell r="X36">
            <v>0.17204301075268824</v>
          </cell>
          <cell r="Y36">
            <v>0.37313432835820892</v>
          </cell>
          <cell r="Z36">
            <v>0.19230769230769229</v>
          </cell>
          <cell r="AA36">
            <v>7.3684210526315796E-2</v>
          </cell>
          <cell r="AB36">
            <v>0.10799999999999965</v>
          </cell>
          <cell r="AC36">
            <v>-0.10828729281767957</v>
          </cell>
          <cell r="AD36">
            <v>9.1871127633209593E-2</v>
          </cell>
          <cell r="AE36">
            <v>0.15175704201375484</v>
          </cell>
          <cell r="AF36">
            <v>0.11361156700358044</v>
          </cell>
          <cell r="AG36">
            <v>0.11102285506488907</v>
          </cell>
          <cell r="AH36">
            <v>7.3088401941690195E-2</v>
          </cell>
          <cell r="AI36">
            <v>0.14000000000000001</v>
          </cell>
          <cell r="AJ36">
            <v>0.09</v>
          </cell>
          <cell r="AK36">
            <v>0.08</v>
          </cell>
          <cell r="AL36">
            <v>0.06</v>
          </cell>
        </row>
        <row r="37">
          <cell r="C37" t="str">
            <v>Regional Jet OEM</v>
          </cell>
          <cell r="D37" t="str">
            <v>Total Business and Regional Aviation</v>
          </cell>
          <cell r="U37">
            <v>-0.35606060606060608</v>
          </cell>
          <cell r="V37">
            <v>-0.25563909774436089</v>
          </cell>
          <cell r="W37">
            <v>0.1693121693121693</v>
          </cell>
          <cell r="X37">
            <v>0.16666666666666674</v>
          </cell>
          <cell r="Y37">
            <v>0.23529411764705888</v>
          </cell>
          <cell r="Z37">
            <v>0.16666666666666674</v>
          </cell>
          <cell r="AA37">
            <v>9.5022624434389247E-2</v>
          </cell>
          <cell r="AB37">
            <v>0.1123502304147459</v>
          </cell>
          <cell r="AC37">
            <v>0.19491525423728806</v>
          </cell>
          <cell r="AF37">
            <v>160</v>
          </cell>
          <cell r="AG37">
            <v>175</v>
          </cell>
          <cell r="AH37">
            <v>190</v>
          </cell>
          <cell r="AI37">
            <v>210</v>
          </cell>
          <cell r="AJ37">
            <v>230</v>
          </cell>
          <cell r="AK37">
            <v>250</v>
          </cell>
          <cell r="AL37">
            <v>275</v>
          </cell>
          <cell r="AM37">
            <v>0.17</v>
          </cell>
          <cell r="AN37" t="str">
            <v>~10% increase</v>
          </cell>
          <cell r="AO37">
            <v>0.14000000000000001</v>
          </cell>
          <cell r="AP37">
            <v>0.08</v>
          </cell>
        </row>
        <row r="38">
          <cell r="C38" t="str">
            <v>Total Commercial</v>
          </cell>
          <cell r="D38" t="str">
            <v>Y/Y Change</v>
          </cell>
          <cell r="U38">
            <v>-0.15082644628099173</v>
          </cell>
          <cell r="V38">
            <v>-0.14476190476190476</v>
          </cell>
          <cell r="W38">
            <v>6.2355658198614217E-2</v>
          </cell>
          <cell r="X38">
            <v>8.3296213808463193E-2</v>
          </cell>
          <cell r="Y38">
            <v>0.11922141119221408</v>
          </cell>
          <cell r="Z38">
            <v>0.19999999999999996</v>
          </cell>
          <cell r="AA38">
            <v>0.10027472527472536</v>
          </cell>
          <cell r="AB38">
            <v>-0.21306699958385356</v>
          </cell>
          <cell r="AC38">
            <v>-4.4738233738762512E-2</v>
          </cell>
          <cell r="AD38">
            <v>9.1220106288750991E-2</v>
          </cell>
          <cell r="AE38">
            <v>0.11765703791637527</v>
          </cell>
          <cell r="AF38">
            <v>9.7188213425499104E-2</v>
          </cell>
          <cell r="AG38">
            <v>9.375E-2</v>
          </cell>
          <cell r="AH38">
            <v>8.5714285714285632E-2</v>
          </cell>
          <cell r="AI38">
            <v>0.10526315789473695</v>
          </cell>
          <cell r="AJ38">
            <v>9.5238095238095344E-2</v>
          </cell>
          <cell r="AK38">
            <v>8.6956521739130377E-2</v>
          </cell>
          <cell r="AL38">
            <v>0.10000000000000009</v>
          </cell>
          <cell r="AM38">
            <v>0.14000000000000001</v>
          </cell>
          <cell r="AN38">
            <v>0.09</v>
          </cell>
          <cell r="AO38">
            <v>0.08</v>
          </cell>
          <cell r="AP38">
            <v>0.06</v>
          </cell>
        </row>
        <row r="39">
          <cell r="C39" t="str">
            <v>Total Commercial</v>
          </cell>
          <cell r="D39" t="str">
            <v>Total Business and Regional Aviation</v>
          </cell>
          <cell r="U39">
            <v>-0.15082644628099173</v>
          </cell>
          <cell r="V39">
            <v>-0.14476190476190476</v>
          </cell>
          <cell r="W39">
            <v>6.2355658198614217E-2</v>
          </cell>
          <cell r="X39">
            <v>7.795100222717144E-2</v>
          </cell>
          <cell r="Y39">
            <v>0.11922141119221408</v>
          </cell>
          <cell r="Z39">
            <v>0.12917594654788411</v>
          </cell>
          <cell r="AA39">
            <v>0.10869565217391308</v>
          </cell>
          <cell r="AB39">
            <v>7.2107438016528747E-2</v>
          </cell>
          <cell r="AC39">
            <v>0.15238095238095228</v>
          </cell>
          <cell r="AD39">
            <v>0.19999999999999996</v>
          </cell>
          <cell r="AE39">
            <v>0.10027472527472536</v>
          </cell>
          <cell r="AF39">
            <v>-0.21306699958385356</v>
          </cell>
          <cell r="AG39">
            <v>-4.6007403490216814E-2</v>
          </cell>
          <cell r="AH39">
            <v>0.10637472283813731</v>
          </cell>
          <cell r="AI39">
            <v>0.12850152813267224</v>
          </cell>
          <cell r="AJ39">
            <v>0.10719035479064276</v>
          </cell>
          <cell r="AK39">
            <v>8.1966659290587884E-2</v>
          </cell>
          <cell r="AL39">
            <v>5.8607052724052755E-2</v>
          </cell>
          <cell r="AM39">
            <v>0.15770127118644051</v>
          </cell>
          <cell r="AN39">
            <v>0.11981553158198155</v>
          </cell>
          <cell r="AO39">
            <v>0.11642354124748522</v>
          </cell>
          <cell r="AP39">
            <v>7.2397575976030026E-2</v>
          </cell>
        </row>
        <row r="40">
          <cell r="C40" t="str">
            <v>Business Jet OEM</v>
          </cell>
          <cell r="U40">
            <v>-0.23744292237442921</v>
          </cell>
          <cell r="V40">
            <v>-0.15023474178403751</v>
          </cell>
          <cell r="W40">
            <v>-6.0301507537688481E-2</v>
          </cell>
          <cell r="X40">
            <v>6.8292682926829329E-2</v>
          </cell>
          <cell r="Y40">
            <v>0.19760479041916157</v>
          </cell>
          <cell r="Z40">
            <v>0.149171270718232</v>
          </cell>
          <cell r="AA40">
            <v>0.16042780748663099</v>
          </cell>
          <cell r="AB40">
            <v>7.9817351598173492E-2</v>
          </cell>
          <cell r="AC40">
            <v>471.63498098859316</v>
          </cell>
          <cell r="AD40">
            <v>605.77946768060838</v>
          </cell>
          <cell r="AE40">
            <v>700</v>
          </cell>
          <cell r="AF40">
            <v>445</v>
          </cell>
          <cell r="AG40">
            <v>300</v>
          </cell>
          <cell r="AH40">
            <v>340</v>
          </cell>
          <cell r="AI40">
            <v>370</v>
          </cell>
          <cell r="AJ40">
            <v>405</v>
          </cell>
          <cell r="AK40">
            <v>440</v>
          </cell>
          <cell r="AL40">
            <v>475</v>
          </cell>
          <cell r="AN40" t="str">
            <v>~30% decline</v>
          </cell>
        </row>
        <row r="41">
          <cell r="C41" t="str">
            <v>Air Transport Aviation Electronics:</v>
          </cell>
          <cell r="D41" t="str">
            <v>Y/Y Change</v>
          </cell>
          <cell r="U41">
            <v>-0.15082644628099173</v>
          </cell>
          <cell r="V41">
            <v>-0.14476190476190476</v>
          </cell>
          <cell r="W41">
            <v>4.8498845265589008E-2</v>
          </cell>
          <cell r="X41">
            <v>7.795100222717144E-2</v>
          </cell>
          <cell r="Y41">
            <v>0.11922141119221408</v>
          </cell>
          <cell r="Z41">
            <v>0.12917594654788411</v>
          </cell>
          <cell r="AA41">
            <v>0.14977973568281944</v>
          </cell>
          <cell r="AB41">
            <v>0.14969008264462791</v>
          </cell>
          <cell r="AC41">
            <v>0.11086956521739122</v>
          </cell>
          <cell r="AD41">
            <v>0.28442437923250563</v>
          </cell>
          <cell r="AE41">
            <v>0.15553602811950795</v>
          </cell>
          <cell r="AF41">
            <v>-0.21306699958385356</v>
          </cell>
          <cell r="AG41">
            <v>-0.3258426966292135</v>
          </cell>
          <cell r="AH41">
            <v>0.1333333333333333</v>
          </cell>
          <cell r="AI41">
            <v>8.8235294117646967E-2</v>
          </cell>
          <cell r="AJ41">
            <v>9.4594594594594517E-2</v>
          </cell>
          <cell r="AK41">
            <v>8.6419753086419693E-2</v>
          </cell>
          <cell r="AL41">
            <v>7.9545454545454586E-2</v>
          </cell>
          <cell r="AM41">
            <v>0.12444167497507475</v>
          </cell>
          <cell r="AN41">
            <v>0.10517496220568079</v>
          </cell>
          <cell r="AO41">
            <v>8.1572502646939826E-2</v>
          </cell>
          <cell r="AP41">
            <v>5.8071513963710686E-2</v>
          </cell>
        </row>
        <row r="42">
          <cell r="C42" t="str">
            <v>Qtrly Sequential Growth Rates</v>
          </cell>
          <cell r="D42" t="str">
            <v>Original Equipment</v>
          </cell>
          <cell r="R42">
            <v>0.52238805970149249</v>
          </cell>
          <cell r="S42">
            <v>-0.10784313725490191</v>
          </cell>
          <cell r="T42">
            <v>0.15384615384615374</v>
          </cell>
          <cell r="U42">
            <v>-6.6666666666666652E-2</v>
          </cell>
          <cell r="V42">
            <v>0.15306122448979598</v>
          </cell>
          <cell r="W42">
            <v>8.8495575221239076E-3</v>
          </cell>
          <cell r="X42">
            <v>8.7719298245614308E-3</v>
          </cell>
          <cell r="Y42">
            <v>8.7719298245614308E-3</v>
          </cell>
          <cell r="Z42">
            <v>4.3478260869565188E-2</v>
          </cell>
          <cell r="AA42">
            <v>4.1666666666666741E-2</v>
          </cell>
          <cell r="AB42">
            <v>5.3440000000000598E-2</v>
          </cell>
        </row>
        <row r="43">
          <cell r="C43" t="str">
            <v>Regional and Business Jet OEM</v>
          </cell>
          <cell r="D43" t="str">
            <v>Aftermarket</v>
          </cell>
          <cell r="R43">
            <v>6.0606060606060552E-2</v>
          </cell>
          <cell r="S43">
            <v>-7.1428571428571397E-2</v>
          </cell>
          <cell r="T43">
            <v>3.076923076923066E-2</v>
          </cell>
          <cell r="U43">
            <v>-6.7164179104477584E-2</v>
          </cell>
          <cell r="V43">
            <v>1.6000000000000014E-2</v>
          </cell>
          <cell r="W43">
            <v>-9.4488188976378007E-2</v>
          </cell>
          <cell r="X43">
            <v>0.28173913043478271</v>
          </cell>
          <cell r="Y43">
            <v>-9.2436974789915971E-2</v>
          </cell>
          <cell r="Z43">
            <v>9.259259259259256E-2</v>
          </cell>
          <cell r="AA43">
            <v>-6.7796610169491567E-2</v>
          </cell>
          <cell r="AB43">
            <v>0.16072727272727327</v>
          </cell>
          <cell r="AC43">
            <v>0.11538461538461542</v>
          </cell>
          <cell r="AF43">
            <v>605</v>
          </cell>
          <cell r="AG43">
            <v>475</v>
          </cell>
          <cell r="AH43">
            <v>530</v>
          </cell>
          <cell r="AI43">
            <v>580</v>
          </cell>
          <cell r="AJ43">
            <v>635</v>
          </cell>
          <cell r="AK43">
            <v>690</v>
          </cell>
          <cell r="AL43">
            <v>750</v>
          </cell>
          <cell r="AN43" t="str">
            <v>~22% decline</v>
          </cell>
        </row>
        <row r="44">
          <cell r="C44" t="str">
            <v>Total Aftermarket</v>
          </cell>
          <cell r="D44" t="str">
            <v>% Total OEM Revenue</v>
          </cell>
          <cell r="R44">
            <v>-0.19047619047619047</v>
          </cell>
          <cell r="S44">
            <v>0.35294117647058831</v>
          </cell>
          <cell r="T44">
            <v>4.3478260869565188E-2</v>
          </cell>
          <cell r="U44">
            <v>-0.25</v>
          </cell>
          <cell r="V44">
            <v>-0.38888888888888884</v>
          </cell>
          <cell r="W44">
            <v>-9.0909090909090939E-2</v>
          </cell>
          <cell r="X44">
            <v>-0.4</v>
          </cell>
          <cell r="Y44">
            <v>8.7719298245614308E-3</v>
          </cell>
          <cell r="Z44">
            <v>0.14782608695652177</v>
          </cell>
          <cell r="AA44">
            <v>-2.2727272727272707E-2</v>
          </cell>
          <cell r="AB44">
            <v>3.2868217054263127E-2</v>
          </cell>
          <cell r="AC44">
            <v>0.10499999999999998</v>
          </cell>
          <cell r="AF44">
            <v>0.62371134020618557</v>
          </cell>
          <cell r="AG44">
            <v>0.53977272727272729</v>
          </cell>
          <cell r="AH44">
            <v>0.53</v>
          </cell>
          <cell r="AI44">
            <v>0.52488687782805432</v>
          </cell>
          <cell r="AJ44">
            <v>0.51417004048582993</v>
          </cell>
          <cell r="AK44">
            <v>0.5149253731343284</v>
          </cell>
          <cell r="AL44">
            <v>0.51724137931034486</v>
          </cell>
          <cell r="AM44">
            <v>0.14534296028880855</v>
          </cell>
          <cell r="AN44">
            <v>9.000000000000008E-2</v>
          </cell>
          <cell r="AO44">
            <v>8.0000000000000293E-2</v>
          </cell>
          <cell r="AP44">
            <v>6.0000000000000053E-2</v>
          </cell>
        </row>
        <row r="45">
          <cell r="D45" t="str">
            <v>Y/Y Change</v>
          </cell>
          <cell r="R45">
            <v>0.17727272727272725</v>
          </cell>
          <cell r="S45">
            <v>-5.791505791505791E-2</v>
          </cell>
          <cell r="T45">
            <v>7.7868852459016313E-2</v>
          </cell>
          <cell r="U45">
            <v>-8.365019011406849E-2</v>
          </cell>
          <cell r="V45">
            <v>4.1493775933610033E-2</v>
          </cell>
          <cell r="W45">
            <v>-4.7808764940239001E-2</v>
          </cell>
          <cell r="X45">
            <v>0.12301255230125507</v>
          </cell>
          <cell r="Y45">
            <v>-9.2436974789915971E-2</v>
          </cell>
          <cell r="Z45">
            <v>6.4814814814814881E-2</v>
          </cell>
          <cell r="AA45">
            <v>0</v>
          </cell>
          <cell r="AB45">
            <v>9.286956521739187E-2</v>
          </cell>
          <cell r="AG45">
            <v>-0.21487603305785119</v>
          </cell>
          <cell r="AH45">
            <v>0.11578947368421044</v>
          </cell>
          <cell r="AI45">
            <v>9.4339622641509413E-2</v>
          </cell>
          <cell r="AJ45">
            <v>9.4827586206896575E-2</v>
          </cell>
          <cell r="AK45">
            <v>8.6614173228346525E-2</v>
          </cell>
          <cell r="AL45">
            <v>8.6956521739130377E-2</v>
          </cell>
        </row>
        <row r="46">
          <cell r="C46" t="str">
            <v>Qtrly Sequential Growth Rates</v>
          </cell>
          <cell r="D46" t="str">
            <v xml:space="preserve">Wide-Body In-Flight Entertainment </v>
          </cell>
          <cell r="R46">
            <v>-0.19047619047619047</v>
          </cell>
          <cell r="S46">
            <v>0.35294117647058831</v>
          </cell>
          <cell r="T46">
            <v>4.3478260869565188E-2</v>
          </cell>
          <cell r="U46">
            <v>0.79166666666666674</v>
          </cell>
          <cell r="V46">
            <v>-0.18604651162790697</v>
          </cell>
          <cell r="W46">
            <v>-5.7142857142857162E-2</v>
          </cell>
          <cell r="X46">
            <v>3.0303030303030276E-2</v>
          </cell>
          <cell r="Y46">
            <v>-0.20588235294117652</v>
          </cell>
          <cell r="Z46">
            <v>7.4074074074074181E-2</v>
          </cell>
          <cell r="AA46">
            <v>-0.17241379310344829</v>
          </cell>
          <cell r="AB46">
            <v>-0.2250000000000002</v>
          </cell>
        </row>
        <row r="47">
          <cell r="C47" t="str">
            <v>Large Commercial + Regional Aircraft</v>
          </cell>
          <cell r="D47" t="str">
            <v>Total Air Transport Electronics</v>
          </cell>
          <cell r="R47">
            <v>0.17727272727272725</v>
          </cell>
          <cell r="S47">
            <v>-5.791505791505791E-2</v>
          </cell>
          <cell r="T47">
            <v>7.7868852459016313E-2</v>
          </cell>
          <cell r="U47">
            <v>-8.365019011406849E-2</v>
          </cell>
          <cell r="V47">
            <v>4.1493775933610033E-2</v>
          </cell>
          <cell r="W47">
            <v>-4.7808764940239001E-2</v>
          </cell>
          <cell r="X47">
            <v>0.11715481171548126</v>
          </cell>
          <cell r="Y47">
            <v>-6.3670411985018771E-2</v>
          </cell>
          <cell r="Z47">
            <v>0.10400000000000009</v>
          </cell>
          <cell r="AA47">
            <v>-2.8985507246376829E-2</v>
          </cell>
          <cell r="AB47">
            <v>3.5522388059701315E-2</v>
          </cell>
          <cell r="AC47">
            <v>412.36501901140684</v>
          </cell>
          <cell r="AD47">
            <v>457.22053231939162</v>
          </cell>
          <cell r="AE47">
            <v>569</v>
          </cell>
          <cell r="AF47">
            <v>525</v>
          </cell>
          <cell r="AG47">
            <v>575</v>
          </cell>
          <cell r="AN47" t="str">
            <v>low dbl digit growth</v>
          </cell>
        </row>
        <row r="48">
          <cell r="D48" t="str">
            <v>Y/Y Change</v>
          </cell>
          <cell r="R48">
            <v>9.0395480225988756E-2</v>
          </cell>
          <cell r="S48">
            <v>-0.37823834196891193</v>
          </cell>
          <cell r="T48">
            <v>-4.166666666666663E-2</v>
          </cell>
          <cell r="U48">
            <v>-0.10434782608695647</v>
          </cell>
          <cell r="V48">
            <v>0.16504854368932032</v>
          </cell>
          <cell r="W48">
            <v>5.0000000000000044E-2</v>
          </cell>
          <cell r="X48">
            <v>3.1746031746031855E-2</v>
          </cell>
          <cell r="Y48">
            <v>8.5470085470085166E-3</v>
          </cell>
          <cell r="Z48">
            <v>5.9322033898305149E-2</v>
          </cell>
          <cell r="AA48">
            <v>8.0000000000000071E-2</v>
          </cell>
          <cell r="AB48">
            <v>6.6074074074074618E-2</v>
          </cell>
          <cell r="AC48">
            <v>-1.5873015873015928E-2</v>
          </cell>
          <cell r="AD48">
            <v>0.10877623280345228</v>
          </cell>
          <cell r="AE48">
            <v>0.24447604553884017</v>
          </cell>
          <cell r="AF48">
            <v>-7.7328646748681895E-2</v>
          </cell>
          <cell r="AG48">
            <v>9.5238095238095344E-2</v>
          </cell>
        </row>
        <row r="49">
          <cell r="C49" t="str">
            <v>Business and Regional Aviation Electronics:</v>
          </cell>
          <cell r="D49" t="str">
            <v>Aftermarket</v>
          </cell>
          <cell r="R49">
            <v>-0.16091954022988508</v>
          </cell>
          <cell r="S49">
            <v>-5.4794520547945202E-2</v>
          </cell>
          <cell r="T49">
            <v>2.8985507246376718E-2</v>
          </cell>
          <cell r="U49">
            <v>-5.633802816901412E-2</v>
          </cell>
          <cell r="V49">
            <v>0.16417910447761197</v>
          </cell>
          <cell r="W49">
            <v>0.21794871794871784</v>
          </cell>
          <cell r="X49">
            <v>-7.3684210526315796E-2</v>
          </cell>
          <cell r="Y49">
            <v>-7.999999999999996E-2</v>
          </cell>
          <cell r="Z49">
            <v>3.2608695652173836E-2</v>
          </cell>
          <cell r="AA49">
            <v>7.3684210526315796E-2</v>
          </cell>
          <cell r="AB49">
            <v>6.6666666666666208E-2</v>
          </cell>
          <cell r="AC49">
            <v>7.1428571428571397E-2</v>
          </cell>
        </row>
        <row r="50">
          <cell r="B50" t="str">
            <v>Total OEM Revenue</v>
          </cell>
          <cell r="D50" t="str">
            <v>Total Business and Regional Aviation</v>
          </cell>
          <cell r="L50">
            <v>283</v>
          </cell>
          <cell r="M50">
            <v>328</v>
          </cell>
          <cell r="N50">
            <v>325</v>
          </cell>
          <cell r="O50">
            <v>333</v>
          </cell>
          <cell r="P50">
            <v>244</v>
          </cell>
          <cell r="Q50">
            <v>295</v>
          </cell>
          <cell r="R50">
            <v>7.575757575757569E-3</v>
          </cell>
          <cell r="S50">
            <v>-0.28947368421052633</v>
          </cell>
          <cell r="T50">
            <v>-1.5873015873015928E-2</v>
          </cell>
          <cell r="U50">
            <v>-8.6021505376344121E-2</v>
          </cell>
          <cell r="V50">
            <v>0.16470588235294126</v>
          </cell>
          <cell r="W50">
            <v>0.11616161616161613</v>
          </cell>
          <cell r="X50">
            <v>-1.3574660633484115E-2</v>
          </cell>
          <cell r="Y50">
            <v>8.5470085470085166E-3</v>
          </cell>
          <cell r="Z50">
            <v>0.16949152542372881</v>
          </cell>
          <cell r="AA50">
            <v>1.449275362318847E-2</v>
          </cell>
          <cell r="AB50">
            <v>-6.7285714285714837E-2</v>
          </cell>
          <cell r="AC50">
            <v>884</v>
          </cell>
          <cell r="AD50">
            <v>1063</v>
          </cell>
          <cell r="AE50">
            <v>1269</v>
          </cell>
          <cell r="AF50">
            <v>970</v>
          </cell>
          <cell r="AG50">
            <v>880</v>
          </cell>
          <cell r="AH50">
            <v>1000</v>
          </cell>
          <cell r="AI50">
            <v>1105</v>
          </cell>
          <cell r="AJ50">
            <v>1235</v>
          </cell>
          <cell r="AK50">
            <v>1340</v>
          </cell>
          <cell r="AL50">
            <v>1450</v>
          </cell>
          <cell r="AN50" t="str">
            <v>down ~10%</v>
          </cell>
        </row>
        <row r="51">
          <cell r="C51" t="str">
            <v>Y/Y Change</v>
          </cell>
          <cell r="D51" t="str">
            <v>Aftermarket</v>
          </cell>
          <cell r="L51">
            <v>0</v>
          </cell>
          <cell r="M51">
            <v>0</v>
          </cell>
          <cell r="N51">
            <v>0</v>
          </cell>
          <cell r="O51">
            <v>0</v>
          </cell>
          <cell r="P51">
            <v>-0.13780918727915192</v>
          </cell>
          <cell r="Q51">
            <v>-0.10060975609756095</v>
          </cell>
          <cell r="R51">
            <v>-0.35076923076923072</v>
          </cell>
          <cell r="S51">
            <v>-0.33933933933933935</v>
          </cell>
          <cell r="T51">
            <v>-0.17622950819672134</v>
          </cell>
          <cell r="U51">
            <v>-5.633802816901412E-2</v>
          </cell>
          <cell r="V51">
            <v>0.16417910447761197</v>
          </cell>
          <cell r="W51">
            <v>0.21794871794871784</v>
          </cell>
          <cell r="X51">
            <v>5.2631578947368363E-2</v>
          </cell>
          <cell r="Y51">
            <v>-7.999999999999996E-2</v>
          </cell>
          <cell r="Z51">
            <v>1.0869565217391353E-2</v>
          </cell>
          <cell r="AA51">
            <v>9.6774193548387011E-2</v>
          </cell>
          <cell r="AB51">
            <v>8.627450980392104E-2</v>
          </cell>
          <cell r="AC51">
            <v>-1.46520146520146E-2</v>
          </cell>
          <cell r="AD51">
            <v>0.20248868778280538</v>
          </cell>
          <cell r="AE51">
            <v>0.19379115710253991</v>
          </cell>
          <cell r="AF51">
            <v>-0.23561859732072499</v>
          </cell>
          <cell r="AG51">
            <v>-9.2783505154639179E-2</v>
          </cell>
          <cell r="AH51">
            <v>0.13636363636363646</v>
          </cell>
          <cell r="AI51">
            <v>0.10499999999999998</v>
          </cell>
          <cell r="AJ51">
            <v>0.11764705882352944</v>
          </cell>
          <cell r="AK51">
            <v>8.5020242914979782E-2</v>
          </cell>
          <cell r="AL51">
            <v>8.2089552238805874E-2</v>
          </cell>
        </row>
        <row r="52">
          <cell r="B52" t="str">
            <v>Key Statistics</v>
          </cell>
          <cell r="D52" t="str">
            <v>Total Business and Regional Aviation</v>
          </cell>
          <cell r="R52">
            <v>7.575757575757569E-3</v>
          </cell>
          <cell r="S52">
            <v>-0.28947368421052633</v>
          </cell>
          <cell r="T52">
            <v>-1.5873015873015928E-2</v>
          </cell>
          <cell r="U52">
            <v>-8.6021505376344121E-2</v>
          </cell>
          <cell r="V52">
            <v>0.16470588235294126</v>
          </cell>
          <cell r="W52">
            <v>0.11616161616161613</v>
          </cell>
          <cell r="X52">
            <v>-1.8099547511312264E-2</v>
          </cell>
          <cell r="Y52">
            <v>-3.2258064516129004E-2</v>
          </cell>
          <cell r="Z52">
            <v>0.10000000000000009</v>
          </cell>
          <cell r="AA52">
            <v>4.7619047619047672E-2</v>
          </cell>
          <cell r="AB52">
            <v>-2.5619834710748357E-3</v>
          </cell>
        </row>
        <row r="53">
          <cell r="B53" t="str">
            <v>Aftermarket Revenue</v>
          </cell>
          <cell r="C53" t="str">
            <v>Revenue Breakdown</v>
          </cell>
        </row>
        <row r="54">
          <cell r="B54" t="str">
            <v>Key Statistics</v>
          </cell>
          <cell r="D54" t="str">
            <v>OEM</v>
          </cell>
          <cell r="M54">
            <v>283</v>
          </cell>
          <cell r="N54">
            <v>328</v>
          </cell>
          <cell r="O54">
            <v>325</v>
          </cell>
          <cell r="P54">
            <v>333</v>
          </cell>
          <cell r="Q54">
            <v>244</v>
          </cell>
          <cell r="R54">
            <v>295</v>
          </cell>
          <cell r="S54">
            <v>211</v>
          </cell>
          <cell r="T54">
            <v>220</v>
          </cell>
          <cell r="U54">
            <v>201</v>
          </cell>
          <cell r="V54">
            <v>233</v>
          </cell>
          <cell r="W54">
            <v>240</v>
          </cell>
          <cell r="X54">
            <v>245</v>
          </cell>
          <cell r="Y54">
            <v>884</v>
          </cell>
          <cell r="Z54">
            <v>1063</v>
          </cell>
          <cell r="AA54">
            <v>1269</v>
          </cell>
          <cell r="AB54">
            <v>970</v>
          </cell>
          <cell r="AC54">
            <v>919</v>
          </cell>
          <cell r="AD54">
            <v>1024.0999999999999</v>
          </cell>
          <cell r="AE54">
            <v>1179.2</v>
          </cell>
          <cell r="AF54">
            <v>1322.4112</v>
          </cell>
          <cell r="AG54">
            <v>1454.4409500689658</v>
          </cell>
          <cell r="AH54">
            <v>1551.2956991779315</v>
          </cell>
          <cell r="AI54">
            <v>1171.1616000000004</v>
          </cell>
          <cell r="AJ54">
            <v>1340.7293760000002</v>
          </cell>
          <cell r="AK54">
            <v>1471.5295317848281</v>
          </cell>
          <cell r="AL54">
            <v>1568.3582070448558</v>
          </cell>
        </row>
        <row r="55">
          <cell r="C55" t="str">
            <v>Non-Discretionary (Maintenance and Repair)</v>
          </cell>
          <cell r="D55" t="str">
            <v>Aftermarket</v>
          </cell>
          <cell r="M55">
            <v>241</v>
          </cell>
          <cell r="N55">
            <v>247</v>
          </cell>
          <cell r="O55">
            <v>239</v>
          </cell>
          <cell r="P55">
            <v>265</v>
          </cell>
          <cell r="Q55">
            <v>219</v>
          </cell>
          <cell r="R55">
            <v>213</v>
          </cell>
          <cell r="S55">
            <v>199</v>
          </cell>
          <cell r="T55">
            <v>205</v>
          </cell>
          <cell r="U55">
            <v>192</v>
          </cell>
          <cell r="V55">
            <v>205</v>
          </cell>
          <cell r="W55">
            <v>210</v>
          </cell>
          <cell r="X55">
            <v>235.4</v>
          </cell>
          <cell r="Y55">
            <v>804</v>
          </cell>
          <cell r="Z55">
            <v>953</v>
          </cell>
          <cell r="AA55">
            <v>992</v>
          </cell>
          <cell r="AB55">
            <v>836</v>
          </cell>
          <cell r="AC55">
            <v>842.4</v>
          </cell>
          <cell r="AD55">
            <v>920.08</v>
          </cell>
          <cell r="AE55">
            <v>420</v>
          </cell>
          <cell r="AF55">
            <v>370</v>
          </cell>
          <cell r="AG55">
            <v>385</v>
          </cell>
          <cell r="AH55">
            <v>445</v>
          </cell>
          <cell r="AI55">
            <v>500</v>
          </cell>
          <cell r="AJ55">
            <v>550</v>
          </cell>
          <cell r="AK55">
            <v>575</v>
          </cell>
          <cell r="AL55">
            <v>600</v>
          </cell>
        </row>
        <row r="56">
          <cell r="D56" t="str">
            <v>Y/Y Change</v>
          </cell>
          <cell r="M56">
            <v>41</v>
          </cell>
          <cell r="N56">
            <v>35</v>
          </cell>
          <cell r="O56">
            <v>23</v>
          </cell>
          <cell r="P56">
            <v>43</v>
          </cell>
          <cell r="Q56">
            <v>21</v>
          </cell>
          <cell r="R56">
            <v>17</v>
          </cell>
          <cell r="S56">
            <v>23</v>
          </cell>
          <cell r="T56">
            <v>24</v>
          </cell>
          <cell r="U56">
            <v>18</v>
          </cell>
          <cell r="V56">
            <v>11</v>
          </cell>
          <cell r="W56">
            <v>10</v>
          </cell>
          <cell r="X56">
            <v>6</v>
          </cell>
          <cell r="Y56">
            <v>132</v>
          </cell>
          <cell r="Z56">
            <v>168</v>
          </cell>
          <cell r="AA56">
            <v>142</v>
          </cell>
          <cell r="AB56">
            <v>85</v>
          </cell>
          <cell r="AC56">
            <v>45</v>
          </cell>
          <cell r="AD56">
            <v>27</v>
          </cell>
          <cell r="AE56">
            <v>18.899999999999999</v>
          </cell>
          <cell r="AF56">
            <v>13.229999999999999</v>
          </cell>
          <cell r="AG56">
            <v>4.0540540540540571E-2</v>
          </cell>
          <cell r="AH56">
            <v>0.1558441558441559</v>
          </cell>
          <cell r="AI56">
            <v>0.12359550561797761</v>
          </cell>
          <cell r="AJ56">
            <v>0.10000000000000009</v>
          </cell>
          <cell r="AK56">
            <v>4.5454545454545414E-2</v>
          </cell>
          <cell r="AL56">
            <v>4.3478260869565188E-2</v>
          </cell>
        </row>
        <row r="57">
          <cell r="C57" t="str">
            <v>% of Sales</v>
          </cell>
          <cell r="D57" t="str">
            <v>% Large Commercial Aftermarket</v>
          </cell>
          <cell r="M57">
            <v>241</v>
          </cell>
          <cell r="N57">
            <v>247</v>
          </cell>
          <cell r="O57">
            <v>239</v>
          </cell>
          <cell r="P57">
            <v>265</v>
          </cell>
          <cell r="Q57">
            <v>219</v>
          </cell>
          <cell r="R57">
            <v>213</v>
          </cell>
          <cell r="S57">
            <v>199</v>
          </cell>
          <cell r="T57">
            <v>205</v>
          </cell>
          <cell r="U57">
            <v>167</v>
          </cell>
          <cell r="V57">
            <v>181</v>
          </cell>
          <cell r="W57">
            <v>187</v>
          </cell>
          <cell r="X57">
            <v>219</v>
          </cell>
          <cell r="Y57">
            <v>200</v>
          </cell>
          <cell r="Z57">
            <v>208</v>
          </cell>
          <cell r="AA57">
            <v>217</v>
          </cell>
          <cell r="AB57">
            <v>236.48000000000002</v>
          </cell>
          <cell r="AC57">
            <v>804</v>
          </cell>
          <cell r="AD57">
            <v>953</v>
          </cell>
          <cell r="AE57">
            <v>0.7</v>
          </cell>
          <cell r="AF57">
            <v>0.71153846153846156</v>
          </cell>
          <cell r="AG57">
            <v>0.71962616822429903</v>
          </cell>
          <cell r="AH57">
            <v>0.73553719008264462</v>
          </cell>
          <cell r="AI57">
            <v>0.72992700729927007</v>
          </cell>
          <cell r="AJ57">
            <v>0.73333333333333328</v>
          </cell>
          <cell r="AK57">
            <v>0.72784810126582278</v>
          </cell>
          <cell r="AL57">
            <v>0.72289156626506024</v>
          </cell>
        </row>
        <row r="58">
          <cell r="B58" t="str">
            <v>Key Statistics</v>
          </cell>
          <cell r="D58" t="str">
            <v>OEM</v>
          </cell>
          <cell r="M58">
            <v>0.50088495575221237</v>
          </cell>
          <cell r="N58">
            <v>0.53770491803278686</v>
          </cell>
          <cell r="O58">
            <v>0.55366269165247017</v>
          </cell>
          <cell r="P58">
            <v>0.51950078003120126</v>
          </cell>
          <cell r="Q58">
            <v>0.50413223140495866</v>
          </cell>
          <cell r="R58">
            <v>0.56190476190476191</v>
          </cell>
          <cell r="S58">
            <v>0.48729792147806006</v>
          </cell>
          <cell r="T58">
            <v>0.48997772828507796</v>
          </cell>
          <cell r="U58">
            <v>0.48905109489051096</v>
          </cell>
          <cell r="V58">
            <v>0.51893095768374164</v>
          </cell>
          <cell r="W58">
            <v>0.52173913043478259</v>
          </cell>
          <cell r="X58">
            <v>0.50370065789473684</v>
          </cell>
          <cell r="Y58">
            <v>0.48571428571428571</v>
          </cell>
          <cell r="Z58">
            <v>0.48672161172161171</v>
          </cell>
          <cell r="AA58">
            <v>0.5280898876404494</v>
          </cell>
          <cell r="AB58">
            <v>0.51295610787942891</v>
          </cell>
          <cell r="AC58">
            <v>0.50874667847652788</v>
          </cell>
          <cell r="AD58">
            <v>0.51953652127152261</v>
          </cell>
          <cell r="AE58">
            <v>0.53524501258043644</v>
          </cell>
          <cell r="AF58">
            <v>0.5470796292776241</v>
          </cell>
          <cell r="AG58">
            <v>0.55921396623950059</v>
          </cell>
          <cell r="AH58">
            <v>0.56369678419579317</v>
          </cell>
          <cell r="AI58">
            <v>69.02</v>
          </cell>
          <cell r="AJ58">
            <v>48.313999999999993</v>
          </cell>
          <cell r="AK58">
            <v>33.819799999999994</v>
          </cell>
          <cell r="AL58">
            <v>23.673859999999994</v>
          </cell>
        </row>
        <row r="59">
          <cell r="C59" t="str">
            <v>Discretionary (Upgrades and Retrofits)</v>
          </cell>
          <cell r="D59" t="str">
            <v>Aftermarket</v>
          </cell>
          <cell r="M59">
            <v>0.42654867256637169</v>
          </cell>
          <cell r="N59">
            <v>0.40491803278688526</v>
          </cell>
          <cell r="O59">
            <v>0.40715502555366268</v>
          </cell>
          <cell r="P59">
            <v>0.41341653666146644</v>
          </cell>
          <cell r="Q59">
            <v>0.4524793388429752</v>
          </cell>
          <cell r="R59">
            <v>0.40571428571428569</v>
          </cell>
          <cell r="S59">
            <v>0.45958429561200925</v>
          </cell>
          <cell r="T59">
            <v>0.45657015590200445</v>
          </cell>
          <cell r="U59">
            <v>0.46715328467153283</v>
          </cell>
          <cell r="V59">
            <v>0.45657015590200445</v>
          </cell>
          <cell r="W59">
            <v>0.45652173913043476</v>
          </cell>
          <cell r="X59">
            <v>0.48396381578947373</v>
          </cell>
          <cell r="Y59">
            <v>0.44175824175824174</v>
          </cell>
          <cell r="Z59">
            <v>0.43635531135531136</v>
          </cell>
          <cell r="AA59">
            <v>0.41281731169371622</v>
          </cell>
          <cell r="AB59">
            <v>0.44209413008989951</v>
          </cell>
          <cell r="AC59">
            <v>0.46634189548272803</v>
          </cell>
          <cell r="AD59">
            <v>0.46676609949370429</v>
          </cell>
          <cell r="AE59">
            <v>180</v>
          </cell>
          <cell r="AF59">
            <v>150</v>
          </cell>
          <cell r="AG59">
            <v>150</v>
          </cell>
          <cell r="AH59">
            <v>160</v>
          </cell>
          <cell r="AI59">
            <v>185</v>
          </cell>
          <cell r="AJ59">
            <v>200</v>
          </cell>
          <cell r="AK59">
            <v>215</v>
          </cell>
          <cell r="AL59">
            <v>230</v>
          </cell>
        </row>
        <row r="60">
          <cell r="D60" t="str">
            <v>Y/Y Change</v>
          </cell>
          <cell r="M60">
            <v>7.2566371681415928E-2</v>
          </cell>
          <cell r="N60">
            <v>5.737704918032787E-2</v>
          </cell>
          <cell r="O60">
            <v>3.9182282793867124E-2</v>
          </cell>
          <cell r="P60">
            <v>6.7082683307332289E-2</v>
          </cell>
          <cell r="Q60">
            <v>4.3388429752066117E-2</v>
          </cell>
          <cell r="R60">
            <v>3.2380952380952378E-2</v>
          </cell>
          <cell r="S60">
            <v>5.3117782909930716E-2</v>
          </cell>
          <cell r="T60">
            <v>5.3452115812917596E-2</v>
          </cell>
          <cell r="U60">
            <v>4.3795620437956206E-2</v>
          </cell>
          <cell r="V60">
            <v>2.4498886414253896E-2</v>
          </cell>
          <cell r="W60">
            <v>2.1739130434782608E-2</v>
          </cell>
          <cell r="X60">
            <v>1.2335526315789474E-2</v>
          </cell>
          <cell r="Y60">
            <v>7.2527472527472533E-2</v>
          </cell>
          <cell r="Z60">
            <v>7.6923076923076927E-2</v>
          </cell>
          <cell r="AA60">
            <v>5.9092800665834375E-2</v>
          </cell>
          <cell r="AB60">
            <v>4.4949762030671601E-2</v>
          </cell>
          <cell r="AC60">
            <v>2.491142604074402E-2</v>
          </cell>
          <cell r="AD60">
            <v>1.369737923477308E-2</v>
          </cell>
          <cell r="AE60">
            <v>8.5788082918675772E-3</v>
          </cell>
          <cell r="AF60">
            <v>5.473232149987059E-3</v>
          </cell>
          <cell r="AG60">
            <v>0</v>
          </cell>
          <cell r="AH60">
            <v>6.6666666666666652E-2</v>
          </cell>
          <cell r="AI60">
            <v>0.15625</v>
          </cell>
          <cell r="AJ60">
            <v>8.1081081081081141E-2</v>
          </cell>
          <cell r="AK60">
            <v>7.4999999999999956E-2</v>
          </cell>
          <cell r="AL60">
            <v>6.9767441860465018E-2</v>
          </cell>
          <cell r="AM60">
            <v>1220.55</v>
          </cell>
          <cell r="AN60">
            <v>1397.1156000000001</v>
          </cell>
          <cell r="AO60">
            <v>1534.9626860689655</v>
          </cell>
          <cell r="AP60">
            <v>1636.5549540579314</v>
          </cell>
        </row>
        <row r="61">
          <cell r="C61" t="str">
            <v>Y/Y Growth Rates</v>
          </cell>
          <cell r="D61" t="str">
            <v>% Large Commercial Aftermarket</v>
          </cell>
          <cell r="M61">
            <v>0.42654867256637169</v>
          </cell>
          <cell r="N61">
            <v>0.40491803278688526</v>
          </cell>
          <cell r="O61">
            <v>0.40715502555366268</v>
          </cell>
          <cell r="P61">
            <v>0.41341653666146644</v>
          </cell>
          <cell r="Q61">
            <v>0.4524793388429752</v>
          </cell>
          <cell r="R61">
            <v>0.40571428571428569</v>
          </cell>
          <cell r="S61">
            <v>0.45958429561200925</v>
          </cell>
          <cell r="T61">
            <v>0.45657015590200445</v>
          </cell>
          <cell r="U61">
            <v>0.40632603406326034</v>
          </cell>
          <cell r="V61">
            <v>0.40311804008908686</v>
          </cell>
          <cell r="W61">
            <v>0.40652173913043477</v>
          </cell>
          <cell r="X61">
            <v>0.4524793388429752</v>
          </cell>
          <cell r="Y61">
            <v>0.43478260869565216</v>
          </cell>
          <cell r="Z61">
            <v>0.41025641025641024</v>
          </cell>
          <cell r="AA61">
            <v>0.42549019607843136</v>
          </cell>
          <cell r="AB61">
            <v>0.45573328194257096</v>
          </cell>
          <cell r="AC61">
            <v>0.44175824175824174</v>
          </cell>
          <cell r="AD61">
            <v>0.43635531135531136</v>
          </cell>
          <cell r="AE61">
            <v>0.3</v>
          </cell>
          <cell r="AF61">
            <v>0.28846153846153844</v>
          </cell>
          <cell r="AG61">
            <v>0.28037383177570091</v>
          </cell>
          <cell r="AH61">
            <v>0.43162483090335191</v>
          </cell>
          <cell r="AI61">
            <v>0.43808134715683822</v>
          </cell>
          <cell r="AJ61">
            <v>0.43127964973217742</v>
          </cell>
          <cell r="AK61">
            <v>0.43049572527137803</v>
          </cell>
          <cell r="AL61">
            <v>0.43106218460704998</v>
          </cell>
          <cell r="AM61">
            <v>951.78</v>
          </cell>
          <cell r="AN61">
            <v>1037.4402</v>
          </cell>
          <cell r="AO61">
            <v>1120.4354160000003</v>
          </cell>
          <cell r="AP61">
            <v>1187.6615409600004</v>
          </cell>
        </row>
        <row r="62">
          <cell r="D62" t="str">
            <v>OEM</v>
          </cell>
          <cell r="M62">
            <v>7.2566371681415928E-2</v>
          </cell>
          <cell r="N62">
            <v>5.737704918032787E-2</v>
          </cell>
          <cell r="O62">
            <v>3.9182282793867124E-2</v>
          </cell>
          <cell r="P62">
            <v>6.7082683307332289E-2</v>
          </cell>
          <cell r="Q62">
            <v>-0.13780918727915192</v>
          </cell>
          <cell r="R62">
            <v>-0.10060975609756095</v>
          </cell>
          <cell r="S62">
            <v>-0.35076923076923072</v>
          </cell>
          <cell r="T62">
            <v>-0.33933933933933935</v>
          </cell>
          <cell r="U62">
            <v>-0.17622950819672134</v>
          </cell>
          <cell r="V62">
            <v>-0.21016949152542375</v>
          </cell>
          <cell r="W62">
            <v>0.13744075829383884</v>
          </cell>
          <cell r="X62">
            <v>0.11363636363636354</v>
          </cell>
          <cell r="Y62">
            <v>0.15920398009950243</v>
          </cell>
          <cell r="Z62">
            <v>0.20248868778280538</v>
          </cell>
          <cell r="AA62">
            <v>0.19379115710253991</v>
          </cell>
          <cell r="AB62">
            <v>-0.23561859732072499</v>
          </cell>
          <cell r="AC62">
            <v>-5.2577319587628901E-2</v>
          </cell>
          <cell r="AD62">
            <v>0.11436343852013042</v>
          </cell>
          <cell r="AE62">
            <v>0.15145005370569287</v>
          </cell>
          <cell r="AF62">
            <v>0.12144776119402989</v>
          </cell>
          <cell r="AG62">
            <v>9.9840163232862711E-2</v>
          </cell>
          <cell r="AH62">
            <v>6.6592424466853206E-2</v>
          </cell>
          <cell r="AI62">
            <v>0.15544751381215494</v>
          </cell>
          <cell r="AJ62">
            <v>0.14478597658939618</v>
          </cell>
          <cell r="AK62">
            <v>9.7558954197799252E-2</v>
          </cell>
          <cell r="AL62">
            <v>6.5801380922735131E-2</v>
          </cell>
          <cell r="AM62">
            <v>83.3</v>
          </cell>
          <cell r="AN62">
            <v>58.309999999999995</v>
          </cell>
          <cell r="AO62">
            <v>40.816999999999993</v>
          </cell>
          <cell r="AP62">
            <v>28.571899999999992</v>
          </cell>
        </row>
        <row r="63">
          <cell r="C63" t="str">
            <v>Large Commercial Aftermarket</v>
          </cell>
          <cell r="D63" t="str">
            <v>Aftermarket</v>
          </cell>
          <cell r="Q63">
            <v>-9.1286307053941917E-2</v>
          </cell>
          <cell r="R63">
            <v>-0.13765182186234814</v>
          </cell>
          <cell r="S63">
            <v>-0.16736401673640167</v>
          </cell>
          <cell r="T63">
            <v>-0.22641509433962259</v>
          </cell>
          <cell r="U63">
            <v>-0.12328767123287676</v>
          </cell>
          <cell r="V63">
            <v>-3.7558685446009377E-2</v>
          </cell>
          <cell r="W63">
            <v>5.5276381909547645E-2</v>
          </cell>
          <cell r="X63">
            <v>0.1482926829268294</v>
          </cell>
          <cell r="Y63">
            <v>0.19760479041916157</v>
          </cell>
          <cell r="Z63">
            <v>0.18532338308457708</v>
          </cell>
          <cell r="AA63">
            <v>4.0923399790136372E-2</v>
          </cell>
          <cell r="AB63">
            <v>-0.157258064516129</v>
          </cell>
          <cell r="AC63">
            <v>7.6555023923443599E-3</v>
          </cell>
          <cell r="AD63">
            <v>9.2212725546058971E-2</v>
          </cell>
          <cell r="AE63">
            <v>600</v>
          </cell>
          <cell r="AF63">
            <v>520</v>
          </cell>
          <cell r="AG63">
            <v>535</v>
          </cell>
          <cell r="AH63">
            <v>605</v>
          </cell>
          <cell r="AI63">
            <v>685</v>
          </cell>
          <cell r="AJ63">
            <v>750</v>
          </cell>
          <cell r="AK63">
            <v>790</v>
          </cell>
          <cell r="AL63">
            <v>830</v>
          </cell>
          <cell r="AN63" t="str">
            <v>flat</v>
          </cell>
        </row>
        <row r="64">
          <cell r="D64" t="str">
            <v>Y/Y Change</v>
          </cell>
          <cell r="I64">
            <v>0</v>
          </cell>
          <cell r="J64">
            <v>0</v>
          </cell>
          <cell r="K64">
            <v>0</v>
          </cell>
          <cell r="L64">
            <v>0</v>
          </cell>
          <cell r="M64">
            <v>0.50088495575221237</v>
          </cell>
          <cell r="N64">
            <v>0.53770491803278686</v>
          </cell>
          <cell r="O64">
            <v>0.55366269165247017</v>
          </cell>
          <cell r="P64">
            <v>0.51950078003120126</v>
          </cell>
          <cell r="Q64">
            <v>-0.48780487804878048</v>
          </cell>
          <cell r="R64">
            <v>-0.51428571428571423</v>
          </cell>
          <cell r="S64">
            <v>0</v>
          </cell>
          <cell r="T64">
            <v>-0.44186046511627908</v>
          </cell>
          <cell r="U64">
            <v>-0.1428571428571429</v>
          </cell>
          <cell r="V64">
            <v>-0.3529411764705882</v>
          </cell>
          <cell r="W64">
            <v>-0.56521739130434789</v>
          </cell>
          <cell r="X64">
            <v>-0.75</v>
          </cell>
          <cell r="Y64">
            <v>0.15920398009950243</v>
          </cell>
          <cell r="Z64">
            <v>0.27272727272727271</v>
          </cell>
          <cell r="AA64">
            <v>-0.15476190476190477</v>
          </cell>
          <cell r="AB64">
            <v>-0.40140845070422537</v>
          </cell>
          <cell r="AC64">
            <v>-0.47058823529411764</v>
          </cell>
          <cell r="AD64">
            <v>-0.4</v>
          </cell>
          <cell r="AE64">
            <v>0.19379115710253991</v>
          </cell>
          <cell r="AF64">
            <v>-0.23561859732072499</v>
          </cell>
          <cell r="AG64">
            <v>2.8846153846153744E-2</v>
          </cell>
          <cell r="AH64">
            <v>0.13084112149532712</v>
          </cell>
          <cell r="AI64">
            <v>0.13223140495867769</v>
          </cell>
          <cell r="AJ64">
            <v>9.4890510948905105E-2</v>
          </cell>
          <cell r="AK64">
            <v>5.3333333333333233E-2</v>
          </cell>
          <cell r="AL64">
            <v>5.0632911392405111E-2</v>
          </cell>
          <cell r="AM64">
            <v>0.5411126824878193</v>
          </cell>
          <cell r="AN64">
            <v>0.56044557232082048</v>
          </cell>
          <cell r="AO64">
            <v>0.56930275514408979</v>
          </cell>
          <cell r="AP64">
            <v>0.57366854019596669</v>
          </cell>
        </row>
        <row r="65">
          <cell r="D65" t="str">
            <v>Aftermarket</v>
          </cell>
          <cell r="I65">
            <v>0</v>
          </cell>
          <cell r="J65">
            <v>0</v>
          </cell>
          <cell r="K65">
            <v>0</v>
          </cell>
          <cell r="L65">
            <v>0</v>
          </cell>
          <cell r="M65">
            <v>0.42654867256637169</v>
          </cell>
          <cell r="N65">
            <v>0.40491803278688526</v>
          </cell>
          <cell r="O65">
            <v>0.40715502555366268</v>
          </cell>
          <cell r="P65">
            <v>0.41341653666146644</v>
          </cell>
          <cell r="Q65">
            <v>-9.1286307053941917E-2</v>
          </cell>
          <cell r="R65">
            <v>-0.13765182186234814</v>
          </cell>
          <cell r="S65">
            <v>-0.16736401673640167</v>
          </cell>
          <cell r="T65">
            <v>-0.22641509433962259</v>
          </cell>
          <cell r="U65">
            <v>-0.23744292237442921</v>
          </cell>
          <cell r="V65">
            <v>-0.15023474178403751</v>
          </cell>
          <cell r="W65">
            <v>-6.0301507537688481E-2</v>
          </cell>
          <cell r="X65">
            <v>6.8292682926829329E-2</v>
          </cell>
          <cell r="Y65">
            <v>0.19760479041916157</v>
          </cell>
          <cell r="Z65">
            <v>0.149171270718232</v>
          </cell>
          <cell r="AA65">
            <v>0.16042780748663099</v>
          </cell>
          <cell r="AB65">
            <v>7.9817351598173492E-2</v>
          </cell>
          <cell r="AC65">
            <v>0.44175824175824174</v>
          </cell>
          <cell r="AD65">
            <v>0.18532338308457708</v>
          </cell>
          <cell r="AE65">
            <v>4.0923399790136372E-2</v>
          </cell>
          <cell r="AF65">
            <v>-0.157258064516129</v>
          </cell>
          <cell r="AG65">
            <v>-9.8086124401913888E-2</v>
          </cell>
          <cell r="AH65">
            <v>0.14254641909814336</v>
          </cell>
          <cell r="AI65">
            <v>0.1453823652319266</v>
          </cell>
          <cell r="AJ65">
            <v>9.000000000000008E-2</v>
          </cell>
          <cell r="AK65">
            <v>7.9999999999999849E-2</v>
          </cell>
          <cell r="AL65">
            <v>6.0000000000000053E-2</v>
          </cell>
          <cell r="AM65">
            <v>0.4219575018952576</v>
          </cell>
          <cell r="AN65">
            <v>0.41616367796453385</v>
          </cell>
          <cell r="AO65">
            <v>0.41555861590576498</v>
          </cell>
          <cell r="AP65">
            <v>0.41631603067164585</v>
          </cell>
        </row>
        <row r="66">
          <cell r="C66" t="str">
            <v>Regional and Business Jet Aftermarket</v>
          </cell>
          <cell r="D66" t="str">
            <v>Other</v>
          </cell>
          <cell r="I66">
            <v>0</v>
          </cell>
          <cell r="J66">
            <v>0</v>
          </cell>
          <cell r="K66">
            <v>0</v>
          </cell>
          <cell r="L66">
            <v>0</v>
          </cell>
          <cell r="M66">
            <v>7.2566371681415928E-2</v>
          </cell>
          <cell r="N66">
            <v>5.737704918032787E-2</v>
          </cell>
          <cell r="O66">
            <v>3.9182282793867124E-2</v>
          </cell>
          <cell r="P66">
            <v>6.7082683307332289E-2</v>
          </cell>
          <cell r="Q66">
            <v>-0.48780487804878048</v>
          </cell>
          <cell r="R66">
            <v>-0.51428571428571423</v>
          </cell>
          <cell r="S66">
            <v>0</v>
          </cell>
          <cell r="T66">
            <v>-0.44186046511627908</v>
          </cell>
          <cell r="U66">
            <v>1.0476190476190474</v>
          </cell>
          <cell r="V66">
            <v>1.0588235294117645</v>
          </cell>
          <cell r="W66">
            <v>0.43478260869565211</v>
          </cell>
          <cell r="X66">
            <v>0.41666666666666674</v>
          </cell>
          <cell r="Y66">
            <v>-0.37209302325581395</v>
          </cell>
          <cell r="Z66">
            <v>-0.17142857142857137</v>
          </cell>
          <cell r="AA66">
            <v>-0.27272727272727271</v>
          </cell>
          <cell r="AB66">
            <v>-0.4529411764705884</v>
          </cell>
          <cell r="AC66">
            <v>7.2527472527472533E-2</v>
          </cell>
          <cell r="AD66">
            <v>0.27272727272727271</v>
          </cell>
          <cell r="AE66">
            <v>392</v>
          </cell>
          <cell r="AF66">
            <v>316</v>
          </cell>
          <cell r="AG66">
            <v>330</v>
          </cell>
          <cell r="AH66">
            <v>380</v>
          </cell>
          <cell r="AI66">
            <v>430</v>
          </cell>
          <cell r="AJ66">
            <v>450</v>
          </cell>
          <cell r="AK66">
            <v>475</v>
          </cell>
          <cell r="AL66">
            <v>500</v>
          </cell>
          <cell r="AM66">
            <v>3.6929815616922983E-2</v>
          </cell>
          <cell r="AN66" t="str">
            <v>low single digit w/ air routing</v>
          </cell>
          <cell r="AO66">
            <v>1.5138628950145219E-2</v>
          </cell>
          <cell r="AP66">
            <v>1.0015429132387649E-2</v>
          </cell>
        </row>
        <row r="67">
          <cell r="C67" t="str">
            <v>Y/Y Growth Rates</v>
          </cell>
          <cell r="D67" t="str">
            <v>Y/Y Change</v>
          </cell>
          <cell r="AG67">
            <v>4.4303797468354444E-2</v>
          </cell>
          <cell r="AH67">
            <v>0.1515151515151516</v>
          </cell>
          <cell r="AI67">
            <v>0.13157894736842102</v>
          </cell>
          <cell r="AJ67">
            <v>4.6511627906976827E-2</v>
          </cell>
          <cell r="AK67">
            <v>5.555555555555558E-2</v>
          </cell>
          <cell r="AL67">
            <v>5.2631578947368363E-2</v>
          </cell>
        </row>
        <row r="68">
          <cell r="A68" t="str">
            <v>Segment Operating Income</v>
          </cell>
          <cell r="D68" t="str">
            <v>OEM</v>
          </cell>
          <cell r="Q68">
            <v>-0.13780918727915192</v>
          </cell>
          <cell r="R68">
            <v>-0.10060975609756095</v>
          </cell>
          <cell r="S68">
            <v>-0.35076923076923072</v>
          </cell>
          <cell r="T68">
            <v>-0.33933933933933935</v>
          </cell>
          <cell r="U68">
            <v>-0.17622950819672134</v>
          </cell>
          <cell r="V68">
            <v>-0.21016949152542375</v>
          </cell>
          <cell r="W68">
            <v>0.13744075829383884</v>
          </cell>
          <cell r="X68">
            <v>5.0000000000000044E-2</v>
          </cell>
          <cell r="Y68">
            <v>0.15920398009950243</v>
          </cell>
          <cell r="Z68">
            <v>0.15879828326180268</v>
          </cell>
          <cell r="AA68">
            <v>0.1875</v>
          </cell>
          <cell r="AB68">
            <v>0.23419913419913407</v>
          </cell>
          <cell r="AC68">
            <v>0.13733905579399153</v>
          </cell>
          <cell r="AD68">
            <v>0.20248868778280538</v>
          </cell>
          <cell r="AE68">
            <v>0.19379115710253991</v>
          </cell>
          <cell r="AF68">
            <v>-0.23561859732072499</v>
          </cell>
          <cell r="AG68">
            <v>-6.7010309278350499E-2</v>
          </cell>
          <cell r="AH68">
            <v>0.18574585635359098</v>
          </cell>
          <cell r="AI68">
            <v>0.1557634889572268</v>
          </cell>
          <cell r="AJ68">
            <v>0.14468077963003911</v>
          </cell>
          <cell r="AK68">
            <v>9.8488004341296786E-2</v>
          </cell>
          <cell r="AL68">
            <v>6.6123939591793635E-2</v>
          </cell>
          <cell r="AM68">
            <v>0.15582386363636358</v>
          </cell>
          <cell r="AN68">
            <v>0.14466068575642144</v>
          </cell>
          <cell r="AO68">
            <v>9.8665483420960598E-2</v>
          </cell>
          <cell r="AP68">
            <v>6.6185496827381174E-2</v>
          </cell>
        </row>
        <row r="69">
          <cell r="C69" t="str">
            <v>Air Routing</v>
          </cell>
          <cell r="D69" t="str">
            <v>Aftermarket</v>
          </cell>
          <cell r="Q69">
            <v>-9.1286307053941917E-2</v>
          </cell>
          <cell r="R69">
            <v>-0.13765182186234814</v>
          </cell>
          <cell r="S69">
            <v>-0.16736401673640167</v>
          </cell>
          <cell r="T69">
            <v>-0.22641509433962259</v>
          </cell>
          <cell r="U69">
            <v>-0.23744292237442921</v>
          </cell>
          <cell r="V69">
            <v>-0.15023474178403751</v>
          </cell>
          <cell r="W69">
            <v>-9.0452261306532611E-2</v>
          </cell>
          <cell r="X69">
            <v>6.8292682926829329E-2</v>
          </cell>
          <cell r="Y69">
            <v>0.19760479041916157</v>
          </cell>
          <cell r="Z69">
            <v>0.149171270718232</v>
          </cell>
          <cell r="AA69">
            <v>0.15469613259668513</v>
          </cell>
          <cell r="AB69">
            <v>0.1260273972602739</v>
          </cell>
          <cell r="AC69">
            <v>0.10499999999999998</v>
          </cell>
          <cell r="AD69">
            <v>0.18532338308457708</v>
          </cell>
          <cell r="AE69">
            <v>4.0923399790136372E-2</v>
          </cell>
          <cell r="AF69">
            <v>-0.157258064516129</v>
          </cell>
          <cell r="AG69">
            <v>30</v>
          </cell>
          <cell r="AH69">
            <v>35</v>
          </cell>
          <cell r="AI69">
            <v>40</v>
          </cell>
          <cell r="AJ69">
            <v>45</v>
          </cell>
          <cell r="AK69">
            <v>50</v>
          </cell>
          <cell r="AL69">
            <v>55</v>
          </cell>
          <cell r="AM69">
            <v>0.14534296028880855</v>
          </cell>
          <cell r="AN69">
            <v>9.000000000000008E-2</v>
          </cell>
          <cell r="AO69">
            <v>8.0000000000000293E-2</v>
          </cell>
          <cell r="AP69">
            <v>6.0000000000000053E-2</v>
          </cell>
        </row>
        <row r="70">
          <cell r="A70" t="str">
            <v>Segment Operating Income</v>
          </cell>
          <cell r="C70" t="str">
            <v>Segment Operating Profit</v>
          </cell>
          <cell r="D70" t="str">
            <v>Y/Y Change</v>
          </cell>
          <cell r="I70">
            <v>114</v>
          </cell>
          <cell r="J70">
            <v>122</v>
          </cell>
          <cell r="K70">
            <v>119</v>
          </cell>
          <cell r="L70">
            <v>130</v>
          </cell>
          <cell r="M70">
            <v>137</v>
          </cell>
          <cell r="N70">
            <v>140</v>
          </cell>
          <cell r="O70">
            <v>139</v>
          </cell>
          <cell r="P70">
            <v>144</v>
          </cell>
          <cell r="Q70">
            <v>97</v>
          </cell>
          <cell r="R70">
            <v>110</v>
          </cell>
          <cell r="S70">
            <v>75</v>
          </cell>
          <cell r="T70">
            <v>71</v>
          </cell>
          <cell r="U70">
            <v>68</v>
          </cell>
          <cell r="V70">
            <v>69</v>
          </cell>
          <cell r="W70">
            <v>75</v>
          </cell>
          <cell r="X70">
            <v>80.636800000000051</v>
          </cell>
          <cell r="Y70">
            <v>370</v>
          </cell>
          <cell r="Z70">
            <v>485</v>
          </cell>
          <cell r="AA70">
            <v>560</v>
          </cell>
          <cell r="AB70">
            <v>353</v>
          </cell>
          <cell r="AC70">
            <v>292.63680000000005</v>
          </cell>
          <cell r="AD70">
            <v>358.75475999999998</v>
          </cell>
          <cell r="AE70">
            <v>451.63615600000008</v>
          </cell>
          <cell r="AF70">
            <v>531.78815008000004</v>
          </cell>
          <cell r="AG70">
            <v>598.19932746921609</v>
          </cell>
          <cell r="AH70">
            <v>0.16666666666666674</v>
          </cell>
          <cell r="AI70">
            <v>0.14285714285714279</v>
          </cell>
          <cell r="AJ70">
            <v>0.125</v>
          </cell>
          <cell r="AK70">
            <v>0.11111111111111116</v>
          </cell>
          <cell r="AL70">
            <v>0.10000000000000009</v>
          </cell>
        </row>
        <row r="71">
          <cell r="C71" t="str">
            <v>Operating Profit Margin (%)</v>
          </cell>
          <cell r="I71">
            <v>0.23170731707317074</v>
          </cell>
          <cell r="J71">
            <v>0.22509225092250923</v>
          </cell>
          <cell r="K71">
            <v>0.21834862385321102</v>
          </cell>
          <cell r="L71">
            <v>0.21487603305785125</v>
          </cell>
          <cell r="M71">
            <v>0.2424778761061947</v>
          </cell>
          <cell r="N71">
            <v>0.22950819672131148</v>
          </cell>
          <cell r="O71">
            <v>0.23679727427597955</v>
          </cell>
          <cell r="P71">
            <v>0.22464898595943839</v>
          </cell>
          <cell r="Q71">
            <v>0.20041322314049587</v>
          </cell>
          <cell r="R71">
            <v>0.20952380952380953</v>
          </cell>
          <cell r="S71">
            <v>0.17321016166281755</v>
          </cell>
          <cell r="T71">
            <v>0.15812917594654788</v>
          </cell>
          <cell r="U71">
            <v>0.16545012165450121</v>
          </cell>
          <cell r="V71">
            <v>0.15367483296213807</v>
          </cell>
          <cell r="W71">
            <v>0.16304347826086957</v>
          </cell>
          <cell r="X71">
            <v>0.16578289473684218</v>
          </cell>
          <cell r="Y71">
            <v>0.2032967032967033</v>
          </cell>
          <cell r="Z71">
            <v>0.22206959706959706</v>
          </cell>
          <cell r="AA71">
            <v>0.23304203079483979</v>
          </cell>
          <cell r="AB71">
            <v>0.18667371760973031</v>
          </cell>
          <cell r="AC71">
            <v>0.16200000000000001</v>
          </cell>
          <cell r="AD71">
            <v>0.182</v>
          </cell>
          <cell r="AE71">
            <v>0.20499999999999999</v>
          </cell>
          <cell r="AF71">
            <v>0.22</v>
          </cell>
          <cell r="AG71">
            <v>0.23</v>
          </cell>
          <cell r="AH71">
            <v>0.23499999999999999</v>
          </cell>
          <cell r="AI71">
            <v>0.214</v>
          </cell>
          <cell r="AJ71">
            <v>0.22</v>
          </cell>
          <cell r="AK71">
            <v>0.23</v>
          </cell>
          <cell r="AL71">
            <v>0.23499999999999999</v>
          </cell>
        </row>
        <row r="72">
          <cell r="B72" t="str">
            <v>Total Aftermarket Revenue</v>
          </cell>
          <cell r="C72" t="str">
            <v>Change in Margin (bps)</v>
          </cell>
          <cell r="I72">
            <v>114</v>
          </cell>
          <cell r="J72">
            <v>-66.150661506615137</v>
          </cell>
          <cell r="K72">
            <v>-67.436270692982077</v>
          </cell>
          <cell r="L72">
            <v>241</v>
          </cell>
          <cell r="M72">
            <v>247</v>
          </cell>
          <cell r="N72">
            <v>239</v>
          </cell>
          <cell r="O72">
            <v>265</v>
          </cell>
          <cell r="P72">
            <v>219</v>
          </cell>
          <cell r="Q72">
            <v>213</v>
          </cell>
          <cell r="R72">
            <v>199</v>
          </cell>
          <cell r="S72">
            <v>205</v>
          </cell>
          <cell r="T72">
            <v>-150.80985716269674</v>
          </cell>
          <cell r="U72">
            <v>73.209457079533308</v>
          </cell>
          <cell r="V72">
            <v>-117.75288692363134</v>
          </cell>
          <cell r="W72">
            <v>93.686452987314922</v>
          </cell>
          <cell r="X72">
            <v>27.39416475972617</v>
          </cell>
          <cell r="Y72">
            <v>375.1380855986111</v>
          </cell>
          <cell r="Z72">
            <v>187.72893772893761</v>
          </cell>
          <cell r="AA72">
            <v>109.7243372524273</v>
          </cell>
          <cell r="AB72">
            <v>-463.6831318510948</v>
          </cell>
          <cell r="AC72">
            <v>804</v>
          </cell>
          <cell r="AD72">
            <v>953</v>
          </cell>
          <cell r="AE72">
            <v>992</v>
          </cell>
          <cell r="AF72">
            <v>836</v>
          </cell>
          <cell r="AG72">
            <v>895</v>
          </cell>
          <cell r="AH72">
            <v>1020</v>
          </cell>
          <cell r="AI72">
            <v>1155</v>
          </cell>
          <cell r="AJ72">
            <v>1245</v>
          </cell>
          <cell r="AK72">
            <v>1315</v>
          </cell>
          <cell r="AL72">
            <v>1385</v>
          </cell>
          <cell r="AN72" t="str">
            <v>low sgl digit growth across all</v>
          </cell>
        </row>
        <row r="73">
          <cell r="C73" t="str">
            <v>Y/Y Change</v>
          </cell>
          <cell r="I73">
            <v>0.23170731707317074</v>
          </cell>
          <cell r="J73">
            <v>0.22509225092250923</v>
          </cell>
          <cell r="K73">
            <v>0.21834862385321102</v>
          </cell>
          <cell r="L73">
            <v>0</v>
          </cell>
          <cell r="M73">
            <v>0</v>
          </cell>
          <cell r="N73">
            <v>0</v>
          </cell>
          <cell r="O73">
            <v>0</v>
          </cell>
          <cell r="P73">
            <v>-9.1286307053941917E-2</v>
          </cell>
          <cell r="Q73">
            <v>-0.13765182186234814</v>
          </cell>
          <cell r="R73">
            <v>-0.16736401673640167</v>
          </cell>
          <cell r="S73">
            <v>-0.22641509433962259</v>
          </cell>
          <cell r="T73">
            <v>0.15812917594654788</v>
          </cell>
          <cell r="U73">
            <v>0.16545012165450121</v>
          </cell>
          <cell r="V73">
            <v>0.15367483296213807</v>
          </cell>
          <cell r="W73">
            <v>0.16304347826086957</v>
          </cell>
          <cell r="X73">
            <v>0.16735537190082644</v>
          </cell>
          <cell r="Y73">
            <v>0.18260869565217391</v>
          </cell>
          <cell r="Z73">
            <v>0.1814595660749507</v>
          </cell>
          <cell r="AA73">
            <v>0.18823529411764706</v>
          </cell>
          <cell r="AB73">
            <v>0.19124571208325306</v>
          </cell>
          <cell r="AC73">
            <v>0.2032967032967033</v>
          </cell>
          <cell r="AD73">
            <v>0.18532338308457708</v>
          </cell>
          <cell r="AE73">
            <v>4.0923399790136372E-2</v>
          </cell>
          <cell r="AF73">
            <v>-0.157258064516129</v>
          </cell>
          <cell r="AG73">
            <v>7.0574162679425845E-2</v>
          </cell>
          <cell r="AH73">
            <v>0.13966480446927365</v>
          </cell>
          <cell r="AI73">
            <v>0.13235294117647056</v>
          </cell>
          <cell r="AJ73">
            <v>7.7922077922077948E-2</v>
          </cell>
          <cell r="AK73">
            <v>5.6224899598393607E-2</v>
          </cell>
          <cell r="AL73">
            <v>5.323193916349811E-2</v>
          </cell>
        </row>
        <row r="74">
          <cell r="A74" t="str">
            <v>Segment Operating Income</v>
          </cell>
          <cell r="C74" t="str">
            <v>Incremental Sales (Y/Y)</v>
          </cell>
          <cell r="J74">
            <v>-66.150661506615137</v>
          </cell>
          <cell r="K74">
            <v>-67.436270692982077</v>
          </cell>
          <cell r="L74">
            <v>-34.725907953597755</v>
          </cell>
          <cell r="M74">
            <v>73</v>
          </cell>
          <cell r="N74">
            <v>68</v>
          </cell>
          <cell r="O74">
            <v>42</v>
          </cell>
          <cell r="P74">
            <v>36</v>
          </cell>
          <cell r="Q74">
            <v>-81</v>
          </cell>
          <cell r="R74">
            <v>-85</v>
          </cell>
          <cell r="S74">
            <v>-154</v>
          </cell>
          <cell r="T74">
            <v>-192</v>
          </cell>
          <cell r="U74">
            <v>-73</v>
          </cell>
          <cell r="V74">
            <v>-76</v>
          </cell>
          <cell r="W74">
            <v>27</v>
          </cell>
          <cell r="X74">
            <v>37.400000000000091</v>
          </cell>
          <cell r="Y74">
            <v>185</v>
          </cell>
          <cell r="Z74">
            <v>364</v>
          </cell>
          <cell r="AA74">
            <v>219</v>
          </cell>
          <cell r="AB74">
            <v>-512</v>
          </cell>
          <cell r="AC74">
            <v>-84.599999999999909</v>
          </cell>
          <cell r="AD74">
            <v>164.77999999999997</v>
          </cell>
          <cell r="AE74">
            <v>231.92320000000041</v>
          </cell>
          <cell r="AF74">
            <v>214.11566399999992</v>
          </cell>
          <cell r="AG74">
            <v>183.64777717050401</v>
          </cell>
          <cell r="AH74">
            <v>151.13717128890448</v>
          </cell>
          <cell r="AI74">
            <v>253.22559999999999</v>
          </cell>
          <cell r="AJ74">
            <v>237.66693600000053</v>
          </cell>
          <cell r="AK74">
            <v>202.34828858482797</v>
          </cell>
          <cell r="AL74">
            <v>156.37702482802797</v>
          </cell>
        </row>
        <row r="75">
          <cell r="B75" t="str">
            <v>Wide-body IFE Revenue</v>
          </cell>
          <cell r="C75" t="str">
            <v>Incremental Operating Profit (Y/Y)</v>
          </cell>
          <cell r="L75">
            <v>41</v>
          </cell>
          <cell r="M75">
            <v>23</v>
          </cell>
          <cell r="N75">
            <v>18</v>
          </cell>
          <cell r="O75">
            <v>20</v>
          </cell>
          <cell r="P75">
            <v>14</v>
          </cell>
          <cell r="Q75">
            <v>-40</v>
          </cell>
          <cell r="R75">
            <v>-30</v>
          </cell>
          <cell r="S75">
            <v>-64</v>
          </cell>
          <cell r="T75">
            <v>-73</v>
          </cell>
          <cell r="U75">
            <v>-29</v>
          </cell>
          <cell r="V75">
            <v>-41</v>
          </cell>
          <cell r="W75">
            <v>0</v>
          </cell>
          <cell r="X75">
            <v>9.6368000000000507</v>
          </cell>
          <cell r="Y75">
            <v>74</v>
          </cell>
          <cell r="Z75">
            <v>115</v>
          </cell>
          <cell r="AA75">
            <v>75</v>
          </cell>
          <cell r="AB75">
            <v>-207</v>
          </cell>
          <cell r="AC75">
            <v>-60.363199999999949</v>
          </cell>
          <cell r="AD75">
            <v>66.117959999999925</v>
          </cell>
          <cell r="AE75">
            <v>92.881396000000109</v>
          </cell>
          <cell r="AF75">
            <v>80.151994079999952</v>
          </cell>
          <cell r="AG75">
            <v>66.41117738921605</v>
          </cell>
          <cell r="AH75">
            <v>48.521568458744923</v>
          </cell>
          <cell r="AI75">
            <v>-646.72089592796101</v>
          </cell>
          <cell r="AJ75">
            <v>0</v>
          </cell>
          <cell r="AK75">
            <v>0</v>
          </cell>
          <cell r="AL75">
            <v>0</v>
          </cell>
          <cell r="AM75">
            <v>-663.47499461202119</v>
          </cell>
          <cell r="AN75" t="str">
            <v>down 40%</v>
          </cell>
        </row>
        <row r="76">
          <cell r="C76" t="str">
            <v>Y/Y Change</v>
          </cell>
          <cell r="I76">
            <v>114</v>
          </cell>
          <cell r="J76">
            <v>122</v>
          </cell>
          <cell r="K76">
            <v>119</v>
          </cell>
          <cell r="L76">
            <v>0</v>
          </cell>
          <cell r="M76">
            <v>0.31506849315068491</v>
          </cell>
          <cell r="N76">
            <v>0.26470588235294118</v>
          </cell>
          <cell r="O76">
            <v>0.47619047619047616</v>
          </cell>
          <cell r="P76">
            <v>0.3888888888888889</v>
          </cell>
          <cell r="Q76">
            <v>0.49382716049382713</v>
          </cell>
          <cell r="R76">
            <v>0.35294117647058826</v>
          </cell>
          <cell r="S76">
            <v>0.41558441558441561</v>
          </cell>
          <cell r="T76">
            <v>0.38020833333333331</v>
          </cell>
          <cell r="U76">
            <v>0.39726027397260272</v>
          </cell>
          <cell r="V76">
            <v>0.53947368421052633</v>
          </cell>
          <cell r="W76">
            <v>0</v>
          </cell>
          <cell r="X76">
            <v>0.25766844919786169</v>
          </cell>
          <cell r="Y76">
            <v>0.4</v>
          </cell>
          <cell r="Z76">
            <v>0.31593406593406592</v>
          </cell>
          <cell r="AA76">
            <v>0.34246575342465752</v>
          </cell>
          <cell r="AB76">
            <v>0.404296875</v>
          </cell>
          <cell r="AC76">
            <v>0.71351300236406634</v>
          </cell>
          <cell r="AD76">
            <v>0.51291394586721661</v>
          </cell>
          <cell r="AE76">
            <v>0.40910696299464627</v>
          </cell>
          <cell r="AF76">
            <v>0.37433970304946945</v>
          </cell>
          <cell r="AG76">
            <v>0.3616225494935229</v>
          </cell>
          <cell r="AH76">
            <v>0.32104324862607153</v>
          </cell>
          <cell r="AI76">
            <v>0</v>
          </cell>
          <cell r="AJ76">
            <v>0</v>
          </cell>
          <cell r="AK76">
            <v>0</v>
          </cell>
          <cell r="AL76">
            <v>0</v>
          </cell>
          <cell r="AM76">
            <v>478.19355999999999</v>
          </cell>
          <cell r="AN76">
            <v>548.430476</v>
          </cell>
          <cell r="AO76">
            <v>620.12947347586214</v>
          </cell>
          <cell r="AP76">
            <v>670.4052728292138</v>
          </cell>
        </row>
        <row r="77">
          <cell r="C77" t="str">
            <v>Incremental Operating Profit (Y/Y)</v>
          </cell>
          <cell r="I77">
            <v>0.23170731707317074</v>
          </cell>
          <cell r="J77">
            <v>0.22509225092250923</v>
          </cell>
          <cell r="K77">
            <v>0.21834862385321102</v>
          </cell>
          <cell r="L77">
            <v>0.21487603305785125</v>
          </cell>
          <cell r="M77">
            <v>23</v>
          </cell>
          <cell r="N77">
            <v>18</v>
          </cell>
          <cell r="O77">
            <v>20</v>
          </cell>
          <cell r="P77">
            <v>14</v>
          </cell>
          <cell r="Q77">
            <v>-40</v>
          </cell>
          <cell r="R77">
            <v>-30</v>
          </cell>
          <cell r="S77">
            <v>-64</v>
          </cell>
          <cell r="T77">
            <v>-73</v>
          </cell>
          <cell r="U77">
            <v>-29</v>
          </cell>
          <cell r="V77">
            <v>-41</v>
          </cell>
          <cell r="W77">
            <v>0</v>
          </cell>
          <cell r="X77">
            <v>10</v>
          </cell>
          <cell r="Y77">
            <v>16</v>
          </cell>
          <cell r="Z77">
            <v>23</v>
          </cell>
          <cell r="AA77">
            <v>21</v>
          </cell>
          <cell r="AB77">
            <v>18.23739999999998</v>
          </cell>
          <cell r="AC77">
            <v>74</v>
          </cell>
          <cell r="AD77">
            <v>115</v>
          </cell>
          <cell r="AE77">
            <v>75</v>
          </cell>
          <cell r="AF77">
            <v>-207</v>
          </cell>
          <cell r="AG77">
            <v>-60</v>
          </cell>
          <cell r="AH77">
            <v>78.23739999999998</v>
          </cell>
          <cell r="AI77">
            <v>110.77110680000004</v>
          </cell>
          <cell r="AJ77">
            <v>66.629518079999968</v>
          </cell>
          <cell r="AK77">
            <v>71.952210192800067</v>
          </cell>
          <cell r="AL77">
            <v>50.652729837807897</v>
          </cell>
          <cell r="AM77">
            <v>-671.24296491060795</v>
          </cell>
          <cell r="AN77">
            <v>0.22</v>
          </cell>
          <cell r="AO77">
            <v>0.23</v>
          </cell>
          <cell r="AP77">
            <v>0.23499999999999999</v>
          </cell>
        </row>
        <row r="78">
          <cell r="B78" t="str">
            <v>Total Commercial Systems Revenue</v>
          </cell>
          <cell r="C78" t="str">
            <v>Compensation Headwinds Y/Y</v>
          </cell>
          <cell r="H78">
            <v>492</v>
          </cell>
          <cell r="I78">
            <v>542</v>
          </cell>
          <cell r="J78">
            <v>545</v>
          </cell>
          <cell r="K78">
            <v>605</v>
          </cell>
          <cell r="L78">
            <v>565</v>
          </cell>
          <cell r="M78">
            <v>610</v>
          </cell>
          <cell r="N78">
            <v>587</v>
          </cell>
          <cell r="O78">
            <v>641</v>
          </cell>
          <cell r="P78">
            <v>484</v>
          </cell>
          <cell r="Q78">
            <v>525</v>
          </cell>
          <cell r="R78">
            <v>433</v>
          </cell>
          <cell r="S78">
            <v>449</v>
          </cell>
          <cell r="T78">
            <v>411</v>
          </cell>
          <cell r="U78">
            <v>450</v>
          </cell>
          <cell r="V78">
            <v>465</v>
          </cell>
          <cell r="W78">
            <v>499</v>
          </cell>
          <cell r="X78">
            <v>1752</v>
          </cell>
          <cell r="Y78">
            <v>1377</v>
          </cell>
          <cell r="Z78">
            <v>1272</v>
          </cell>
          <cell r="AA78">
            <v>1395</v>
          </cell>
          <cell r="AB78">
            <v>1635</v>
          </cell>
          <cell r="AC78">
            <v>1820</v>
          </cell>
          <cell r="AD78">
            <v>-14.399999999999999</v>
          </cell>
          <cell r="AE78">
            <v>-2</v>
          </cell>
          <cell r="AF78">
            <v>1891</v>
          </cell>
          <cell r="AG78">
            <v>1825</v>
          </cell>
          <cell r="AH78">
            <v>2050</v>
          </cell>
          <cell r="AI78">
            <v>2260</v>
          </cell>
          <cell r="AJ78">
            <v>2480</v>
          </cell>
          <cell r="AK78">
            <v>2655</v>
          </cell>
          <cell r="AL78">
            <v>2835</v>
          </cell>
          <cell r="AM78">
            <v>194.99999999999989</v>
          </cell>
          <cell r="AN78" t="str">
            <v>down 7% (y/y gr in 2H)</v>
          </cell>
          <cell r="AO78">
            <v>100.00000000000009</v>
          </cell>
          <cell r="AP78">
            <v>49.999999999999766</v>
          </cell>
        </row>
        <row r="79">
          <cell r="C79" t="str">
            <v>Y/Y Change</v>
          </cell>
          <cell r="L79">
            <v>0.14837398373983746</v>
          </cell>
          <cell r="M79">
            <v>0.1254612546125462</v>
          </cell>
          <cell r="N79">
            <v>7.7064220183486132E-2</v>
          </cell>
          <cell r="O79">
            <v>5.9504132231404938E-2</v>
          </cell>
          <cell r="P79">
            <v>-0.14336283185840704</v>
          </cell>
          <cell r="Q79">
            <v>-0.13934426229508201</v>
          </cell>
          <cell r="R79">
            <v>-0.26235093696763201</v>
          </cell>
          <cell r="S79">
            <v>-0.29953198127925118</v>
          </cell>
          <cell r="T79">
            <v>-0.15082644628099173</v>
          </cell>
          <cell r="U79">
            <v>-0.1428571428571429</v>
          </cell>
          <cell r="V79">
            <v>7.390300230946889E-2</v>
          </cell>
          <cell r="W79">
            <v>0.11135857461024501</v>
          </cell>
          <cell r="Y79">
            <v>-0.21404109589041098</v>
          </cell>
          <cell r="Z79">
            <v>-7.6252723311546866E-2</v>
          </cell>
          <cell r="AA79">
            <v>9.6698113207547065E-2</v>
          </cell>
          <cell r="AB79">
            <v>0.17204301075268824</v>
          </cell>
          <cell r="AC79">
            <v>0.11314984709480114</v>
          </cell>
          <cell r="AD79">
            <v>-4</v>
          </cell>
          <cell r="AE79">
            <v>0.10027472527472536</v>
          </cell>
          <cell r="AF79">
            <v>-0.21306699958385356</v>
          </cell>
          <cell r="AG79">
            <v>-3.4902168164992031E-2</v>
          </cell>
          <cell r="AH79">
            <v>0.12328767123287676</v>
          </cell>
          <cell r="AI79">
            <v>0.10243902439024399</v>
          </cell>
          <cell r="AJ79">
            <v>9.7345132743362761E-2</v>
          </cell>
          <cell r="AK79">
            <v>7.0564516129032251E-2</v>
          </cell>
          <cell r="AL79">
            <v>6.7796610169491567E-2</v>
          </cell>
        </row>
        <row r="80">
          <cell r="C80" t="str">
            <v>San Jose</v>
          </cell>
          <cell r="M80">
            <v>73</v>
          </cell>
          <cell r="N80">
            <v>68</v>
          </cell>
          <cell r="O80">
            <v>42</v>
          </cell>
          <cell r="P80">
            <v>36</v>
          </cell>
          <cell r="Q80">
            <v>-81</v>
          </cell>
          <cell r="R80">
            <v>-85</v>
          </cell>
          <cell r="S80">
            <v>-154</v>
          </cell>
          <cell r="T80">
            <v>-192</v>
          </cell>
          <cell r="U80">
            <v>-73</v>
          </cell>
          <cell r="V80">
            <v>-76</v>
          </cell>
          <cell r="W80">
            <v>21</v>
          </cell>
          <cell r="X80">
            <v>35</v>
          </cell>
          <cell r="Y80">
            <v>49</v>
          </cell>
          <cell r="Z80">
            <v>58</v>
          </cell>
          <cell r="AA80">
            <v>68</v>
          </cell>
          <cell r="AB80">
            <v>72.450000000000045</v>
          </cell>
          <cell r="AC80">
            <v>185</v>
          </cell>
          <cell r="AD80">
            <v>2</v>
          </cell>
          <cell r="AE80">
            <v>219</v>
          </cell>
          <cell r="AF80">
            <v>-512</v>
          </cell>
          <cell r="AG80">
            <v>-87</v>
          </cell>
          <cell r="AH80">
            <v>-14.399999999999999</v>
          </cell>
          <cell r="AI80">
            <v>-2</v>
          </cell>
          <cell r="AJ80">
            <v>245.63044799999989</v>
          </cell>
          <cell r="AK80">
            <v>210.09408672000063</v>
          </cell>
          <cell r="AL80">
            <v>161.79963075360001</v>
          </cell>
          <cell r="AM80">
            <v>262.63000000000011</v>
          </cell>
          <cell r="AN80">
            <v>237.23579999999993</v>
          </cell>
          <cell r="AO80">
            <v>203.3493020689657</v>
          </cell>
          <cell r="AP80">
            <v>156.57329294896545</v>
          </cell>
        </row>
        <row r="81">
          <cell r="B81" t="str">
            <v>vs Main Model</v>
          </cell>
          <cell r="C81" t="str">
            <v>Total</v>
          </cell>
          <cell r="H81">
            <v>0</v>
          </cell>
          <cell r="I81">
            <v>0</v>
          </cell>
          <cell r="J81">
            <v>0</v>
          </cell>
          <cell r="K81">
            <v>0</v>
          </cell>
          <cell r="L81">
            <v>0</v>
          </cell>
          <cell r="M81">
            <v>0</v>
          </cell>
          <cell r="N81">
            <v>0</v>
          </cell>
          <cell r="O81">
            <v>0</v>
          </cell>
          <cell r="P81">
            <v>484</v>
          </cell>
          <cell r="Q81">
            <v>525</v>
          </cell>
          <cell r="R81">
            <v>433</v>
          </cell>
          <cell r="S81">
            <v>449</v>
          </cell>
          <cell r="T81">
            <v>411</v>
          </cell>
          <cell r="U81">
            <v>450</v>
          </cell>
          <cell r="V81">
            <v>465</v>
          </cell>
          <cell r="W81">
            <v>499</v>
          </cell>
          <cell r="X81">
            <v>10</v>
          </cell>
          <cell r="Y81">
            <v>16</v>
          </cell>
          <cell r="Z81">
            <v>23</v>
          </cell>
          <cell r="AA81">
            <v>33</v>
          </cell>
          <cell r="AB81">
            <v>1635</v>
          </cell>
          <cell r="AC81">
            <v>1820</v>
          </cell>
          <cell r="AD81">
            <v>-16.399999999999999</v>
          </cell>
          <cell r="AE81">
            <v>2403</v>
          </cell>
          <cell r="AF81">
            <v>1891</v>
          </cell>
          <cell r="AG81">
            <v>1825</v>
          </cell>
          <cell r="AH81">
            <v>2050</v>
          </cell>
          <cell r="AI81">
            <v>2260</v>
          </cell>
          <cell r="AJ81">
            <v>2480</v>
          </cell>
          <cell r="AK81">
            <v>2655</v>
          </cell>
          <cell r="AL81">
            <v>2835</v>
          </cell>
          <cell r="AM81">
            <v>-686.92731688629613</v>
          </cell>
          <cell r="AN81">
            <v>70.236916000000008</v>
          </cell>
          <cell r="AO81">
            <v>71.698997475862143</v>
          </cell>
          <cell r="AP81">
            <v>50.275799353351658</v>
          </cell>
          <cell r="AQ81">
            <v>-670.4052728292138</v>
          </cell>
        </row>
        <row r="82">
          <cell r="A82" t="str">
            <v>OEM Build-Up</v>
          </cell>
          <cell r="C82" t="str">
            <v>Difference</v>
          </cell>
          <cell r="M82">
            <v>0.31506849315068491</v>
          </cell>
          <cell r="N82">
            <v>0.26470588235294118</v>
          </cell>
          <cell r="O82">
            <v>0.47619047619047616</v>
          </cell>
          <cell r="P82">
            <v>0</v>
          </cell>
          <cell r="Q82">
            <v>0</v>
          </cell>
          <cell r="R82">
            <v>0</v>
          </cell>
          <cell r="S82">
            <v>0</v>
          </cell>
          <cell r="T82">
            <v>0</v>
          </cell>
          <cell r="U82">
            <v>0</v>
          </cell>
          <cell r="V82">
            <v>0</v>
          </cell>
          <cell r="W82">
            <v>0</v>
          </cell>
          <cell r="X82">
            <v>0.2857142857142857</v>
          </cell>
          <cell r="Y82">
            <v>0.32653061224489793</v>
          </cell>
          <cell r="Z82">
            <v>0.39655172413793105</v>
          </cell>
          <cell r="AA82">
            <v>0.48529411764705882</v>
          </cell>
          <cell r="AB82">
            <v>0</v>
          </cell>
          <cell r="AC82">
            <v>0</v>
          </cell>
          <cell r="AD82">
            <v>0</v>
          </cell>
          <cell r="AE82">
            <v>0</v>
          </cell>
          <cell r="AF82">
            <v>0</v>
          </cell>
          <cell r="AG82">
            <v>0</v>
          </cell>
          <cell r="AH82">
            <v>0</v>
          </cell>
          <cell r="AI82">
            <v>0</v>
          </cell>
          <cell r="AJ82">
            <v>0</v>
          </cell>
          <cell r="AK82">
            <v>0</v>
          </cell>
          <cell r="AL82">
            <v>0</v>
          </cell>
          <cell r="AM82">
            <v>0.3580648060008374</v>
          </cell>
          <cell r="AN82">
            <v>0.29606373068482933</v>
          </cell>
          <cell r="AO82">
            <v>0.35259032977425958</v>
          </cell>
          <cell r="AP82">
            <v>0.32110073440007991</v>
          </cell>
        </row>
        <row r="83">
          <cell r="A83" t="str">
            <v>OEM Build-Up</v>
          </cell>
          <cell r="C83" t="str">
            <v>Total</v>
          </cell>
          <cell r="AH83">
            <v>1.6000000000000014</v>
          </cell>
        </row>
        <row r="84">
          <cell r="A84" t="str">
            <v>Segment Operating Profit</v>
          </cell>
          <cell r="C84" t="str">
            <v>Boeing Deliveries (Calendar)</v>
          </cell>
          <cell r="AH84">
            <v>-14.399999999999999</v>
          </cell>
          <cell r="AI84">
            <v>-2</v>
          </cell>
          <cell r="AL84">
            <v>-14.399999999999999</v>
          </cell>
          <cell r="AM84">
            <v>-2</v>
          </cell>
        </row>
        <row r="85">
          <cell r="A85" t="str">
            <v>OEM Build-Up</v>
          </cell>
          <cell r="C85" t="str">
            <v>Boeing Deliveries (Calendar)</v>
          </cell>
          <cell r="D85" t="str">
            <v>737NG</v>
          </cell>
          <cell r="Z85">
            <v>330</v>
          </cell>
          <cell r="AA85">
            <v>290</v>
          </cell>
          <cell r="AB85">
            <v>372</v>
          </cell>
          <cell r="AC85">
            <v>376</v>
          </cell>
          <cell r="AD85">
            <v>380</v>
          </cell>
          <cell r="AE85">
            <v>410</v>
          </cell>
          <cell r="AF85">
            <v>410</v>
          </cell>
          <cell r="AG85">
            <v>372</v>
          </cell>
          <cell r="AH85">
            <v>372</v>
          </cell>
          <cell r="AL85">
            <v>14</v>
          </cell>
        </row>
        <row r="86">
          <cell r="B86" t="str">
            <v>Segment Operating Profit</v>
          </cell>
          <cell r="C86" t="str">
            <v>San Jose</v>
          </cell>
          <cell r="D86" t="str">
            <v>737NG</v>
          </cell>
          <cell r="H86">
            <v>114</v>
          </cell>
          <cell r="I86">
            <v>122</v>
          </cell>
          <cell r="J86">
            <v>119</v>
          </cell>
          <cell r="K86">
            <v>130</v>
          </cell>
          <cell r="L86">
            <v>137</v>
          </cell>
          <cell r="M86">
            <v>140</v>
          </cell>
          <cell r="N86">
            <v>139</v>
          </cell>
          <cell r="O86">
            <v>144</v>
          </cell>
          <cell r="P86">
            <v>97</v>
          </cell>
          <cell r="Q86">
            <v>110</v>
          </cell>
          <cell r="R86">
            <v>75</v>
          </cell>
          <cell r="S86">
            <v>71</v>
          </cell>
          <cell r="T86">
            <v>68</v>
          </cell>
          <cell r="U86">
            <v>75</v>
          </cell>
          <cell r="V86">
            <v>83</v>
          </cell>
          <cell r="W86">
            <v>94</v>
          </cell>
          <cell r="X86">
            <v>275</v>
          </cell>
          <cell r="Y86">
            <v>174</v>
          </cell>
          <cell r="Z86">
            <v>330</v>
          </cell>
          <cell r="AA86">
            <v>290</v>
          </cell>
          <cell r="AB86">
            <v>372</v>
          </cell>
          <cell r="AC86">
            <v>376</v>
          </cell>
          <cell r="AD86">
            <v>380</v>
          </cell>
          <cell r="AE86">
            <v>410</v>
          </cell>
          <cell r="AF86">
            <v>410</v>
          </cell>
          <cell r="AG86">
            <v>372</v>
          </cell>
          <cell r="AH86">
            <v>372</v>
          </cell>
          <cell r="AI86">
            <v>494.75</v>
          </cell>
          <cell r="AJ86">
            <v>560.75</v>
          </cell>
          <cell r="AK86">
            <v>604.5</v>
          </cell>
          <cell r="AL86">
            <v>649.5</v>
          </cell>
        </row>
        <row r="87">
          <cell r="B87" t="str">
            <v>Operating Profit Margin (%)</v>
          </cell>
          <cell r="C87" t="str">
            <v>Boeing Deliveries (Calendar)</v>
          </cell>
          <cell r="D87">
            <v>747</v>
          </cell>
          <cell r="H87">
            <v>0.23170731707317074</v>
          </cell>
          <cell r="I87">
            <v>0.22509225092250923</v>
          </cell>
          <cell r="J87">
            <v>0.21834862385321102</v>
          </cell>
          <cell r="K87">
            <v>0.21487603305785125</v>
          </cell>
          <cell r="L87">
            <v>0.2424778761061947</v>
          </cell>
          <cell r="M87">
            <v>0.22950819672131148</v>
          </cell>
          <cell r="N87">
            <v>0.23679727427597955</v>
          </cell>
          <cell r="O87">
            <v>0.22464898595943839</v>
          </cell>
          <cell r="P87">
            <v>0.20041322314049587</v>
          </cell>
          <cell r="Q87">
            <v>0.20952380952380953</v>
          </cell>
          <cell r="R87">
            <v>0.17321016166281755</v>
          </cell>
          <cell r="S87">
            <v>0.15812917594654788</v>
          </cell>
          <cell r="T87">
            <v>0.16545012165450121</v>
          </cell>
          <cell r="U87">
            <v>0.16666666666666666</v>
          </cell>
          <cell r="V87">
            <v>0.17849462365591398</v>
          </cell>
          <cell r="W87">
            <v>0.18837675350701402</v>
          </cell>
          <cell r="X87">
            <v>0.1569634703196347</v>
          </cell>
          <cell r="Y87">
            <v>0.12636165577342048</v>
          </cell>
          <cell r="Z87">
            <v>16</v>
          </cell>
          <cell r="AA87">
            <v>14</v>
          </cell>
          <cell r="AB87">
            <v>8</v>
          </cell>
          <cell r="AC87">
            <v>8</v>
          </cell>
          <cell r="AD87">
            <v>0</v>
          </cell>
          <cell r="AE87">
            <v>12</v>
          </cell>
          <cell r="AF87">
            <v>20</v>
          </cell>
          <cell r="AG87">
            <v>22</v>
          </cell>
          <cell r="AH87">
            <v>20</v>
          </cell>
          <cell r="AI87">
            <v>20</v>
          </cell>
          <cell r="AJ87">
            <v>0.22610887096774193</v>
          </cell>
          <cell r="AK87">
            <v>0.22768361581920904</v>
          </cell>
          <cell r="AL87">
            <v>0.22910052910052911</v>
          </cell>
          <cell r="AM87">
            <v>20</v>
          </cell>
        </row>
        <row r="88">
          <cell r="B88" t="str">
            <v>Change in Margin (bps)</v>
          </cell>
          <cell r="D88">
            <v>767</v>
          </cell>
          <cell r="H88">
            <v>2317.0731707317073</v>
          </cell>
          <cell r="I88">
            <v>-66.150661506615137</v>
          </cell>
          <cell r="J88">
            <v>-67.436270692982077</v>
          </cell>
          <cell r="K88">
            <v>-34.725907953597755</v>
          </cell>
          <cell r="L88">
            <v>276.01843048343454</v>
          </cell>
          <cell r="M88">
            <v>-129.69679384883221</v>
          </cell>
          <cell r="N88">
            <v>72.890775546680658</v>
          </cell>
          <cell r="O88">
            <v>-121.48288316541162</v>
          </cell>
          <cell r="P88">
            <v>-242.35762818942518</v>
          </cell>
          <cell r="Q88">
            <v>91.105863833136624</v>
          </cell>
          <cell r="R88">
            <v>-363.13647860991978</v>
          </cell>
          <cell r="S88">
            <v>-150.80985716269674</v>
          </cell>
          <cell r="T88">
            <v>73.209457079533308</v>
          </cell>
          <cell r="U88">
            <v>12.165450121654487</v>
          </cell>
          <cell r="V88">
            <v>118.27956989247323</v>
          </cell>
          <cell r="W88">
            <v>98.821298511000407</v>
          </cell>
          <cell r="Y88">
            <v>-306.01814546214217</v>
          </cell>
          <cell r="Z88">
            <v>12</v>
          </cell>
          <cell r="AA88">
            <v>10</v>
          </cell>
          <cell r="AB88">
            <v>13</v>
          </cell>
          <cell r="AC88">
            <v>12</v>
          </cell>
          <cell r="AD88">
            <v>18</v>
          </cell>
          <cell r="AE88">
            <v>18</v>
          </cell>
          <cell r="AF88">
            <v>12</v>
          </cell>
          <cell r="AG88">
            <v>12</v>
          </cell>
          <cell r="AH88">
            <v>12</v>
          </cell>
          <cell r="AI88">
            <v>134.28124325491063</v>
          </cell>
          <cell r="AJ88">
            <v>71.929417642020994</v>
          </cell>
          <cell r="AK88">
            <v>15.747448514671081</v>
          </cell>
          <cell r="AL88">
            <v>14.169132813200703</v>
          </cell>
        </row>
        <row r="89">
          <cell r="A89" t="str">
            <v>OEM Build-Up</v>
          </cell>
          <cell r="D89">
            <v>777</v>
          </cell>
          <cell r="Z89">
            <v>83</v>
          </cell>
          <cell r="AA89">
            <v>61</v>
          </cell>
          <cell r="AB89">
            <v>88</v>
          </cell>
          <cell r="AC89">
            <v>72</v>
          </cell>
          <cell r="AD89">
            <v>72</v>
          </cell>
          <cell r="AE89">
            <v>84</v>
          </cell>
          <cell r="AF89">
            <v>84</v>
          </cell>
          <cell r="AG89">
            <v>84</v>
          </cell>
          <cell r="AH89">
            <v>84</v>
          </cell>
          <cell r="AI89">
            <v>35</v>
          </cell>
          <cell r="AJ89">
            <v>24</v>
          </cell>
          <cell r="AK89">
            <v>24</v>
          </cell>
          <cell r="AL89">
            <v>20</v>
          </cell>
          <cell r="AM89">
            <v>20</v>
          </cell>
        </row>
        <row r="90">
          <cell r="B90" t="str">
            <v>Incremental Sales (Y/Y)</v>
          </cell>
          <cell r="D90">
            <v>787</v>
          </cell>
          <cell r="L90">
            <v>73</v>
          </cell>
          <cell r="M90">
            <v>68</v>
          </cell>
          <cell r="N90">
            <v>42</v>
          </cell>
          <cell r="O90">
            <v>36</v>
          </cell>
          <cell r="P90">
            <v>-81</v>
          </cell>
          <cell r="Q90">
            <v>-85</v>
          </cell>
          <cell r="R90">
            <v>-154</v>
          </cell>
          <cell r="S90">
            <v>-192</v>
          </cell>
          <cell r="T90">
            <v>-73</v>
          </cell>
          <cell r="U90">
            <v>-75</v>
          </cell>
          <cell r="V90">
            <v>32</v>
          </cell>
          <cell r="W90">
            <v>50</v>
          </cell>
          <cell r="Y90">
            <v>-375</v>
          </cell>
          <cell r="Z90">
            <v>0</v>
          </cell>
          <cell r="AA90">
            <v>0</v>
          </cell>
          <cell r="AB90">
            <v>0</v>
          </cell>
          <cell r="AC90">
            <v>0</v>
          </cell>
          <cell r="AD90">
            <v>50</v>
          </cell>
          <cell r="AE90">
            <v>48</v>
          </cell>
          <cell r="AF90">
            <v>108</v>
          </cell>
          <cell r="AG90">
            <v>120</v>
          </cell>
          <cell r="AH90">
            <v>120</v>
          </cell>
          <cell r="AI90">
            <v>210</v>
          </cell>
          <cell r="AJ90">
            <v>220</v>
          </cell>
          <cell r="AK90">
            <v>175</v>
          </cell>
          <cell r="AL90">
            <v>180</v>
          </cell>
        </row>
        <row r="91">
          <cell r="B91" t="str">
            <v>Incremental Operating Profit (Y/Y)</v>
          </cell>
          <cell r="C91" t="str">
            <v>Boeing Deliveries (Calendar)</v>
          </cell>
          <cell r="D91" t="str">
            <v>Total Boeing</v>
          </cell>
          <cell r="L91">
            <v>23</v>
          </cell>
          <cell r="M91">
            <v>18</v>
          </cell>
          <cell r="N91">
            <v>20</v>
          </cell>
          <cell r="O91">
            <v>14</v>
          </cell>
          <cell r="P91">
            <v>-40</v>
          </cell>
          <cell r="Q91">
            <v>-30</v>
          </cell>
          <cell r="R91">
            <v>-64</v>
          </cell>
          <cell r="S91">
            <v>-73</v>
          </cell>
          <cell r="T91">
            <v>-29</v>
          </cell>
          <cell r="U91">
            <v>-35</v>
          </cell>
          <cell r="V91">
            <v>8</v>
          </cell>
          <cell r="W91">
            <v>23</v>
          </cell>
          <cell r="Y91">
            <v>-101</v>
          </cell>
          <cell r="Z91">
            <v>441</v>
          </cell>
          <cell r="AA91">
            <v>375</v>
          </cell>
          <cell r="AB91">
            <v>481</v>
          </cell>
          <cell r="AC91">
            <v>468</v>
          </cell>
          <cell r="AD91">
            <v>520</v>
          </cell>
          <cell r="AE91">
            <v>572</v>
          </cell>
          <cell r="AF91">
            <v>634</v>
          </cell>
          <cell r="AG91">
            <v>610</v>
          </cell>
          <cell r="AH91">
            <v>608</v>
          </cell>
          <cell r="AI91">
            <v>73.5</v>
          </cell>
          <cell r="AJ91">
            <v>66</v>
          </cell>
          <cell r="AK91">
            <v>43.75</v>
          </cell>
          <cell r="AL91">
            <v>45</v>
          </cell>
        </row>
        <row r="92">
          <cell r="B92" t="str">
            <v>Drop Through Rate</v>
          </cell>
          <cell r="C92" t="str">
            <v>Boeing Deliveries (Adjusted)</v>
          </cell>
          <cell r="D92">
            <v>787</v>
          </cell>
          <cell r="L92">
            <v>0.31506849315068491</v>
          </cell>
          <cell r="M92">
            <v>0.26470588235294118</v>
          </cell>
          <cell r="N92">
            <v>0.47619047619047616</v>
          </cell>
          <cell r="O92">
            <v>0.3888888888888889</v>
          </cell>
          <cell r="P92">
            <v>0.49382716049382713</v>
          </cell>
          <cell r="Q92">
            <v>0.35294117647058826</v>
          </cell>
          <cell r="R92">
            <v>0.41558441558441561</v>
          </cell>
          <cell r="S92">
            <v>0.38020833333333331</v>
          </cell>
          <cell r="T92">
            <v>0.39726027397260272</v>
          </cell>
          <cell r="U92">
            <v>0.46666666666666667</v>
          </cell>
          <cell r="V92">
            <v>0.25</v>
          </cell>
          <cell r="W92">
            <v>0.46</v>
          </cell>
          <cell r="Y92">
            <v>0.26933333333333331</v>
          </cell>
          <cell r="Z92">
            <v>0.35238095238095241</v>
          </cell>
          <cell r="AA92">
            <v>0.51219512195121952</v>
          </cell>
          <cell r="AB92">
            <v>0.4</v>
          </cell>
          <cell r="AC92">
            <v>0.4</v>
          </cell>
          <cell r="AD92">
            <v>0.31593406593406592</v>
          </cell>
          <cell r="AE92">
            <v>0.34246575342465752</v>
          </cell>
          <cell r="AF92">
            <v>0.404296875</v>
          </cell>
          <cell r="AG92">
            <v>0.5</v>
          </cell>
          <cell r="AH92">
            <v>0.45</v>
          </cell>
          <cell r="AI92">
            <v>0.35</v>
          </cell>
          <cell r="AJ92">
            <v>0.3</v>
          </cell>
          <cell r="AK92">
            <v>0.25</v>
          </cell>
          <cell r="AL92">
            <v>0.25</v>
          </cell>
          <cell r="AM92">
            <v>420</v>
          </cell>
          <cell r="AN92">
            <v>445</v>
          </cell>
          <cell r="AO92">
            <v>505</v>
          </cell>
          <cell r="AP92">
            <v>480</v>
          </cell>
        </row>
        <row r="93">
          <cell r="C93" t="str">
            <v>Boeing Deliveries (Adjusted)</v>
          </cell>
          <cell r="D93" t="str">
            <v>737NG</v>
          </cell>
          <cell r="Z93">
            <v>247.5</v>
          </cell>
          <cell r="AA93">
            <v>300</v>
          </cell>
          <cell r="AB93">
            <v>351.5</v>
          </cell>
          <cell r="AC93">
            <v>375</v>
          </cell>
          <cell r="AD93">
            <v>379</v>
          </cell>
          <cell r="AE93">
            <v>402.5</v>
          </cell>
          <cell r="AF93">
            <v>410</v>
          </cell>
          <cell r="AG93">
            <v>381.5</v>
          </cell>
          <cell r="AH93">
            <v>372</v>
          </cell>
          <cell r="AI93">
            <v>607</v>
          </cell>
          <cell r="AJ93">
            <v>665</v>
          </cell>
          <cell r="AK93">
            <v>690</v>
          </cell>
          <cell r="AL93">
            <v>694</v>
          </cell>
          <cell r="AM93">
            <v>20</v>
          </cell>
          <cell r="AN93">
            <v>24</v>
          </cell>
          <cell r="AO93">
            <v>24</v>
          </cell>
          <cell r="AP93">
            <v>24</v>
          </cell>
          <cell r="AQ93">
            <v>20</v>
          </cell>
        </row>
        <row r="94">
          <cell r="D94" t="str">
            <v>737NG</v>
          </cell>
          <cell r="H94" t="b">
            <v>1</v>
          </cell>
          <cell r="I94" t="b">
            <v>1</v>
          </cell>
          <cell r="J94" t="b">
            <v>1</v>
          </cell>
          <cell r="K94" t="b">
            <v>1</v>
          </cell>
          <cell r="L94" t="b">
            <v>1</v>
          </cell>
          <cell r="M94" t="b">
            <v>1</v>
          </cell>
          <cell r="N94" t="b">
            <v>1</v>
          </cell>
          <cell r="O94" t="b">
            <v>1</v>
          </cell>
          <cell r="P94" t="b">
            <v>1</v>
          </cell>
          <cell r="Q94" t="b">
            <v>1</v>
          </cell>
          <cell r="R94" t="b">
            <v>1</v>
          </cell>
          <cell r="S94" t="b">
            <v>1</v>
          </cell>
          <cell r="T94" t="b">
            <v>1</v>
          </cell>
          <cell r="U94" t="b">
            <v>1</v>
          </cell>
          <cell r="V94" t="b">
            <v>1</v>
          </cell>
          <cell r="W94" t="b">
            <v>1</v>
          </cell>
          <cell r="Z94">
            <v>247.5</v>
          </cell>
          <cell r="AA94">
            <v>300</v>
          </cell>
          <cell r="AB94">
            <v>351.5</v>
          </cell>
          <cell r="AC94">
            <v>375</v>
          </cell>
          <cell r="AD94">
            <v>379</v>
          </cell>
          <cell r="AE94">
            <v>402.5</v>
          </cell>
          <cell r="AF94">
            <v>410</v>
          </cell>
          <cell r="AG94">
            <v>381.5</v>
          </cell>
          <cell r="AH94">
            <v>372</v>
          </cell>
          <cell r="AI94" t="b">
            <v>1</v>
          </cell>
          <cell r="AJ94" t="b">
            <v>1</v>
          </cell>
          <cell r="AK94" t="b">
            <v>1</v>
          </cell>
          <cell r="AL94" t="b">
            <v>1</v>
          </cell>
          <cell r="AM94">
            <v>18</v>
          </cell>
          <cell r="AN94">
            <v>18</v>
          </cell>
          <cell r="AO94">
            <v>22</v>
          </cell>
          <cell r="AP94">
            <v>22</v>
          </cell>
        </row>
        <row r="95">
          <cell r="C95" t="str">
            <v>Boeing Deliveries (Adjusted)</v>
          </cell>
          <cell r="D95">
            <v>747</v>
          </cell>
          <cell r="Z95">
            <v>12</v>
          </cell>
          <cell r="AA95">
            <v>14.5</v>
          </cell>
          <cell r="AB95">
            <v>9.5</v>
          </cell>
          <cell r="AC95">
            <v>0</v>
          </cell>
          <cell r="AD95">
            <v>8</v>
          </cell>
          <cell r="AE95">
            <v>9</v>
          </cell>
          <cell r="AF95">
            <v>18</v>
          </cell>
          <cell r="AG95">
            <v>21.5</v>
          </cell>
          <cell r="AH95">
            <v>20.5</v>
          </cell>
          <cell r="AI95">
            <v>20</v>
          </cell>
          <cell r="AJ95">
            <v>26.75</v>
          </cell>
          <cell r="AK95">
            <v>24</v>
          </cell>
          <cell r="AL95">
            <v>21</v>
          </cell>
          <cell r="AM95">
            <v>20</v>
          </cell>
          <cell r="AN95">
            <v>95</v>
          </cell>
          <cell r="AO95">
            <v>95</v>
          </cell>
          <cell r="AP95">
            <v>100</v>
          </cell>
        </row>
        <row r="96">
          <cell r="D96">
            <v>767</v>
          </cell>
          <cell r="Z96">
            <v>9</v>
          </cell>
          <cell r="AA96">
            <v>10.5</v>
          </cell>
          <cell r="AB96">
            <v>12.25</v>
          </cell>
          <cell r="AC96">
            <v>12.25</v>
          </cell>
          <cell r="AD96">
            <v>16.5</v>
          </cell>
          <cell r="AE96">
            <v>18</v>
          </cell>
          <cell r="AF96">
            <v>13.5</v>
          </cell>
          <cell r="AG96">
            <v>12</v>
          </cell>
          <cell r="AH96">
            <v>12</v>
          </cell>
          <cell r="AI96">
            <v>401.25</v>
          </cell>
          <cell r="AJ96">
            <v>432.5</v>
          </cell>
          <cell r="AK96">
            <v>445.25</v>
          </cell>
          <cell r="AL96">
            <v>447</v>
          </cell>
          <cell r="AM96">
            <v>60</v>
          </cell>
          <cell r="AN96">
            <v>84</v>
          </cell>
          <cell r="AO96">
            <v>108</v>
          </cell>
          <cell r="AP96">
            <v>120</v>
          </cell>
        </row>
        <row r="97">
          <cell r="D97">
            <v>777</v>
          </cell>
          <cell r="Z97">
            <v>62.25</v>
          </cell>
          <cell r="AA97">
            <v>66.5</v>
          </cell>
          <cell r="AB97">
            <v>81.25</v>
          </cell>
          <cell r="AC97">
            <v>76</v>
          </cell>
          <cell r="AD97">
            <v>78</v>
          </cell>
          <cell r="AE97">
            <v>81</v>
          </cell>
          <cell r="AF97">
            <v>84</v>
          </cell>
          <cell r="AG97">
            <v>84</v>
          </cell>
          <cell r="AH97">
            <v>84</v>
          </cell>
          <cell r="AI97">
            <v>29.25</v>
          </cell>
          <cell r="AJ97">
            <v>26.75</v>
          </cell>
          <cell r="AK97">
            <v>24</v>
          </cell>
          <cell r="AL97">
            <v>21</v>
          </cell>
          <cell r="AM97">
            <v>20</v>
          </cell>
          <cell r="AN97">
            <v>666</v>
          </cell>
          <cell r="AO97">
            <v>754</v>
          </cell>
          <cell r="AP97">
            <v>746</v>
          </cell>
        </row>
        <row r="98">
          <cell r="D98">
            <v>787</v>
          </cell>
          <cell r="Z98">
            <v>0</v>
          </cell>
          <cell r="AA98">
            <v>0</v>
          </cell>
          <cell r="AB98">
            <v>10</v>
          </cell>
          <cell r="AC98">
            <v>18</v>
          </cell>
          <cell r="AD98">
            <v>50</v>
          </cell>
          <cell r="AE98">
            <v>60</v>
          </cell>
          <cell r="AF98">
            <v>108</v>
          </cell>
          <cell r="AG98">
            <v>120</v>
          </cell>
          <cell r="AH98">
            <v>120</v>
          </cell>
          <cell r="AI98">
            <v>18</v>
          </cell>
          <cell r="AJ98">
            <v>18</v>
          </cell>
          <cell r="AK98">
            <v>13.5</v>
          </cell>
          <cell r="AL98">
            <v>12</v>
          </cell>
        </row>
        <row r="99">
          <cell r="C99" t="str">
            <v>Boeing Deliveries (Adjusted)</v>
          </cell>
          <cell r="D99" t="str">
            <v>Total Boeing</v>
          </cell>
          <cell r="Z99">
            <v>330.75</v>
          </cell>
          <cell r="AA99">
            <v>391.5</v>
          </cell>
          <cell r="AB99">
            <v>464.5</v>
          </cell>
          <cell r="AC99">
            <v>481.25</v>
          </cell>
          <cell r="AD99">
            <v>531.5</v>
          </cell>
          <cell r="AE99">
            <v>570.5</v>
          </cell>
          <cell r="AF99">
            <v>633.5</v>
          </cell>
          <cell r="AG99">
            <v>619</v>
          </cell>
          <cell r="AH99">
            <v>608.5</v>
          </cell>
          <cell r="AI99">
            <v>81.25</v>
          </cell>
          <cell r="AJ99">
            <v>95.25</v>
          </cell>
          <cell r="AK99">
            <v>99</v>
          </cell>
          <cell r="AL99">
            <v>96</v>
          </cell>
        </row>
        <row r="100">
          <cell r="C100" t="str">
            <v>Airbus Deliveries (Calendar)</v>
          </cell>
          <cell r="D100">
            <v>787</v>
          </cell>
          <cell r="AD100">
            <v>0</v>
          </cell>
          <cell r="AE100">
            <v>0</v>
          </cell>
          <cell r="AF100">
            <v>10</v>
          </cell>
          <cell r="AG100">
            <v>18</v>
          </cell>
          <cell r="AH100">
            <v>30</v>
          </cell>
          <cell r="AI100">
            <v>50</v>
          </cell>
          <cell r="AJ100">
            <v>80</v>
          </cell>
          <cell r="AK100">
            <v>100</v>
          </cell>
          <cell r="AL100">
            <v>120</v>
          </cell>
          <cell r="AM100">
            <v>408.75</v>
          </cell>
          <cell r="AN100">
            <v>438.75</v>
          </cell>
          <cell r="AO100">
            <v>490</v>
          </cell>
          <cell r="AP100">
            <v>486.25</v>
          </cell>
        </row>
        <row r="101">
          <cell r="C101" t="str">
            <v>Airbus Deliveries (Calendar)</v>
          </cell>
          <cell r="D101" t="str">
            <v>A320 Family</v>
          </cell>
          <cell r="Z101">
            <v>367</v>
          </cell>
          <cell r="AA101">
            <v>386</v>
          </cell>
          <cell r="AB101">
            <v>402</v>
          </cell>
          <cell r="AC101">
            <v>408</v>
          </cell>
          <cell r="AD101">
            <v>427</v>
          </cell>
          <cell r="AE101">
            <v>450</v>
          </cell>
          <cell r="AF101">
            <v>452</v>
          </cell>
          <cell r="AG101">
            <v>452</v>
          </cell>
          <cell r="AH101">
            <v>458</v>
          </cell>
          <cell r="AI101">
            <v>579.75</v>
          </cell>
          <cell r="AJ101">
            <v>652.5</v>
          </cell>
          <cell r="AK101">
            <v>681.75</v>
          </cell>
          <cell r="AL101">
            <v>696</v>
          </cell>
          <cell r="AM101">
            <v>20</v>
          </cell>
          <cell r="AN101">
            <v>25.5</v>
          </cell>
          <cell r="AO101">
            <v>24</v>
          </cell>
          <cell r="AP101">
            <v>24</v>
          </cell>
          <cell r="AQ101">
            <v>20</v>
          </cell>
        </row>
        <row r="102">
          <cell r="D102" t="str">
            <v>A320 Family</v>
          </cell>
          <cell r="Z102">
            <v>367</v>
          </cell>
          <cell r="AA102">
            <v>386</v>
          </cell>
          <cell r="AB102">
            <v>402</v>
          </cell>
          <cell r="AC102">
            <v>408</v>
          </cell>
          <cell r="AD102">
            <v>427</v>
          </cell>
          <cell r="AE102">
            <v>450</v>
          </cell>
          <cell r="AF102">
            <v>452</v>
          </cell>
          <cell r="AG102">
            <v>452</v>
          </cell>
          <cell r="AH102">
            <v>458</v>
          </cell>
          <cell r="AI102">
            <v>454</v>
          </cell>
          <cell r="AJ102">
            <v>476</v>
          </cell>
          <cell r="AK102">
            <v>476</v>
          </cell>
          <cell r="AL102">
            <v>476</v>
          </cell>
          <cell r="AM102">
            <v>18</v>
          </cell>
          <cell r="AN102">
            <v>18</v>
          </cell>
          <cell r="AO102">
            <v>21</v>
          </cell>
          <cell r="AP102">
            <v>22</v>
          </cell>
        </row>
        <row r="103">
          <cell r="C103" t="str">
            <v>Airbus Deliveries (Calendar)</v>
          </cell>
          <cell r="D103" t="str">
            <v>A330</v>
          </cell>
          <cell r="Z103">
            <v>68</v>
          </cell>
          <cell r="AA103">
            <v>72</v>
          </cell>
          <cell r="AB103">
            <v>76</v>
          </cell>
          <cell r="AC103">
            <v>73</v>
          </cell>
          <cell r="AD103">
            <v>70</v>
          </cell>
          <cell r="AE103">
            <v>68</v>
          </cell>
          <cell r="AF103">
            <v>68</v>
          </cell>
          <cell r="AG103">
            <v>64</v>
          </cell>
          <cell r="AH103">
            <v>62</v>
          </cell>
          <cell r="AI103">
            <v>90</v>
          </cell>
          <cell r="AJ103">
            <v>90</v>
          </cell>
          <cell r="AK103">
            <v>82</v>
          </cell>
          <cell r="AL103">
            <v>74</v>
          </cell>
          <cell r="AM103">
            <v>81</v>
          </cell>
          <cell r="AN103">
            <v>92.25</v>
          </cell>
          <cell r="AO103">
            <v>95</v>
          </cell>
          <cell r="AP103">
            <v>98.75</v>
          </cell>
        </row>
        <row r="104">
          <cell r="D104" t="str">
            <v>A340</v>
          </cell>
          <cell r="Z104">
            <v>11</v>
          </cell>
          <cell r="AA104">
            <v>13</v>
          </cell>
          <cell r="AB104">
            <v>10</v>
          </cell>
          <cell r="AC104">
            <v>10</v>
          </cell>
          <cell r="AD104">
            <v>7</v>
          </cell>
          <cell r="AE104">
            <v>5</v>
          </cell>
          <cell r="AF104">
            <v>4</v>
          </cell>
          <cell r="AG104">
            <v>3</v>
          </cell>
          <cell r="AH104">
            <v>3</v>
          </cell>
          <cell r="AI104">
            <v>454</v>
          </cell>
          <cell r="AJ104">
            <v>476</v>
          </cell>
          <cell r="AK104">
            <v>476</v>
          </cell>
          <cell r="AL104">
            <v>476</v>
          </cell>
          <cell r="AM104">
            <v>46</v>
          </cell>
          <cell r="AN104">
            <v>78</v>
          </cell>
          <cell r="AO104">
            <v>102</v>
          </cell>
          <cell r="AP104">
            <v>117</v>
          </cell>
        </row>
        <row r="105">
          <cell r="D105" t="str">
            <v>A350</v>
          </cell>
          <cell r="Z105">
            <v>0</v>
          </cell>
          <cell r="AA105">
            <v>0</v>
          </cell>
          <cell r="AB105">
            <v>0</v>
          </cell>
          <cell r="AC105">
            <v>0</v>
          </cell>
          <cell r="AD105">
            <v>0</v>
          </cell>
          <cell r="AE105">
            <v>0</v>
          </cell>
          <cell r="AF105">
            <v>10</v>
          </cell>
          <cell r="AG105">
            <v>15</v>
          </cell>
          <cell r="AH105">
            <v>25</v>
          </cell>
          <cell r="AI105">
            <v>90</v>
          </cell>
          <cell r="AJ105">
            <v>90</v>
          </cell>
          <cell r="AK105">
            <v>82</v>
          </cell>
          <cell r="AL105">
            <v>74</v>
          </cell>
          <cell r="AM105">
            <v>579</v>
          </cell>
          <cell r="AN105">
            <v>652.5</v>
          </cell>
          <cell r="AO105">
            <v>732</v>
          </cell>
          <cell r="AP105">
            <v>748</v>
          </cell>
        </row>
        <row r="106">
          <cell r="D106" t="str">
            <v>A380</v>
          </cell>
          <cell r="Z106">
            <v>1</v>
          </cell>
          <cell r="AA106">
            <v>12</v>
          </cell>
          <cell r="AB106">
            <v>10</v>
          </cell>
          <cell r="AC106">
            <v>15</v>
          </cell>
          <cell r="AD106">
            <v>20</v>
          </cell>
          <cell r="AE106">
            <v>25</v>
          </cell>
          <cell r="AF106">
            <v>30</v>
          </cell>
          <cell r="AG106">
            <v>30</v>
          </cell>
          <cell r="AH106">
            <v>30</v>
          </cell>
          <cell r="AI106">
            <v>5</v>
          </cell>
          <cell r="AJ106">
            <v>4</v>
          </cell>
          <cell r="AK106">
            <v>2</v>
          </cell>
          <cell r="AL106">
            <v>2</v>
          </cell>
        </row>
        <row r="107">
          <cell r="C107" t="str">
            <v>Airbus Deliveries (Calendar)</v>
          </cell>
          <cell r="D107" t="str">
            <v>Total Airbus</v>
          </cell>
          <cell r="Z107">
            <v>447</v>
          </cell>
          <cell r="AA107">
            <v>483</v>
          </cell>
          <cell r="AB107">
            <v>498</v>
          </cell>
          <cell r="AC107">
            <v>506</v>
          </cell>
          <cell r="AD107">
            <v>524</v>
          </cell>
          <cell r="AE107">
            <v>548</v>
          </cell>
          <cell r="AF107">
            <v>564</v>
          </cell>
          <cell r="AG107">
            <v>564</v>
          </cell>
          <cell r="AH107">
            <v>578</v>
          </cell>
          <cell r="AI107">
            <v>0</v>
          </cell>
          <cell r="AJ107">
            <v>2</v>
          </cell>
          <cell r="AK107">
            <v>15</v>
          </cell>
          <cell r="AL107">
            <v>25</v>
          </cell>
        </row>
        <row r="108">
          <cell r="C108" t="str">
            <v>Airbus Deliveries (Adjusted)</v>
          </cell>
          <cell r="D108" t="str">
            <v>A380</v>
          </cell>
          <cell r="AD108">
            <v>1</v>
          </cell>
          <cell r="AE108">
            <v>12</v>
          </cell>
          <cell r="AF108">
            <v>10</v>
          </cell>
          <cell r="AG108">
            <v>18</v>
          </cell>
          <cell r="AH108">
            <v>22</v>
          </cell>
          <cell r="AI108">
            <v>25</v>
          </cell>
          <cell r="AJ108">
            <v>30</v>
          </cell>
          <cell r="AK108">
            <v>30</v>
          </cell>
          <cell r="AL108">
            <v>30</v>
          </cell>
          <cell r="AM108">
            <v>454</v>
          </cell>
          <cell r="AN108">
            <v>476</v>
          </cell>
          <cell r="AO108">
            <v>476</v>
          </cell>
          <cell r="AP108">
            <v>476</v>
          </cell>
        </row>
        <row r="109">
          <cell r="C109" t="str">
            <v>Airbus Deliveries (Adjusted)</v>
          </cell>
          <cell r="D109" t="str">
            <v>A320 Family</v>
          </cell>
          <cell r="Z109">
            <v>367</v>
          </cell>
          <cell r="AA109">
            <v>386</v>
          </cell>
          <cell r="AB109">
            <v>402</v>
          </cell>
          <cell r="AC109">
            <v>408</v>
          </cell>
          <cell r="AD109">
            <v>440</v>
          </cell>
          <cell r="AE109">
            <v>450</v>
          </cell>
          <cell r="AF109">
            <v>452</v>
          </cell>
          <cell r="AG109">
            <v>452</v>
          </cell>
          <cell r="AH109">
            <v>458</v>
          </cell>
          <cell r="AI109">
            <v>574</v>
          </cell>
          <cell r="AJ109">
            <v>602</v>
          </cell>
          <cell r="AK109">
            <v>605</v>
          </cell>
          <cell r="AL109">
            <v>607</v>
          </cell>
          <cell r="AM109">
            <v>90</v>
          </cell>
          <cell r="AN109">
            <v>90</v>
          </cell>
          <cell r="AO109">
            <v>90</v>
          </cell>
          <cell r="AP109">
            <v>90</v>
          </cell>
        </row>
        <row r="110">
          <cell r="D110" t="str">
            <v>A320 Family</v>
          </cell>
          <cell r="Z110">
            <v>367</v>
          </cell>
          <cell r="AA110">
            <v>386</v>
          </cell>
          <cell r="AB110">
            <v>402</v>
          </cell>
          <cell r="AC110">
            <v>408</v>
          </cell>
          <cell r="AD110">
            <v>440</v>
          </cell>
          <cell r="AE110">
            <v>450</v>
          </cell>
          <cell r="AF110">
            <v>452</v>
          </cell>
          <cell r="AG110">
            <v>452</v>
          </cell>
          <cell r="AH110">
            <v>458</v>
          </cell>
          <cell r="AI110">
            <v>450</v>
          </cell>
          <cell r="AJ110">
            <v>452</v>
          </cell>
          <cell r="AK110">
            <v>452</v>
          </cell>
          <cell r="AL110">
            <v>458</v>
          </cell>
          <cell r="AM110">
            <v>0</v>
          </cell>
          <cell r="AN110">
            <v>0</v>
          </cell>
          <cell r="AO110">
            <v>0</v>
          </cell>
          <cell r="AP110">
            <v>0</v>
          </cell>
        </row>
        <row r="111">
          <cell r="C111" t="str">
            <v>Airbus Deliveries (Adjusted)</v>
          </cell>
          <cell r="D111" t="str">
            <v>A330</v>
          </cell>
          <cell r="Z111">
            <v>68</v>
          </cell>
          <cell r="AA111">
            <v>72</v>
          </cell>
          <cell r="AB111">
            <v>76</v>
          </cell>
          <cell r="AC111">
            <v>73</v>
          </cell>
          <cell r="AD111">
            <v>70</v>
          </cell>
          <cell r="AE111">
            <v>68</v>
          </cell>
          <cell r="AF111">
            <v>68</v>
          </cell>
          <cell r="AG111">
            <v>64</v>
          </cell>
          <cell r="AH111">
            <v>62</v>
          </cell>
          <cell r="AI111">
            <v>68</v>
          </cell>
          <cell r="AJ111">
            <v>68</v>
          </cell>
          <cell r="AK111">
            <v>64</v>
          </cell>
          <cell r="AL111">
            <v>62</v>
          </cell>
          <cell r="AM111">
            <v>0</v>
          </cell>
          <cell r="AN111">
            <v>0</v>
          </cell>
          <cell r="AO111">
            <v>2</v>
          </cell>
          <cell r="AP111">
            <v>4</v>
          </cell>
        </row>
        <row r="112">
          <cell r="D112" t="str">
            <v>A340</v>
          </cell>
          <cell r="Z112">
            <v>11</v>
          </cell>
          <cell r="AA112">
            <v>13</v>
          </cell>
          <cell r="AB112">
            <v>10</v>
          </cell>
          <cell r="AC112">
            <v>10</v>
          </cell>
          <cell r="AD112">
            <v>7</v>
          </cell>
          <cell r="AE112">
            <v>5</v>
          </cell>
          <cell r="AF112">
            <v>4</v>
          </cell>
          <cell r="AG112">
            <v>3</v>
          </cell>
          <cell r="AH112">
            <v>3</v>
          </cell>
          <cell r="AI112">
            <v>450</v>
          </cell>
          <cell r="AJ112">
            <v>452</v>
          </cell>
          <cell r="AK112">
            <v>452</v>
          </cell>
          <cell r="AL112">
            <v>458</v>
          </cell>
          <cell r="AM112">
            <v>25</v>
          </cell>
          <cell r="AN112">
            <v>30</v>
          </cell>
          <cell r="AO112">
            <v>30</v>
          </cell>
          <cell r="AP112">
            <v>30</v>
          </cell>
        </row>
        <row r="113">
          <cell r="D113" t="str">
            <v>A350</v>
          </cell>
          <cell r="Z113">
            <v>0</v>
          </cell>
          <cell r="AA113">
            <v>0</v>
          </cell>
          <cell r="AB113">
            <v>0</v>
          </cell>
          <cell r="AC113">
            <v>0</v>
          </cell>
          <cell r="AD113">
            <v>0</v>
          </cell>
          <cell r="AE113">
            <v>0</v>
          </cell>
          <cell r="AF113">
            <v>10</v>
          </cell>
          <cell r="AG113">
            <v>15</v>
          </cell>
          <cell r="AH113">
            <v>25</v>
          </cell>
          <cell r="AI113">
            <v>68</v>
          </cell>
          <cell r="AJ113">
            <v>68</v>
          </cell>
          <cell r="AK113">
            <v>64</v>
          </cell>
          <cell r="AL113">
            <v>62</v>
          </cell>
          <cell r="AM113">
            <v>569</v>
          </cell>
          <cell r="AN113">
            <v>596</v>
          </cell>
          <cell r="AO113">
            <v>598</v>
          </cell>
          <cell r="AP113">
            <v>600</v>
          </cell>
        </row>
        <row r="114">
          <cell r="D114" t="str">
            <v>A380</v>
          </cell>
          <cell r="Z114">
            <v>1</v>
          </cell>
          <cell r="AA114">
            <v>12</v>
          </cell>
          <cell r="AB114">
            <v>10</v>
          </cell>
          <cell r="AC114">
            <v>15</v>
          </cell>
          <cell r="AD114">
            <v>20</v>
          </cell>
          <cell r="AE114">
            <v>25</v>
          </cell>
          <cell r="AF114">
            <v>30</v>
          </cell>
          <cell r="AG114">
            <v>30</v>
          </cell>
          <cell r="AH114">
            <v>30</v>
          </cell>
          <cell r="AI114">
            <v>5</v>
          </cell>
          <cell r="AJ114">
            <v>4</v>
          </cell>
          <cell r="AK114">
            <v>3</v>
          </cell>
          <cell r="AL114">
            <v>3</v>
          </cell>
        </row>
        <row r="115">
          <cell r="C115" t="str">
            <v>Airbus Deliveries (Adjusted)</v>
          </cell>
          <cell r="D115" t="str">
            <v>Total Airbus</v>
          </cell>
          <cell r="Z115">
            <v>447</v>
          </cell>
          <cell r="AA115">
            <v>483</v>
          </cell>
          <cell r="AB115">
            <v>498</v>
          </cell>
          <cell r="AC115">
            <v>506</v>
          </cell>
          <cell r="AD115">
            <v>537</v>
          </cell>
          <cell r="AE115">
            <v>548</v>
          </cell>
          <cell r="AF115">
            <v>564</v>
          </cell>
          <cell r="AG115">
            <v>564</v>
          </cell>
          <cell r="AH115">
            <v>578</v>
          </cell>
          <cell r="AI115">
            <v>0</v>
          </cell>
          <cell r="AJ115">
            <v>10</v>
          </cell>
          <cell r="AK115">
            <v>15</v>
          </cell>
          <cell r="AL115">
            <v>25</v>
          </cell>
        </row>
        <row r="116">
          <cell r="C116" t="str">
            <v>Boeing $ Content:</v>
          </cell>
          <cell r="D116" t="str">
            <v>A380</v>
          </cell>
          <cell r="AD116">
            <v>1</v>
          </cell>
          <cell r="AE116">
            <v>12</v>
          </cell>
          <cell r="AF116">
            <v>10</v>
          </cell>
          <cell r="AG116">
            <v>15</v>
          </cell>
          <cell r="AH116">
            <v>20</v>
          </cell>
          <cell r="AI116">
            <v>25</v>
          </cell>
          <cell r="AJ116">
            <v>30</v>
          </cell>
          <cell r="AK116">
            <v>30</v>
          </cell>
          <cell r="AL116">
            <v>30</v>
          </cell>
          <cell r="AM116">
            <v>443</v>
          </cell>
          <cell r="AN116">
            <v>470.5</v>
          </cell>
          <cell r="AO116">
            <v>476</v>
          </cell>
          <cell r="AP116">
            <v>476</v>
          </cell>
        </row>
        <row r="117">
          <cell r="C117" t="str">
            <v>Boeing $ Content:</v>
          </cell>
          <cell r="D117" t="str">
            <v>737NG</v>
          </cell>
          <cell r="F117">
            <v>0.47499999999999998</v>
          </cell>
          <cell r="Z117">
            <v>117.5625</v>
          </cell>
          <cell r="AA117">
            <v>142.5</v>
          </cell>
          <cell r="AB117">
            <v>166.96250000000001</v>
          </cell>
          <cell r="AC117">
            <v>178.125</v>
          </cell>
          <cell r="AD117">
            <v>180.02500000000001</v>
          </cell>
          <cell r="AE117">
            <v>191.1875</v>
          </cell>
          <cell r="AF117">
            <v>194.75</v>
          </cell>
          <cell r="AG117">
            <v>181.21250000000001</v>
          </cell>
          <cell r="AH117">
            <v>176.7</v>
          </cell>
          <cell r="AI117">
            <v>548</v>
          </cell>
          <cell r="AJ117">
            <v>564</v>
          </cell>
          <cell r="AK117">
            <v>564</v>
          </cell>
          <cell r="AL117">
            <v>578</v>
          </cell>
          <cell r="AM117">
            <v>88</v>
          </cell>
          <cell r="AN117">
            <v>90</v>
          </cell>
          <cell r="AO117">
            <v>90</v>
          </cell>
          <cell r="AP117">
            <v>90</v>
          </cell>
        </row>
        <row r="118">
          <cell r="C118">
            <v>717</v>
          </cell>
          <cell r="D118" t="str">
            <v>737NG</v>
          </cell>
          <cell r="F118">
            <v>0.47499999999999998</v>
          </cell>
          <cell r="Z118">
            <v>117.5625</v>
          </cell>
          <cell r="AA118">
            <v>142.5</v>
          </cell>
          <cell r="AB118">
            <v>166.96250000000001</v>
          </cell>
          <cell r="AC118">
            <v>178.125</v>
          </cell>
          <cell r="AD118">
            <v>180.02500000000001</v>
          </cell>
          <cell r="AE118">
            <v>191.1875</v>
          </cell>
          <cell r="AF118">
            <v>194.75</v>
          </cell>
          <cell r="AG118">
            <v>181.21250000000001</v>
          </cell>
          <cell r="AH118">
            <v>176.7</v>
          </cell>
          <cell r="AI118">
            <v>190.59375</v>
          </cell>
          <cell r="AJ118">
            <v>205.4375</v>
          </cell>
          <cell r="AK118">
            <v>211.49374999999998</v>
          </cell>
          <cell r="AL118">
            <v>212.32499999999999</v>
          </cell>
          <cell r="AM118">
            <v>1.75</v>
          </cell>
          <cell r="AN118">
            <v>0</v>
          </cell>
          <cell r="AO118">
            <v>0</v>
          </cell>
          <cell r="AP118">
            <v>0</v>
          </cell>
        </row>
        <row r="119">
          <cell r="C119" t="str">
            <v>Boeing $ Content:</v>
          </cell>
          <cell r="D119">
            <v>747</v>
          </cell>
          <cell r="F119">
            <v>0.97499999999999998</v>
          </cell>
          <cell r="Z119">
            <v>11.7</v>
          </cell>
          <cell r="AA119">
            <v>14.137499999999999</v>
          </cell>
          <cell r="AB119">
            <v>9.2624999999999993</v>
          </cell>
          <cell r="AC119">
            <v>0</v>
          </cell>
          <cell r="AD119">
            <v>7.8</v>
          </cell>
          <cell r="AE119">
            <v>8.7750000000000004</v>
          </cell>
          <cell r="AF119">
            <v>17.55</v>
          </cell>
          <cell r="AG119">
            <v>20.962499999999999</v>
          </cell>
          <cell r="AH119">
            <v>19.987500000000001</v>
          </cell>
          <cell r="AI119">
            <v>28.518750000000001</v>
          </cell>
          <cell r="AJ119">
            <v>26.081250000000001</v>
          </cell>
          <cell r="AK119">
            <v>23.4</v>
          </cell>
          <cell r="AL119">
            <v>20.474999999999998</v>
          </cell>
          <cell r="AM119">
            <v>0</v>
          </cell>
          <cell r="AN119">
            <v>0</v>
          </cell>
          <cell r="AO119">
            <v>1.5</v>
          </cell>
          <cell r="AP119">
            <v>3.5</v>
          </cell>
        </row>
        <row r="120">
          <cell r="D120">
            <v>767</v>
          </cell>
          <cell r="F120">
            <v>0.72</v>
          </cell>
          <cell r="Z120">
            <v>6.4799999999999995</v>
          </cell>
          <cell r="AA120">
            <v>7.56</v>
          </cell>
          <cell r="AB120">
            <v>8.82</v>
          </cell>
          <cell r="AC120">
            <v>8.82</v>
          </cell>
          <cell r="AD120">
            <v>11.879999999999999</v>
          </cell>
          <cell r="AE120">
            <v>12.959999999999999</v>
          </cell>
          <cell r="AF120">
            <v>9.7199999999999989</v>
          </cell>
          <cell r="AG120">
            <v>8.64</v>
          </cell>
          <cell r="AH120">
            <v>8.64</v>
          </cell>
          <cell r="AI120">
            <v>190.59375</v>
          </cell>
          <cell r="AJ120">
            <v>205.4375</v>
          </cell>
          <cell r="AK120">
            <v>211.49374999999998</v>
          </cell>
          <cell r="AL120">
            <v>212.32499999999999</v>
          </cell>
          <cell r="AM120">
            <v>24.25</v>
          </cell>
          <cell r="AN120">
            <v>28.75</v>
          </cell>
          <cell r="AO120">
            <v>30</v>
          </cell>
          <cell r="AP120">
            <v>30</v>
          </cell>
        </row>
        <row r="121">
          <cell r="D121">
            <v>777</v>
          </cell>
          <cell r="F121">
            <v>0.7</v>
          </cell>
          <cell r="Z121">
            <v>43.574999999999996</v>
          </cell>
          <cell r="AA121">
            <v>46.55</v>
          </cell>
          <cell r="AB121">
            <v>56.874999999999993</v>
          </cell>
          <cell r="AC121">
            <v>53.199999999999996</v>
          </cell>
          <cell r="AD121">
            <v>54.599999999999994</v>
          </cell>
          <cell r="AE121">
            <v>56.699999999999996</v>
          </cell>
          <cell r="AF121">
            <v>58.8</v>
          </cell>
          <cell r="AG121">
            <v>58.8</v>
          </cell>
          <cell r="AH121">
            <v>58.8</v>
          </cell>
          <cell r="AI121">
            <v>28.518750000000001</v>
          </cell>
          <cell r="AJ121">
            <v>26.081250000000001</v>
          </cell>
          <cell r="AK121">
            <v>23.4</v>
          </cell>
          <cell r="AL121">
            <v>20.474999999999998</v>
          </cell>
          <cell r="AM121">
            <v>557</v>
          </cell>
          <cell r="AN121">
            <v>589.25</v>
          </cell>
          <cell r="AO121">
            <v>597.5</v>
          </cell>
          <cell r="AP121">
            <v>599.5</v>
          </cell>
        </row>
        <row r="122">
          <cell r="D122">
            <v>787</v>
          </cell>
          <cell r="F122">
            <v>1</v>
          </cell>
          <cell r="Z122">
            <v>0</v>
          </cell>
          <cell r="AA122">
            <v>0</v>
          </cell>
          <cell r="AB122">
            <v>10</v>
          </cell>
          <cell r="AC122">
            <v>18</v>
          </cell>
          <cell r="AD122">
            <v>50</v>
          </cell>
          <cell r="AE122">
            <v>60</v>
          </cell>
          <cell r="AF122">
            <v>108</v>
          </cell>
          <cell r="AG122">
            <v>120</v>
          </cell>
          <cell r="AH122">
            <v>120</v>
          </cell>
          <cell r="AI122">
            <v>12.959999999999999</v>
          </cell>
          <cell r="AJ122">
            <v>12.959999999999999</v>
          </cell>
          <cell r="AK122">
            <v>9.7199999999999989</v>
          </cell>
          <cell r="AL122">
            <v>8.64</v>
          </cell>
        </row>
        <row r="123">
          <cell r="C123" t="str">
            <v>Boeing $ Content:</v>
          </cell>
          <cell r="D123" t="str">
            <v>Total Boeing</v>
          </cell>
          <cell r="F123">
            <v>0.7</v>
          </cell>
          <cell r="Z123">
            <v>179.31749999999997</v>
          </cell>
          <cell r="AA123">
            <v>210.7475</v>
          </cell>
          <cell r="AB123">
            <v>251.92</v>
          </cell>
          <cell r="AC123">
            <v>258.14499999999998</v>
          </cell>
          <cell r="AD123">
            <v>304.30500000000001</v>
          </cell>
          <cell r="AE123">
            <v>329.6225</v>
          </cell>
          <cell r="AF123">
            <v>388.82</v>
          </cell>
          <cell r="AG123">
            <v>389.61500000000001</v>
          </cell>
          <cell r="AH123">
            <v>384.1275</v>
          </cell>
          <cell r="AI123">
            <v>56.874999999999993</v>
          </cell>
          <cell r="AJ123">
            <v>66.674999999999997</v>
          </cell>
          <cell r="AK123">
            <v>69.3</v>
          </cell>
          <cell r="AL123">
            <v>67.199999999999989</v>
          </cell>
        </row>
        <row r="124">
          <cell r="C124" t="str">
            <v>Airbus $ Content</v>
          </cell>
          <cell r="D124">
            <v>787</v>
          </cell>
          <cell r="F124">
            <v>1</v>
          </cell>
          <cell r="AD124">
            <v>0</v>
          </cell>
          <cell r="AE124">
            <v>0</v>
          </cell>
          <cell r="AF124">
            <v>10</v>
          </cell>
          <cell r="AG124">
            <v>18</v>
          </cell>
          <cell r="AH124">
            <v>30</v>
          </cell>
          <cell r="AI124">
            <v>50</v>
          </cell>
          <cell r="AJ124">
            <v>80</v>
          </cell>
          <cell r="AK124">
            <v>100</v>
          </cell>
          <cell r="AL124">
            <v>120</v>
          </cell>
          <cell r="AM124">
            <v>194.15625</v>
          </cell>
          <cell r="AN124">
            <v>208.40625</v>
          </cell>
          <cell r="AO124">
            <v>232.75</v>
          </cell>
          <cell r="AP124">
            <v>230.96875</v>
          </cell>
        </row>
        <row r="125">
          <cell r="C125" t="str">
            <v>Airbus $ Content</v>
          </cell>
          <cell r="D125" t="str">
            <v>A320 Family</v>
          </cell>
          <cell r="F125">
            <v>0.32500000000000001</v>
          </cell>
          <cell r="Z125">
            <v>119.27500000000001</v>
          </cell>
          <cell r="AA125">
            <v>125.45</v>
          </cell>
          <cell r="AB125">
            <v>130.65</v>
          </cell>
          <cell r="AC125">
            <v>132.6</v>
          </cell>
          <cell r="AD125">
            <v>143</v>
          </cell>
          <cell r="AE125">
            <v>146.25</v>
          </cell>
          <cell r="AF125">
            <v>146.9</v>
          </cell>
          <cell r="AG125">
            <v>146.9</v>
          </cell>
          <cell r="AH125">
            <v>148.85</v>
          </cell>
          <cell r="AI125">
            <v>338.94749999999999</v>
          </cell>
          <cell r="AJ125">
            <v>391.15375</v>
          </cell>
          <cell r="AK125">
            <v>413.91374999999999</v>
          </cell>
          <cell r="AL125">
            <v>428.64</v>
          </cell>
          <cell r="AM125">
            <v>24.618749999999999</v>
          </cell>
          <cell r="AN125">
            <v>24.862500000000001</v>
          </cell>
          <cell r="AO125">
            <v>23.4</v>
          </cell>
          <cell r="AP125">
            <v>23.4</v>
          </cell>
        </row>
        <row r="126">
          <cell r="D126" t="str">
            <v>A320 Family</v>
          </cell>
          <cell r="F126">
            <v>0.32500000000000001</v>
          </cell>
          <cell r="Z126">
            <v>119.27500000000001</v>
          </cell>
          <cell r="AA126">
            <v>125.45</v>
          </cell>
          <cell r="AB126">
            <v>130.65</v>
          </cell>
          <cell r="AC126">
            <v>132.6</v>
          </cell>
          <cell r="AD126">
            <v>143</v>
          </cell>
          <cell r="AE126">
            <v>146.25</v>
          </cell>
          <cell r="AF126">
            <v>146.9</v>
          </cell>
          <cell r="AG126">
            <v>146.9</v>
          </cell>
          <cell r="AH126">
            <v>148.85</v>
          </cell>
          <cell r="AI126">
            <v>146.25</v>
          </cell>
          <cell r="AJ126">
            <v>146.9</v>
          </cell>
          <cell r="AK126">
            <v>146.9</v>
          </cell>
          <cell r="AL126">
            <v>148.85</v>
          </cell>
          <cell r="AM126">
            <v>12.959999999999999</v>
          </cell>
          <cell r="AN126">
            <v>12.959999999999999</v>
          </cell>
          <cell r="AO126">
            <v>15.12</v>
          </cell>
          <cell r="AP126">
            <v>15.84</v>
          </cell>
        </row>
        <row r="127">
          <cell r="C127" t="str">
            <v>Airbus $ Content</v>
          </cell>
          <cell r="D127" t="str">
            <v>A330</v>
          </cell>
          <cell r="F127">
            <v>0.32500000000000001</v>
          </cell>
          <cell r="Z127">
            <v>22.1</v>
          </cell>
          <cell r="AA127">
            <v>23.400000000000002</v>
          </cell>
          <cell r="AB127">
            <v>24.7</v>
          </cell>
          <cell r="AC127">
            <v>23.725000000000001</v>
          </cell>
          <cell r="AD127">
            <v>22.75</v>
          </cell>
          <cell r="AE127">
            <v>22.1</v>
          </cell>
          <cell r="AF127">
            <v>22.1</v>
          </cell>
          <cell r="AG127">
            <v>20.8</v>
          </cell>
          <cell r="AH127">
            <v>20.150000000000002</v>
          </cell>
          <cell r="AI127">
            <v>22.1</v>
          </cell>
          <cell r="AJ127">
            <v>22.1</v>
          </cell>
          <cell r="AK127">
            <v>20.8</v>
          </cell>
          <cell r="AL127">
            <v>20.150000000000002</v>
          </cell>
          <cell r="AM127">
            <v>56.699999999999996</v>
          </cell>
          <cell r="AN127">
            <v>64.575000000000003</v>
          </cell>
          <cell r="AO127">
            <v>66.5</v>
          </cell>
          <cell r="AP127">
            <v>69.125</v>
          </cell>
        </row>
        <row r="128">
          <cell r="D128" t="str">
            <v>A340</v>
          </cell>
          <cell r="F128">
            <v>0.32500000000000001</v>
          </cell>
          <cell r="Z128">
            <v>3.5750000000000002</v>
          </cell>
          <cell r="AA128">
            <v>4.2250000000000005</v>
          </cell>
          <cell r="AB128">
            <v>3.25</v>
          </cell>
          <cell r="AC128">
            <v>3.25</v>
          </cell>
          <cell r="AD128">
            <v>2.2749999999999999</v>
          </cell>
          <cell r="AE128">
            <v>1.625</v>
          </cell>
          <cell r="AF128">
            <v>1.3</v>
          </cell>
          <cell r="AG128">
            <v>0.97500000000000009</v>
          </cell>
          <cell r="AH128">
            <v>0.97500000000000009</v>
          </cell>
          <cell r="AI128">
            <v>146.25</v>
          </cell>
          <cell r="AJ128">
            <v>146.9</v>
          </cell>
          <cell r="AK128">
            <v>146.9</v>
          </cell>
          <cell r="AL128">
            <v>148.85</v>
          </cell>
          <cell r="AM128">
            <v>46</v>
          </cell>
          <cell r="AN128">
            <v>78</v>
          </cell>
          <cell r="AO128">
            <v>102</v>
          </cell>
          <cell r="AP128">
            <v>117</v>
          </cell>
        </row>
        <row r="129">
          <cell r="D129" t="str">
            <v>A350</v>
          </cell>
          <cell r="F129">
            <v>0.32500000000000001</v>
          </cell>
          <cell r="Z129">
            <v>0</v>
          </cell>
          <cell r="AA129">
            <v>0</v>
          </cell>
          <cell r="AB129">
            <v>0</v>
          </cell>
          <cell r="AC129">
            <v>0</v>
          </cell>
          <cell r="AD129">
            <v>0</v>
          </cell>
          <cell r="AE129">
            <v>0</v>
          </cell>
          <cell r="AF129">
            <v>3.25</v>
          </cell>
          <cell r="AG129">
            <v>4.875</v>
          </cell>
          <cell r="AH129">
            <v>8.125</v>
          </cell>
          <cell r="AI129">
            <v>22.1</v>
          </cell>
          <cell r="AJ129">
            <v>22.1</v>
          </cell>
          <cell r="AK129">
            <v>20.8</v>
          </cell>
          <cell r="AL129">
            <v>20.150000000000002</v>
          </cell>
          <cell r="AM129">
            <v>334.435</v>
          </cell>
          <cell r="AN129">
            <v>388.80375000000004</v>
          </cell>
          <cell r="AO129">
            <v>439.77</v>
          </cell>
          <cell r="AP129">
            <v>456.33375000000001</v>
          </cell>
        </row>
        <row r="130">
          <cell r="D130" t="str">
            <v>A380</v>
          </cell>
          <cell r="F130">
            <v>0.32500000000000001</v>
          </cell>
          <cell r="Z130">
            <v>0.32500000000000001</v>
          </cell>
          <cell r="AA130">
            <v>3.9000000000000004</v>
          </cell>
          <cell r="AB130">
            <v>3.25</v>
          </cell>
          <cell r="AC130">
            <v>4.875</v>
          </cell>
          <cell r="AD130">
            <v>6.5</v>
          </cell>
          <cell r="AE130">
            <v>8.125</v>
          </cell>
          <cell r="AF130">
            <v>9.75</v>
          </cell>
          <cell r="AG130">
            <v>9.75</v>
          </cell>
          <cell r="AH130">
            <v>9.75</v>
          </cell>
          <cell r="AI130">
            <v>1.625</v>
          </cell>
          <cell r="AJ130">
            <v>1.3</v>
          </cell>
          <cell r="AK130">
            <v>0.97500000000000009</v>
          </cell>
          <cell r="AL130">
            <v>0.97500000000000009</v>
          </cell>
        </row>
        <row r="131">
          <cell r="C131" t="str">
            <v>Airbus $ Content</v>
          </cell>
          <cell r="D131" t="str">
            <v>Total Airbus</v>
          </cell>
          <cell r="F131">
            <v>0.32500000000000001</v>
          </cell>
          <cell r="Z131">
            <v>145.27499999999998</v>
          </cell>
          <cell r="AA131">
            <v>156.97499999999999</v>
          </cell>
          <cell r="AB131">
            <v>161.85</v>
          </cell>
          <cell r="AC131">
            <v>164.45</v>
          </cell>
          <cell r="AD131">
            <v>174.52500000000001</v>
          </cell>
          <cell r="AE131">
            <v>178.1</v>
          </cell>
          <cell r="AF131">
            <v>183.3</v>
          </cell>
          <cell r="AG131">
            <v>183.3</v>
          </cell>
          <cell r="AH131">
            <v>187.85</v>
          </cell>
          <cell r="AI131">
            <v>0</v>
          </cell>
          <cell r="AJ131">
            <v>3.25</v>
          </cell>
          <cell r="AK131">
            <v>4.875</v>
          </cell>
          <cell r="AL131">
            <v>8.125</v>
          </cell>
        </row>
        <row r="132">
          <cell r="C132" t="str">
            <v>Total Boeing &amp; Airbus</v>
          </cell>
          <cell r="D132" t="str">
            <v>A380</v>
          </cell>
          <cell r="F132">
            <v>0.32500000000000001</v>
          </cell>
          <cell r="Z132">
            <v>324.59249999999997</v>
          </cell>
          <cell r="AA132">
            <v>367.72249999999997</v>
          </cell>
          <cell r="AB132">
            <v>413.77</v>
          </cell>
          <cell r="AC132">
            <v>422.59499999999997</v>
          </cell>
          <cell r="AD132">
            <v>478.83000000000004</v>
          </cell>
          <cell r="AE132">
            <v>507.72249999999997</v>
          </cell>
          <cell r="AF132">
            <v>572.12</v>
          </cell>
          <cell r="AG132">
            <v>572.91499999999996</v>
          </cell>
          <cell r="AH132">
            <v>571.97749999999996</v>
          </cell>
          <cell r="AI132">
            <v>8.125</v>
          </cell>
          <cell r="AJ132">
            <v>9.75</v>
          </cell>
          <cell r="AK132">
            <v>9.75</v>
          </cell>
          <cell r="AL132">
            <v>9.75</v>
          </cell>
          <cell r="AM132">
            <v>143.97499999999999</v>
          </cell>
          <cell r="AN132">
            <v>152.91249999999999</v>
          </cell>
          <cell r="AO132">
            <v>154.70000000000002</v>
          </cell>
          <cell r="AP132">
            <v>154.70000000000002</v>
          </cell>
        </row>
        <row r="133">
          <cell r="C133" t="str">
            <v>Total Boeing &amp; Airbus</v>
          </cell>
          <cell r="D133" t="str">
            <v>Total Airbus</v>
          </cell>
          <cell r="F133">
            <v>0.32500000000000001</v>
          </cell>
          <cell r="Z133">
            <v>324.59249999999997</v>
          </cell>
          <cell r="AA133">
            <v>367.72249999999997</v>
          </cell>
          <cell r="AB133">
            <v>413.77</v>
          </cell>
          <cell r="AC133">
            <v>422.59499999999997</v>
          </cell>
          <cell r="AD133">
            <v>478.83000000000004</v>
          </cell>
          <cell r="AE133">
            <v>507.72249999999997</v>
          </cell>
          <cell r="AF133">
            <v>572.12</v>
          </cell>
          <cell r="AG133">
            <v>572.91499999999996</v>
          </cell>
          <cell r="AH133">
            <v>571.97749999999996</v>
          </cell>
          <cell r="AI133">
            <v>178.1</v>
          </cell>
          <cell r="AJ133">
            <v>183.3</v>
          </cell>
          <cell r="AK133">
            <v>183.3</v>
          </cell>
          <cell r="AL133">
            <v>187.85</v>
          </cell>
          <cell r="AM133">
            <v>28.6</v>
          </cell>
          <cell r="AN133">
            <v>29.25</v>
          </cell>
          <cell r="AO133">
            <v>29.25</v>
          </cell>
          <cell r="AP133">
            <v>29.25</v>
          </cell>
        </row>
        <row r="134">
          <cell r="C134" t="str">
            <v>Y/Y Growth Rate</v>
          </cell>
          <cell r="D134" t="str">
            <v>A340</v>
          </cell>
          <cell r="F134">
            <v>0.32500000000000001</v>
          </cell>
          <cell r="AA134">
            <v>0.13287429623296898</v>
          </cell>
          <cell r="AB134">
            <v>0.12522350413695116</v>
          </cell>
          <cell r="AC134">
            <v>2.1328274161974026E-2</v>
          </cell>
          <cell r="AD134">
            <v>0.13307067050012433</v>
          </cell>
          <cell r="AE134">
            <v>6.0339786563080589E-2</v>
          </cell>
          <cell r="AF134">
            <v>0.12683601770652286</v>
          </cell>
          <cell r="AG134">
            <v>1.3895686219673742E-3</v>
          </cell>
          <cell r="AH134">
            <v>-1.63636839670811E-3</v>
          </cell>
          <cell r="AI134">
            <v>0.13127428966822463</v>
          </cell>
          <cell r="AJ134">
            <v>0.11102703329964858</v>
          </cell>
          <cell r="AK134">
            <v>3.9620247931186681E-2</v>
          </cell>
          <cell r="AL134">
            <v>3.2276969510497633E-2</v>
          </cell>
          <cell r="AM134">
            <v>0.56874999999999998</v>
          </cell>
          <cell r="AN134">
            <v>0</v>
          </cell>
          <cell r="AO134">
            <v>0</v>
          </cell>
          <cell r="AP134">
            <v>0</v>
          </cell>
        </row>
        <row r="135">
          <cell r="C135" t="str">
            <v>Model</v>
          </cell>
          <cell r="D135" t="str">
            <v>A350</v>
          </cell>
          <cell r="F135">
            <v>0.32500000000000001</v>
          </cell>
          <cell r="AB135">
            <v>365</v>
          </cell>
          <cell r="AC135">
            <v>440</v>
          </cell>
          <cell r="AD135">
            <v>497.19999999999993</v>
          </cell>
          <cell r="AE135">
            <v>537.78775510204082</v>
          </cell>
          <cell r="AF135">
            <v>588.52244897959179</v>
          </cell>
          <cell r="AG135">
            <v>618.96326530612237</v>
          </cell>
          <cell r="AH135">
            <v>649.40408163265306</v>
          </cell>
          <cell r="AI135">
            <v>517.04750000000001</v>
          </cell>
          <cell r="AJ135">
            <v>574.45375000000001</v>
          </cell>
          <cell r="AK135">
            <v>597.21375</v>
          </cell>
          <cell r="AL135">
            <v>616.49</v>
          </cell>
          <cell r="AM135">
            <v>0</v>
          </cell>
          <cell r="AN135">
            <v>0</v>
          </cell>
          <cell r="AO135">
            <v>0.48750000000000004</v>
          </cell>
          <cell r="AP135">
            <v>1.1375</v>
          </cell>
        </row>
        <row r="136">
          <cell r="C136" t="str">
            <v>Model</v>
          </cell>
          <cell r="D136" t="str">
            <v>A380</v>
          </cell>
          <cell r="F136">
            <v>0.32500000000000001</v>
          </cell>
          <cell r="AB136">
            <v>365</v>
          </cell>
          <cell r="AC136">
            <v>440</v>
          </cell>
          <cell r="AD136">
            <v>497.19999999999993</v>
          </cell>
          <cell r="AE136">
            <v>546.91999999999996</v>
          </cell>
          <cell r="AF136">
            <v>601.61199999999997</v>
          </cell>
          <cell r="AG136">
            <v>632.72986206896553</v>
          </cell>
          <cell r="AH136">
            <v>663.8477241379311</v>
          </cell>
          <cell r="AI136">
            <v>0.13127428966822463</v>
          </cell>
          <cell r="AJ136">
            <v>0.11102703329964858</v>
          </cell>
          <cell r="AK136">
            <v>3.9620247931186681E-2</v>
          </cell>
          <cell r="AL136">
            <v>3.2276969510497633E-2</v>
          </cell>
          <cell r="AM136">
            <v>7.8812500000000005</v>
          </cell>
          <cell r="AN136">
            <v>9.34375</v>
          </cell>
          <cell r="AO136">
            <v>9.75</v>
          </cell>
          <cell r="AP136">
            <v>9.75</v>
          </cell>
        </row>
        <row r="137">
          <cell r="C137" t="str">
            <v>Y/Y Growth Rate</v>
          </cell>
          <cell r="D137" t="str">
            <v>Total Airbus</v>
          </cell>
          <cell r="AB137">
            <v>48.769999999999982</v>
          </cell>
          <cell r="AC137">
            <v>0.20547945205479445</v>
          </cell>
          <cell r="AD137">
            <v>0.12999999999999989</v>
          </cell>
          <cell r="AE137">
            <v>0.10000000000000009</v>
          </cell>
          <cell r="AF137">
            <v>0.10000000000000009</v>
          </cell>
          <cell r="AG137">
            <v>5.1724137931034475E-2</v>
          </cell>
          <cell r="AH137">
            <v>4.9180327868852514E-2</v>
          </cell>
          <cell r="AI137">
            <v>0.14000000000000012</v>
          </cell>
          <cell r="AJ137">
            <v>0.14999999999999991</v>
          </cell>
          <cell r="AK137">
            <v>5.1724137931034475E-2</v>
          </cell>
          <cell r="AL137">
            <v>4.9180327868852514E-2</v>
          </cell>
          <cell r="AM137">
            <v>181.02499999999998</v>
          </cell>
          <cell r="AN137">
            <v>191.50624999999999</v>
          </cell>
          <cell r="AO137">
            <v>194.18750000000003</v>
          </cell>
          <cell r="AP137">
            <v>194.83750000000001</v>
          </cell>
        </row>
        <row r="138">
          <cell r="C138" t="str">
            <v>Difference</v>
          </cell>
          <cell r="AB138">
            <v>48.769999999999982</v>
          </cell>
          <cell r="AC138">
            <v>-17.40500000000003</v>
          </cell>
          <cell r="AD138">
            <v>-18.369999999999891</v>
          </cell>
          <cell r="AE138">
            <v>-39.197499999999991</v>
          </cell>
          <cell r="AF138">
            <v>-29.491999999999962</v>
          </cell>
          <cell r="AG138">
            <v>-59.814862068965567</v>
          </cell>
          <cell r="AH138">
            <v>-91.870224137931132</v>
          </cell>
          <cell r="AI138">
            <v>580.53359999999998</v>
          </cell>
          <cell r="AJ138">
            <v>667.61363999999992</v>
          </cell>
          <cell r="AK138">
            <v>702.14537999999993</v>
          </cell>
          <cell r="AL138">
            <v>736.67711999999995</v>
          </cell>
        </row>
        <row r="139">
          <cell r="C139" t="str">
            <v>Y/Y Growth Rate</v>
          </cell>
          <cell r="AB139">
            <v>0.13361643835616432</v>
          </cell>
          <cell r="AC139">
            <v>-3.9556818181818248E-2</v>
          </cell>
          <cell r="AD139">
            <v>-3.6946902654867039E-2</v>
          </cell>
          <cell r="AE139">
            <v>-7.1669531192861832E-2</v>
          </cell>
          <cell r="AF139">
            <v>-4.9021628557940941E-2</v>
          </cell>
          <cell r="AG139">
            <v>-9.4534596286283606E-2</v>
          </cell>
          <cell r="AH139">
            <v>-0.13839050854205048</v>
          </cell>
          <cell r="AI139">
            <v>0.14000000000000012</v>
          </cell>
          <cell r="AJ139">
            <v>0.14999999999999991</v>
          </cell>
          <cell r="AK139">
            <v>5.1724137931034475E-2</v>
          </cell>
          <cell r="AL139">
            <v>4.9180327868852514E-2</v>
          </cell>
          <cell r="AM139">
            <v>515.46</v>
          </cell>
          <cell r="AN139">
            <v>580.31000000000006</v>
          </cell>
          <cell r="AO139">
            <v>633.95749999999998</v>
          </cell>
          <cell r="AP139">
            <v>651.17124999999999</v>
          </cell>
        </row>
        <row r="140">
          <cell r="C140" t="str">
            <v>Difference</v>
          </cell>
          <cell r="AE140">
            <v>0.13287429623296898</v>
          </cell>
          <cell r="AF140">
            <v>48.769999999999982</v>
          </cell>
          <cell r="AG140">
            <v>-15.355000000000018</v>
          </cell>
          <cell r="AH140">
            <v>-52.191249999999911</v>
          </cell>
          <cell r="AI140">
            <v>-63.486099999999965</v>
          </cell>
          <cell r="AJ140">
            <v>-93.159889999999905</v>
          </cell>
          <cell r="AK140">
            <v>-104.93162999999993</v>
          </cell>
          <cell r="AL140">
            <v>-120.18711999999994</v>
          </cell>
          <cell r="AM140">
            <v>3.3247389745401756E-2</v>
          </cell>
          <cell r="AN140">
            <v>0.12580995615566692</v>
          </cell>
          <cell r="AO140">
            <v>9.2446278713101515E-2</v>
          </cell>
          <cell r="AP140">
            <v>2.7152845419448512E-2</v>
          </cell>
        </row>
        <row r="141">
          <cell r="AF141">
            <v>0.13361643835616432</v>
          </cell>
          <cell r="AG141">
            <v>-3.4977220956719859E-2</v>
          </cell>
          <cell r="AH141">
            <v>-0.10248851229282836</v>
          </cell>
          <cell r="AI141">
            <v>-0.10935818357455962</v>
          </cell>
          <cell r="AJ141">
            <v>-0.1395416217080285</v>
          </cell>
          <cell r="AK141">
            <v>-0.14944430738830744</v>
          </cell>
          <cell r="AL141">
            <v>-0.16314762157945117</v>
          </cell>
        </row>
        <row r="142">
          <cell r="C142" t="str">
            <v>Model</v>
          </cell>
          <cell r="AF142">
            <v>365</v>
          </cell>
          <cell r="AG142">
            <v>439</v>
          </cell>
          <cell r="AH142">
            <v>509.23999999999995</v>
          </cell>
          <cell r="AI142">
            <v>580.53359999999998</v>
          </cell>
          <cell r="AJ142">
            <v>667.61363999999992</v>
          </cell>
          <cell r="AK142">
            <v>702.14537999999993</v>
          </cell>
          <cell r="AL142">
            <v>736.67711999999995</v>
          </cell>
          <cell r="AM142">
            <v>568.86</v>
          </cell>
          <cell r="AN142">
            <v>654.18899999999996</v>
          </cell>
          <cell r="AO142">
            <v>688.02636206896545</v>
          </cell>
          <cell r="AP142">
            <v>721.86372413793106</v>
          </cell>
        </row>
        <row r="143">
          <cell r="C143" t="str">
            <v>Y/Y Growth Rate</v>
          </cell>
          <cell r="AG143">
            <v>0.20273972602739732</v>
          </cell>
          <cell r="AH143">
            <v>0.15999999999999992</v>
          </cell>
          <cell r="AI143">
            <v>0.14000000000000012</v>
          </cell>
          <cell r="AJ143">
            <v>0.14999999999999991</v>
          </cell>
          <cell r="AK143">
            <v>5.1724137931034475E-2</v>
          </cell>
          <cell r="AL143">
            <v>4.9180327868852514E-2</v>
          </cell>
          <cell r="AM143">
            <v>0.14000000000000012</v>
          </cell>
          <cell r="AN143">
            <v>0.14999999999999991</v>
          </cell>
          <cell r="AO143">
            <v>5.1724137931034475E-2</v>
          </cell>
          <cell r="AP143">
            <v>4.9180327868852514E-2</v>
          </cell>
        </row>
        <row r="144">
          <cell r="C144" t="str">
            <v>Difference</v>
          </cell>
          <cell r="AF144">
            <v>48.769999999999982</v>
          </cell>
          <cell r="AG144">
            <v>-15.355000000000018</v>
          </cell>
          <cell r="AH144">
            <v>-52.191249999999911</v>
          </cell>
          <cell r="AI144">
            <v>-63.486099999999965</v>
          </cell>
          <cell r="AJ144">
            <v>-93.159889999999905</v>
          </cell>
          <cell r="AK144">
            <v>-104.93162999999993</v>
          </cell>
          <cell r="AL144">
            <v>-120.18711999999994</v>
          </cell>
          <cell r="AM144">
            <v>-53.399999999999977</v>
          </cell>
          <cell r="AN144">
            <v>-73.878999999999905</v>
          </cell>
          <cell r="AO144">
            <v>-54.068862068965473</v>
          </cell>
          <cell r="AP144">
            <v>-70.692474137931072</v>
          </cell>
        </row>
        <row r="145">
          <cell r="AF145">
            <v>0.13361643835616432</v>
          </cell>
          <cell r="AG145">
            <v>-3.4977220956719859E-2</v>
          </cell>
          <cell r="AH145">
            <v>-0.10248851229282836</v>
          </cell>
          <cell r="AI145">
            <v>-0.10935818357455962</v>
          </cell>
          <cell r="AJ145">
            <v>-0.1395416217080285</v>
          </cell>
          <cell r="AK145">
            <v>-0.14944430738830744</v>
          </cell>
          <cell r="AL145">
            <v>-0.16314762157945117</v>
          </cell>
          <cell r="AM145">
            <v>-9.3871954435186117E-2</v>
          </cell>
          <cell r="AN145">
            <v>-0.11293219543587543</v>
          </cell>
          <cell r="AO145">
            <v>-7.8585451153898936E-2</v>
          </cell>
          <cell r="AP145">
            <v>-9.7930498200825805E-2</v>
          </cell>
        </row>
      </sheetData>
      <sheetData sheetId="10" refreshError="1"/>
      <sheetData sheetId="11" refreshError="1"/>
      <sheetData sheetId="12" refreshError="1"/>
      <sheetData sheetId="13" refreshError="1"/>
      <sheetData sheetId="14" refreshError="1"/>
      <sheetData sheetId="15" refreshError="1">
        <row r="1">
          <cell r="A1" t="str">
            <v>Rockwell Collins, Inc.</v>
          </cell>
        </row>
        <row r="2">
          <cell r="A2" t="str">
            <v>Business Model Breakdown</v>
          </cell>
        </row>
        <row r="3">
          <cell r="A3" t="str">
            <v>Morgan Stanley Research</v>
          </cell>
        </row>
        <row r="4">
          <cell r="A4" t="str">
            <v>($ in Millions Except EPS)</v>
          </cell>
        </row>
        <row r="5">
          <cell r="A5" t="str">
            <v>Model Updated: 4/10</v>
          </cell>
        </row>
        <row r="7">
          <cell r="W7" t="str">
            <v>% Revenue Contribution</v>
          </cell>
        </row>
        <row r="8">
          <cell r="G8" t="str">
            <v>% Sales Contribution</v>
          </cell>
          <cell r="K8" t="str">
            <v>% Implied Revenue</v>
          </cell>
          <cell r="O8" t="str">
            <v>Revenue</v>
          </cell>
          <cell r="W8" t="str">
            <v>Total</v>
          </cell>
          <cell r="Y8" t="str">
            <v>Segment</v>
          </cell>
          <cell r="AA8" t="str">
            <v>Sub-Segment</v>
          </cell>
        </row>
        <row r="9">
          <cell r="G9" t="str">
            <v>Total</v>
          </cell>
          <cell r="H9" t="str">
            <v>Segment</v>
          </cell>
          <cell r="I9" t="str">
            <v>Sub-Segment</v>
          </cell>
          <cell r="K9" t="str">
            <v>Low</v>
          </cell>
          <cell r="L9" t="str">
            <v>Mid</v>
          </cell>
          <cell r="M9" t="str">
            <v>High</v>
          </cell>
          <cell r="O9" t="str">
            <v>09A</v>
          </cell>
          <cell r="P9" t="str">
            <v>10E</v>
          </cell>
          <cell r="R9" t="str">
            <v>Y/Y</v>
          </cell>
          <cell r="T9" t="str">
            <v>Guidance</v>
          </cell>
          <cell r="W9" t="str">
            <v>Calc</v>
          </cell>
          <cell r="X9" t="str">
            <v>Guide</v>
          </cell>
          <cell r="Y9" t="str">
            <v>Calc</v>
          </cell>
          <cell r="Z9" t="str">
            <v>Guide</v>
          </cell>
          <cell r="AA9" t="str">
            <v>Calc</v>
          </cell>
          <cell r="AB9" t="str">
            <v>Guide</v>
          </cell>
        </row>
        <row r="10">
          <cell r="B10" t="str">
            <v>Total Revenue</v>
          </cell>
          <cell r="K10">
            <v>4600</v>
          </cell>
          <cell r="L10">
            <v>4700</v>
          </cell>
          <cell r="M10">
            <v>4800</v>
          </cell>
          <cell r="O10">
            <v>4470</v>
          </cell>
          <cell r="P10">
            <v>4725</v>
          </cell>
          <cell r="R10">
            <v>5.7046979865771785E-2</v>
          </cell>
          <cell r="T10" t="str">
            <v>$4.6-4.8B Total Revenue</v>
          </cell>
          <cell r="X10" t="str">
            <v>@ High-end of guidance</v>
          </cell>
        </row>
        <row r="13">
          <cell r="B13" t="str">
            <v>Government Systems</v>
          </cell>
          <cell r="G13">
            <v>0.6</v>
          </cell>
          <cell r="H13">
            <v>1</v>
          </cell>
          <cell r="K13">
            <v>2760</v>
          </cell>
          <cell r="L13">
            <v>2820</v>
          </cell>
          <cell r="M13">
            <v>2880</v>
          </cell>
          <cell r="O13">
            <v>2579</v>
          </cell>
          <cell r="P13">
            <v>2900</v>
          </cell>
          <cell r="R13">
            <v>0.12446684761535476</v>
          </cell>
          <cell r="T13" t="str">
            <v xml:space="preserve"> +12% y/y</v>
          </cell>
          <cell r="W13">
            <v>0.61375661375661372</v>
          </cell>
          <cell r="X13">
            <v>0.6</v>
          </cell>
          <cell r="Y13">
            <v>1</v>
          </cell>
        </row>
        <row r="15">
          <cell r="B15" t="str">
            <v>Airborne Solutions</v>
          </cell>
          <cell r="G15">
            <v>0.39</v>
          </cell>
          <cell r="H15">
            <v>0.65</v>
          </cell>
          <cell r="K15">
            <v>1794</v>
          </cell>
          <cell r="L15">
            <v>1833</v>
          </cell>
          <cell r="M15">
            <v>1872</v>
          </cell>
          <cell r="O15">
            <v>1761</v>
          </cell>
          <cell r="P15">
            <v>1870</v>
          </cell>
          <cell r="R15">
            <v>6.1896649630891476E-2</v>
          </cell>
          <cell r="T15" t="str">
            <v xml:space="preserve"> +6% y/y</v>
          </cell>
          <cell r="W15">
            <v>0.39576719576719577</v>
          </cell>
          <cell r="Y15">
            <v>0.64482758620689651</v>
          </cell>
          <cell r="Z15">
            <v>0.65</v>
          </cell>
        </row>
        <row r="17">
          <cell r="B17" t="str">
            <v>Surface Solutions</v>
          </cell>
          <cell r="G17">
            <v>0.20999999999999996</v>
          </cell>
          <cell r="H17">
            <v>0.35</v>
          </cell>
          <cell r="K17">
            <v>965.99999999999989</v>
          </cell>
          <cell r="L17">
            <v>986.99999999999989</v>
          </cell>
          <cell r="M17">
            <v>1007.9999999999999</v>
          </cell>
          <cell r="O17">
            <v>818</v>
          </cell>
          <cell r="P17">
            <v>1030</v>
          </cell>
          <cell r="R17">
            <v>0.25916870415647919</v>
          </cell>
          <cell r="T17" t="str">
            <v xml:space="preserve"> +26% y/y (20% DataPath)</v>
          </cell>
          <cell r="W17">
            <v>0.21798941798941798</v>
          </cell>
          <cell r="Y17">
            <v>0.35517241379310344</v>
          </cell>
          <cell r="Z17">
            <v>0.35</v>
          </cell>
        </row>
        <row r="18">
          <cell r="K18">
            <v>0</v>
          </cell>
          <cell r="L18">
            <v>0</v>
          </cell>
          <cell r="M18">
            <v>0</v>
          </cell>
          <cell r="O18">
            <v>0</v>
          </cell>
          <cell r="P18">
            <v>0</v>
          </cell>
        </row>
        <row r="20">
          <cell r="B20" t="str">
            <v>Commercial Systems</v>
          </cell>
          <cell r="G20">
            <v>0.4</v>
          </cell>
          <cell r="H20">
            <v>1</v>
          </cell>
          <cell r="K20">
            <v>1840</v>
          </cell>
          <cell r="L20">
            <v>1880</v>
          </cell>
          <cell r="M20">
            <v>1920</v>
          </cell>
          <cell r="O20">
            <v>1891</v>
          </cell>
          <cell r="P20">
            <v>1825</v>
          </cell>
          <cell r="R20">
            <v>-3.4902168164992031E-2</v>
          </cell>
          <cell r="T20" t="str">
            <v xml:space="preserve"> -3% y/y</v>
          </cell>
          <cell r="W20">
            <v>0.38624338624338622</v>
          </cell>
          <cell r="X20">
            <v>0.4</v>
          </cell>
          <cell r="Y20">
            <v>1</v>
          </cell>
        </row>
        <row r="22">
          <cell r="B22" t="str">
            <v>OEM vs. Aftermarket</v>
          </cell>
        </row>
        <row r="23">
          <cell r="C23" t="str">
            <v>Original Equipment</v>
          </cell>
          <cell r="O23">
            <v>439</v>
          </cell>
          <cell r="P23">
            <v>509.23999999999995</v>
          </cell>
          <cell r="R23">
            <v>0.15999999999999992</v>
          </cell>
          <cell r="T23" t="str">
            <v xml:space="preserve"> +10% y/y</v>
          </cell>
        </row>
        <row r="24">
          <cell r="B24" t="str">
            <v>Total OEM</v>
          </cell>
          <cell r="C24" t="str">
            <v>Aftermarket</v>
          </cell>
          <cell r="G24">
            <v>0.21200000000000002</v>
          </cell>
          <cell r="H24">
            <v>0.53</v>
          </cell>
          <cell r="I24">
            <v>1</v>
          </cell>
          <cell r="K24">
            <v>975.2</v>
          </cell>
          <cell r="L24">
            <v>996.40000000000009</v>
          </cell>
          <cell r="M24">
            <v>1017.6000000000001</v>
          </cell>
          <cell r="O24">
            <v>970</v>
          </cell>
          <cell r="P24">
            <v>880</v>
          </cell>
          <cell r="R24">
            <v>-9.2783505154639179E-2</v>
          </cell>
          <cell r="T24" t="str">
            <v xml:space="preserve"> -10% y/y</v>
          </cell>
          <cell r="W24">
            <v>0.18624338624338624</v>
          </cell>
          <cell r="X24">
            <v>0.19</v>
          </cell>
          <cell r="Y24">
            <v>0.48219178082191783</v>
          </cell>
          <cell r="AA24">
            <v>1</v>
          </cell>
        </row>
        <row r="25">
          <cell r="C25" t="str">
            <v xml:space="preserve">Wide-Body In-Flight Entertainment </v>
          </cell>
          <cell r="O25">
            <v>145</v>
          </cell>
          <cell r="P25">
            <v>98.6</v>
          </cell>
          <cell r="R25">
            <v>-0.32000000000000006</v>
          </cell>
          <cell r="T25" t="str">
            <v xml:space="preserve"> -40% y/y</v>
          </cell>
        </row>
        <row r="26">
          <cell r="B26" t="str">
            <v>Air Transport OEM</v>
          </cell>
          <cell r="G26">
            <v>9.5400000000000013E-2</v>
          </cell>
          <cell r="H26">
            <v>0.23850000000000002</v>
          </cell>
          <cell r="I26">
            <v>0.45</v>
          </cell>
          <cell r="K26">
            <v>438.84000000000003</v>
          </cell>
          <cell r="L26">
            <v>448.38000000000005</v>
          </cell>
          <cell r="M26">
            <v>457.92000000000007</v>
          </cell>
          <cell r="O26">
            <v>365</v>
          </cell>
          <cell r="P26">
            <v>405</v>
          </cell>
          <cell r="R26">
            <v>0.1095890410958904</v>
          </cell>
          <cell r="T26" t="str">
            <v xml:space="preserve"> +10% y/y</v>
          </cell>
          <cell r="W26">
            <v>8.5714285714285715E-2</v>
          </cell>
          <cell r="Y26">
            <v>0.22191780821917809</v>
          </cell>
          <cell r="AA26">
            <v>0.46022727272727271</v>
          </cell>
          <cell r="AB26">
            <v>0.45</v>
          </cell>
        </row>
        <row r="28">
          <cell r="B28" t="str">
            <v>Business &amp; Regional Jet OEM</v>
          </cell>
          <cell r="G28">
            <v>0.11660000000000002</v>
          </cell>
          <cell r="H28">
            <v>0.29150000000000004</v>
          </cell>
          <cell r="I28">
            <v>0.55000000000000004</v>
          </cell>
          <cell r="K28">
            <v>536.36</v>
          </cell>
          <cell r="L28">
            <v>548.0200000000001</v>
          </cell>
          <cell r="M28">
            <v>559.68000000000006</v>
          </cell>
          <cell r="O28">
            <v>605</v>
          </cell>
          <cell r="P28">
            <v>475</v>
          </cell>
          <cell r="R28">
            <v>-0.21487603305785119</v>
          </cell>
          <cell r="T28" t="str">
            <v xml:space="preserve"> -22% y/y</v>
          </cell>
          <cell r="W28">
            <v>0.10052910052910052</v>
          </cell>
          <cell r="Y28">
            <v>0.26027397260273971</v>
          </cell>
          <cell r="AA28">
            <v>0.53977272727272729</v>
          </cell>
          <cell r="AB28">
            <v>0.55000000000000004</v>
          </cell>
        </row>
        <row r="29">
          <cell r="C29" t="str">
            <v>Orginal Equipment</v>
          </cell>
          <cell r="K29">
            <v>0</v>
          </cell>
          <cell r="L29">
            <v>0</v>
          </cell>
          <cell r="M29">
            <v>0</v>
          </cell>
          <cell r="O29">
            <v>466</v>
          </cell>
          <cell r="P29">
            <v>526.57999999999993</v>
          </cell>
          <cell r="R29">
            <v>0.12999999999999989</v>
          </cell>
          <cell r="T29" t="str">
            <v xml:space="preserve"> low double digits</v>
          </cell>
        </row>
        <row r="30">
          <cell r="C30" t="str">
            <v>Aftermarket</v>
          </cell>
          <cell r="O30">
            <v>340</v>
          </cell>
          <cell r="P30">
            <v>397.79999999999995</v>
          </cell>
          <cell r="R30">
            <v>0.16999999999999993</v>
          </cell>
          <cell r="T30" t="str">
            <v>+ mid-teens</v>
          </cell>
        </row>
        <row r="31">
          <cell r="B31" t="str">
            <v>Total Aftermarket</v>
          </cell>
          <cell r="G31">
            <v>0.17600000000000002</v>
          </cell>
          <cell r="H31">
            <v>0.44</v>
          </cell>
          <cell r="I31">
            <v>1</v>
          </cell>
          <cell r="K31">
            <v>809.60000000000014</v>
          </cell>
          <cell r="L31">
            <v>827.2</v>
          </cell>
          <cell r="M31">
            <v>844.80000000000007</v>
          </cell>
          <cell r="O31">
            <v>836</v>
          </cell>
          <cell r="P31">
            <v>895</v>
          </cell>
          <cell r="R31">
            <v>7.0574162679425845E-2</v>
          </cell>
          <cell r="T31" t="str">
            <v xml:space="preserve"> +6% y/y</v>
          </cell>
          <cell r="W31">
            <v>0.18941798941798943</v>
          </cell>
          <cell r="X31">
            <v>0.19</v>
          </cell>
          <cell r="Y31">
            <v>0.49041095890410957</v>
          </cell>
          <cell r="AA31">
            <v>1</v>
          </cell>
        </row>
        <row r="33">
          <cell r="B33" t="str">
            <v>Air Transport Aftermarket</v>
          </cell>
          <cell r="G33">
            <v>0.1056</v>
          </cell>
          <cell r="H33">
            <v>0.26400000000000001</v>
          </cell>
          <cell r="I33">
            <v>0.6</v>
          </cell>
          <cell r="K33">
            <v>485.76000000000005</v>
          </cell>
          <cell r="L33">
            <v>496.32</v>
          </cell>
          <cell r="M33">
            <v>506.88</v>
          </cell>
          <cell r="O33">
            <v>520</v>
          </cell>
          <cell r="P33">
            <v>535</v>
          </cell>
          <cell r="R33">
            <v>2.8846153846153744E-2</v>
          </cell>
          <cell r="T33" t="str">
            <v xml:space="preserve"> +2-3% y/y</v>
          </cell>
          <cell r="W33">
            <v>0.11322751322751323</v>
          </cell>
          <cell r="Y33">
            <v>0.29315068493150687</v>
          </cell>
          <cell r="AA33">
            <v>0.5977653631284916</v>
          </cell>
          <cell r="AB33">
            <v>0.6</v>
          </cell>
        </row>
        <row r="34">
          <cell r="C34" t="str">
            <v>Orginal Equipment</v>
          </cell>
          <cell r="O34">
            <v>0.50166297117516634</v>
          </cell>
          <cell r="P34">
            <v>0.51897389648780001</v>
          </cell>
        </row>
        <row r="35">
          <cell r="B35" t="str">
            <v>Business &amp; Regional Jet Aftermarket</v>
          </cell>
          <cell r="C35" t="str">
            <v>Aftermarket</v>
          </cell>
          <cell r="G35">
            <v>7.0400000000000004E-2</v>
          </cell>
          <cell r="H35">
            <v>0.17600000000000002</v>
          </cell>
          <cell r="I35">
            <v>0.4</v>
          </cell>
          <cell r="K35">
            <v>323.84000000000009</v>
          </cell>
          <cell r="L35">
            <v>330.88000000000005</v>
          </cell>
          <cell r="M35">
            <v>337.92000000000007</v>
          </cell>
          <cell r="O35">
            <v>316</v>
          </cell>
          <cell r="P35">
            <v>360</v>
          </cell>
          <cell r="R35">
            <v>0.139240506329114</v>
          </cell>
          <cell r="T35" t="str">
            <v xml:space="preserve"> +13% y/y (Air Routing 10%)</v>
          </cell>
          <cell r="W35">
            <v>7.6190476190476197E-2</v>
          </cell>
          <cell r="Y35">
            <v>0.19726027397260273</v>
          </cell>
          <cell r="AA35">
            <v>0.4022346368715084</v>
          </cell>
          <cell r="AB35">
            <v>0.4</v>
          </cell>
        </row>
        <row r="36">
          <cell r="C36" t="str">
            <v>Other</v>
          </cell>
          <cell r="O36">
            <v>8.03769401330377E-2</v>
          </cell>
          <cell r="P36">
            <v>4.9401272608848142E-2</v>
          </cell>
        </row>
        <row r="38">
          <cell r="B38" t="str">
            <v>Wide-Body IFE</v>
          </cell>
          <cell r="G38">
            <v>1.2E-2</v>
          </cell>
          <cell r="H38">
            <v>0.03</v>
          </cell>
          <cell r="I38" t="str">
            <v xml:space="preserve">NA </v>
          </cell>
          <cell r="K38">
            <v>55.199999999999996</v>
          </cell>
          <cell r="L38">
            <v>56.4</v>
          </cell>
          <cell r="M38">
            <v>57.599999999999994</v>
          </cell>
          <cell r="O38">
            <v>85</v>
          </cell>
          <cell r="P38">
            <v>50</v>
          </cell>
          <cell r="R38">
            <v>-0.41176470588235292</v>
          </cell>
          <cell r="T38" t="str">
            <v xml:space="preserve"> -40% y/y</v>
          </cell>
          <cell r="W38">
            <v>1.0582010582010581E-2</v>
          </cell>
          <cell r="Y38">
            <v>2.7397260273972601E-2</v>
          </cell>
        </row>
        <row r="39">
          <cell r="B39" t="str">
            <v>Summary - % of Total Company Revenues</v>
          </cell>
        </row>
        <row r="41">
          <cell r="B41" t="str">
            <v>Air Transport vs. Business &amp; Regional Jet</v>
          </cell>
          <cell r="C41" t="str">
            <v>Government Systems</v>
          </cell>
          <cell r="O41">
            <v>0.61329046087888528</v>
          </cell>
          <cell r="P41">
            <v>0.59645362825774884</v>
          </cell>
        </row>
        <row r="42">
          <cell r="D42" t="str">
            <v>Airborne Solutions</v>
          </cell>
          <cell r="O42">
            <v>0.3969989281886388</v>
          </cell>
          <cell r="P42">
            <v>0.39426595766190181</v>
          </cell>
        </row>
        <row r="43">
          <cell r="B43" t="str">
            <v>Air Transport</v>
          </cell>
          <cell r="D43" t="str">
            <v>Surface Solutions</v>
          </cell>
          <cell r="G43">
            <v>0.21200000000000002</v>
          </cell>
          <cell r="H43">
            <v>0.53</v>
          </cell>
          <cell r="K43">
            <v>975.2</v>
          </cell>
          <cell r="L43">
            <v>996.40000000000009</v>
          </cell>
          <cell r="M43">
            <v>1017.6</v>
          </cell>
          <cell r="O43">
            <v>885</v>
          </cell>
          <cell r="P43">
            <v>940</v>
          </cell>
          <cell r="R43">
            <v>6.2146892655367214E-2</v>
          </cell>
          <cell r="W43">
            <v>0.19894179894179895</v>
          </cell>
          <cell r="Y43">
            <v>0.51506849315068493</v>
          </cell>
          <cell r="Z43">
            <v>0.53</v>
          </cell>
          <cell r="AA43">
            <v>1</v>
          </cell>
        </row>
        <row r="45">
          <cell r="C45" t="str">
            <v>OEM</v>
          </cell>
          <cell r="K45">
            <v>438.84000000000003</v>
          </cell>
          <cell r="L45">
            <v>448.38000000000005</v>
          </cell>
          <cell r="M45">
            <v>457.92000000000007</v>
          </cell>
          <cell r="O45">
            <v>365</v>
          </cell>
          <cell r="P45">
            <v>405</v>
          </cell>
          <cell r="R45">
            <v>0.1095890410958904</v>
          </cell>
          <cell r="T45" t="str">
            <v xml:space="preserve"> +10% y/y</v>
          </cell>
          <cell r="W45">
            <v>8.5714285714285715E-2</v>
          </cell>
          <cell r="Y45">
            <v>0.22191780821917809</v>
          </cell>
          <cell r="AA45">
            <v>0.43085106382978722</v>
          </cell>
        </row>
        <row r="47">
          <cell r="C47" t="str">
            <v>Aftermarket</v>
          </cell>
          <cell r="K47">
            <v>485.76000000000005</v>
          </cell>
          <cell r="L47">
            <v>496.32</v>
          </cell>
          <cell r="M47">
            <v>506.88</v>
          </cell>
          <cell r="O47">
            <v>520</v>
          </cell>
          <cell r="P47">
            <v>535</v>
          </cell>
          <cell r="R47">
            <v>2.8846153846153744E-2</v>
          </cell>
          <cell r="T47" t="str">
            <v xml:space="preserve"> +2-3% y/y</v>
          </cell>
          <cell r="W47">
            <v>0.11322751322751323</v>
          </cell>
          <cell r="Y47">
            <v>0.29315068493150687</v>
          </cell>
          <cell r="AA47">
            <v>0.56914893617021278</v>
          </cell>
        </row>
        <row r="48">
          <cell r="C48" t="str">
            <v>Total</v>
          </cell>
          <cell r="K48">
            <v>924.60000000000014</v>
          </cell>
          <cell r="L48">
            <v>944.7</v>
          </cell>
          <cell r="M48">
            <v>964.80000000000007</v>
          </cell>
          <cell r="O48">
            <v>885</v>
          </cell>
          <cell r="P48">
            <v>940</v>
          </cell>
          <cell r="R48">
            <v>6.2146892655367214E-2</v>
          </cell>
          <cell r="T48" t="str">
            <v xml:space="preserve"> -10% y/y</v>
          </cell>
        </row>
        <row r="49">
          <cell r="C49" t="str">
            <v>Difference</v>
          </cell>
          <cell r="D49" t="str">
            <v>Air Transport</v>
          </cell>
          <cell r="K49">
            <v>-50.599999999999909</v>
          </cell>
          <cell r="L49">
            <v>-51.700000000000045</v>
          </cell>
          <cell r="M49">
            <v>-52.799999999999955</v>
          </cell>
          <cell r="O49">
            <v>0.21393354769560557</v>
          </cell>
          <cell r="P49">
            <v>0.21664813279686207</v>
          </cell>
        </row>
        <row r="50">
          <cell r="D50" t="str">
            <v>Business and Regional</v>
          </cell>
          <cell r="O50">
            <v>0.17277599142550912</v>
          </cell>
          <cell r="P50">
            <v>0.18689823894538909</v>
          </cell>
        </row>
        <row r="52">
          <cell r="B52" t="str">
            <v>Business &amp; Regional Jet</v>
          </cell>
          <cell r="D52" t="str">
            <v>OEM</v>
          </cell>
          <cell r="G52">
            <v>0.17600000000000002</v>
          </cell>
          <cell r="H52">
            <v>0.44</v>
          </cell>
          <cell r="K52">
            <v>809.6</v>
          </cell>
          <cell r="L52">
            <v>827.2</v>
          </cell>
          <cell r="M52">
            <v>844.8</v>
          </cell>
          <cell r="O52">
            <v>921</v>
          </cell>
          <cell r="P52">
            <v>835</v>
          </cell>
          <cell r="R52">
            <v>-9.3376764386536415E-2</v>
          </cell>
          <cell r="W52">
            <v>0.17671957671957672</v>
          </cell>
          <cell r="Y52">
            <v>0.45753424657534247</v>
          </cell>
          <cell r="Z52">
            <v>0.44</v>
          </cell>
          <cell r="AA52">
            <v>1</v>
          </cell>
        </row>
        <row r="53">
          <cell r="D53" t="str">
            <v xml:space="preserve">Aftermarket </v>
          </cell>
          <cell r="O53">
            <v>0.16162915326902466</v>
          </cell>
          <cell r="P53">
            <v>0.17418063446491033</v>
          </cell>
        </row>
        <row r="54">
          <cell r="C54" t="str">
            <v>OEM</v>
          </cell>
          <cell r="D54" t="str">
            <v>Other</v>
          </cell>
          <cell r="K54">
            <v>536.36</v>
          </cell>
          <cell r="L54">
            <v>548.0200000000001</v>
          </cell>
          <cell r="M54">
            <v>559.68000000000006</v>
          </cell>
          <cell r="O54">
            <v>605</v>
          </cell>
          <cell r="P54">
            <v>475</v>
          </cell>
          <cell r="R54">
            <v>-0.21487603305785119</v>
          </cell>
          <cell r="T54" t="str">
            <v xml:space="preserve"> -22% y/y</v>
          </cell>
          <cell r="W54">
            <v>0.10052910052910052</v>
          </cell>
          <cell r="Y54">
            <v>0.26027397260273971</v>
          </cell>
          <cell r="AA54">
            <v>0.56886227544910184</v>
          </cell>
        </row>
        <row r="56">
          <cell r="C56" t="str">
            <v>Aftermarket</v>
          </cell>
          <cell r="K56">
            <v>323.84000000000009</v>
          </cell>
          <cell r="L56">
            <v>330.88000000000005</v>
          </cell>
          <cell r="M56">
            <v>337.92000000000007</v>
          </cell>
          <cell r="O56">
            <v>316</v>
          </cell>
          <cell r="P56">
            <v>360</v>
          </cell>
          <cell r="R56">
            <v>0.139240506329114</v>
          </cell>
          <cell r="T56" t="str">
            <v xml:space="preserve"> +13% y/y (Air Routing 10%)</v>
          </cell>
          <cell r="W56">
            <v>7.6190476190476197E-2</v>
          </cell>
          <cell r="Y56">
            <v>0.19726027397260273</v>
          </cell>
          <cell r="AA56">
            <v>0.43113772455089822</v>
          </cell>
        </row>
        <row r="57">
          <cell r="C57" t="str">
            <v>Total</v>
          </cell>
          <cell r="K57">
            <v>860.2</v>
          </cell>
          <cell r="L57">
            <v>878.90000000000009</v>
          </cell>
          <cell r="M57">
            <v>897.60000000000014</v>
          </cell>
          <cell r="O57">
            <v>921</v>
          </cell>
          <cell r="P57">
            <v>835</v>
          </cell>
          <cell r="R57">
            <v>-9.3376764386536415E-2</v>
          </cell>
          <cell r="T57" t="str">
            <v xml:space="preserve"> +6% y/y</v>
          </cell>
        </row>
        <row r="58">
          <cell r="C58" t="str">
            <v>Difference</v>
          </cell>
          <cell r="K58">
            <v>50.600000000000023</v>
          </cell>
          <cell r="L58">
            <v>51.700000000000045</v>
          </cell>
          <cell r="M58">
            <v>52.800000000000182</v>
          </cell>
        </row>
        <row r="61">
          <cell r="C61" t="str">
            <v>Revenue Check</v>
          </cell>
          <cell r="O61">
            <v>0</v>
          </cell>
          <cell r="P61">
            <v>0</v>
          </cell>
        </row>
        <row r="63">
          <cell r="B63" t="str">
            <v>OEM Cross-check</v>
          </cell>
          <cell r="O63">
            <v>0</v>
          </cell>
          <cell r="P63">
            <v>0</v>
          </cell>
        </row>
        <row r="65">
          <cell r="B65" t="str">
            <v>Aftermarket Cross-check</v>
          </cell>
          <cell r="O65">
            <v>0</v>
          </cell>
          <cell r="P65">
            <v>0</v>
          </cell>
        </row>
      </sheetData>
      <sheetData sheetId="16" refreshError="1"/>
      <sheetData sheetId="17" refreshError="1"/>
      <sheetData sheetId="18" refreshError="1">
        <row r="2">
          <cell r="F2">
            <v>2009</v>
          </cell>
          <cell r="G2">
            <v>2010</v>
          </cell>
          <cell r="H2">
            <v>2011</v>
          </cell>
          <cell r="I2">
            <v>2012</v>
          </cell>
          <cell r="J2">
            <v>2013</v>
          </cell>
          <cell r="K2">
            <v>2014</v>
          </cell>
        </row>
        <row r="5">
          <cell r="B5" t="str">
            <v>Sales</v>
          </cell>
          <cell r="F5">
            <v>4470</v>
          </cell>
          <cell r="G5">
            <v>4725</v>
          </cell>
          <cell r="H5">
            <v>5100</v>
          </cell>
          <cell r="I5">
            <v>5460</v>
          </cell>
          <cell r="J5">
            <v>5850</v>
          </cell>
          <cell r="K5">
            <v>6170</v>
          </cell>
        </row>
        <row r="8">
          <cell r="B8" t="str">
            <v>EBIT</v>
          </cell>
          <cell r="F8">
            <v>867.44</v>
          </cell>
          <cell r="G8">
            <v>991.1724999999999</v>
          </cell>
          <cell r="H8">
            <v>1066.55</v>
          </cell>
          <cell r="I8">
            <v>1168.931785714286</v>
          </cell>
          <cell r="J8">
            <v>1237.6240842490843</v>
          </cell>
          <cell r="K8">
            <v>1307.4809890109889</v>
          </cell>
        </row>
        <row r="9">
          <cell r="B9" t="str">
            <v>Tax Rate</v>
          </cell>
          <cell r="F9">
            <v>0.31184435170255148</v>
          </cell>
          <cell r="G9">
            <v>0.31</v>
          </cell>
          <cell r="H9">
            <v>0.31</v>
          </cell>
          <cell r="I9">
            <v>0.31</v>
          </cell>
          <cell r="J9">
            <v>0.31</v>
          </cell>
          <cell r="K9">
            <v>0.31</v>
          </cell>
        </row>
        <row r="10">
          <cell r="B10" t="str">
            <v>NOPAT</v>
          </cell>
          <cell r="F10">
            <v>596.93373555913877</v>
          </cell>
          <cell r="G10">
            <v>683.90902499999993</v>
          </cell>
          <cell r="H10">
            <v>735.91949999999986</v>
          </cell>
          <cell r="I10">
            <v>806.56293214285722</v>
          </cell>
          <cell r="J10">
            <v>853.96061813186805</v>
          </cell>
          <cell r="K10">
            <v>902.16188241758221</v>
          </cell>
        </row>
        <row r="12">
          <cell r="B12" t="str">
            <v>Debt</v>
          </cell>
          <cell r="F12">
            <v>531</v>
          </cell>
          <cell r="G12">
            <v>531</v>
          </cell>
          <cell r="H12">
            <v>531</v>
          </cell>
          <cell r="I12">
            <v>531</v>
          </cell>
          <cell r="J12">
            <v>531</v>
          </cell>
          <cell r="K12">
            <v>531</v>
          </cell>
        </row>
        <row r="13">
          <cell r="B13" t="str">
            <v>Equity</v>
          </cell>
          <cell r="F13">
            <v>1292</v>
          </cell>
          <cell r="G13">
            <v>1588.2926000000002</v>
          </cell>
          <cell r="H13">
            <v>1894.9539175000002</v>
          </cell>
          <cell r="I13">
            <v>2188.0225675000002</v>
          </cell>
          <cell r="J13">
            <v>2480.5416200000004</v>
          </cell>
          <cell r="K13">
            <v>2756.2390526923082</v>
          </cell>
        </row>
        <row r="14">
          <cell r="B14" t="str">
            <v>Total Capital</v>
          </cell>
          <cell r="F14">
            <v>1823</v>
          </cell>
          <cell r="G14">
            <v>2119.2926000000002</v>
          </cell>
          <cell r="H14">
            <v>2425.9539175</v>
          </cell>
          <cell r="I14">
            <v>2719.0225675000002</v>
          </cell>
          <cell r="J14">
            <v>3011.5416200000004</v>
          </cell>
          <cell r="K14">
            <v>3287.2390526923082</v>
          </cell>
        </row>
        <row r="16">
          <cell r="B16" t="str">
            <v>Return on Avg. Capital</v>
          </cell>
          <cell r="G16">
            <v>0.34696005314268141</v>
          </cell>
          <cell r="H16">
            <v>0.32381939996723175</v>
          </cell>
          <cell r="I16">
            <v>0.31353415685936109</v>
          </cell>
          <cell r="J16">
            <v>0.2980371880292696</v>
          </cell>
          <cell r="K16">
            <v>0.28645603944547832</v>
          </cell>
        </row>
        <row r="18">
          <cell r="B18" t="str">
            <v>Less: Excess Cash</v>
          </cell>
          <cell r="F18">
            <v>-335.55606153846156</v>
          </cell>
          <cell r="G18">
            <v>-518.68084057692329</v>
          </cell>
          <cell r="H18">
            <v>-691.90461878205144</v>
          </cell>
          <cell r="I18">
            <v>-806.27879948718009</v>
          </cell>
          <cell r="J18">
            <v>-913.01469371794929</v>
          </cell>
          <cell r="K18">
            <v>-1002.8831396153854</v>
          </cell>
        </row>
        <row r="19">
          <cell r="B19" t="str">
            <v>Net Capital</v>
          </cell>
          <cell r="F19">
            <v>1487.4439384615384</v>
          </cell>
          <cell r="G19">
            <v>1600.6117594230768</v>
          </cell>
          <cell r="H19">
            <v>1734.0492987179487</v>
          </cell>
          <cell r="I19">
            <v>1912.7437680128201</v>
          </cell>
          <cell r="J19">
            <v>2098.5269262820511</v>
          </cell>
          <cell r="K19">
            <v>2284.3559130769227</v>
          </cell>
        </row>
        <row r="21">
          <cell r="B21" t="str">
            <v>Return on Avg. Net Capital</v>
          </cell>
          <cell r="G21">
            <v>0.44293827049071194</v>
          </cell>
          <cell r="H21">
            <v>0.44137589228348928</v>
          </cell>
          <cell r="I21">
            <v>0.44234093757664983</v>
          </cell>
          <cell r="J21">
            <v>0.4257805983258296</v>
          </cell>
          <cell r="K21">
            <v>0.41167510767845644</v>
          </cell>
        </row>
        <row r="28">
          <cell r="B28" t="str">
            <v>Cash</v>
          </cell>
          <cell r="E28">
            <v>235</v>
          </cell>
          <cell r="F28">
            <v>469.65606153846159</v>
          </cell>
          <cell r="G28">
            <v>660.43084057692329</v>
          </cell>
          <cell r="H28">
            <v>844.90461878205144</v>
          </cell>
          <cell r="I28">
            <v>970.07879948718005</v>
          </cell>
          <cell r="J28">
            <v>1088.5146937179493</v>
          </cell>
          <cell r="K28">
            <v>1187.9831396153854</v>
          </cell>
        </row>
        <row r="29">
          <cell r="F29">
            <v>0.10506847014283258</v>
          </cell>
          <cell r="G29">
            <v>0.13977372287342291</v>
          </cell>
          <cell r="H29">
            <v>0.16566757231020615</v>
          </cell>
          <cell r="I29">
            <v>0.17767010979618683</v>
          </cell>
          <cell r="J29">
            <v>0.18607088781503406</v>
          </cell>
          <cell r="K29">
            <v>0.19254183786310947</v>
          </cell>
        </row>
        <row r="32">
          <cell r="F32">
            <v>0.03</v>
          </cell>
          <cell r="G32">
            <v>0.03</v>
          </cell>
          <cell r="H32">
            <v>0.03</v>
          </cell>
          <cell r="I32">
            <v>0.03</v>
          </cell>
          <cell r="J32">
            <v>0.03</v>
          </cell>
          <cell r="K32">
            <v>0.03</v>
          </cell>
        </row>
        <row r="33">
          <cell r="B33" t="str">
            <v>Operating Cash</v>
          </cell>
          <cell r="F33">
            <v>134.1</v>
          </cell>
          <cell r="G33">
            <v>141.75</v>
          </cell>
          <cell r="H33">
            <v>153</v>
          </cell>
          <cell r="I33">
            <v>163.79999999999998</v>
          </cell>
          <cell r="J33">
            <v>175.5</v>
          </cell>
          <cell r="K33">
            <v>185.1</v>
          </cell>
        </row>
        <row r="35">
          <cell r="B35" t="str">
            <v>Excess Cash</v>
          </cell>
          <cell r="F35">
            <v>335.55606153846156</v>
          </cell>
          <cell r="G35">
            <v>518.68084057692329</v>
          </cell>
          <cell r="H35">
            <v>691.90461878205144</v>
          </cell>
          <cell r="I35">
            <v>806.27879948718009</v>
          </cell>
          <cell r="J35">
            <v>913.01469371794929</v>
          </cell>
          <cell r="K35">
            <v>1002.8831396153854</v>
          </cell>
        </row>
        <row r="38">
          <cell r="F38">
            <v>2009</v>
          </cell>
          <cell r="G38">
            <v>2010</v>
          </cell>
          <cell r="H38">
            <v>2011</v>
          </cell>
          <cell r="I38">
            <v>2012</v>
          </cell>
          <cell r="J38">
            <v>2013</v>
          </cell>
          <cell r="K38">
            <v>2014</v>
          </cell>
        </row>
        <row r="40">
          <cell r="B40" t="str">
            <v>Net Income</v>
          </cell>
          <cell r="F40">
            <v>594</v>
          </cell>
          <cell r="G40">
            <v>580.41800000000001</v>
          </cell>
          <cell r="H40">
            <v>666.65902499999993</v>
          </cell>
          <cell r="I40">
            <v>718.66949999999997</v>
          </cell>
          <cell r="J40">
            <v>789.31293214285733</v>
          </cell>
          <cell r="K40">
            <v>836.71061813186816</v>
          </cell>
        </row>
        <row r="41">
          <cell r="B41" t="str">
            <v>D&amp;A</v>
          </cell>
          <cell r="F41">
            <v>144</v>
          </cell>
          <cell r="G41">
            <v>151.73846153846154</v>
          </cell>
          <cell r="H41">
            <v>156.23846153846154</v>
          </cell>
          <cell r="I41">
            <v>163.40512820512822</v>
          </cell>
          <cell r="J41">
            <v>170.90512820512822</v>
          </cell>
          <cell r="K41">
            <v>178.73846153846154</v>
          </cell>
        </row>
        <row r="42">
          <cell r="B42" t="str">
            <v>Non-cash Comp</v>
          </cell>
          <cell r="F42">
            <v>81</v>
          </cell>
          <cell r="G42">
            <v>90</v>
          </cell>
          <cell r="H42">
            <v>90</v>
          </cell>
          <cell r="I42">
            <v>90</v>
          </cell>
          <cell r="J42">
            <v>90</v>
          </cell>
          <cell r="K42">
            <v>90</v>
          </cell>
        </row>
        <row r="43">
          <cell r="B43" t="str">
            <v>Pension &amp; Other</v>
          </cell>
          <cell r="F43">
            <v>-30</v>
          </cell>
          <cell r="G43">
            <v>-98</v>
          </cell>
          <cell r="H43">
            <v>-100</v>
          </cell>
          <cell r="I43">
            <v>-100</v>
          </cell>
          <cell r="J43">
            <v>-100</v>
          </cell>
          <cell r="K43">
            <v>-100</v>
          </cell>
        </row>
        <row r="44">
          <cell r="B44" t="str">
            <v>Working Capital</v>
          </cell>
          <cell r="F44">
            <v>-156</v>
          </cell>
          <cell r="G44">
            <v>20.625000000000057</v>
          </cell>
          <cell r="H44">
            <v>-22.124999999999886</v>
          </cell>
          <cell r="I44">
            <v>-12</v>
          </cell>
          <cell r="J44">
            <v>-68.249999999999886</v>
          </cell>
          <cell r="K44">
            <v>-56.000000000000171</v>
          </cell>
        </row>
        <row r="45">
          <cell r="B45" t="str">
            <v>Operating Cash Flow (OCF)</v>
          </cell>
          <cell r="F45">
            <v>633</v>
          </cell>
          <cell r="G45">
            <v>744.7814615384616</v>
          </cell>
          <cell r="H45">
            <v>790.77248653846152</v>
          </cell>
          <cell r="I45">
            <v>860.07462820512819</v>
          </cell>
          <cell r="J45">
            <v>881.96806034798567</v>
          </cell>
          <cell r="K45">
            <v>949.44907967032941</v>
          </cell>
        </row>
        <row r="47">
          <cell r="B47" t="str">
            <v>OCF % Net Income</v>
          </cell>
          <cell r="F47">
            <v>1.0656565656565657</v>
          </cell>
          <cell r="G47">
            <v>1.2831811927584285</v>
          </cell>
          <cell r="H47">
            <v>1.1861723263079826</v>
          </cell>
          <cell r="I47">
            <v>1.1967596067526565</v>
          </cell>
          <cell r="J47">
            <v>1.1173870646634214</v>
          </cell>
          <cell r="K47">
            <v>1.1347400870687807</v>
          </cell>
        </row>
        <row r="48">
          <cell r="B48" t="str">
            <v>OCF % Sales</v>
          </cell>
          <cell r="F48">
            <v>0.14161073825503356</v>
          </cell>
          <cell r="G48">
            <v>0.15762570614570615</v>
          </cell>
          <cell r="H48">
            <v>0.15505342873303168</v>
          </cell>
          <cell r="I48">
            <v>0.15752282567859491</v>
          </cell>
          <cell r="J48">
            <v>0.15076377099965568</v>
          </cell>
          <cell r="K48">
            <v>0.15388153641334351</v>
          </cell>
          <cell r="M48" t="str">
            <v>In-line with historical mid-teen OCF margins</v>
          </cell>
        </row>
        <row r="50">
          <cell r="B50" t="str">
            <v>Capex</v>
          </cell>
          <cell r="F50">
            <v>-153</v>
          </cell>
          <cell r="G50">
            <v>-135</v>
          </cell>
          <cell r="H50">
            <v>-150</v>
          </cell>
          <cell r="I50">
            <v>-160</v>
          </cell>
          <cell r="J50">
            <v>-170</v>
          </cell>
          <cell r="K50">
            <v>-180</v>
          </cell>
        </row>
        <row r="51">
          <cell r="B51" t="str">
            <v>Free Cash Flow</v>
          </cell>
          <cell r="F51">
            <v>480</v>
          </cell>
          <cell r="G51">
            <v>609.7814615384616</v>
          </cell>
          <cell r="H51">
            <v>640.77248653846152</v>
          </cell>
          <cell r="I51">
            <v>700.07462820512819</v>
          </cell>
          <cell r="J51">
            <v>711.96806034798567</v>
          </cell>
          <cell r="K51">
            <v>769.44907967032941</v>
          </cell>
        </row>
        <row r="53">
          <cell r="B53" t="str">
            <v>Capex % Sales</v>
          </cell>
          <cell r="F53">
            <v>3.4228187919463089E-2</v>
          </cell>
          <cell r="G53">
            <v>2.8571428571428571E-2</v>
          </cell>
          <cell r="H53">
            <v>2.9411764705882353E-2</v>
          </cell>
          <cell r="I53">
            <v>2.9304029304029304E-2</v>
          </cell>
          <cell r="J53">
            <v>2.9059829059829061E-2</v>
          </cell>
          <cell r="K53">
            <v>2.9173419773095625E-2</v>
          </cell>
          <cell r="M53" t="str">
            <v>2001-2009 avg of ~3% sales</v>
          </cell>
        </row>
        <row r="55">
          <cell r="B55" t="str">
            <v>Dividends</v>
          </cell>
          <cell r="F55">
            <v>-152</v>
          </cell>
          <cell r="G55">
            <v>-174.12539999999998</v>
          </cell>
          <cell r="H55">
            <v>-199.99770749999996</v>
          </cell>
          <cell r="I55">
            <v>-215.60084999999998</v>
          </cell>
          <cell r="J55">
            <v>-236.79387964285718</v>
          </cell>
          <cell r="K55">
            <v>-251.01318543956043</v>
          </cell>
        </row>
        <row r="56">
          <cell r="B56" t="str">
            <v>Discretionary Cash Flow</v>
          </cell>
          <cell r="F56">
            <v>328</v>
          </cell>
          <cell r="G56">
            <v>435.65606153846159</v>
          </cell>
          <cell r="H56">
            <v>440.77477903846159</v>
          </cell>
          <cell r="I56">
            <v>484.47377820512821</v>
          </cell>
          <cell r="J56">
            <v>475.17418070512849</v>
          </cell>
          <cell r="K56">
            <v>518.43589423076901</v>
          </cell>
        </row>
        <row r="58">
          <cell r="B58" t="str">
            <v>Dividend Payout Ratio</v>
          </cell>
          <cell r="F58">
            <v>0.25589225589225589</v>
          </cell>
          <cell r="G58">
            <v>0.3</v>
          </cell>
          <cell r="H58">
            <v>0.3</v>
          </cell>
          <cell r="I58">
            <v>0.3</v>
          </cell>
          <cell r="J58">
            <v>0.3</v>
          </cell>
          <cell r="K58">
            <v>0.3</v>
          </cell>
          <cell r="M58">
            <v>0.21424672489082969</v>
          </cell>
        </row>
        <row r="60">
          <cell r="B60" t="str">
            <v>Assumed Share Repurchase</v>
          </cell>
          <cell r="F60">
            <v>-153</v>
          </cell>
          <cell r="G60">
            <v>-200</v>
          </cell>
          <cell r="H60">
            <v>-250</v>
          </cell>
          <cell r="I60">
            <v>-300</v>
          </cell>
          <cell r="J60">
            <v>-350</v>
          </cell>
          <cell r="K60">
            <v>-400</v>
          </cell>
        </row>
        <row r="61">
          <cell r="B61" t="str">
            <v>Remaining Free Cash Flow</v>
          </cell>
          <cell r="F61">
            <v>175</v>
          </cell>
          <cell r="G61">
            <v>235.65606153846159</v>
          </cell>
          <cell r="H61">
            <v>190.77477903846159</v>
          </cell>
          <cell r="I61">
            <v>184.47377820512821</v>
          </cell>
          <cell r="J61">
            <v>125.17418070512849</v>
          </cell>
          <cell r="K61">
            <v>118.43589423076901</v>
          </cell>
        </row>
        <row r="63">
          <cell r="F63">
            <v>235</v>
          </cell>
          <cell r="G63">
            <v>470.65606153846159</v>
          </cell>
          <cell r="H63">
            <v>661.43084057692317</v>
          </cell>
          <cell r="I63">
            <v>845.90461878205133</v>
          </cell>
          <cell r="J63">
            <v>971.07879948717982</v>
          </cell>
          <cell r="K63">
            <v>1089.5146937179488</v>
          </cell>
        </row>
        <row r="64">
          <cell r="G64">
            <v>234.65606153846159</v>
          </cell>
          <cell r="H64">
            <v>190.7747790384617</v>
          </cell>
          <cell r="I64">
            <v>184.47377820512816</v>
          </cell>
          <cell r="J64">
            <v>125.17418070512861</v>
          </cell>
          <cell r="K64">
            <v>118.43589423076912</v>
          </cell>
        </row>
        <row r="66">
          <cell r="G66">
            <v>159</v>
          </cell>
          <cell r="H66">
            <v>157</v>
          </cell>
          <cell r="I66">
            <v>153</v>
          </cell>
          <cell r="J66">
            <v>151.47</v>
          </cell>
          <cell r="K66">
            <v>149.95529999999999</v>
          </cell>
        </row>
        <row r="68">
          <cell r="G68">
            <v>4.6841601354620224</v>
          </cell>
          <cell r="H68">
            <v>5.0367674301812837</v>
          </cell>
          <cell r="I68">
            <v>5.6214027987263284</v>
          </cell>
          <cell r="J68">
            <v>5.8227243701590128</v>
          </cell>
          <cell r="K68">
            <v>6.3315473322405369</v>
          </cell>
        </row>
        <row r="69">
          <cell r="G69">
            <v>3.8351035316884379</v>
          </cell>
          <cell r="H69">
            <v>4.08135341744243</v>
          </cell>
          <cell r="I69">
            <v>4.5756511647393996</v>
          </cell>
          <cell r="J69">
            <v>4.7003899144912236</v>
          </cell>
          <cell r="K69">
            <v>5.1311896256439713</v>
          </cell>
        </row>
        <row r="71">
          <cell r="F71">
            <v>62.62</v>
          </cell>
          <cell r="G71">
            <v>7.4802940521590908E-2</v>
          </cell>
          <cell r="H71">
            <v>8.0433845898774892E-2</v>
          </cell>
          <cell r="I71">
            <v>8.9770086214090203E-2</v>
          </cell>
          <cell r="J71">
            <v>9.298505861001298E-2</v>
          </cell>
          <cell r="K71">
            <v>0.10111062491600986</v>
          </cell>
        </row>
        <row r="72">
          <cell r="G72">
            <v>6.1244067896653431E-2</v>
          </cell>
          <cell r="H72">
            <v>6.5176515768802776E-2</v>
          </cell>
          <cell r="I72">
            <v>7.3070123997754713E-2</v>
          </cell>
          <cell r="J72">
            <v>7.5062119362683227E-2</v>
          </cell>
          <cell r="K72">
            <v>8.1941705934908515E-2</v>
          </cell>
        </row>
        <row r="74">
          <cell r="G74">
            <v>4.4800000000000004</v>
          </cell>
          <cell r="H74">
            <v>4.95</v>
          </cell>
          <cell r="I74">
            <v>5.38</v>
          </cell>
        </row>
        <row r="75">
          <cell r="G75">
            <v>3.29</v>
          </cell>
          <cell r="H75">
            <v>3.99</v>
          </cell>
          <cell r="I75">
            <v>4.4400000000000004</v>
          </cell>
        </row>
        <row r="77">
          <cell r="G77">
            <v>4.5571458808487009E-2</v>
          </cell>
          <cell r="H77">
            <v>1.7528773773996642E-2</v>
          </cell>
          <cell r="I77">
            <v>4.487040868519121E-2</v>
          </cell>
        </row>
        <row r="78">
          <cell r="G78">
            <v>0.16568496403903876</v>
          </cell>
          <cell r="H78">
            <v>2.2895593343967402E-2</v>
          </cell>
          <cell r="I78">
            <v>3.0552064130495271E-2</v>
          </cell>
        </row>
        <row r="81">
          <cell r="F81">
            <v>3.8143036386449181</v>
          </cell>
          <cell r="G81">
            <v>3.6463396226415097</v>
          </cell>
          <cell r="H81">
            <v>4.2462358280254771</v>
          </cell>
          <cell r="I81">
            <v>4.6971862745098036</v>
          </cell>
          <cell r="J81">
            <v>5.2110182355770602</v>
          </cell>
          <cell r="K81">
            <v>5.5797335481431345</v>
          </cell>
        </row>
        <row r="82">
          <cell r="G82">
            <v>18</v>
          </cell>
          <cell r="H82">
            <v>18</v>
          </cell>
          <cell r="I82">
            <v>18</v>
          </cell>
          <cell r="J82">
            <v>18</v>
          </cell>
          <cell r="K82">
            <v>18</v>
          </cell>
        </row>
        <row r="83">
          <cell r="F83">
            <v>50</v>
          </cell>
          <cell r="G83">
            <v>65.634113207547173</v>
          </cell>
          <cell r="H83">
            <v>76.432244904458585</v>
          </cell>
          <cell r="I83">
            <v>84.549352941176465</v>
          </cell>
          <cell r="J83">
            <v>93.798328240387079</v>
          </cell>
          <cell r="K83">
            <v>100.43520386657642</v>
          </cell>
        </row>
        <row r="86">
          <cell r="F86">
            <v>-2.1485573971761762E-2</v>
          </cell>
          <cell r="G86">
            <v>-2.5094102885822034E-3</v>
          </cell>
          <cell r="H86">
            <v>-1.2578616352201255E-2</v>
          </cell>
          <cell r="I86">
            <v>-2.5477707006369421E-2</v>
          </cell>
          <cell r="J86">
            <v>-1.0000000000000009E-2</v>
          </cell>
          <cell r="K86">
            <v>-1.0000000000000009E-2</v>
          </cell>
        </row>
        <row r="87">
          <cell r="F87">
            <v>-350</v>
          </cell>
          <cell r="G87">
            <v>-52.507290566038485</v>
          </cell>
          <cell r="H87">
            <v>-305.72897961783434</v>
          </cell>
          <cell r="I87">
            <v>-676.39482352941172</v>
          </cell>
          <cell r="J87">
            <v>-287.02288441558466</v>
          </cell>
          <cell r="K87">
            <v>-304.25840659340759</v>
          </cell>
        </row>
        <row r="96">
          <cell r="D96">
            <v>235</v>
          </cell>
          <cell r="E96">
            <v>609.7814615384616</v>
          </cell>
          <cell r="F96">
            <v>640.77248653846152</v>
          </cell>
          <cell r="G96">
            <v>700.07462820512819</v>
          </cell>
          <cell r="H96">
            <v>2185.6285762820512</v>
          </cell>
          <cell r="I96">
            <v>-531</v>
          </cell>
          <cell r="J96">
            <v>1654.6285762820512</v>
          </cell>
        </row>
        <row r="103">
          <cell r="E103">
            <v>3.52</v>
          </cell>
          <cell r="F103">
            <v>3.95</v>
          </cell>
          <cell r="G103">
            <v>4.51</v>
          </cell>
        </row>
        <row r="104">
          <cell r="E104">
            <v>559</v>
          </cell>
          <cell r="F104">
            <v>621</v>
          </cell>
          <cell r="G104">
            <v>699</v>
          </cell>
        </row>
        <row r="105">
          <cell r="E105">
            <v>158.80681818181819</v>
          </cell>
          <cell r="F105">
            <v>157.21518987341773</v>
          </cell>
          <cell r="G105">
            <v>154.9889135254989</v>
          </cell>
        </row>
        <row r="107">
          <cell r="E107">
            <v>159</v>
          </cell>
          <cell r="F107">
            <v>157</v>
          </cell>
          <cell r="G107">
            <v>153</v>
          </cell>
        </row>
        <row r="109">
          <cell r="E109">
            <v>3.5157232704402515</v>
          </cell>
          <cell r="F109">
            <v>3.9554140127388533</v>
          </cell>
          <cell r="G109">
            <v>4.5686274509803919</v>
          </cell>
        </row>
        <row r="111">
          <cell r="E111">
            <v>580.41800000000001</v>
          </cell>
          <cell r="F111">
            <v>666.65902499999993</v>
          </cell>
          <cell r="G111">
            <v>718.66949999999997</v>
          </cell>
        </row>
        <row r="119">
          <cell r="D119">
            <v>2002</v>
          </cell>
          <cell r="E119">
            <v>2003</v>
          </cell>
          <cell r="F119">
            <v>2004</v>
          </cell>
          <cell r="G119">
            <v>2005</v>
          </cell>
          <cell r="H119">
            <v>2006</v>
          </cell>
          <cell r="I119" t="str">
            <v>2007</v>
          </cell>
          <cell r="J119">
            <v>2008</v>
          </cell>
          <cell r="K119" t="str">
            <v>2009A</v>
          </cell>
          <cell r="L119" t="str">
            <v>2010E</v>
          </cell>
          <cell r="M119" t="str">
            <v>2011E</v>
          </cell>
          <cell r="N119" t="str">
            <v>2012E</v>
          </cell>
        </row>
        <row r="120">
          <cell r="D120">
            <v>102</v>
          </cell>
          <cell r="E120">
            <v>154</v>
          </cell>
          <cell r="F120">
            <v>179</v>
          </cell>
          <cell r="G120">
            <v>498</v>
          </cell>
          <cell r="H120">
            <v>492</v>
          </cell>
          <cell r="I120">
            <v>333</v>
          </cell>
          <cell r="J120">
            <v>576</v>
          </cell>
          <cell r="K120">
            <v>153</v>
          </cell>
          <cell r="L120">
            <v>200</v>
          </cell>
          <cell r="M120">
            <v>250</v>
          </cell>
          <cell r="N120">
            <v>300</v>
          </cell>
        </row>
        <row r="121">
          <cell r="D121">
            <v>1.6567796610169492</v>
          </cell>
          <cell r="E121">
            <v>1.1705426356589148</v>
          </cell>
          <cell r="F121">
            <v>1.0199335548172757</v>
          </cell>
          <cell r="G121">
            <v>1.1313131313131313</v>
          </cell>
          <cell r="H121">
            <v>0.9454926624737946</v>
          </cell>
          <cell r="I121">
            <v>0.82393162393162389</v>
          </cell>
          <cell r="J121">
            <v>0.66224188790560468</v>
          </cell>
          <cell r="K121">
            <v>0.80808080808080807</v>
          </cell>
          <cell r="L121">
            <v>1.0505901979925873</v>
          </cell>
          <cell r="M121">
            <v>0.96116974721591997</v>
          </cell>
          <cell r="N121">
            <v>0.97412597613385321</v>
          </cell>
        </row>
        <row r="153">
          <cell r="D153">
            <v>2002</v>
          </cell>
          <cell r="E153">
            <v>2003</v>
          </cell>
          <cell r="F153">
            <v>2004</v>
          </cell>
          <cell r="G153">
            <v>2005</v>
          </cell>
          <cell r="H153">
            <v>2006</v>
          </cell>
          <cell r="I153" t="str">
            <v>2007</v>
          </cell>
          <cell r="J153">
            <v>2008</v>
          </cell>
          <cell r="K153" t="str">
            <v>2009A</v>
          </cell>
          <cell r="L153" t="str">
            <v>2010E</v>
          </cell>
          <cell r="M153" t="str">
            <v>2011E</v>
          </cell>
          <cell r="N153" t="str">
            <v>2012E</v>
          </cell>
        </row>
        <row r="154">
          <cell r="C154" t="str">
            <v>% Net Income</v>
          </cell>
          <cell r="D154">
            <v>0.27966101694915252</v>
          </cell>
          <cell r="E154">
            <v>0.24806201550387597</v>
          </cell>
          <cell r="F154">
            <v>0.2292358803986711</v>
          </cell>
          <cell r="G154">
            <v>0.21464646464646464</v>
          </cell>
          <cell r="H154">
            <v>0.20125786163522014</v>
          </cell>
          <cell r="I154">
            <v>0.18290598290598289</v>
          </cell>
          <cell r="J154">
            <v>0.19026548672566371</v>
          </cell>
          <cell r="K154">
            <v>0.25589225589225589</v>
          </cell>
          <cell r="L154">
            <v>0.3</v>
          </cell>
          <cell r="M154">
            <v>0.3</v>
          </cell>
          <cell r="N154">
            <v>0.3</v>
          </cell>
        </row>
        <row r="155">
          <cell r="C155" t="str">
            <v>% FCF</v>
          </cell>
          <cell r="D155">
            <v>0.16879795396419436</v>
          </cell>
          <cell r="E155">
            <v>0.2119205298013245</v>
          </cell>
          <cell r="F155">
            <v>0.22475570032573289</v>
          </cell>
          <cell r="G155">
            <v>0.18973214285714285</v>
          </cell>
          <cell r="H155">
            <v>0.21286031042128603</v>
          </cell>
          <cell r="I155">
            <v>0.22199170124481327</v>
          </cell>
          <cell r="J155">
            <v>0.28730512249443207</v>
          </cell>
          <cell r="K155">
            <v>0.31666666666666665</v>
          </cell>
          <cell r="L155">
            <v>0.28555377784146874</v>
          </cell>
          <cell r="M155">
            <v>0.31211968631864051</v>
          </cell>
          <cell r="N155">
            <v>0.30796838124638759</v>
          </cell>
        </row>
      </sheetData>
      <sheetData sheetId="19" refreshError="1"/>
      <sheetData sheetId="20" refreshError="1"/>
      <sheetData sheetId="21" refreshError="1"/>
      <sheetData sheetId="22" refreshError="1">
        <row r="2">
          <cell r="B2" t="str">
            <v>Newly announced 2010 Guidance in-line with Prior MS Forecast</v>
          </cell>
        </row>
        <row r="4">
          <cell r="C4" t="str">
            <v>COL Guidance</v>
          </cell>
          <cell r="D4" t="str">
            <v xml:space="preserve">MSe </v>
          </cell>
        </row>
        <row r="5">
          <cell r="B5" t="str">
            <v>Total Sales ($B)</v>
          </cell>
          <cell r="C5" t="str">
            <v>$4.6 - 4.8</v>
          </cell>
          <cell r="D5">
            <v>4.7249999999999996</v>
          </cell>
        </row>
        <row r="6">
          <cell r="B6" t="str">
            <v>Segment Operating Margin (%)</v>
          </cell>
          <cell r="C6" t="str">
            <v>18.5 - 19.5%</v>
          </cell>
          <cell r="D6">
            <v>0.19882328042328043</v>
          </cell>
        </row>
        <row r="7">
          <cell r="B7" t="str">
            <v>EPS</v>
          </cell>
          <cell r="C7" t="str">
            <v>$3.35 - 3.55</v>
          </cell>
          <cell r="D7">
            <v>3.6463396226415097</v>
          </cell>
        </row>
        <row r="11">
          <cell r="B11" t="str">
            <v>CFO ($MM)</v>
          </cell>
          <cell r="C11" t="str">
            <v>$600 - 700</v>
          </cell>
          <cell r="D11">
            <v>744.7814615384616</v>
          </cell>
        </row>
        <row r="12">
          <cell r="B12" t="str">
            <v>Capex ($MM)</v>
          </cell>
          <cell r="C12">
            <v>135</v>
          </cell>
          <cell r="D12">
            <v>135</v>
          </cell>
        </row>
        <row r="13">
          <cell r="B13" t="str">
            <v>FCF ($MM)</v>
          </cell>
          <cell r="C13" t="str">
            <v>$465 - 565</v>
          </cell>
          <cell r="D13">
            <v>609.7814615384616</v>
          </cell>
        </row>
        <row r="21">
          <cell r="H21">
            <v>2001</v>
          </cell>
          <cell r="I21">
            <v>2002</v>
          </cell>
          <cell r="J21">
            <v>2003</v>
          </cell>
          <cell r="K21">
            <v>2004</v>
          </cell>
          <cell r="L21">
            <v>2005</v>
          </cell>
          <cell r="M21">
            <v>2006</v>
          </cell>
          <cell r="N21" t="str">
            <v>2007</v>
          </cell>
          <cell r="O21">
            <v>2008</v>
          </cell>
          <cell r="P21" t="str">
            <v>2009A</v>
          </cell>
          <cell r="Q21" t="str">
            <v>2010E</v>
          </cell>
          <cell r="R21" t="str">
            <v>2011E</v>
          </cell>
          <cell r="S21" t="str">
            <v>2012E</v>
          </cell>
        </row>
        <row r="22">
          <cell r="G22" t="str">
            <v>Commercial</v>
          </cell>
          <cell r="H22">
            <v>0.37872340425531914</v>
          </cell>
          <cell r="I22">
            <v>0.4474317817014446</v>
          </cell>
          <cell r="J22">
            <v>0.49960660896931552</v>
          </cell>
          <cell r="K22">
            <v>0.52389078498293518</v>
          </cell>
          <cell r="L22">
            <v>0.52539912917271403</v>
          </cell>
          <cell r="M22">
            <v>0.5288635775304168</v>
          </cell>
          <cell r="N22">
            <v>0.50532276330690828</v>
          </cell>
          <cell r="O22">
            <v>0.49612078003774374</v>
          </cell>
          <cell r="P22">
            <v>0.57695749440715882</v>
          </cell>
          <cell r="Q22">
            <v>0.61375661375661372</v>
          </cell>
          <cell r="R22">
            <v>0.59803921568627449</v>
          </cell>
          <cell r="S22">
            <v>0.58608058608058611</v>
          </cell>
        </row>
        <row r="23">
          <cell r="G23" t="str">
            <v>Government</v>
          </cell>
          <cell r="H23">
            <v>0.62127659574468086</v>
          </cell>
          <cell r="I23">
            <v>0.5525682182985554</v>
          </cell>
          <cell r="J23">
            <v>0.50039339103068448</v>
          </cell>
          <cell r="K23">
            <v>0.47610921501706482</v>
          </cell>
          <cell r="L23">
            <v>0.47460087082728591</v>
          </cell>
          <cell r="M23">
            <v>0.4711364224695832</v>
          </cell>
          <cell r="N23">
            <v>0.49467723669309172</v>
          </cell>
          <cell r="O23">
            <v>0.50387921996225626</v>
          </cell>
          <cell r="P23">
            <v>0.42304250559284118</v>
          </cell>
          <cell r="Q23">
            <v>0.38624338624338622</v>
          </cell>
          <cell r="R23">
            <v>0.40196078431372551</v>
          </cell>
          <cell r="S23">
            <v>0.41391941391941389</v>
          </cell>
        </row>
      </sheetData>
      <sheetData sheetId="23" refreshError="1"/>
      <sheetData sheetId="24" refreshError="1">
        <row r="1">
          <cell r="A1" t="str">
            <v>RRS-5.13</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COL.N</v>
          </cell>
          <cell r="E4" t="str">
            <v>Company Name:</v>
          </cell>
          <cell r="F4" t="str">
            <v>Rockwell Collins</v>
          </cell>
          <cell r="I4" t="str">
            <v>Sedol:</v>
          </cell>
          <cell r="J4">
            <v>2767228</v>
          </cell>
          <cell r="K4">
            <v>2767228</v>
          </cell>
        </row>
        <row r="5">
          <cell r="B5" t="str">
            <v xml:space="preserve">Chart Data Inputs (decimal formats will reflect on chart): </v>
          </cell>
          <cell r="H5" t="str">
            <v>Risk Reward Chart Gallery 
(Click on the below image for other Risk-Reward Charts)</v>
          </cell>
        </row>
        <row r="6">
          <cell r="B6" t="str">
            <v>Bull Case</v>
          </cell>
          <cell r="C6">
            <v>90</v>
          </cell>
          <cell r="AA6" t="str">
            <v>mstag:bullCaseValueEstimatePerShare</v>
          </cell>
          <cell r="AB6">
            <v>0</v>
          </cell>
          <cell r="AC6" t="str">
            <v>ISO4217:USD</v>
          </cell>
          <cell r="AD6" t="b">
            <v>0</v>
          </cell>
        </row>
        <row r="7">
          <cell r="B7" t="str">
            <v>Base Case</v>
          </cell>
          <cell r="C7">
            <v>80</v>
          </cell>
          <cell r="AA7" t="str">
            <v>mstag:met_12monthIntrinsicValueEstimate</v>
          </cell>
          <cell r="AB7">
            <v>0</v>
          </cell>
          <cell r="AC7" t="str">
            <v>ISO4217:USD</v>
          </cell>
          <cell r="AD7" t="b">
            <v>0</v>
          </cell>
        </row>
        <row r="8">
          <cell r="B8" t="str">
            <v>Bear Case</v>
          </cell>
          <cell r="C8">
            <v>50</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80</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WARNINGDONOTEDIT_RRS4RL~COL.N~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39547</v>
          </cell>
          <cell r="E15" t="str">
            <v>NA</v>
          </cell>
          <cell r="F15" t="str">
            <v>USD</v>
          </cell>
        </row>
        <row r="16">
          <cell r="B16" t="str">
            <v>End Date (+1 Yr)</v>
          </cell>
          <cell r="C16">
            <v>40642</v>
          </cell>
          <cell r="E16" t="str">
            <v>USD</v>
          </cell>
          <cell r="F16" t="str">
            <v>USD</v>
          </cell>
        </row>
        <row r="17">
          <cell r="B17">
            <v>63.51</v>
          </cell>
          <cell r="C17" t="str">
            <v>Hand entert Share Price</v>
          </cell>
          <cell r="H17" t="str">
            <v>2007-FY</v>
          </cell>
        </row>
        <row r="18">
          <cell r="B18" t="b">
            <v>0</v>
          </cell>
          <cell r="C18">
            <v>40277</v>
          </cell>
        </row>
        <row r="19">
          <cell r="C19" t="str">
            <v>2010-FY</v>
          </cell>
        </row>
        <row r="34">
          <cell r="A34" t="str">
            <v>BullCase</v>
          </cell>
        </row>
        <row r="52">
          <cell r="A52">
            <v>40642</v>
          </cell>
          <cell r="B52">
            <v>758</v>
          </cell>
          <cell r="N52" t="str">
            <v>Apr-11</v>
          </cell>
          <cell r="O52" t="str">
            <v>Dec-12</v>
          </cell>
          <cell r="P52" t="str">
            <v>Base Case  (Dec-12)</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Price(Apr-11)</v>
          </cell>
          <cell r="K53" t="str">
            <v>Bull Price(Apr-11)</v>
          </cell>
          <cell r="L53" t="str">
            <v>Bear Price(Apr-11)</v>
          </cell>
          <cell r="M53" t="str">
            <v>Extreme Downside Price(Apr-11)</v>
          </cell>
          <cell r="N53" t="str">
            <v>Price Target (Apr-11)</v>
          </cell>
          <cell r="O53" t="str">
            <v>Gray Line</v>
          </cell>
          <cell r="P53" t="str">
            <v>Prices</v>
          </cell>
          <cell r="Q53" t="str">
            <v>Volume</v>
          </cell>
          <cell r="R53" t="str">
            <v>Base Case(Apr-11)</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39547</v>
          </cell>
          <cell r="B54">
            <v>39547</v>
          </cell>
          <cell r="C54" t="str">
            <v>Past</v>
          </cell>
          <cell r="D54">
            <v>63.2</v>
          </cell>
          <cell r="E54" t="e">
            <v>#N/A</v>
          </cell>
          <cell r="F54" t="e">
            <v>#N/A</v>
          </cell>
          <cell r="G54" t="e">
            <v>#N/A</v>
          </cell>
          <cell r="H54" t="e">
            <v>#N/A</v>
          </cell>
          <cell r="I54" t="e">
            <v>#N/A</v>
          </cell>
          <cell r="J54" t="e">
            <v>#N/A</v>
          </cell>
          <cell r="K54" t="e">
            <v>#N/A</v>
          </cell>
          <cell r="L54" t="e">
            <v>#N/A</v>
          </cell>
          <cell r="M54" t="e">
            <v>#N/A</v>
          </cell>
          <cell r="N54" t="e">
            <v>#N/A</v>
          </cell>
          <cell r="O54" t="e">
            <v>#N/A</v>
          </cell>
          <cell r="P54">
            <v>63.2</v>
          </cell>
          <cell r="Q54">
            <v>2.3414999999999999</v>
          </cell>
          <cell r="R54" t="e">
            <v>#N/A</v>
          </cell>
          <cell r="S54" t="str">
            <v>Count</v>
          </cell>
          <cell r="T54">
            <v>758</v>
          </cell>
          <cell r="U54">
            <v>90</v>
          </cell>
          <cell r="AI54" t="str">
            <v>AED UAE Dirham</v>
          </cell>
          <cell r="AJ54" t="str">
            <v>AED</v>
          </cell>
          <cell r="AK54" t="str">
            <v>AED</v>
          </cell>
          <cell r="AL54" t="str">
            <v>AED</v>
          </cell>
          <cell r="AM54">
            <v>0</v>
          </cell>
          <cell r="AN54">
            <v>2</v>
          </cell>
        </row>
        <row r="55">
          <cell r="A55">
            <v>39548</v>
          </cell>
          <cell r="B55">
            <v>39548</v>
          </cell>
          <cell r="C55" t="str">
            <v>Past</v>
          </cell>
          <cell r="D55">
            <v>63.26</v>
          </cell>
          <cell r="E55" t="e">
            <v>#N/A</v>
          </cell>
          <cell r="F55" t="e">
            <v>#N/A</v>
          </cell>
          <cell r="G55" t="e">
            <v>#N/A</v>
          </cell>
          <cell r="H55" t="e">
            <v>#N/A</v>
          </cell>
          <cell r="I55" t="e">
            <v>#N/A</v>
          </cell>
          <cell r="J55" t="e">
            <v>#N/A</v>
          </cell>
          <cell r="K55" t="e">
            <v>#N/A</v>
          </cell>
          <cell r="L55" t="e">
            <v>#N/A</v>
          </cell>
          <cell r="M55" t="e">
            <v>#N/A</v>
          </cell>
          <cell r="N55" t="e">
            <v>#N/A</v>
          </cell>
          <cell r="O55" t="e">
            <v>#N/A</v>
          </cell>
          <cell r="P55">
            <v>63.26</v>
          </cell>
          <cell r="Q55">
            <v>1.0905669999999998</v>
          </cell>
          <cell r="R55" t="e">
            <v>#N/A</v>
          </cell>
          <cell r="S55" t="str">
            <v>Curr Price</v>
          </cell>
          <cell r="T55">
            <v>63.51</v>
          </cell>
          <cell r="U55">
            <v>505</v>
          </cell>
          <cell r="V55">
            <v>26.288689999999999</v>
          </cell>
          <cell r="AI55" t="str">
            <v>ARS Argentinian Pesos</v>
          </cell>
          <cell r="AJ55" t="str">
            <v>Ar$</v>
          </cell>
          <cell r="AK55" t="str">
            <v>ARS</v>
          </cell>
          <cell r="AL55" t="str">
            <v>ARS</v>
          </cell>
          <cell r="AM55">
            <v>0</v>
          </cell>
          <cell r="AN55">
            <v>2</v>
          </cell>
        </row>
        <row r="56">
          <cell r="A56">
            <v>39549</v>
          </cell>
          <cell r="B56">
            <v>39549</v>
          </cell>
          <cell r="C56" t="str">
            <v>Past</v>
          </cell>
          <cell r="D56">
            <v>61.67</v>
          </cell>
          <cell r="E56" t="e">
            <v>#N/A</v>
          </cell>
          <cell r="F56" t="e">
            <v>#N/A</v>
          </cell>
          <cell r="G56" t="e">
            <v>#N/A</v>
          </cell>
          <cell r="H56" t="e">
            <v>#N/A</v>
          </cell>
          <cell r="I56" t="e">
            <v>#N/A</v>
          </cell>
          <cell r="J56" t="e">
            <v>#N/A</v>
          </cell>
          <cell r="K56" t="e">
            <v>#N/A</v>
          </cell>
          <cell r="L56" t="e">
            <v>#N/A</v>
          </cell>
          <cell r="M56" t="e">
            <v>#N/A</v>
          </cell>
          <cell r="N56" t="e">
            <v>#N/A</v>
          </cell>
          <cell r="O56" t="e">
            <v>#N/A</v>
          </cell>
          <cell r="P56">
            <v>61.67</v>
          </cell>
          <cell r="Q56">
            <v>0.87271799999999999</v>
          </cell>
          <cell r="R56" t="e">
            <v>#N/A</v>
          </cell>
          <cell r="S56" t="str">
            <v>Curr Price Date</v>
          </cell>
          <cell r="T56">
            <v>40277</v>
          </cell>
          <cell r="U56">
            <v>40274.855555555558</v>
          </cell>
          <cell r="AI56" t="str">
            <v>AUD Australian Dollar</v>
          </cell>
          <cell r="AJ56" t="str">
            <v>A$</v>
          </cell>
          <cell r="AK56" t="str">
            <v>AUD</v>
          </cell>
          <cell r="AL56" t="str">
            <v>AUD</v>
          </cell>
          <cell r="AM56">
            <v>0</v>
          </cell>
          <cell r="AN56">
            <v>2</v>
          </cell>
        </row>
        <row r="57">
          <cell r="A57">
            <v>39552</v>
          </cell>
          <cell r="B57">
            <v>39552</v>
          </cell>
          <cell r="C57" t="str">
            <v>Past</v>
          </cell>
          <cell r="D57">
            <v>62.51</v>
          </cell>
          <cell r="E57" t="e">
            <v>#N/A</v>
          </cell>
          <cell r="F57" t="e">
            <v>#N/A</v>
          </cell>
          <cell r="G57" t="e">
            <v>#N/A</v>
          </cell>
          <cell r="H57" t="e">
            <v>#N/A</v>
          </cell>
          <cell r="I57" t="e">
            <v>#N/A</v>
          </cell>
          <cell r="J57" t="e">
            <v>#N/A</v>
          </cell>
          <cell r="K57" t="e">
            <v>#N/A</v>
          </cell>
          <cell r="L57" t="e">
            <v>#N/A</v>
          </cell>
          <cell r="M57" t="e">
            <v>#N/A</v>
          </cell>
          <cell r="N57" t="e">
            <v>#N/A</v>
          </cell>
          <cell r="O57" t="e">
            <v>#N/A</v>
          </cell>
          <cell r="P57">
            <v>62.51</v>
          </cell>
          <cell r="Q57">
            <v>1.0499369999999999</v>
          </cell>
          <cell r="R57" t="e">
            <v>#N/A</v>
          </cell>
          <cell r="S57" t="str">
            <v>Bull-Curr</v>
          </cell>
          <cell r="T57">
            <v>26.490000000000002</v>
          </cell>
          <cell r="U57">
            <v>0.10429133858267717</v>
          </cell>
          <cell r="AI57" t="str">
            <v>BGL Bulgarian levs</v>
          </cell>
          <cell r="AJ57" t="str">
            <v>BGL</v>
          </cell>
          <cell r="AK57" t="str">
            <v>BGL</v>
          </cell>
          <cell r="AL57" t="str">
            <v>BGN</v>
          </cell>
          <cell r="AM57">
            <v>0</v>
          </cell>
          <cell r="AN57">
            <v>2</v>
          </cell>
        </row>
        <row r="58">
          <cell r="A58">
            <v>39553</v>
          </cell>
          <cell r="B58">
            <v>39553</v>
          </cell>
          <cell r="C58" t="str">
            <v>Past</v>
          </cell>
          <cell r="D58">
            <v>61.41</v>
          </cell>
          <cell r="E58" t="e">
            <v>#N/A</v>
          </cell>
          <cell r="F58" t="e">
            <v>#N/A</v>
          </cell>
          <cell r="G58" t="e">
            <v>#N/A</v>
          </cell>
          <cell r="H58" t="e">
            <v>#N/A</v>
          </cell>
          <cell r="I58" t="e">
            <v>#N/A</v>
          </cell>
          <cell r="J58" t="e">
            <v>#N/A</v>
          </cell>
          <cell r="K58" t="e">
            <v>#N/A</v>
          </cell>
          <cell r="L58" t="e">
            <v>#N/A</v>
          </cell>
          <cell r="M58" t="e">
            <v>#N/A</v>
          </cell>
          <cell r="N58" t="e">
            <v>#N/A</v>
          </cell>
          <cell r="O58" t="e">
            <v>#N/A</v>
          </cell>
          <cell r="P58">
            <v>61.41</v>
          </cell>
          <cell r="Q58">
            <v>1.6427</v>
          </cell>
          <cell r="R58" t="e">
            <v>#N/A</v>
          </cell>
          <cell r="S58" t="str">
            <v>Upp-Cur</v>
          </cell>
          <cell r="T58">
            <v>-63.51</v>
          </cell>
          <cell r="U58">
            <v>-0.25003937007874016</v>
          </cell>
          <cell r="AI58" t="str">
            <v>BMD Bermudan Dollars</v>
          </cell>
          <cell r="AJ58" t="str">
            <v>BMD</v>
          </cell>
          <cell r="AK58" t="str">
            <v>BMD</v>
          </cell>
          <cell r="AL58" t="str">
            <v>BMD</v>
          </cell>
          <cell r="AM58">
            <v>0</v>
          </cell>
          <cell r="AN58">
            <v>2</v>
          </cell>
        </row>
        <row r="59">
          <cell r="A59">
            <v>39554</v>
          </cell>
          <cell r="B59">
            <v>39554</v>
          </cell>
          <cell r="C59" t="str">
            <v>Past</v>
          </cell>
          <cell r="D59">
            <v>62.4</v>
          </cell>
          <cell r="E59" t="e">
            <v>#N/A</v>
          </cell>
          <cell r="F59" t="e">
            <v>#N/A</v>
          </cell>
          <cell r="G59" t="e">
            <v>#N/A</v>
          </cell>
          <cell r="H59" t="e">
            <v>#N/A</v>
          </cell>
          <cell r="I59" t="e">
            <v>#N/A</v>
          </cell>
          <cell r="J59" t="e">
            <v>#N/A</v>
          </cell>
          <cell r="K59" t="e">
            <v>#N/A</v>
          </cell>
          <cell r="L59" t="e">
            <v>#N/A</v>
          </cell>
          <cell r="M59" t="e">
            <v>#N/A</v>
          </cell>
          <cell r="N59" t="e">
            <v>#N/A</v>
          </cell>
          <cell r="O59" t="e">
            <v>#N/A</v>
          </cell>
          <cell r="P59">
            <v>62.4</v>
          </cell>
          <cell r="Q59">
            <v>1.2424389999999998</v>
          </cell>
          <cell r="R59" t="e">
            <v>#N/A</v>
          </cell>
          <cell r="S59" t="str">
            <v>Curr-Bear</v>
          </cell>
          <cell r="T59">
            <v>13.509999999999998</v>
          </cell>
          <cell r="U59">
            <v>5.3188976377952751E-2</v>
          </cell>
          <cell r="AI59" t="str">
            <v>BRL Brazilian Real</v>
          </cell>
          <cell r="AJ59" t="str">
            <v>R$</v>
          </cell>
          <cell r="AK59" t="str">
            <v>BRL</v>
          </cell>
          <cell r="AL59" t="str">
            <v>BRL</v>
          </cell>
          <cell r="AM59">
            <v>0</v>
          </cell>
          <cell r="AN59">
            <v>2</v>
          </cell>
        </row>
        <row r="60">
          <cell r="A60">
            <v>39555</v>
          </cell>
          <cell r="B60">
            <v>39555</v>
          </cell>
          <cell r="C60" t="str">
            <v>Past</v>
          </cell>
          <cell r="D60">
            <v>62.01</v>
          </cell>
          <cell r="E60" t="e">
            <v>#N/A</v>
          </cell>
          <cell r="F60" t="e">
            <v>#N/A</v>
          </cell>
          <cell r="G60" t="e">
            <v>#N/A</v>
          </cell>
          <cell r="H60" t="e">
            <v>#N/A</v>
          </cell>
          <cell r="I60" t="e">
            <v>#N/A</v>
          </cell>
          <cell r="J60" t="e">
            <v>#N/A</v>
          </cell>
          <cell r="K60" t="e">
            <v>#N/A</v>
          </cell>
          <cell r="L60" t="e">
            <v>#N/A</v>
          </cell>
          <cell r="M60" t="e">
            <v>#N/A</v>
          </cell>
          <cell r="N60" t="e">
            <v>#N/A</v>
          </cell>
          <cell r="O60" t="e">
            <v>#N/A</v>
          </cell>
          <cell r="P60">
            <v>62.01</v>
          </cell>
          <cell r="Q60">
            <v>0.83691699999999991</v>
          </cell>
          <cell r="R60" t="e">
            <v>#N/A</v>
          </cell>
          <cell r="S60" t="str">
            <v>Curr-Lower</v>
          </cell>
          <cell r="T60">
            <v>63.51</v>
          </cell>
          <cell r="U60">
            <v>0.25003937007874016</v>
          </cell>
          <cell r="AI60" t="str">
            <v>CAD Canadian Dollars</v>
          </cell>
          <cell r="AJ60" t="str">
            <v>C$</v>
          </cell>
          <cell r="AK60" t="str">
            <v>CAD</v>
          </cell>
          <cell r="AL60" t="str">
            <v>CAD</v>
          </cell>
          <cell r="AM60">
            <v>0</v>
          </cell>
          <cell r="AN60">
            <v>2</v>
          </cell>
        </row>
        <row r="61">
          <cell r="A61">
            <v>39556</v>
          </cell>
          <cell r="B61">
            <v>39556</v>
          </cell>
          <cell r="C61" t="str">
            <v>Past</v>
          </cell>
          <cell r="D61">
            <v>63.66</v>
          </cell>
          <cell r="E61" t="e">
            <v>#N/A</v>
          </cell>
          <cell r="F61" t="e">
            <v>#N/A</v>
          </cell>
          <cell r="G61" t="e">
            <v>#N/A</v>
          </cell>
          <cell r="H61" t="e">
            <v>#N/A</v>
          </cell>
          <cell r="I61" t="e">
            <v>#N/A</v>
          </cell>
          <cell r="J61" t="e">
            <v>#N/A</v>
          </cell>
          <cell r="K61" t="e">
            <v>#N/A</v>
          </cell>
          <cell r="L61" t="e">
            <v>#N/A</v>
          </cell>
          <cell r="M61" t="e">
            <v>#N/A</v>
          </cell>
          <cell r="N61" t="e">
            <v>#N/A</v>
          </cell>
          <cell r="O61" t="e">
            <v>#N/A</v>
          </cell>
          <cell r="P61">
            <v>63.66</v>
          </cell>
          <cell r="Q61">
            <v>0.799095</v>
          </cell>
          <cell r="R61" t="e">
            <v>#N/A</v>
          </cell>
          <cell r="S61" t="str">
            <v>PriceFoundAt</v>
          </cell>
          <cell r="T61">
            <v>505</v>
          </cell>
          <cell r="AI61" t="str">
            <v>CHF Swiss Francs</v>
          </cell>
          <cell r="AJ61" t="str">
            <v>SFr</v>
          </cell>
          <cell r="AK61" t="str">
            <v>CHF</v>
          </cell>
          <cell r="AL61" t="str">
            <v>CHF</v>
          </cell>
          <cell r="AM61">
            <v>0</v>
          </cell>
          <cell r="AN61">
            <v>2</v>
          </cell>
        </row>
        <row r="62">
          <cell r="A62">
            <v>39559</v>
          </cell>
          <cell r="B62">
            <v>39559</v>
          </cell>
          <cell r="C62" t="str">
            <v>Past</v>
          </cell>
          <cell r="D62">
            <v>62.26</v>
          </cell>
          <cell r="E62" t="e">
            <v>#N/A</v>
          </cell>
          <cell r="F62" t="e">
            <v>#N/A</v>
          </cell>
          <cell r="G62" t="e">
            <v>#N/A</v>
          </cell>
          <cell r="H62" t="e">
            <v>#N/A</v>
          </cell>
          <cell r="I62" t="e">
            <v>#N/A</v>
          </cell>
          <cell r="J62" t="e">
            <v>#N/A</v>
          </cell>
          <cell r="K62" t="e">
            <v>#N/A</v>
          </cell>
          <cell r="L62" t="e">
            <v>#N/A</v>
          </cell>
          <cell r="M62" t="e">
            <v>#N/A</v>
          </cell>
          <cell r="N62" t="e">
            <v>#N/A</v>
          </cell>
          <cell r="O62" t="e">
            <v>#N/A</v>
          </cell>
          <cell r="P62">
            <v>62.26</v>
          </cell>
          <cell r="Q62">
            <v>1.2850429999999999</v>
          </cell>
          <cell r="R62" t="e">
            <v>#N/A</v>
          </cell>
          <cell r="S62" t="str">
            <v>Starting Point</v>
          </cell>
          <cell r="T62">
            <v>558</v>
          </cell>
          <cell r="AI62" t="str">
            <v>CLP Chilean Pesos</v>
          </cell>
          <cell r="AJ62" t="str">
            <v>CLP</v>
          </cell>
          <cell r="AK62" t="str">
            <v>CLP</v>
          </cell>
          <cell r="AL62" t="str">
            <v>CLP</v>
          </cell>
          <cell r="AM62">
            <v>0</v>
          </cell>
          <cell r="AN62">
            <v>2</v>
          </cell>
        </row>
        <row r="63">
          <cell r="A63">
            <v>39560</v>
          </cell>
          <cell r="B63">
            <v>39560</v>
          </cell>
          <cell r="C63" t="str">
            <v>Past</v>
          </cell>
          <cell r="D63">
            <v>61.42</v>
          </cell>
          <cell r="E63" t="e">
            <v>#N/A</v>
          </cell>
          <cell r="F63" t="e">
            <v>#N/A</v>
          </cell>
          <cell r="G63" t="e">
            <v>#N/A</v>
          </cell>
          <cell r="H63" t="e">
            <v>#N/A</v>
          </cell>
          <cell r="I63" t="e">
            <v>#N/A</v>
          </cell>
          <cell r="J63" t="e">
            <v>#N/A</v>
          </cell>
          <cell r="K63" t="e">
            <v>#N/A</v>
          </cell>
          <cell r="L63" t="e">
            <v>#N/A</v>
          </cell>
          <cell r="M63" t="e">
            <v>#N/A</v>
          </cell>
          <cell r="N63" t="e">
            <v>#N/A</v>
          </cell>
          <cell r="O63" t="e">
            <v>#N/A</v>
          </cell>
          <cell r="P63">
            <v>61.42</v>
          </cell>
          <cell r="Q63">
            <v>0.88567399999999996</v>
          </cell>
          <cell r="R63" t="e">
            <v>#N/A</v>
          </cell>
          <cell r="S63" t="str">
            <v>Saved</v>
          </cell>
          <cell r="T63">
            <v>254</v>
          </cell>
          <cell r="AI63" t="str">
            <v>CNY Chinese Renminbi Yuan</v>
          </cell>
          <cell r="AJ63" t="str">
            <v>Rmb</v>
          </cell>
          <cell r="AK63" t="str">
            <v>CNY</v>
          </cell>
          <cell r="AL63" t="str">
            <v>CNY</v>
          </cell>
          <cell r="AM63">
            <v>0</v>
          </cell>
          <cell r="AN63">
            <v>2</v>
          </cell>
        </row>
        <row r="64">
          <cell r="A64">
            <v>39561</v>
          </cell>
          <cell r="B64">
            <v>39561</v>
          </cell>
          <cell r="C64" t="str">
            <v>Past</v>
          </cell>
          <cell r="D64">
            <v>62.49</v>
          </cell>
          <cell r="E64" t="e">
            <v>#N/A</v>
          </cell>
          <cell r="F64" t="e">
            <v>#N/A</v>
          </cell>
          <cell r="G64" t="e">
            <v>#N/A</v>
          </cell>
          <cell r="H64" t="e">
            <v>#N/A</v>
          </cell>
          <cell r="I64" t="e">
            <v>#N/A</v>
          </cell>
          <cell r="J64" t="e">
            <v>#N/A</v>
          </cell>
          <cell r="K64" t="e">
            <v>#N/A</v>
          </cell>
          <cell r="L64" t="e">
            <v>#N/A</v>
          </cell>
          <cell r="M64" t="e">
            <v>#N/A</v>
          </cell>
          <cell r="N64" t="e">
            <v>#N/A</v>
          </cell>
          <cell r="O64" t="e">
            <v>#N/A</v>
          </cell>
          <cell r="P64">
            <v>62.49</v>
          </cell>
          <cell r="Q64">
            <v>1.2205809999999999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39562</v>
          </cell>
          <cell r="B65">
            <v>39562</v>
          </cell>
          <cell r="C65" t="str">
            <v>Past</v>
          </cell>
          <cell r="D65">
            <v>62.36</v>
          </cell>
          <cell r="E65" t="e">
            <v>#N/A</v>
          </cell>
          <cell r="F65" t="e">
            <v>#N/A</v>
          </cell>
          <cell r="G65" t="e">
            <v>#N/A</v>
          </cell>
          <cell r="H65" t="e">
            <v>#N/A</v>
          </cell>
          <cell r="I65" t="e">
            <v>#N/A</v>
          </cell>
          <cell r="J65" t="e">
            <v>#N/A</v>
          </cell>
          <cell r="K65" t="e">
            <v>#N/A</v>
          </cell>
          <cell r="L65" t="e">
            <v>#N/A</v>
          </cell>
          <cell r="M65" t="e">
            <v>#N/A</v>
          </cell>
          <cell r="N65" t="e">
            <v>#N/A</v>
          </cell>
          <cell r="O65" t="e">
            <v>#N/A</v>
          </cell>
          <cell r="P65">
            <v>62.36</v>
          </cell>
          <cell r="Q65">
            <v>1.5931579999999999</v>
          </cell>
          <cell r="R65" t="e">
            <v>#N/A</v>
          </cell>
          <cell r="S65" t="str">
            <v>Decimal</v>
          </cell>
          <cell r="T65">
            <v>2</v>
          </cell>
          <cell r="AI65" t="str">
            <v>CZK Czech Krona</v>
          </cell>
          <cell r="AJ65" t="str">
            <v>Kcs</v>
          </cell>
          <cell r="AK65" t="str">
            <v>CZK</v>
          </cell>
          <cell r="AL65" t="str">
            <v>CZK</v>
          </cell>
          <cell r="AM65">
            <v>0</v>
          </cell>
          <cell r="AN65">
            <v>2</v>
          </cell>
        </row>
        <row r="66">
          <cell r="A66">
            <v>39563</v>
          </cell>
          <cell r="B66">
            <v>39563</v>
          </cell>
          <cell r="C66" t="str">
            <v>Past</v>
          </cell>
          <cell r="D66">
            <v>64.44</v>
          </cell>
          <cell r="E66" t="e">
            <v>#N/A</v>
          </cell>
          <cell r="F66" t="e">
            <v>#N/A</v>
          </cell>
          <cell r="G66" t="e">
            <v>#N/A</v>
          </cell>
          <cell r="H66" t="e">
            <v>#N/A</v>
          </cell>
          <cell r="I66" t="e">
            <v>#N/A</v>
          </cell>
          <cell r="J66" t="e">
            <v>#N/A</v>
          </cell>
          <cell r="K66" t="e">
            <v>#N/A</v>
          </cell>
          <cell r="L66" t="e">
            <v>#N/A</v>
          </cell>
          <cell r="M66" t="e">
            <v>#N/A</v>
          </cell>
          <cell r="N66" t="e">
            <v>#N/A</v>
          </cell>
          <cell r="O66" t="e">
            <v>#N/A</v>
          </cell>
          <cell r="P66">
            <v>64.44</v>
          </cell>
          <cell r="Q66">
            <v>1.258497</v>
          </cell>
          <cell r="R66" t="e">
            <v>#N/A</v>
          </cell>
          <cell r="S66" t="str">
            <v>default StartDate</v>
          </cell>
          <cell r="T66">
            <v>39547</v>
          </cell>
          <cell r="AI66" t="str">
            <v>DKK Danish Krone</v>
          </cell>
          <cell r="AJ66" t="str">
            <v>DKr</v>
          </cell>
          <cell r="AK66" t="str">
            <v>DKK</v>
          </cell>
          <cell r="AL66" t="str">
            <v>DKK</v>
          </cell>
          <cell r="AM66">
            <v>0</v>
          </cell>
          <cell r="AN66">
            <v>2</v>
          </cell>
        </row>
        <row r="67">
          <cell r="A67">
            <v>39566</v>
          </cell>
          <cell r="B67">
            <v>39566</v>
          </cell>
          <cell r="C67" t="str">
            <v>Past</v>
          </cell>
          <cell r="D67">
            <v>64.06</v>
          </cell>
          <cell r="E67" t="e">
            <v>#N/A</v>
          </cell>
          <cell r="F67" t="e">
            <v>#N/A</v>
          </cell>
          <cell r="G67" t="e">
            <v>#N/A</v>
          </cell>
          <cell r="H67" t="e">
            <v>#N/A</v>
          </cell>
          <cell r="I67" t="e">
            <v>#N/A</v>
          </cell>
          <cell r="J67" t="e">
            <v>#N/A</v>
          </cell>
          <cell r="K67" t="e">
            <v>#N/A</v>
          </cell>
          <cell r="L67" t="e">
            <v>#N/A</v>
          </cell>
          <cell r="M67" t="e">
            <v>#N/A</v>
          </cell>
          <cell r="N67" t="e">
            <v>#N/A</v>
          </cell>
          <cell r="O67" t="e">
            <v>#N/A</v>
          </cell>
          <cell r="P67">
            <v>64.06</v>
          </cell>
          <cell r="Q67">
            <v>1.0035969999999999</v>
          </cell>
          <cell r="R67" t="e">
            <v>#N/A</v>
          </cell>
          <cell r="S67" t="str">
            <v>default EndDate</v>
          </cell>
          <cell r="T67">
            <v>40642</v>
          </cell>
          <cell r="AI67" t="str">
            <v>DZD Algerian Dinar</v>
          </cell>
          <cell r="AJ67" t="str">
            <v>DZD</v>
          </cell>
          <cell r="AK67" t="str">
            <v>DZD</v>
          </cell>
          <cell r="AL67" t="str">
            <v>DZD</v>
          </cell>
          <cell r="AM67">
            <v>0</v>
          </cell>
          <cell r="AN67">
            <v>2</v>
          </cell>
        </row>
        <row r="68">
          <cell r="A68">
            <v>39567</v>
          </cell>
          <cell r="B68">
            <v>39567</v>
          </cell>
          <cell r="C68" t="str">
            <v>Past</v>
          </cell>
          <cell r="D68">
            <v>63.94</v>
          </cell>
          <cell r="E68" t="e">
            <v>#N/A</v>
          </cell>
          <cell r="F68" t="e">
            <v>#N/A</v>
          </cell>
          <cell r="G68" t="e">
            <v>#N/A</v>
          </cell>
          <cell r="H68" t="e">
            <v>#N/A</v>
          </cell>
          <cell r="I68" t="e">
            <v>#N/A</v>
          </cell>
          <cell r="J68" t="e">
            <v>#N/A</v>
          </cell>
          <cell r="K68" t="e">
            <v>#N/A</v>
          </cell>
          <cell r="L68" t="e">
            <v>#N/A</v>
          </cell>
          <cell r="M68" t="e">
            <v>#N/A</v>
          </cell>
          <cell r="N68" t="e">
            <v>#N/A</v>
          </cell>
          <cell r="O68" t="e">
            <v>#N/A</v>
          </cell>
          <cell r="P68">
            <v>63.94</v>
          </cell>
          <cell r="Q68">
            <v>1.09409</v>
          </cell>
          <cell r="R68" t="e">
            <v>#N/A</v>
          </cell>
          <cell r="S68" t="str">
            <v>Max sharePrice</v>
          </cell>
          <cell r="T68">
            <v>66.34</v>
          </cell>
          <cell r="AI68" t="str">
            <v>EGP Egyptian Pound</v>
          </cell>
          <cell r="AJ68" t="str">
            <v>EGP</v>
          </cell>
          <cell r="AK68" t="str">
            <v>EGP</v>
          </cell>
          <cell r="AL68" t="str">
            <v>EGP</v>
          </cell>
          <cell r="AM68">
            <v>0</v>
          </cell>
          <cell r="AN68">
            <v>2</v>
          </cell>
        </row>
        <row r="69">
          <cell r="A69">
            <v>39568</v>
          </cell>
          <cell r="B69">
            <v>39568</v>
          </cell>
          <cell r="C69" t="str">
            <v>Past</v>
          </cell>
          <cell r="D69">
            <v>63.11</v>
          </cell>
          <cell r="E69" t="e">
            <v>#N/A</v>
          </cell>
          <cell r="F69" t="e">
            <v>#N/A</v>
          </cell>
          <cell r="G69" t="e">
            <v>#N/A</v>
          </cell>
          <cell r="H69" t="e">
            <v>#N/A</v>
          </cell>
          <cell r="I69" t="e">
            <v>#N/A</v>
          </cell>
          <cell r="J69" t="e">
            <v>#N/A</v>
          </cell>
          <cell r="K69" t="e">
            <v>#N/A</v>
          </cell>
          <cell r="L69" t="e">
            <v>#N/A</v>
          </cell>
          <cell r="M69" t="e">
            <v>#N/A</v>
          </cell>
          <cell r="N69" t="e">
            <v>#N/A</v>
          </cell>
          <cell r="O69" t="e">
            <v>#N/A</v>
          </cell>
          <cell r="P69">
            <v>63.11</v>
          </cell>
          <cell r="Q69">
            <v>0.93711499999999992</v>
          </cell>
          <cell r="R69" t="e">
            <v>#N/A</v>
          </cell>
          <cell r="AI69" t="str">
            <v>EUR Euro</v>
          </cell>
          <cell r="AJ69" t="str">
            <v>€</v>
          </cell>
          <cell r="AK69" t="str">
            <v>EUR</v>
          </cell>
          <cell r="AL69" t="str">
            <v>EUR</v>
          </cell>
          <cell r="AM69">
            <v>0</v>
          </cell>
          <cell r="AN69">
            <v>2</v>
          </cell>
        </row>
        <row r="70">
          <cell r="A70">
            <v>39569</v>
          </cell>
          <cell r="B70">
            <v>39569</v>
          </cell>
          <cell r="C70" t="str">
            <v>Past</v>
          </cell>
          <cell r="D70">
            <v>63.7</v>
          </cell>
          <cell r="E70" t="e">
            <v>#N/A</v>
          </cell>
          <cell r="F70" t="e">
            <v>#N/A</v>
          </cell>
          <cell r="G70" t="e">
            <v>#N/A</v>
          </cell>
          <cell r="H70" t="e">
            <v>#N/A</v>
          </cell>
          <cell r="I70" t="e">
            <v>#N/A</v>
          </cell>
          <cell r="J70" t="e">
            <v>#N/A</v>
          </cell>
          <cell r="K70" t="e">
            <v>#N/A</v>
          </cell>
          <cell r="L70" t="e">
            <v>#N/A</v>
          </cell>
          <cell r="M70" t="e">
            <v>#N/A</v>
          </cell>
          <cell r="N70" t="e">
            <v>#N/A</v>
          </cell>
          <cell r="O70" t="e">
            <v>#N/A</v>
          </cell>
          <cell r="P70">
            <v>63.7</v>
          </cell>
          <cell r="Q70">
            <v>1.054791</v>
          </cell>
          <cell r="R70" t="e">
            <v>#N/A</v>
          </cell>
          <cell r="AI70" t="str">
            <v>GBp British Pence</v>
          </cell>
          <cell r="AJ70" t="str">
            <v>p</v>
          </cell>
          <cell r="AK70" t="str">
            <v>GBp</v>
          </cell>
          <cell r="AL70" t="str">
            <v>GBX</v>
          </cell>
          <cell r="AM70">
            <v>1</v>
          </cell>
          <cell r="AN70">
            <v>0</v>
          </cell>
        </row>
        <row r="71">
          <cell r="A71">
            <v>39570</v>
          </cell>
          <cell r="B71">
            <v>39570</v>
          </cell>
          <cell r="C71" t="str">
            <v>Past</v>
          </cell>
          <cell r="D71">
            <v>64.849999999999994</v>
          </cell>
          <cell r="E71" t="e">
            <v>#N/A</v>
          </cell>
          <cell r="F71" t="e">
            <v>#N/A</v>
          </cell>
          <cell r="G71" t="e">
            <v>#N/A</v>
          </cell>
          <cell r="H71" t="e">
            <v>#N/A</v>
          </cell>
          <cell r="I71" t="e">
            <v>#N/A</v>
          </cell>
          <cell r="J71" t="e">
            <v>#N/A</v>
          </cell>
          <cell r="K71" t="e">
            <v>#N/A</v>
          </cell>
          <cell r="L71" t="e">
            <v>#N/A</v>
          </cell>
          <cell r="M71" t="e">
            <v>#N/A</v>
          </cell>
          <cell r="N71" t="e">
            <v>#N/A</v>
          </cell>
          <cell r="O71" t="e">
            <v>#N/A</v>
          </cell>
          <cell r="P71">
            <v>64.849999999999994</v>
          </cell>
          <cell r="Q71">
            <v>1.0130520000000001</v>
          </cell>
          <cell r="R71" t="e">
            <v>#N/A</v>
          </cell>
          <cell r="AI71" t="str">
            <v>GBP British Pound</v>
          </cell>
          <cell r="AJ71" t="str">
            <v>₤</v>
          </cell>
          <cell r="AK71" t="str">
            <v>GBP</v>
          </cell>
          <cell r="AL71" t="str">
            <v>GBP</v>
          </cell>
          <cell r="AM71">
            <v>0</v>
          </cell>
          <cell r="AN71">
            <v>2</v>
          </cell>
        </row>
        <row r="72">
          <cell r="A72">
            <v>39573</v>
          </cell>
          <cell r="B72">
            <v>39573</v>
          </cell>
          <cell r="C72" t="str">
            <v>Past</v>
          </cell>
          <cell r="D72">
            <v>63.89</v>
          </cell>
          <cell r="E72" t="e">
            <v>#N/A</v>
          </cell>
          <cell r="F72" t="e">
            <v>#N/A</v>
          </cell>
          <cell r="G72" t="e">
            <v>#N/A</v>
          </cell>
          <cell r="H72" t="e">
            <v>#N/A</v>
          </cell>
          <cell r="I72" t="e">
            <v>#N/A</v>
          </cell>
          <cell r="J72" t="e">
            <v>#N/A</v>
          </cell>
          <cell r="K72" t="e">
            <v>#N/A</v>
          </cell>
          <cell r="L72" t="e">
            <v>#N/A</v>
          </cell>
          <cell r="M72" t="e">
            <v>#N/A</v>
          </cell>
          <cell r="N72" t="e">
            <v>#N/A</v>
          </cell>
          <cell r="O72" t="e">
            <v>#N/A</v>
          </cell>
          <cell r="P72">
            <v>63.89</v>
          </cell>
          <cell r="Q72">
            <v>0.89414799999999994</v>
          </cell>
          <cell r="R72" t="e">
            <v>#N/A</v>
          </cell>
          <cell r="AI72" t="str">
            <v>HKD Hong Kong Dollar</v>
          </cell>
          <cell r="AJ72" t="str">
            <v>HK$</v>
          </cell>
          <cell r="AK72" t="str">
            <v>HKD</v>
          </cell>
          <cell r="AL72" t="str">
            <v>HKD</v>
          </cell>
          <cell r="AM72">
            <v>0</v>
          </cell>
          <cell r="AN72">
            <v>2</v>
          </cell>
        </row>
        <row r="73">
          <cell r="A73">
            <v>39574</v>
          </cell>
          <cell r="B73">
            <v>39574</v>
          </cell>
          <cell r="C73" t="str">
            <v>Past</v>
          </cell>
          <cell r="D73">
            <v>64.239999999999995</v>
          </cell>
          <cell r="E73" t="e">
            <v>#N/A</v>
          </cell>
          <cell r="F73" t="e">
            <v>#N/A</v>
          </cell>
          <cell r="G73" t="e">
            <v>#N/A</v>
          </cell>
          <cell r="H73" t="e">
            <v>#N/A</v>
          </cell>
          <cell r="I73" t="e">
            <v>#N/A</v>
          </cell>
          <cell r="J73" t="e">
            <v>#N/A</v>
          </cell>
          <cell r="K73" t="e">
            <v>#N/A</v>
          </cell>
          <cell r="L73" t="e">
            <v>#N/A</v>
          </cell>
          <cell r="M73" t="e">
            <v>#N/A</v>
          </cell>
          <cell r="N73" t="e">
            <v>#N/A</v>
          </cell>
          <cell r="O73" t="e">
            <v>#N/A</v>
          </cell>
          <cell r="P73">
            <v>64.239999999999995</v>
          </cell>
          <cell r="Q73">
            <v>0.80053399999999997</v>
          </cell>
          <cell r="R73" t="e">
            <v>#N/A</v>
          </cell>
          <cell r="AI73" t="str">
            <v>HUF Hungarian forint</v>
          </cell>
          <cell r="AJ73" t="str">
            <v>Ft</v>
          </cell>
          <cell r="AK73" t="str">
            <v>HUF</v>
          </cell>
          <cell r="AL73" t="str">
            <v>HUF</v>
          </cell>
          <cell r="AM73">
            <v>0</v>
          </cell>
          <cell r="AN73">
            <v>2</v>
          </cell>
        </row>
        <row r="74">
          <cell r="A74">
            <v>39575</v>
          </cell>
          <cell r="B74">
            <v>39575</v>
          </cell>
          <cell r="C74" t="str">
            <v>Past</v>
          </cell>
          <cell r="D74">
            <v>62.64</v>
          </cell>
          <cell r="E74" t="e">
            <v>#N/A</v>
          </cell>
          <cell r="F74" t="e">
            <v>#N/A</v>
          </cell>
          <cell r="G74" t="e">
            <v>#N/A</v>
          </cell>
          <cell r="H74" t="e">
            <v>#N/A</v>
          </cell>
          <cell r="I74" t="e">
            <v>#N/A</v>
          </cell>
          <cell r="J74" t="e">
            <v>#N/A</v>
          </cell>
          <cell r="K74" t="e">
            <v>#N/A</v>
          </cell>
          <cell r="L74" t="e">
            <v>#N/A</v>
          </cell>
          <cell r="M74" t="e">
            <v>#N/A</v>
          </cell>
          <cell r="N74" t="e">
            <v>#N/A</v>
          </cell>
          <cell r="O74" t="e">
            <v>#N/A</v>
          </cell>
          <cell r="P74">
            <v>62.64</v>
          </cell>
          <cell r="Q74">
            <v>0.89341899999999996</v>
          </cell>
          <cell r="R74" t="e">
            <v>#N/A</v>
          </cell>
          <cell r="AI74" t="str">
            <v>IDR Indonesian Rupiah</v>
          </cell>
          <cell r="AJ74" t="str">
            <v>Rp</v>
          </cell>
          <cell r="AK74" t="str">
            <v>IDR</v>
          </cell>
          <cell r="AL74" t="str">
            <v>IDR</v>
          </cell>
          <cell r="AM74">
            <v>0</v>
          </cell>
          <cell r="AN74">
            <v>0</v>
          </cell>
        </row>
        <row r="75">
          <cell r="A75">
            <v>39576</v>
          </cell>
          <cell r="B75">
            <v>39576</v>
          </cell>
          <cell r="C75" t="str">
            <v>Past</v>
          </cell>
          <cell r="D75">
            <v>63.42</v>
          </cell>
          <cell r="E75" t="e">
            <v>#N/A</v>
          </cell>
          <cell r="F75" t="e">
            <v>#N/A</v>
          </cell>
          <cell r="G75" t="e">
            <v>#N/A</v>
          </cell>
          <cell r="H75" t="e">
            <v>#N/A</v>
          </cell>
          <cell r="I75" t="e">
            <v>#N/A</v>
          </cell>
          <cell r="J75" t="e">
            <v>#N/A</v>
          </cell>
          <cell r="K75" t="e">
            <v>#N/A</v>
          </cell>
          <cell r="L75" t="e">
            <v>#N/A</v>
          </cell>
          <cell r="M75" t="e">
            <v>#N/A</v>
          </cell>
          <cell r="N75" t="e">
            <v>#N/A</v>
          </cell>
          <cell r="O75" t="e">
            <v>#N/A</v>
          </cell>
          <cell r="P75">
            <v>63.42</v>
          </cell>
          <cell r="Q75">
            <v>0.76153899999999997</v>
          </cell>
          <cell r="R75" t="e">
            <v>#N/A</v>
          </cell>
          <cell r="AI75" t="str">
            <v>ILS Israeli shekel</v>
          </cell>
          <cell r="AJ75" t="str">
            <v>ILS</v>
          </cell>
          <cell r="AK75" t="str">
            <v>ILS</v>
          </cell>
          <cell r="AL75" t="str">
            <v>ILS</v>
          </cell>
          <cell r="AM75">
            <v>0</v>
          </cell>
          <cell r="AN75">
            <v>2</v>
          </cell>
        </row>
        <row r="76">
          <cell r="A76">
            <v>39577</v>
          </cell>
          <cell r="B76">
            <v>39577</v>
          </cell>
          <cell r="C76" t="str">
            <v>Past</v>
          </cell>
          <cell r="D76">
            <v>63.03</v>
          </cell>
          <cell r="E76" t="e">
            <v>#N/A</v>
          </cell>
          <cell r="F76" t="e">
            <v>#N/A</v>
          </cell>
          <cell r="G76" t="e">
            <v>#N/A</v>
          </cell>
          <cell r="H76" t="e">
            <v>#N/A</v>
          </cell>
          <cell r="I76" t="e">
            <v>#N/A</v>
          </cell>
          <cell r="J76" t="e">
            <v>#N/A</v>
          </cell>
          <cell r="K76" t="e">
            <v>#N/A</v>
          </cell>
          <cell r="L76" t="e">
            <v>#N/A</v>
          </cell>
          <cell r="M76" t="e">
            <v>#N/A</v>
          </cell>
          <cell r="N76" t="e">
            <v>#N/A</v>
          </cell>
          <cell r="O76" t="e">
            <v>#N/A</v>
          </cell>
          <cell r="P76">
            <v>63.03</v>
          </cell>
          <cell r="Q76">
            <v>0.673929</v>
          </cell>
          <cell r="R76" t="e">
            <v>#N/A</v>
          </cell>
          <cell r="AI76" t="str">
            <v>INR Indian Rupee</v>
          </cell>
          <cell r="AJ76" t="str">
            <v>Rs.</v>
          </cell>
          <cell r="AK76" t="str">
            <v>INR</v>
          </cell>
          <cell r="AL76" t="str">
            <v>INR</v>
          </cell>
          <cell r="AM76">
            <v>0</v>
          </cell>
          <cell r="AN76">
            <v>2</v>
          </cell>
        </row>
        <row r="77">
          <cell r="A77">
            <v>39580</v>
          </cell>
          <cell r="B77">
            <v>39580</v>
          </cell>
          <cell r="C77" t="str">
            <v>Past</v>
          </cell>
          <cell r="D77">
            <v>63.88</v>
          </cell>
          <cell r="E77" t="e">
            <v>#N/A</v>
          </cell>
          <cell r="F77" t="e">
            <v>#N/A</v>
          </cell>
          <cell r="G77" t="e">
            <v>#N/A</v>
          </cell>
          <cell r="H77" t="e">
            <v>#N/A</v>
          </cell>
          <cell r="I77" t="e">
            <v>#N/A</v>
          </cell>
          <cell r="J77" t="e">
            <v>#N/A</v>
          </cell>
          <cell r="K77" t="e">
            <v>#N/A</v>
          </cell>
          <cell r="L77" t="e">
            <v>#N/A</v>
          </cell>
          <cell r="M77" t="e">
            <v>#N/A</v>
          </cell>
          <cell r="N77" t="e">
            <v>#N/A</v>
          </cell>
          <cell r="O77" t="e">
            <v>#N/A</v>
          </cell>
          <cell r="P77">
            <v>63.88</v>
          </cell>
          <cell r="Q77">
            <v>0.36889699999999997</v>
          </cell>
          <cell r="R77" t="e">
            <v>#N/A</v>
          </cell>
          <cell r="AI77" t="str">
            <v>IQD Iraqi Dinar</v>
          </cell>
          <cell r="AJ77" t="str">
            <v>IQD</v>
          </cell>
          <cell r="AK77" t="str">
            <v>IQD</v>
          </cell>
          <cell r="AL77" t="str">
            <v>IQD</v>
          </cell>
          <cell r="AM77">
            <v>0</v>
          </cell>
          <cell r="AN77">
            <v>2</v>
          </cell>
        </row>
        <row r="78">
          <cell r="A78">
            <v>39581</v>
          </cell>
          <cell r="B78">
            <v>39581</v>
          </cell>
          <cell r="C78" t="str">
            <v>Past</v>
          </cell>
          <cell r="D78">
            <v>64.680000000000007</v>
          </cell>
          <cell r="E78" t="e">
            <v>#N/A</v>
          </cell>
          <cell r="F78" t="e">
            <v>#N/A</v>
          </cell>
          <cell r="G78" t="e">
            <v>#N/A</v>
          </cell>
          <cell r="H78" t="e">
            <v>#N/A</v>
          </cell>
          <cell r="I78" t="e">
            <v>#N/A</v>
          </cell>
          <cell r="J78" t="e">
            <v>#N/A</v>
          </cell>
          <cell r="K78" t="e">
            <v>#N/A</v>
          </cell>
          <cell r="L78" t="e">
            <v>#N/A</v>
          </cell>
          <cell r="M78" t="e">
            <v>#N/A</v>
          </cell>
          <cell r="N78" t="e">
            <v>#N/A</v>
          </cell>
          <cell r="O78" t="e">
            <v>#N/A</v>
          </cell>
          <cell r="P78">
            <v>64.680000000000007</v>
          </cell>
          <cell r="Q78">
            <v>0.67565299999999995</v>
          </cell>
          <cell r="R78" t="e">
            <v>#N/A</v>
          </cell>
          <cell r="AI78" t="str">
            <v>IRR Iranian Rial</v>
          </cell>
          <cell r="AJ78" t="str">
            <v>IRR</v>
          </cell>
          <cell r="AK78" t="str">
            <v>IRR</v>
          </cell>
          <cell r="AL78" t="str">
            <v>IRR</v>
          </cell>
          <cell r="AM78">
            <v>0</v>
          </cell>
          <cell r="AN78">
            <v>2</v>
          </cell>
        </row>
        <row r="79">
          <cell r="A79">
            <v>39582</v>
          </cell>
          <cell r="B79">
            <v>39582</v>
          </cell>
          <cell r="C79" t="str">
            <v>Past</v>
          </cell>
          <cell r="D79">
            <v>65.72</v>
          </cell>
          <cell r="E79" t="e">
            <v>#N/A</v>
          </cell>
          <cell r="F79" t="e">
            <v>#N/A</v>
          </cell>
          <cell r="G79" t="e">
            <v>#N/A</v>
          </cell>
          <cell r="H79" t="e">
            <v>#N/A</v>
          </cell>
          <cell r="I79" t="e">
            <v>#N/A</v>
          </cell>
          <cell r="J79" t="e">
            <v>#N/A</v>
          </cell>
          <cell r="K79" t="e">
            <v>#N/A</v>
          </cell>
          <cell r="L79" t="e">
            <v>#N/A</v>
          </cell>
          <cell r="M79" t="e">
            <v>#N/A</v>
          </cell>
          <cell r="N79" t="e">
            <v>#N/A</v>
          </cell>
          <cell r="O79" t="e">
            <v>#N/A</v>
          </cell>
          <cell r="P79">
            <v>65.72</v>
          </cell>
          <cell r="Q79">
            <v>1.0094189999999998</v>
          </cell>
          <cell r="R79" t="e">
            <v>#N/A</v>
          </cell>
          <cell r="AI79" t="str">
            <v>ISK Iceland Krona</v>
          </cell>
          <cell r="AJ79" t="str">
            <v>kr</v>
          </cell>
          <cell r="AK79" t="str">
            <v>ISK</v>
          </cell>
          <cell r="AL79" t="str">
            <v>ISK</v>
          </cell>
          <cell r="AM79">
            <v>0</v>
          </cell>
          <cell r="AN79">
            <v>2</v>
          </cell>
        </row>
        <row r="80">
          <cell r="A80">
            <v>39583</v>
          </cell>
          <cell r="B80">
            <v>39583</v>
          </cell>
          <cell r="C80" t="str">
            <v>Past</v>
          </cell>
          <cell r="D80">
            <v>66.34</v>
          </cell>
          <cell r="E80" t="e">
            <v>#N/A</v>
          </cell>
          <cell r="F80" t="e">
            <v>#N/A</v>
          </cell>
          <cell r="G80" t="e">
            <v>#N/A</v>
          </cell>
          <cell r="H80" t="e">
            <v>#N/A</v>
          </cell>
          <cell r="I80" t="e">
            <v>#N/A</v>
          </cell>
          <cell r="J80" t="e">
            <v>#N/A</v>
          </cell>
          <cell r="K80" t="e">
            <v>#N/A</v>
          </cell>
          <cell r="L80" t="e">
            <v>#N/A</v>
          </cell>
          <cell r="M80" t="e">
            <v>#N/A</v>
          </cell>
          <cell r="N80" t="e">
            <v>#N/A</v>
          </cell>
          <cell r="O80" t="e">
            <v>#N/A</v>
          </cell>
          <cell r="P80">
            <v>66.34</v>
          </cell>
          <cell r="Q80">
            <v>0.69335199999999997</v>
          </cell>
          <cell r="R80" t="e">
            <v>#N/A</v>
          </cell>
          <cell r="AI80" t="str">
            <v>JMD Jamaican Dollars</v>
          </cell>
          <cell r="AJ80" t="str">
            <v>JMD</v>
          </cell>
          <cell r="AK80" t="str">
            <v>JMD</v>
          </cell>
          <cell r="AL80" t="str">
            <v>JMD</v>
          </cell>
          <cell r="AM80">
            <v>0</v>
          </cell>
          <cell r="AN80">
            <v>2</v>
          </cell>
        </row>
        <row r="81">
          <cell r="A81">
            <v>39584</v>
          </cell>
          <cell r="B81">
            <v>39584</v>
          </cell>
          <cell r="C81" t="str">
            <v>Past</v>
          </cell>
          <cell r="D81">
            <v>65.77</v>
          </cell>
          <cell r="E81" t="e">
            <v>#N/A</v>
          </cell>
          <cell r="F81" t="e">
            <v>#N/A</v>
          </cell>
          <cell r="G81" t="e">
            <v>#N/A</v>
          </cell>
          <cell r="H81" t="e">
            <v>#N/A</v>
          </cell>
          <cell r="I81" t="e">
            <v>#N/A</v>
          </cell>
          <cell r="J81" t="e">
            <v>#N/A</v>
          </cell>
          <cell r="K81" t="e">
            <v>#N/A</v>
          </cell>
          <cell r="L81" t="e">
            <v>#N/A</v>
          </cell>
          <cell r="M81" t="e">
            <v>#N/A</v>
          </cell>
          <cell r="N81" t="e">
            <v>#N/A</v>
          </cell>
          <cell r="O81" t="e">
            <v>#N/A</v>
          </cell>
          <cell r="P81">
            <v>65.77</v>
          </cell>
          <cell r="Q81">
            <v>0.80123499999999992</v>
          </cell>
          <cell r="R81" t="e">
            <v>#N/A</v>
          </cell>
          <cell r="AI81" t="str">
            <v>JPY Japanese Yen</v>
          </cell>
          <cell r="AJ81" t="str">
            <v>¥</v>
          </cell>
          <cell r="AK81" t="str">
            <v>JPY</v>
          </cell>
          <cell r="AL81" t="str">
            <v>JPY</v>
          </cell>
          <cell r="AM81">
            <v>0</v>
          </cell>
          <cell r="AN81">
            <v>0</v>
          </cell>
        </row>
        <row r="82">
          <cell r="A82">
            <v>39587</v>
          </cell>
          <cell r="B82">
            <v>39587</v>
          </cell>
          <cell r="C82" t="str">
            <v>Past</v>
          </cell>
          <cell r="D82">
            <v>66.3</v>
          </cell>
          <cell r="E82" t="e">
            <v>#N/A</v>
          </cell>
          <cell r="F82" t="e">
            <v>#N/A</v>
          </cell>
          <cell r="G82" t="e">
            <v>#N/A</v>
          </cell>
          <cell r="H82" t="e">
            <v>#N/A</v>
          </cell>
          <cell r="I82" t="e">
            <v>#N/A</v>
          </cell>
          <cell r="J82" t="e">
            <v>#N/A</v>
          </cell>
          <cell r="K82" t="e">
            <v>#N/A</v>
          </cell>
          <cell r="L82" t="e">
            <v>#N/A</v>
          </cell>
          <cell r="M82" t="e">
            <v>#N/A</v>
          </cell>
          <cell r="N82" t="e">
            <v>#N/A</v>
          </cell>
          <cell r="O82" t="e">
            <v>#N/A</v>
          </cell>
          <cell r="P82">
            <v>66.3</v>
          </cell>
          <cell r="Q82">
            <v>0.94335599999999997</v>
          </cell>
          <cell r="R82" t="e">
            <v>#N/A</v>
          </cell>
          <cell r="AI82" t="str">
            <v>KES Kenyan Shilling</v>
          </cell>
          <cell r="AJ82" t="str">
            <v>KES</v>
          </cell>
          <cell r="AK82" t="str">
            <v>KES</v>
          </cell>
          <cell r="AL82" t="str">
            <v>KES</v>
          </cell>
          <cell r="AM82">
            <v>0</v>
          </cell>
          <cell r="AN82">
            <v>0</v>
          </cell>
        </row>
        <row r="83">
          <cell r="A83">
            <v>39588</v>
          </cell>
          <cell r="B83">
            <v>39588</v>
          </cell>
          <cell r="C83" t="str">
            <v>Past</v>
          </cell>
          <cell r="D83">
            <v>65.33</v>
          </cell>
          <cell r="E83" t="e">
            <v>#N/A</v>
          </cell>
          <cell r="F83" t="e">
            <v>#N/A</v>
          </cell>
          <cell r="G83" t="e">
            <v>#N/A</v>
          </cell>
          <cell r="H83" t="e">
            <v>#N/A</v>
          </cell>
          <cell r="I83" t="e">
            <v>#N/A</v>
          </cell>
          <cell r="J83" t="e">
            <v>#N/A</v>
          </cell>
          <cell r="K83" t="e">
            <v>#N/A</v>
          </cell>
          <cell r="L83" t="e">
            <v>#N/A</v>
          </cell>
          <cell r="M83" t="e">
            <v>#N/A</v>
          </cell>
          <cell r="N83" t="e">
            <v>#N/A</v>
          </cell>
          <cell r="O83" t="e">
            <v>#N/A</v>
          </cell>
          <cell r="P83">
            <v>65.33</v>
          </cell>
          <cell r="Q83">
            <v>0.738506</v>
          </cell>
          <cell r="R83" t="e">
            <v>#N/A</v>
          </cell>
          <cell r="AI83" t="str">
            <v>KRW South Korean Won</v>
          </cell>
          <cell r="AJ83" t="str">
            <v>₩</v>
          </cell>
          <cell r="AK83" t="str">
            <v>KRW</v>
          </cell>
          <cell r="AL83" t="str">
            <v>KRW</v>
          </cell>
          <cell r="AM83">
            <v>0</v>
          </cell>
          <cell r="AN83">
            <v>0</v>
          </cell>
        </row>
        <row r="84">
          <cell r="A84">
            <v>39589</v>
          </cell>
          <cell r="B84">
            <v>39589</v>
          </cell>
          <cell r="C84" t="str">
            <v>Past</v>
          </cell>
          <cell r="D84">
            <v>62.96</v>
          </cell>
          <cell r="E84" t="e">
            <v>#N/A</v>
          </cell>
          <cell r="F84" t="e">
            <v>#N/A</v>
          </cell>
          <cell r="G84" t="e">
            <v>#N/A</v>
          </cell>
          <cell r="H84" t="e">
            <v>#N/A</v>
          </cell>
          <cell r="I84" t="e">
            <v>#N/A</v>
          </cell>
          <cell r="J84" t="e">
            <v>#N/A</v>
          </cell>
          <cell r="K84" t="e">
            <v>#N/A</v>
          </cell>
          <cell r="L84" t="e">
            <v>#N/A</v>
          </cell>
          <cell r="M84" t="e">
            <v>#N/A</v>
          </cell>
          <cell r="N84" t="e">
            <v>#N/A</v>
          </cell>
          <cell r="O84" t="e">
            <v>#N/A</v>
          </cell>
          <cell r="P84">
            <v>62.96</v>
          </cell>
          <cell r="Q84">
            <v>1.104722</v>
          </cell>
          <cell r="R84" t="e">
            <v>#N/A</v>
          </cell>
          <cell r="AI84" t="str">
            <v>KWD Kuwaiti Dinar</v>
          </cell>
          <cell r="AJ84" t="str">
            <v>KWD</v>
          </cell>
          <cell r="AK84" t="str">
            <v>KWD</v>
          </cell>
          <cell r="AL84" t="str">
            <v>KWD</v>
          </cell>
          <cell r="AM84">
            <v>0</v>
          </cell>
          <cell r="AN84">
            <v>2</v>
          </cell>
        </row>
        <row r="85">
          <cell r="A85">
            <v>39590</v>
          </cell>
          <cell r="B85">
            <v>39590</v>
          </cell>
          <cell r="C85" t="str">
            <v>Past</v>
          </cell>
          <cell r="D85">
            <v>61.87</v>
          </cell>
          <cell r="E85" t="e">
            <v>#N/A</v>
          </cell>
          <cell r="F85" t="e">
            <v>#N/A</v>
          </cell>
          <cell r="G85" t="e">
            <v>#N/A</v>
          </cell>
          <cell r="H85" t="e">
            <v>#N/A</v>
          </cell>
          <cell r="I85" t="e">
            <v>#N/A</v>
          </cell>
          <cell r="J85" t="e">
            <v>#N/A</v>
          </cell>
          <cell r="K85" t="e">
            <v>#N/A</v>
          </cell>
          <cell r="L85" t="e">
            <v>#N/A</v>
          </cell>
          <cell r="M85" t="e">
            <v>#N/A</v>
          </cell>
          <cell r="N85" t="e">
            <v>#N/A</v>
          </cell>
          <cell r="O85" t="e">
            <v>#N/A</v>
          </cell>
          <cell r="P85">
            <v>61.87</v>
          </cell>
          <cell r="Q85">
            <v>1.5921900000000002</v>
          </cell>
          <cell r="R85" t="e">
            <v>#N/A</v>
          </cell>
          <cell r="AI85" t="str">
            <v>KYD Cayman Dollars</v>
          </cell>
          <cell r="AJ85" t="str">
            <v>KYD</v>
          </cell>
          <cell r="AK85" t="str">
            <v>KYD</v>
          </cell>
          <cell r="AL85" t="str">
            <v>KYD</v>
          </cell>
          <cell r="AM85">
            <v>0</v>
          </cell>
          <cell r="AN85">
            <v>2</v>
          </cell>
        </row>
        <row r="86">
          <cell r="A86">
            <v>39591</v>
          </cell>
          <cell r="B86">
            <v>39591</v>
          </cell>
          <cell r="C86" t="str">
            <v>Past</v>
          </cell>
          <cell r="D86">
            <v>61.32</v>
          </cell>
          <cell r="E86" t="e">
            <v>#N/A</v>
          </cell>
          <cell r="F86" t="e">
            <v>#N/A</v>
          </cell>
          <cell r="G86" t="e">
            <v>#N/A</v>
          </cell>
          <cell r="H86" t="e">
            <v>#N/A</v>
          </cell>
          <cell r="I86" t="e">
            <v>#N/A</v>
          </cell>
          <cell r="J86" t="e">
            <v>#N/A</v>
          </cell>
          <cell r="K86" t="e">
            <v>#N/A</v>
          </cell>
          <cell r="L86" t="e">
            <v>#N/A</v>
          </cell>
          <cell r="M86" t="e">
            <v>#N/A</v>
          </cell>
          <cell r="N86" t="e">
            <v>#N/A</v>
          </cell>
          <cell r="O86" t="e">
            <v>#N/A</v>
          </cell>
          <cell r="P86">
            <v>61.32</v>
          </cell>
          <cell r="Q86">
            <v>0.83629599999999993</v>
          </cell>
          <cell r="R86" t="e">
            <v>#N/A</v>
          </cell>
          <cell r="AI86" t="str">
            <v>LKR Sri Lankan Rupee</v>
          </cell>
          <cell r="AJ86" t="str">
            <v>LKR</v>
          </cell>
          <cell r="AK86" t="str">
            <v>LKR</v>
          </cell>
          <cell r="AL86" t="str">
            <v>LKR</v>
          </cell>
          <cell r="AM86">
            <v>0</v>
          </cell>
          <cell r="AN86">
            <v>2</v>
          </cell>
        </row>
        <row r="87">
          <cell r="A87">
            <v>39595</v>
          </cell>
          <cell r="B87">
            <v>39595</v>
          </cell>
          <cell r="C87" t="str">
            <v>Past</v>
          </cell>
          <cell r="D87">
            <v>61.08</v>
          </cell>
          <cell r="E87" t="e">
            <v>#N/A</v>
          </cell>
          <cell r="F87" t="e">
            <v>#N/A</v>
          </cell>
          <cell r="G87" t="e">
            <v>#N/A</v>
          </cell>
          <cell r="H87" t="e">
            <v>#N/A</v>
          </cell>
          <cell r="I87" t="e">
            <v>#N/A</v>
          </cell>
          <cell r="J87" t="e">
            <v>#N/A</v>
          </cell>
          <cell r="K87" t="e">
            <v>#N/A</v>
          </cell>
          <cell r="L87" t="e">
            <v>#N/A</v>
          </cell>
          <cell r="M87" t="e">
            <v>#N/A</v>
          </cell>
          <cell r="N87" t="e">
            <v>#N/A</v>
          </cell>
          <cell r="O87" t="e">
            <v>#N/A</v>
          </cell>
          <cell r="P87">
            <v>61.08</v>
          </cell>
          <cell r="Q87">
            <v>1.1519279999999998</v>
          </cell>
          <cell r="R87" t="e">
            <v>#N/A</v>
          </cell>
          <cell r="AI87" t="str">
            <v>MAD Moroccan Dirham</v>
          </cell>
          <cell r="AJ87" t="str">
            <v>MAD</v>
          </cell>
          <cell r="AK87" t="str">
            <v>MAD</v>
          </cell>
          <cell r="AL87" t="str">
            <v>MAD</v>
          </cell>
          <cell r="AM87">
            <v>0</v>
          </cell>
          <cell r="AN87">
            <v>2</v>
          </cell>
        </row>
        <row r="88">
          <cell r="A88">
            <v>39596</v>
          </cell>
          <cell r="B88">
            <v>39596</v>
          </cell>
          <cell r="C88" t="str">
            <v>Past</v>
          </cell>
          <cell r="D88">
            <v>60.83</v>
          </cell>
          <cell r="E88" t="e">
            <v>#N/A</v>
          </cell>
          <cell r="F88" t="e">
            <v>#N/A</v>
          </cell>
          <cell r="G88" t="e">
            <v>#N/A</v>
          </cell>
          <cell r="H88" t="e">
            <v>#N/A</v>
          </cell>
          <cell r="I88" t="e">
            <v>#N/A</v>
          </cell>
          <cell r="J88" t="e">
            <v>#N/A</v>
          </cell>
          <cell r="K88" t="e">
            <v>#N/A</v>
          </cell>
          <cell r="L88" t="e">
            <v>#N/A</v>
          </cell>
          <cell r="M88" t="e">
            <v>#N/A</v>
          </cell>
          <cell r="N88" t="e">
            <v>#N/A</v>
          </cell>
          <cell r="O88" t="e">
            <v>#N/A</v>
          </cell>
          <cell r="P88">
            <v>60.83</v>
          </cell>
          <cell r="Q88">
            <v>0.94472599999999995</v>
          </cell>
          <cell r="R88" t="e">
            <v>#N/A</v>
          </cell>
          <cell r="AI88" t="str">
            <v>MXN Mexican Pesos (new)</v>
          </cell>
          <cell r="AJ88" t="str">
            <v>M$</v>
          </cell>
          <cell r="AK88" t="str">
            <v>MXN</v>
          </cell>
          <cell r="AL88" t="str">
            <v>MXN</v>
          </cell>
          <cell r="AM88">
            <v>0</v>
          </cell>
          <cell r="AN88">
            <v>2</v>
          </cell>
        </row>
        <row r="89">
          <cell r="A89">
            <v>39597</v>
          </cell>
          <cell r="B89">
            <v>39597</v>
          </cell>
          <cell r="C89" t="str">
            <v>Past</v>
          </cell>
          <cell r="D89">
            <v>61.13</v>
          </cell>
          <cell r="E89" t="e">
            <v>#N/A</v>
          </cell>
          <cell r="F89" t="e">
            <v>#N/A</v>
          </cell>
          <cell r="G89" t="e">
            <v>#N/A</v>
          </cell>
          <cell r="H89" t="e">
            <v>#N/A</v>
          </cell>
          <cell r="I89" t="e">
            <v>#N/A</v>
          </cell>
          <cell r="J89" t="e">
            <v>#N/A</v>
          </cell>
          <cell r="K89" t="e">
            <v>#N/A</v>
          </cell>
          <cell r="L89" t="e">
            <v>#N/A</v>
          </cell>
          <cell r="M89" t="e">
            <v>#N/A</v>
          </cell>
          <cell r="N89" t="e">
            <v>#N/A</v>
          </cell>
          <cell r="O89" t="e">
            <v>#N/A</v>
          </cell>
          <cell r="P89">
            <v>61.13</v>
          </cell>
          <cell r="Q89">
            <v>0.61835699999999993</v>
          </cell>
          <cell r="R89" t="e">
            <v>#N/A</v>
          </cell>
          <cell r="AI89" t="str">
            <v>MYR Malaysian Ringgit</v>
          </cell>
          <cell r="AJ89" t="str">
            <v>RM</v>
          </cell>
          <cell r="AK89" t="str">
            <v>MYR</v>
          </cell>
          <cell r="AL89" t="str">
            <v>MYR</v>
          </cell>
          <cell r="AM89">
            <v>0</v>
          </cell>
          <cell r="AN89">
            <v>2</v>
          </cell>
        </row>
        <row r="90">
          <cell r="A90">
            <v>39598</v>
          </cell>
          <cell r="B90">
            <v>39598</v>
          </cell>
          <cell r="C90" t="str">
            <v>Past</v>
          </cell>
          <cell r="D90">
            <v>61.37</v>
          </cell>
          <cell r="E90" t="e">
            <v>#N/A</v>
          </cell>
          <cell r="F90" t="e">
            <v>#N/A</v>
          </cell>
          <cell r="G90" t="e">
            <v>#N/A</v>
          </cell>
          <cell r="H90" t="e">
            <v>#N/A</v>
          </cell>
          <cell r="I90" t="e">
            <v>#N/A</v>
          </cell>
          <cell r="J90" t="e">
            <v>#N/A</v>
          </cell>
          <cell r="K90" t="e">
            <v>#N/A</v>
          </cell>
          <cell r="L90" t="e">
            <v>#N/A</v>
          </cell>
          <cell r="M90" t="e">
            <v>#N/A</v>
          </cell>
          <cell r="N90" t="e">
            <v>#N/A</v>
          </cell>
          <cell r="O90" t="e">
            <v>#N/A</v>
          </cell>
          <cell r="P90">
            <v>61.37</v>
          </cell>
          <cell r="Q90">
            <v>1.0274700000000001</v>
          </cell>
          <cell r="R90" t="e">
            <v>#N/A</v>
          </cell>
          <cell r="AI90" t="str">
            <v>NOK Norwegian Krone</v>
          </cell>
          <cell r="AJ90" t="str">
            <v>NKr</v>
          </cell>
          <cell r="AK90" t="str">
            <v>NOK</v>
          </cell>
          <cell r="AL90" t="str">
            <v>NOK</v>
          </cell>
          <cell r="AM90">
            <v>0</v>
          </cell>
          <cell r="AN90">
            <v>2</v>
          </cell>
        </row>
        <row r="91">
          <cell r="A91">
            <v>39601</v>
          </cell>
          <cell r="B91">
            <v>39601</v>
          </cell>
          <cell r="C91" t="str">
            <v>Past</v>
          </cell>
          <cell r="D91">
            <v>60.48</v>
          </cell>
          <cell r="E91" t="e">
            <v>#N/A</v>
          </cell>
          <cell r="F91" t="e">
            <v>#N/A</v>
          </cell>
          <cell r="G91" t="e">
            <v>#N/A</v>
          </cell>
          <cell r="H91" t="e">
            <v>#N/A</v>
          </cell>
          <cell r="I91" t="e">
            <v>#N/A</v>
          </cell>
          <cell r="J91" t="e">
            <v>#N/A</v>
          </cell>
          <cell r="K91" t="e">
            <v>#N/A</v>
          </cell>
          <cell r="L91" t="e">
            <v>#N/A</v>
          </cell>
          <cell r="M91" t="e">
            <v>#N/A</v>
          </cell>
          <cell r="N91" t="e">
            <v>#N/A</v>
          </cell>
          <cell r="O91" t="e">
            <v>#N/A</v>
          </cell>
          <cell r="P91">
            <v>60.48</v>
          </cell>
          <cell r="Q91">
            <v>0.90958799999999995</v>
          </cell>
          <cell r="R91" t="e">
            <v>#N/A</v>
          </cell>
          <cell r="AI91" t="str">
            <v>NZD New Zealand Dollars</v>
          </cell>
          <cell r="AJ91" t="str">
            <v>NZ$</v>
          </cell>
          <cell r="AK91" t="str">
            <v>NZD</v>
          </cell>
          <cell r="AL91" t="str">
            <v>NZD</v>
          </cell>
          <cell r="AM91">
            <v>0</v>
          </cell>
          <cell r="AN91">
            <v>2</v>
          </cell>
        </row>
        <row r="92">
          <cell r="A92">
            <v>39602</v>
          </cell>
          <cell r="B92">
            <v>39602</v>
          </cell>
          <cell r="C92" t="str">
            <v>Past</v>
          </cell>
          <cell r="D92">
            <v>59.53</v>
          </cell>
          <cell r="E92" t="e">
            <v>#N/A</v>
          </cell>
          <cell r="F92" t="e">
            <v>#N/A</v>
          </cell>
          <cell r="G92" t="e">
            <v>#N/A</v>
          </cell>
          <cell r="H92" t="e">
            <v>#N/A</v>
          </cell>
          <cell r="I92" t="e">
            <v>#N/A</v>
          </cell>
          <cell r="J92" t="e">
            <v>#N/A</v>
          </cell>
          <cell r="K92" t="e">
            <v>#N/A</v>
          </cell>
          <cell r="L92" t="e">
            <v>#N/A</v>
          </cell>
          <cell r="M92" t="e">
            <v>#N/A</v>
          </cell>
          <cell r="N92" t="e">
            <v>#N/A</v>
          </cell>
          <cell r="O92" t="e">
            <v>#N/A</v>
          </cell>
          <cell r="P92">
            <v>59.53</v>
          </cell>
          <cell r="Q92">
            <v>2.1573549999999999</v>
          </cell>
          <cell r="R92" t="e">
            <v>#N/A</v>
          </cell>
          <cell r="AI92" t="str">
            <v>OMR Rial Omani</v>
          </cell>
          <cell r="AJ92" t="str">
            <v>OMR</v>
          </cell>
          <cell r="AK92" t="str">
            <v>OMR</v>
          </cell>
          <cell r="AL92" t="str">
            <v>OMR</v>
          </cell>
          <cell r="AM92">
            <v>0</v>
          </cell>
          <cell r="AN92">
            <v>2</v>
          </cell>
        </row>
        <row r="93">
          <cell r="A93">
            <v>39603</v>
          </cell>
          <cell r="B93">
            <v>39603</v>
          </cell>
          <cell r="C93" t="str">
            <v>Past</v>
          </cell>
          <cell r="D93">
            <v>58.46</v>
          </cell>
          <cell r="E93" t="e">
            <v>#N/A</v>
          </cell>
          <cell r="F93" t="e">
            <v>#N/A</v>
          </cell>
          <cell r="G93" t="e">
            <v>#N/A</v>
          </cell>
          <cell r="H93" t="e">
            <v>#N/A</v>
          </cell>
          <cell r="I93" t="e">
            <v>#N/A</v>
          </cell>
          <cell r="J93" t="e">
            <v>#N/A</v>
          </cell>
          <cell r="K93" t="e">
            <v>#N/A</v>
          </cell>
          <cell r="L93" t="e">
            <v>#N/A</v>
          </cell>
          <cell r="M93" t="e">
            <v>#N/A</v>
          </cell>
          <cell r="N93" t="e">
            <v>#N/A</v>
          </cell>
          <cell r="O93" t="e">
            <v>#N/A</v>
          </cell>
          <cell r="P93">
            <v>58.46</v>
          </cell>
          <cell r="Q93">
            <v>2.5510300000000004</v>
          </cell>
          <cell r="R93" t="e">
            <v>#N/A</v>
          </cell>
          <cell r="AI93" t="str">
            <v>PAB Panamanian Balboa</v>
          </cell>
          <cell r="AJ93" t="str">
            <v>PAB</v>
          </cell>
          <cell r="AK93" t="str">
            <v>PAB</v>
          </cell>
          <cell r="AL93" t="str">
            <v>PAB</v>
          </cell>
          <cell r="AM93">
            <v>0</v>
          </cell>
          <cell r="AN93">
            <v>2</v>
          </cell>
        </row>
        <row r="94">
          <cell r="A94">
            <v>39604</v>
          </cell>
          <cell r="B94">
            <v>39604</v>
          </cell>
          <cell r="C94" t="str">
            <v>Past</v>
          </cell>
          <cell r="D94">
            <v>58.6</v>
          </cell>
          <cell r="E94" t="e">
            <v>#N/A</v>
          </cell>
          <cell r="F94" t="e">
            <v>#N/A</v>
          </cell>
          <cell r="G94" t="e">
            <v>#N/A</v>
          </cell>
          <cell r="H94" t="e">
            <v>#N/A</v>
          </cell>
          <cell r="I94" t="e">
            <v>#N/A</v>
          </cell>
          <cell r="J94" t="e">
            <v>#N/A</v>
          </cell>
          <cell r="K94" t="e">
            <v>#N/A</v>
          </cell>
          <cell r="L94" t="e">
            <v>#N/A</v>
          </cell>
          <cell r="M94" t="e">
            <v>#N/A</v>
          </cell>
          <cell r="N94" t="e">
            <v>#N/A</v>
          </cell>
          <cell r="O94" t="e">
            <v>#N/A</v>
          </cell>
          <cell r="P94">
            <v>58.6</v>
          </cell>
          <cell r="Q94">
            <v>1.563715</v>
          </cell>
          <cell r="R94" t="e">
            <v>#N/A</v>
          </cell>
          <cell r="AI94" t="str">
            <v>PEN Peruvian PEN</v>
          </cell>
          <cell r="AJ94" t="str">
            <v>PEN</v>
          </cell>
          <cell r="AK94" t="str">
            <v>PEN</v>
          </cell>
          <cell r="AL94" t="str">
            <v>PEN</v>
          </cell>
          <cell r="AM94">
            <v>0</v>
          </cell>
          <cell r="AN94">
            <v>2</v>
          </cell>
        </row>
        <row r="95">
          <cell r="A95">
            <v>39605</v>
          </cell>
          <cell r="B95">
            <v>39605</v>
          </cell>
          <cell r="C95" t="str">
            <v>Past</v>
          </cell>
          <cell r="D95">
            <v>55.66</v>
          </cell>
          <cell r="E95" t="e">
            <v>#N/A</v>
          </cell>
          <cell r="F95" t="e">
            <v>#N/A</v>
          </cell>
          <cell r="G95" t="e">
            <v>#N/A</v>
          </cell>
          <cell r="H95" t="e">
            <v>#N/A</v>
          </cell>
          <cell r="I95" t="e">
            <v>#N/A</v>
          </cell>
          <cell r="J95" t="e">
            <v>#N/A</v>
          </cell>
          <cell r="K95" t="e">
            <v>#N/A</v>
          </cell>
          <cell r="L95" t="e">
            <v>#N/A</v>
          </cell>
          <cell r="M95" t="e">
            <v>#N/A</v>
          </cell>
          <cell r="N95" t="e">
            <v>#N/A</v>
          </cell>
          <cell r="O95" t="e">
            <v>#N/A</v>
          </cell>
          <cell r="P95">
            <v>55.66</v>
          </cell>
          <cell r="Q95">
            <v>2.6248209999999998</v>
          </cell>
          <cell r="R95" t="e">
            <v>#N/A</v>
          </cell>
          <cell r="AI95" t="str">
            <v>PHP Philippino Peso</v>
          </cell>
          <cell r="AJ95" t="str">
            <v>PP</v>
          </cell>
          <cell r="AK95" t="str">
            <v>PHP</v>
          </cell>
          <cell r="AL95" t="str">
            <v>PHP</v>
          </cell>
          <cell r="AM95">
            <v>0</v>
          </cell>
          <cell r="AN95">
            <v>2</v>
          </cell>
        </row>
        <row r="96">
          <cell r="A96">
            <v>39608</v>
          </cell>
          <cell r="B96">
            <v>39608</v>
          </cell>
          <cell r="C96" t="str">
            <v>Past</v>
          </cell>
          <cell r="D96">
            <v>54.4</v>
          </cell>
          <cell r="E96" t="e">
            <v>#N/A</v>
          </cell>
          <cell r="F96" t="e">
            <v>#N/A</v>
          </cell>
          <cell r="G96" t="e">
            <v>#N/A</v>
          </cell>
          <cell r="H96" t="e">
            <v>#N/A</v>
          </cell>
          <cell r="I96" t="e">
            <v>#N/A</v>
          </cell>
          <cell r="J96" t="e">
            <v>#N/A</v>
          </cell>
          <cell r="K96" t="e">
            <v>#N/A</v>
          </cell>
          <cell r="L96" t="e">
            <v>#N/A</v>
          </cell>
          <cell r="M96" t="e">
            <v>#N/A</v>
          </cell>
          <cell r="N96" t="e">
            <v>#N/A</v>
          </cell>
          <cell r="O96" t="e">
            <v>#N/A</v>
          </cell>
          <cell r="P96">
            <v>54.4</v>
          </cell>
          <cell r="Q96">
            <v>3.6331560000000001</v>
          </cell>
          <cell r="R96" t="e">
            <v>#N/A</v>
          </cell>
          <cell r="AI96" t="str">
            <v>PKR Pakistani Rupee</v>
          </cell>
          <cell r="AJ96" t="str">
            <v>Rs.</v>
          </cell>
          <cell r="AK96" t="str">
            <v>PKR</v>
          </cell>
          <cell r="AL96" t="str">
            <v>PKR</v>
          </cell>
          <cell r="AM96">
            <v>0</v>
          </cell>
          <cell r="AN96">
            <v>2</v>
          </cell>
        </row>
        <row r="97">
          <cell r="A97">
            <v>39609</v>
          </cell>
          <cell r="B97">
            <v>39609</v>
          </cell>
          <cell r="C97" t="str">
            <v>Past</v>
          </cell>
          <cell r="D97">
            <v>54.17</v>
          </cell>
          <cell r="E97" t="e">
            <v>#N/A</v>
          </cell>
          <cell r="F97" t="e">
            <v>#N/A</v>
          </cell>
          <cell r="G97" t="e">
            <v>#N/A</v>
          </cell>
          <cell r="H97" t="e">
            <v>#N/A</v>
          </cell>
          <cell r="I97" t="e">
            <v>#N/A</v>
          </cell>
          <cell r="J97" t="e">
            <v>#N/A</v>
          </cell>
          <cell r="K97" t="e">
            <v>#N/A</v>
          </cell>
          <cell r="L97" t="e">
            <v>#N/A</v>
          </cell>
          <cell r="M97" t="e">
            <v>#N/A</v>
          </cell>
          <cell r="N97" t="e">
            <v>#N/A</v>
          </cell>
          <cell r="O97" t="e">
            <v>#N/A</v>
          </cell>
          <cell r="P97">
            <v>54.17</v>
          </cell>
          <cell r="Q97">
            <v>2.279776</v>
          </cell>
          <cell r="R97" t="e">
            <v>#N/A</v>
          </cell>
          <cell r="AI97" t="str">
            <v>PLN Polish Zloty</v>
          </cell>
          <cell r="AJ97" t="str">
            <v>zł</v>
          </cell>
          <cell r="AK97" t="str">
            <v>PLN</v>
          </cell>
          <cell r="AL97" t="str">
            <v>PLN</v>
          </cell>
          <cell r="AM97">
            <v>0</v>
          </cell>
          <cell r="AN97">
            <v>2</v>
          </cell>
        </row>
        <row r="98">
          <cell r="A98">
            <v>39610</v>
          </cell>
          <cell r="B98">
            <v>39610</v>
          </cell>
          <cell r="C98" t="str">
            <v>Past</v>
          </cell>
          <cell r="D98">
            <v>53.74</v>
          </cell>
          <cell r="E98" t="e">
            <v>#N/A</v>
          </cell>
          <cell r="F98" t="e">
            <v>#N/A</v>
          </cell>
          <cell r="G98" t="e">
            <v>#N/A</v>
          </cell>
          <cell r="H98" t="e">
            <v>#N/A</v>
          </cell>
          <cell r="I98" t="e">
            <v>#N/A</v>
          </cell>
          <cell r="J98" t="e">
            <v>#N/A</v>
          </cell>
          <cell r="K98" t="e">
            <v>#N/A</v>
          </cell>
          <cell r="L98" t="e">
            <v>#N/A</v>
          </cell>
          <cell r="M98" t="e">
            <v>#N/A</v>
          </cell>
          <cell r="N98" t="e">
            <v>#N/A</v>
          </cell>
          <cell r="O98" t="e">
            <v>#N/A</v>
          </cell>
          <cell r="P98">
            <v>53.74</v>
          </cell>
          <cell r="Q98">
            <v>2.453938</v>
          </cell>
          <cell r="R98" t="e">
            <v>#N/A</v>
          </cell>
          <cell r="AI98" t="str">
            <v>QAR Qatari Riyal</v>
          </cell>
          <cell r="AJ98" t="str">
            <v>QAR</v>
          </cell>
          <cell r="AK98" t="str">
            <v>QAR</v>
          </cell>
          <cell r="AL98" t="str">
            <v>QAR</v>
          </cell>
          <cell r="AM98">
            <v>0</v>
          </cell>
          <cell r="AN98">
            <v>2</v>
          </cell>
        </row>
        <row r="99">
          <cell r="A99">
            <v>39611</v>
          </cell>
          <cell r="B99">
            <v>39611</v>
          </cell>
          <cell r="C99" t="str">
            <v>Past</v>
          </cell>
          <cell r="D99">
            <v>53.82</v>
          </cell>
          <cell r="E99" t="e">
            <v>#N/A</v>
          </cell>
          <cell r="F99" t="e">
            <v>#N/A</v>
          </cell>
          <cell r="G99" t="e">
            <v>#N/A</v>
          </cell>
          <cell r="H99" t="e">
            <v>#N/A</v>
          </cell>
          <cell r="I99" t="e">
            <v>#N/A</v>
          </cell>
          <cell r="J99" t="e">
            <v>#N/A</v>
          </cell>
          <cell r="K99" t="e">
            <v>#N/A</v>
          </cell>
          <cell r="L99" t="e">
            <v>#N/A</v>
          </cell>
          <cell r="M99" t="e">
            <v>#N/A</v>
          </cell>
          <cell r="N99" t="e">
            <v>#N/A</v>
          </cell>
          <cell r="O99" t="e">
            <v>#N/A</v>
          </cell>
          <cell r="P99">
            <v>53.82</v>
          </cell>
          <cell r="Q99">
            <v>2.8789039999999999</v>
          </cell>
          <cell r="R99" t="e">
            <v>#N/A</v>
          </cell>
          <cell r="AI99" t="str">
            <v>RUB Russian Rouble</v>
          </cell>
          <cell r="AJ99" t="str">
            <v>RUB</v>
          </cell>
          <cell r="AK99" t="str">
            <v>RUB</v>
          </cell>
          <cell r="AL99" t="str">
            <v>RUB</v>
          </cell>
          <cell r="AM99">
            <v>0</v>
          </cell>
          <cell r="AN99">
            <v>2</v>
          </cell>
        </row>
        <row r="100">
          <cell r="A100">
            <v>39612</v>
          </cell>
          <cell r="B100">
            <v>39612</v>
          </cell>
          <cell r="C100" t="str">
            <v>Past</v>
          </cell>
          <cell r="D100">
            <v>54.2</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54.2</v>
          </cell>
          <cell r="Q100">
            <v>2.1869549999999998</v>
          </cell>
          <cell r="R100" t="e">
            <v>#N/A</v>
          </cell>
          <cell r="AI100" t="str">
            <v>SAR Saudi Riyal</v>
          </cell>
          <cell r="AJ100" t="str">
            <v>SAR</v>
          </cell>
          <cell r="AK100" t="str">
            <v>SAR</v>
          </cell>
          <cell r="AL100" t="str">
            <v>SAR</v>
          </cell>
          <cell r="AM100">
            <v>0</v>
          </cell>
          <cell r="AN100">
            <v>2</v>
          </cell>
        </row>
        <row r="101">
          <cell r="A101">
            <v>39615</v>
          </cell>
          <cell r="B101">
            <v>39615</v>
          </cell>
          <cell r="C101" t="str">
            <v>Past</v>
          </cell>
          <cell r="D101">
            <v>53.98</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53.98</v>
          </cell>
          <cell r="Q101">
            <v>1.654158</v>
          </cell>
          <cell r="R101" t="e">
            <v>#N/A</v>
          </cell>
          <cell r="AI101" t="str">
            <v>SEK Swedish Krona</v>
          </cell>
          <cell r="AJ101" t="str">
            <v>SKr</v>
          </cell>
          <cell r="AK101" t="str">
            <v>SEK</v>
          </cell>
          <cell r="AL101" t="str">
            <v>SEK</v>
          </cell>
          <cell r="AM101">
            <v>0</v>
          </cell>
          <cell r="AN101">
            <v>2</v>
          </cell>
        </row>
        <row r="102">
          <cell r="A102">
            <v>39616</v>
          </cell>
          <cell r="B102">
            <v>39616</v>
          </cell>
          <cell r="C102" t="str">
            <v>Past</v>
          </cell>
          <cell r="D102">
            <v>52.02</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52.02</v>
          </cell>
          <cell r="Q102">
            <v>2.6409549999999999</v>
          </cell>
          <cell r="R102" t="e">
            <v>#N/A</v>
          </cell>
          <cell r="AI102" t="str">
            <v>SGD Singapore Dollar</v>
          </cell>
          <cell r="AJ102" t="str">
            <v>S$</v>
          </cell>
          <cell r="AK102" t="str">
            <v>SGD</v>
          </cell>
          <cell r="AL102" t="str">
            <v>SGD</v>
          </cell>
          <cell r="AM102">
            <v>0</v>
          </cell>
          <cell r="AN102">
            <v>2</v>
          </cell>
        </row>
        <row r="103">
          <cell r="A103">
            <v>39617</v>
          </cell>
          <cell r="B103">
            <v>39617</v>
          </cell>
          <cell r="C103" t="str">
            <v>Past</v>
          </cell>
          <cell r="D103">
            <v>51.65</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51.65</v>
          </cell>
          <cell r="Q103">
            <v>2.086948</v>
          </cell>
          <cell r="R103" t="e">
            <v>#N/A</v>
          </cell>
          <cell r="AI103" t="str">
            <v>THB Thailand Baht</v>
          </cell>
          <cell r="AJ103" t="str">
            <v>Bt</v>
          </cell>
          <cell r="AK103" t="str">
            <v>THB</v>
          </cell>
          <cell r="AL103" t="str">
            <v>THB</v>
          </cell>
          <cell r="AM103">
            <v>0</v>
          </cell>
          <cell r="AN103">
            <v>2</v>
          </cell>
        </row>
        <row r="104">
          <cell r="A104">
            <v>39618</v>
          </cell>
          <cell r="B104">
            <v>39618</v>
          </cell>
          <cell r="C104" t="str">
            <v>Past</v>
          </cell>
          <cell r="D104">
            <v>51.6</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51.6</v>
          </cell>
          <cell r="Q104">
            <v>2.0014189999999998</v>
          </cell>
          <cell r="R104" t="e">
            <v>#N/A</v>
          </cell>
          <cell r="AI104" t="str">
            <v>TND Tunisian Dinar</v>
          </cell>
          <cell r="AJ104" t="str">
            <v>TND</v>
          </cell>
          <cell r="AK104" t="str">
            <v>TND</v>
          </cell>
          <cell r="AL104" t="str">
            <v>TND</v>
          </cell>
          <cell r="AM104">
            <v>0</v>
          </cell>
          <cell r="AN104">
            <v>2</v>
          </cell>
        </row>
        <row r="105">
          <cell r="A105">
            <v>39619</v>
          </cell>
          <cell r="B105">
            <v>39619</v>
          </cell>
          <cell r="C105" t="str">
            <v>Past</v>
          </cell>
          <cell r="D105">
            <v>50.3</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50.3</v>
          </cell>
          <cell r="Q105">
            <v>3.240291</v>
          </cell>
          <cell r="R105" t="e">
            <v>#N/A</v>
          </cell>
          <cell r="AI105" t="str">
            <v>TRY Turkish Lira</v>
          </cell>
          <cell r="AJ105" t="str">
            <v>TL</v>
          </cell>
          <cell r="AK105" t="str">
            <v>TRY</v>
          </cell>
          <cell r="AL105" t="str">
            <v>TRY</v>
          </cell>
          <cell r="AM105">
            <v>0</v>
          </cell>
          <cell r="AN105">
            <v>2</v>
          </cell>
        </row>
        <row r="106">
          <cell r="A106">
            <v>39622</v>
          </cell>
          <cell r="B106">
            <v>39622</v>
          </cell>
          <cell r="C106" t="str">
            <v>Past</v>
          </cell>
          <cell r="D106">
            <v>49.99</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49.99</v>
          </cell>
          <cell r="Q106">
            <v>1.574284</v>
          </cell>
          <cell r="R106" t="e">
            <v>#N/A</v>
          </cell>
          <cell r="AI106" t="str">
            <v>TWD New Taiwan Dollar</v>
          </cell>
          <cell r="AJ106" t="str">
            <v>NT$</v>
          </cell>
          <cell r="AK106" t="str">
            <v>TWD</v>
          </cell>
          <cell r="AL106" t="str">
            <v>TWD</v>
          </cell>
          <cell r="AM106">
            <v>0</v>
          </cell>
          <cell r="AN106">
            <v>2</v>
          </cell>
        </row>
        <row r="107">
          <cell r="A107">
            <v>39623</v>
          </cell>
          <cell r="B107">
            <v>39623</v>
          </cell>
          <cell r="C107" t="str">
            <v>Past</v>
          </cell>
          <cell r="D107">
            <v>49.36</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49.36</v>
          </cell>
          <cell r="Q107">
            <v>2.4846179999999998</v>
          </cell>
          <cell r="R107" t="e">
            <v>#N/A</v>
          </cell>
          <cell r="AI107" t="str">
            <v>UAH Ukrainian Hryvnia</v>
          </cell>
          <cell r="AJ107" t="str">
            <v>UAH</v>
          </cell>
          <cell r="AK107" t="str">
            <v>UAH</v>
          </cell>
          <cell r="AL107" t="str">
            <v>UAH</v>
          </cell>
          <cell r="AM107">
            <v>0</v>
          </cell>
          <cell r="AN107">
            <v>2</v>
          </cell>
        </row>
        <row r="108">
          <cell r="A108">
            <v>39624</v>
          </cell>
          <cell r="B108">
            <v>39624</v>
          </cell>
          <cell r="C108" t="str">
            <v>Past</v>
          </cell>
          <cell r="D108">
            <v>48.02</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48.02</v>
          </cell>
          <cell r="Q108">
            <v>4.6275040000000001</v>
          </cell>
          <cell r="R108" t="e">
            <v>#N/A</v>
          </cell>
          <cell r="AI108" t="str">
            <v>USD American Dollar</v>
          </cell>
          <cell r="AJ108" t="str">
            <v>$</v>
          </cell>
          <cell r="AK108" t="str">
            <v>USD</v>
          </cell>
          <cell r="AL108" t="str">
            <v>USD</v>
          </cell>
          <cell r="AM108">
            <v>0</v>
          </cell>
          <cell r="AN108">
            <v>2</v>
          </cell>
        </row>
        <row r="109">
          <cell r="A109">
            <v>39625</v>
          </cell>
          <cell r="B109">
            <v>39625</v>
          </cell>
          <cell r="C109" t="str">
            <v>Past</v>
          </cell>
          <cell r="D109">
            <v>47.84</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47.84</v>
          </cell>
          <cell r="Q109">
            <v>2.9123200000000002</v>
          </cell>
          <cell r="R109" t="e">
            <v>#N/A</v>
          </cell>
          <cell r="AI109" t="str">
            <v>VEB Venezuelan Bolivar</v>
          </cell>
          <cell r="AJ109" t="str">
            <v>VEB</v>
          </cell>
          <cell r="AK109" t="str">
            <v>VEB</v>
          </cell>
          <cell r="AL109" t="str">
            <v>VEB</v>
          </cell>
          <cell r="AM109">
            <v>0</v>
          </cell>
          <cell r="AN109">
            <v>2</v>
          </cell>
        </row>
        <row r="110">
          <cell r="A110">
            <v>39626</v>
          </cell>
          <cell r="B110">
            <v>39626</v>
          </cell>
          <cell r="C110" t="str">
            <v>Past</v>
          </cell>
          <cell r="D110">
            <v>47.81</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47.81</v>
          </cell>
          <cell r="Q110">
            <v>2.4799000000000002</v>
          </cell>
          <cell r="R110" t="e">
            <v>#N/A</v>
          </cell>
          <cell r="AI110" t="str">
            <v>ZAc South African Cent</v>
          </cell>
          <cell r="AJ110" t="str">
            <v>ZAc</v>
          </cell>
          <cell r="AK110" t="str">
            <v>ZAc</v>
          </cell>
          <cell r="AL110" t="str">
            <v>ZAc</v>
          </cell>
          <cell r="AM110">
            <v>0</v>
          </cell>
          <cell r="AN110">
            <v>0</v>
          </cell>
        </row>
        <row r="111">
          <cell r="A111">
            <v>39629</v>
          </cell>
          <cell r="B111">
            <v>39629</v>
          </cell>
          <cell r="C111" t="str">
            <v>Past</v>
          </cell>
          <cell r="D111">
            <v>47.96</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47.96</v>
          </cell>
          <cell r="Q111">
            <v>3.0451069999999998</v>
          </cell>
          <cell r="R111" t="e">
            <v>#N/A</v>
          </cell>
          <cell r="AI111" t="str">
            <v>ZAR South African rand</v>
          </cell>
          <cell r="AJ111" t="str">
            <v>ZAR</v>
          </cell>
          <cell r="AK111" t="str">
            <v>ZAR</v>
          </cell>
          <cell r="AL111" t="str">
            <v>ZAR</v>
          </cell>
          <cell r="AM111">
            <v>0</v>
          </cell>
          <cell r="AN111">
            <v>2</v>
          </cell>
        </row>
        <row r="112">
          <cell r="A112">
            <v>39630</v>
          </cell>
          <cell r="B112">
            <v>39630</v>
          </cell>
          <cell r="C112" t="str">
            <v>Past</v>
          </cell>
          <cell r="D112">
            <v>49.5</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49.5</v>
          </cell>
          <cell r="Q112">
            <v>3.9493739999999997</v>
          </cell>
          <cell r="R112" t="e">
            <v>#N/A</v>
          </cell>
          <cell r="AI112" t="str">
            <v xml:space="preserve">ZMK Zambian Kwacha </v>
          </cell>
          <cell r="AJ112" t="str">
            <v>ZMK</v>
          </cell>
          <cell r="AK112" t="str">
            <v>ZMK</v>
          </cell>
          <cell r="AL112" t="str">
            <v>ZMK</v>
          </cell>
          <cell r="AM112">
            <v>0</v>
          </cell>
          <cell r="AN112">
            <v>2</v>
          </cell>
        </row>
        <row r="113">
          <cell r="A113">
            <v>39631</v>
          </cell>
          <cell r="B113">
            <v>39631</v>
          </cell>
          <cell r="C113" t="str">
            <v>Past</v>
          </cell>
          <cell r="D113">
            <v>47.85</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47.85</v>
          </cell>
          <cell r="Q113">
            <v>2.5491539999999997</v>
          </cell>
          <cell r="R113" t="e">
            <v>#N/A</v>
          </cell>
          <cell r="AI113" t="str">
            <v>ZAR South African rand</v>
          </cell>
          <cell r="AJ113" t="str">
            <v>ZAR</v>
          </cell>
          <cell r="AK113" t="str">
            <v>ZAR</v>
          </cell>
          <cell r="AL113" t="str">
            <v>ZAR</v>
          </cell>
          <cell r="AM113">
            <v>0</v>
          </cell>
          <cell r="AN113">
            <v>2</v>
          </cell>
        </row>
        <row r="114">
          <cell r="A114">
            <v>39632</v>
          </cell>
          <cell r="B114">
            <v>39632</v>
          </cell>
          <cell r="C114" t="str">
            <v>Past</v>
          </cell>
          <cell r="D114">
            <v>48.64</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48.64</v>
          </cell>
          <cell r="Q114">
            <v>0.98191299999999992</v>
          </cell>
          <cell r="R114" t="e">
            <v>#N/A</v>
          </cell>
          <cell r="AI114" t="str">
            <v xml:space="preserve">ZMK Zambian Kwacha </v>
          </cell>
          <cell r="AJ114" t="str">
            <v>ZMK</v>
          </cell>
          <cell r="AK114" t="str">
            <v>ZMK</v>
          </cell>
          <cell r="AL114" t="str">
            <v>ZMK</v>
          </cell>
          <cell r="AM114">
            <v>0</v>
          </cell>
          <cell r="AN114">
            <v>2</v>
          </cell>
        </row>
        <row r="115">
          <cell r="A115">
            <v>39636</v>
          </cell>
          <cell r="B115">
            <v>39636</v>
          </cell>
          <cell r="C115" t="str">
            <v>Past</v>
          </cell>
          <cell r="D115">
            <v>48.16</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48.16</v>
          </cell>
          <cell r="Q115">
            <v>2.0897869999999998</v>
          </cell>
          <cell r="R115" t="e">
            <v>#N/A</v>
          </cell>
        </row>
        <row r="116">
          <cell r="A116">
            <v>39637</v>
          </cell>
          <cell r="B116">
            <v>39637</v>
          </cell>
          <cell r="C116" t="str">
            <v>Past</v>
          </cell>
          <cell r="D116">
            <v>51.27</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51.27</v>
          </cell>
          <cell r="Q116">
            <v>3.429897</v>
          </cell>
          <cell r="R116" t="e">
            <v>#N/A</v>
          </cell>
        </row>
        <row r="117">
          <cell r="A117">
            <v>39638</v>
          </cell>
          <cell r="B117">
            <v>39638</v>
          </cell>
          <cell r="C117" t="str">
            <v>Past</v>
          </cell>
          <cell r="D117">
            <v>51</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51</v>
          </cell>
          <cell r="Q117">
            <v>2.7236000000000002</v>
          </cell>
          <cell r="R117" t="e">
            <v>#N/A</v>
          </cell>
        </row>
        <row r="118">
          <cell r="A118">
            <v>39639</v>
          </cell>
          <cell r="B118">
            <v>39639</v>
          </cell>
          <cell r="C118" t="str">
            <v>Past</v>
          </cell>
          <cell r="D118">
            <v>51.46</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51.46</v>
          </cell>
          <cell r="Q118">
            <v>2.698531</v>
          </cell>
          <cell r="R118" t="e">
            <v>#N/A</v>
          </cell>
        </row>
        <row r="119">
          <cell r="A119">
            <v>39640</v>
          </cell>
          <cell r="B119">
            <v>39640</v>
          </cell>
          <cell r="C119" t="str">
            <v>Past</v>
          </cell>
          <cell r="D119">
            <v>47.16</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47.16</v>
          </cell>
          <cell r="Q119">
            <v>5.2577379999999998</v>
          </cell>
          <cell r="R119" t="e">
            <v>#N/A</v>
          </cell>
        </row>
        <row r="120">
          <cell r="A120">
            <v>39643</v>
          </cell>
          <cell r="B120">
            <v>39643</v>
          </cell>
          <cell r="C120" t="str">
            <v>Past</v>
          </cell>
          <cell r="D120">
            <v>47.23</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47.23</v>
          </cell>
          <cell r="Q120">
            <v>3.9552329999999998</v>
          </cell>
          <cell r="R120" t="e">
            <v>#N/A</v>
          </cell>
        </row>
        <row r="121">
          <cell r="A121">
            <v>39644</v>
          </cell>
          <cell r="B121">
            <v>39644</v>
          </cell>
          <cell r="C121" t="str">
            <v>Past</v>
          </cell>
          <cell r="D121">
            <v>45.47</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45.47</v>
          </cell>
          <cell r="Q121">
            <v>5.0841729999999998</v>
          </cell>
          <cell r="R121" t="e">
            <v>#N/A</v>
          </cell>
        </row>
        <row r="122">
          <cell r="A122">
            <v>39645</v>
          </cell>
          <cell r="B122">
            <v>39645</v>
          </cell>
          <cell r="C122" t="str">
            <v>Past</v>
          </cell>
          <cell r="D122">
            <v>47.27</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47.27</v>
          </cell>
          <cell r="Q122">
            <v>3.9761059999999997</v>
          </cell>
          <cell r="R122" t="e">
            <v>#N/A</v>
          </cell>
        </row>
        <row r="123">
          <cell r="A123">
            <v>39646</v>
          </cell>
          <cell r="B123">
            <v>39646</v>
          </cell>
          <cell r="C123" t="str">
            <v>Past</v>
          </cell>
          <cell r="D123">
            <v>46.64</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46.64</v>
          </cell>
          <cell r="Q123">
            <v>2.7639489999999998</v>
          </cell>
          <cell r="R123" t="e">
            <v>#N/A</v>
          </cell>
        </row>
        <row r="124">
          <cell r="A124">
            <v>39647</v>
          </cell>
          <cell r="B124">
            <v>39647</v>
          </cell>
          <cell r="C124" t="str">
            <v>Past</v>
          </cell>
          <cell r="D124">
            <v>46.79</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46.79</v>
          </cell>
          <cell r="Q124">
            <v>2.0581389999999997</v>
          </cell>
          <cell r="R124" t="e">
            <v>#N/A</v>
          </cell>
        </row>
        <row r="125">
          <cell r="A125">
            <v>39650</v>
          </cell>
          <cell r="B125">
            <v>39650</v>
          </cell>
          <cell r="C125" t="str">
            <v>Past</v>
          </cell>
          <cell r="D125">
            <v>46.45</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46.45</v>
          </cell>
          <cell r="Q125">
            <v>2.311048</v>
          </cell>
          <cell r="R125" t="e">
            <v>#N/A</v>
          </cell>
        </row>
        <row r="126">
          <cell r="A126">
            <v>39651</v>
          </cell>
          <cell r="B126">
            <v>39651</v>
          </cell>
          <cell r="C126" t="str">
            <v>Past</v>
          </cell>
          <cell r="D126">
            <v>48.23</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48.23</v>
          </cell>
          <cell r="Q126">
            <v>2.0023939999999998</v>
          </cell>
          <cell r="R126" t="e">
            <v>#N/A</v>
          </cell>
        </row>
        <row r="127">
          <cell r="A127">
            <v>39652</v>
          </cell>
          <cell r="B127">
            <v>39652</v>
          </cell>
          <cell r="C127" t="str">
            <v>Past</v>
          </cell>
          <cell r="D127">
            <v>49.17</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49.17</v>
          </cell>
          <cell r="Q127">
            <v>2.2585109999999999</v>
          </cell>
          <cell r="R127" t="e">
            <v>#N/A</v>
          </cell>
        </row>
        <row r="128">
          <cell r="A128">
            <v>39653</v>
          </cell>
          <cell r="B128">
            <v>39653</v>
          </cell>
          <cell r="C128" t="str">
            <v>Past</v>
          </cell>
          <cell r="D128">
            <v>47.71</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47.71</v>
          </cell>
          <cell r="Q128">
            <v>1.3194789999999998</v>
          </cell>
          <cell r="R128" t="e">
            <v>#N/A</v>
          </cell>
        </row>
        <row r="129">
          <cell r="A129">
            <v>39654</v>
          </cell>
          <cell r="B129">
            <v>39654</v>
          </cell>
          <cell r="C129" t="str">
            <v>Past</v>
          </cell>
          <cell r="D129">
            <v>48.25</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48.25</v>
          </cell>
          <cell r="Q129">
            <v>0.98369200000000001</v>
          </cell>
          <cell r="R129" t="e">
            <v>#N/A</v>
          </cell>
        </row>
        <row r="130">
          <cell r="A130">
            <v>39657</v>
          </cell>
          <cell r="B130">
            <v>39657</v>
          </cell>
          <cell r="C130" t="str">
            <v>Past</v>
          </cell>
          <cell r="D130">
            <v>47.44</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47.44</v>
          </cell>
          <cell r="Q130">
            <v>0.94626399999999999</v>
          </cell>
          <cell r="R130" t="e">
            <v>#N/A</v>
          </cell>
        </row>
        <row r="131">
          <cell r="A131">
            <v>39658</v>
          </cell>
          <cell r="B131">
            <v>39658</v>
          </cell>
          <cell r="C131" t="str">
            <v>Past</v>
          </cell>
          <cell r="D131">
            <v>48.64</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48.64</v>
          </cell>
          <cell r="Q131">
            <v>0.927037</v>
          </cell>
          <cell r="R131" t="e">
            <v>#N/A</v>
          </cell>
        </row>
        <row r="132">
          <cell r="A132">
            <v>39659</v>
          </cell>
          <cell r="B132">
            <v>39659</v>
          </cell>
          <cell r="C132" t="str">
            <v>Past</v>
          </cell>
          <cell r="D132">
            <v>49.2</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49.2</v>
          </cell>
          <cell r="Q132">
            <v>1.4878049999999998</v>
          </cell>
          <cell r="R132" t="e">
            <v>#N/A</v>
          </cell>
        </row>
        <row r="133">
          <cell r="A133">
            <v>39660</v>
          </cell>
          <cell r="B133">
            <v>39660</v>
          </cell>
          <cell r="C133" t="str">
            <v>Past</v>
          </cell>
          <cell r="D133">
            <v>49.69</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49.69</v>
          </cell>
          <cell r="Q133">
            <v>2.684456</v>
          </cell>
          <cell r="R133" t="e">
            <v>#N/A</v>
          </cell>
        </row>
        <row r="134">
          <cell r="A134">
            <v>39661</v>
          </cell>
          <cell r="B134">
            <v>39661</v>
          </cell>
          <cell r="C134" t="str">
            <v>Past</v>
          </cell>
          <cell r="D134">
            <v>49.74</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49.74</v>
          </cell>
          <cell r="Q134">
            <v>1.6727589999999999</v>
          </cell>
          <cell r="R134" t="e">
            <v>#N/A</v>
          </cell>
        </row>
        <row r="135">
          <cell r="A135">
            <v>39664</v>
          </cell>
          <cell r="B135">
            <v>39664</v>
          </cell>
          <cell r="C135" t="str">
            <v>Past</v>
          </cell>
          <cell r="D135">
            <v>49.73</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49.73</v>
          </cell>
          <cell r="Q135">
            <v>1.086246</v>
          </cell>
          <cell r="R135" t="e">
            <v>#N/A</v>
          </cell>
        </row>
        <row r="136">
          <cell r="A136">
            <v>39665</v>
          </cell>
          <cell r="B136">
            <v>39665</v>
          </cell>
          <cell r="C136" t="str">
            <v>Past</v>
          </cell>
          <cell r="D136">
            <v>51.17</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51.17</v>
          </cell>
          <cell r="Q136">
            <v>1.2260529999999998</v>
          </cell>
          <cell r="R136" t="e">
            <v>#N/A</v>
          </cell>
        </row>
        <row r="137">
          <cell r="A137">
            <v>39666</v>
          </cell>
          <cell r="B137">
            <v>39666</v>
          </cell>
          <cell r="C137" t="str">
            <v>Past</v>
          </cell>
          <cell r="D137">
            <v>51.25</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51.25</v>
          </cell>
          <cell r="Q137">
            <v>0.80292399999999997</v>
          </cell>
          <cell r="R137" t="e">
            <v>#N/A</v>
          </cell>
        </row>
        <row r="138">
          <cell r="A138">
            <v>39667</v>
          </cell>
          <cell r="B138">
            <v>39667</v>
          </cell>
          <cell r="C138" t="str">
            <v>Past</v>
          </cell>
          <cell r="D138">
            <v>50</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50</v>
          </cell>
          <cell r="Q138">
            <v>1.1969349999999999</v>
          </cell>
          <cell r="R138" t="e">
            <v>#N/A</v>
          </cell>
        </row>
        <row r="139">
          <cell r="A139">
            <v>39668</v>
          </cell>
          <cell r="B139">
            <v>39668</v>
          </cell>
          <cell r="C139" t="str">
            <v>Past</v>
          </cell>
          <cell r="D139">
            <v>52.7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52.7</v>
          </cell>
          <cell r="Q139">
            <v>1.334784</v>
          </cell>
          <cell r="R139" t="e">
            <v>#N/A</v>
          </cell>
        </row>
        <row r="140">
          <cell r="A140">
            <v>39671</v>
          </cell>
          <cell r="B140">
            <v>39671</v>
          </cell>
          <cell r="C140" t="str">
            <v>Past</v>
          </cell>
          <cell r="D140">
            <v>53.2</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53.2</v>
          </cell>
          <cell r="Q140">
            <v>1.3110219999999999</v>
          </cell>
          <cell r="R140" t="e">
            <v>#N/A</v>
          </cell>
        </row>
        <row r="141">
          <cell r="A141">
            <v>39672</v>
          </cell>
          <cell r="B141">
            <v>39672</v>
          </cell>
          <cell r="C141" t="str">
            <v>Past</v>
          </cell>
          <cell r="D141">
            <v>53.21</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53.21</v>
          </cell>
          <cell r="Q141">
            <v>0.76755499999999999</v>
          </cell>
          <cell r="R141" t="e">
            <v>#N/A</v>
          </cell>
        </row>
        <row r="142">
          <cell r="A142">
            <v>39673</v>
          </cell>
          <cell r="B142">
            <v>39673</v>
          </cell>
          <cell r="C142" t="str">
            <v>Past</v>
          </cell>
          <cell r="D142">
            <v>52.84</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52.84</v>
          </cell>
          <cell r="Q142">
            <v>0.92146499999999998</v>
          </cell>
          <cell r="R142" t="e">
            <v>#N/A</v>
          </cell>
        </row>
        <row r="143">
          <cell r="A143">
            <v>39674</v>
          </cell>
          <cell r="B143">
            <v>39674</v>
          </cell>
          <cell r="C143" t="str">
            <v>Past</v>
          </cell>
          <cell r="D143">
            <v>53.17</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53.17</v>
          </cell>
          <cell r="Q143">
            <v>0.62597399999999992</v>
          </cell>
          <cell r="R143" t="e">
            <v>#N/A</v>
          </cell>
        </row>
        <row r="144">
          <cell r="A144">
            <v>39675</v>
          </cell>
          <cell r="B144">
            <v>39675</v>
          </cell>
          <cell r="C144" t="str">
            <v>Past</v>
          </cell>
          <cell r="D144">
            <v>53.68</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53.68</v>
          </cell>
          <cell r="Q144">
            <v>0.78139499999999995</v>
          </cell>
          <cell r="R144" t="e">
            <v>#N/A</v>
          </cell>
        </row>
        <row r="145">
          <cell r="A145">
            <v>39678</v>
          </cell>
          <cell r="B145">
            <v>39678</v>
          </cell>
          <cell r="C145" t="str">
            <v>Past</v>
          </cell>
          <cell r="D145">
            <v>53.21</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53.21</v>
          </cell>
          <cell r="Q145">
            <v>1.0726069999999999</v>
          </cell>
          <cell r="R145" t="e">
            <v>#N/A</v>
          </cell>
        </row>
        <row r="146">
          <cell r="A146">
            <v>39679</v>
          </cell>
          <cell r="B146">
            <v>39679</v>
          </cell>
          <cell r="C146" t="str">
            <v>Past</v>
          </cell>
          <cell r="D146">
            <v>52</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52</v>
          </cell>
          <cell r="Q146">
            <v>1.4836469999999999</v>
          </cell>
          <cell r="R146" t="e">
            <v>#N/A</v>
          </cell>
        </row>
        <row r="147">
          <cell r="A147">
            <v>39680</v>
          </cell>
          <cell r="B147">
            <v>39680</v>
          </cell>
          <cell r="C147" t="str">
            <v>Past</v>
          </cell>
          <cell r="D147">
            <v>51.35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51.35</v>
          </cell>
          <cell r="Q147">
            <v>2.1084510000000001</v>
          </cell>
          <cell r="R147" t="e">
            <v>#N/A</v>
          </cell>
        </row>
        <row r="148">
          <cell r="A148">
            <v>39681</v>
          </cell>
          <cell r="B148">
            <v>39681</v>
          </cell>
          <cell r="C148" t="str">
            <v>Past</v>
          </cell>
          <cell r="D148">
            <v>50.77</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50.77</v>
          </cell>
          <cell r="Q148">
            <v>1.1655229999999999</v>
          </cell>
          <cell r="R148" t="e">
            <v>#N/A</v>
          </cell>
        </row>
        <row r="149">
          <cell r="A149">
            <v>39682</v>
          </cell>
          <cell r="B149">
            <v>39682</v>
          </cell>
          <cell r="C149" t="str">
            <v>Past</v>
          </cell>
          <cell r="D149">
            <v>52.28</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52.28</v>
          </cell>
          <cell r="Q149">
            <v>0.84543199999999996</v>
          </cell>
          <cell r="R149" t="e">
            <v>#N/A</v>
          </cell>
        </row>
        <row r="150">
          <cell r="A150">
            <v>39685</v>
          </cell>
          <cell r="B150">
            <v>39685</v>
          </cell>
          <cell r="C150" t="str">
            <v>Past</v>
          </cell>
          <cell r="D150">
            <v>51.25</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51.25</v>
          </cell>
          <cell r="Q150">
            <v>1.240548</v>
          </cell>
          <cell r="R150" t="e">
            <v>#N/A</v>
          </cell>
        </row>
        <row r="151">
          <cell r="A151">
            <v>39686</v>
          </cell>
          <cell r="B151">
            <v>39686</v>
          </cell>
          <cell r="C151" t="str">
            <v>Past</v>
          </cell>
          <cell r="D151">
            <v>51.81</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51.81</v>
          </cell>
          <cell r="Q151">
            <v>1.1626159999999999</v>
          </cell>
          <cell r="R151" t="e">
            <v>#N/A</v>
          </cell>
        </row>
        <row r="152">
          <cell r="A152">
            <v>39687</v>
          </cell>
          <cell r="B152">
            <v>39687</v>
          </cell>
          <cell r="C152" t="str">
            <v>Past</v>
          </cell>
          <cell r="D152">
            <v>51.97</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51.97</v>
          </cell>
          <cell r="Q152">
            <v>1.336713</v>
          </cell>
          <cell r="R152" t="e">
            <v>#N/A</v>
          </cell>
        </row>
        <row r="153">
          <cell r="A153">
            <v>39688</v>
          </cell>
          <cell r="B153">
            <v>39688</v>
          </cell>
          <cell r="C153" t="str">
            <v>Past</v>
          </cell>
          <cell r="D153">
            <v>53.22</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53.22</v>
          </cell>
          <cell r="Q153">
            <v>0.81744600000000001</v>
          </cell>
          <cell r="R153" t="e">
            <v>#N/A</v>
          </cell>
        </row>
        <row r="154">
          <cell r="A154">
            <v>39689</v>
          </cell>
          <cell r="B154">
            <v>39689</v>
          </cell>
          <cell r="C154" t="str">
            <v>Past</v>
          </cell>
          <cell r="D154">
            <v>52.59</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52.59</v>
          </cell>
          <cell r="Q154">
            <v>0.62557000000000007</v>
          </cell>
          <cell r="R154" t="e">
            <v>#N/A</v>
          </cell>
        </row>
        <row r="155">
          <cell r="A155">
            <v>39693</v>
          </cell>
          <cell r="B155">
            <v>39693</v>
          </cell>
          <cell r="C155" t="str">
            <v>Past</v>
          </cell>
          <cell r="D155">
            <v>52.94</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52.94</v>
          </cell>
          <cell r="Q155">
            <v>0.746313</v>
          </cell>
          <cell r="R155" t="e">
            <v>#N/A</v>
          </cell>
        </row>
        <row r="156">
          <cell r="A156">
            <v>39694</v>
          </cell>
          <cell r="B156">
            <v>39694</v>
          </cell>
          <cell r="C156" t="str">
            <v>Past</v>
          </cell>
          <cell r="D156">
            <v>52.88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52.88</v>
          </cell>
          <cell r="Q156">
            <v>0.64024499999999995</v>
          </cell>
          <cell r="R156" t="e">
            <v>#N/A</v>
          </cell>
        </row>
        <row r="157">
          <cell r="A157">
            <v>39695</v>
          </cell>
          <cell r="B157">
            <v>39695</v>
          </cell>
          <cell r="C157" t="str">
            <v>Past</v>
          </cell>
          <cell r="D157">
            <v>51.73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51.73</v>
          </cell>
          <cell r="Q157">
            <v>1.5427729999999999</v>
          </cell>
          <cell r="R157" t="e">
            <v>#N/A</v>
          </cell>
        </row>
        <row r="158">
          <cell r="A158">
            <v>39696</v>
          </cell>
          <cell r="B158">
            <v>39696</v>
          </cell>
          <cell r="C158" t="str">
            <v>Past</v>
          </cell>
          <cell r="D158">
            <v>51.75</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51.75</v>
          </cell>
          <cell r="Q158">
            <v>0.92921399999999998</v>
          </cell>
          <cell r="R158" t="e">
            <v>#N/A</v>
          </cell>
        </row>
        <row r="159">
          <cell r="A159">
            <v>39699</v>
          </cell>
          <cell r="B159">
            <v>39699</v>
          </cell>
          <cell r="C159" t="str">
            <v>Past</v>
          </cell>
          <cell r="D159">
            <v>52.24</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52.24</v>
          </cell>
          <cell r="Q159">
            <v>1.8556509999999999</v>
          </cell>
          <cell r="R159" t="e">
            <v>#N/A</v>
          </cell>
        </row>
        <row r="160">
          <cell r="A160">
            <v>39700</v>
          </cell>
          <cell r="B160">
            <v>39700</v>
          </cell>
          <cell r="C160" t="str">
            <v>Past</v>
          </cell>
          <cell r="D160">
            <v>51.56</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51.56</v>
          </cell>
          <cell r="Q160">
            <v>1.6794939999999998</v>
          </cell>
          <cell r="R160" t="e">
            <v>#N/A</v>
          </cell>
        </row>
        <row r="161">
          <cell r="A161">
            <v>39701</v>
          </cell>
          <cell r="B161">
            <v>39701</v>
          </cell>
          <cell r="C161" t="str">
            <v>Past</v>
          </cell>
          <cell r="D161">
            <v>49.7</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49.7</v>
          </cell>
          <cell r="Q161">
            <v>2.219163</v>
          </cell>
          <cell r="R161" t="e">
            <v>#N/A</v>
          </cell>
        </row>
        <row r="162">
          <cell r="A162">
            <v>39702</v>
          </cell>
          <cell r="B162">
            <v>39702</v>
          </cell>
          <cell r="C162" t="str">
            <v>Past</v>
          </cell>
          <cell r="D162">
            <v>51.85</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51.85</v>
          </cell>
          <cell r="Q162">
            <v>1.993026</v>
          </cell>
          <cell r="R162" t="e">
            <v>#N/A</v>
          </cell>
        </row>
        <row r="163">
          <cell r="A163">
            <v>39703</v>
          </cell>
          <cell r="B163">
            <v>39703</v>
          </cell>
          <cell r="C163" t="str">
            <v>Past</v>
          </cell>
          <cell r="D163">
            <v>53.02</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53.02</v>
          </cell>
          <cell r="Q163">
            <v>1.5557289999999999</v>
          </cell>
          <cell r="R163" t="e">
            <v>#N/A</v>
          </cell>
        </row>
        <row r="164">
          <cell r="A164">
            <v>39706</v>
          </cell>
          <cell r="B164">
            <v>39706</v>
          </cell>
          <cell r="C164" t="str">
            <v>Past</v>
          </cell>
          <cell r="D164">
            <v>51.88</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51.88</v>
          </cell>
          <cell r="Q164">
            <v>1.45784</v>
          </cell>
          <cell r="R164" t="e">
            <v>#N/A</v>
          </cell>
        </row>
        <row r="165">
          <cell r="A165">
            <v>39707</v>
          </cell>
          <cell r="B165">
            <v>39707</v>
          </cell>
          <cell r="C165" t="str">
            <v>Past</v>
          </cell>
          <cell r="D165">
            <v>51.16</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51.16</v>
          </cell>
          <cell r="Q165">
            <v>2.3069700000000002</v>
          </cell>
          <cell r="R165" t="e">
            <v>#N/A</v>
          </cell>
        </row>
        <row r="166">
          <cell r="A166">
            <v>39708</v>
          </cell>
          <cell r="B166">
            <v>39708</v>
          </cell>
          <cell r="C166" t="str">
            <v>Past</v>
          </cell>
          <cell r="D166">
            <v>48.4</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48.4</v>
          </cell>
          <cell r="Q166">
            <v>2.4181319999999999</v>
          </cell>
          <cell r="R166" t="e">
            <v>#N/A</v>
          </cell>
        </row>
        <row r="167">
          <cell r="A167">
            <v>39709</v>
          </cell>
          <cell r="B167">
            <v>39709</v>
          </cell>
          <cell r="C167" t="str">
            <v>Past</v>
          </cell>
          <cell r="D167">
            <v>49.14</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49.14</v>
          </cell>
          <cell r="Q167">
            <v>2.2509950000000001</v>
          </cell>
          <cell r="R167" t="e">
            <v>#N/A</v>
          </cell>
        </row>
        <row r="168">
          <cell r="A168">
            <v>39710</v>
          </cell>
          <cell r="B168">
            <v>39710</v>
          </cell>
          <cell r="C168" t="str">
            <v>Past</v>
          </cell>
          <cell r="D168">
            <v>50.1</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50.1</v>
          </cell>
          <cell r="Q168">
            <v>1.7598429999999998</v>
          </cell>
          <cell r="R168" t="e">
            <v>#N/A</v>
          </cell>
        </row>
        <row r="169">
          <cell r="A169">
            <v>39713</v>
          </cell>
          <cell r="B169">
            <v>39713</v>
          </cell>
          <cell r="C169" t="str">
            <v>Past</v>
          </cell>
          <cell r="D169">
            <v>48.59</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48.59</v>
          </cell>
          <cell r="Q169">
            <v>0.980792</v>
          </cell>
          <cell r="R169" t="e">
            <v>#N/A</v>
          </cell>
        </row>
        <row r="170">
          <cell r="A170">
            <v>39714</v>
          </cell>
          <cell r="B170">
            <v>39714</v>
          </cell>
          <cell r="C170" t="str">
            <v>Past</v>
          </cell>
          <cell r="D170">
            <v>47.49</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47.49</v>
          </cell>
          <cell r="Q170">
            <v>0.62404499999999996</v>
          </cell>
          <cell r="R170" t="e">
            <v>#N/A</v>
          </cell>
        </row>
        <row r="171">
          <cell r="A171">
            <v>39715</v>
          </cell>
          <cell r="B171">
            <v>39715</v>
          </cell>
          <cell r="C171" t="str">
            <v>Past</v>
          </cell>
          <cell r="D171">
            <v>46.67</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46.67</v>
          </cell>
          <cell r="Q171">
            <v>1.2227000000000001</v>
          </cell>
          <cell r="R171" t="e">
            <v>#N/A</v>
          </cell>
        </row>
        <row r="172">
          <cell r="A172">
            <v>39716</v>
          </cell>
          <cell r="B172">
            <v>39716</v>
          </cell>
          <cell r="C172" t="str">
            <v>Past</v>
          </cell>
          <cell r="D172">
            <v>46.96</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46.96</v>
          </cell>
          <cell r="Q172">
            <v>1.0320590000000001</v>
          </cell>
          <cell r="R172" t="e">
            <v>#N/A</v>
          </cell>
        </row>
        <row r="173">
          <cell r="A173">
            <v>39717</v>
          </cell>
          <cell r="B173">
            <v>39717</v>
          </cell>
          <cell r="C173" t="str">
            <v>Past</v>
          </cell>
          <cell r="D173">
            <v>47.65</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47.65</v>
          </cell>
          <cell r="Q173">
            <v>1.1378000000000001</v>
          </cell>
          <cell r="R173" t="e">
            <v>#N/A</v>
          </cell>
        </row>
        <row r="174">
          <cell r="A174">
            <v>39720</v>
          </cell>
          <cell r="B174">
            <v>39720</v>
          </cell>
          <cell r="C174" t="str">
            <v>Past</v>
          </cell>
          <cell r="D174">
            <v>46.55</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46.55</v>
          </cell>
          <cell r="Q174">
            <v>2.34409</v>
          </cell>
          <cell r="R174" t="e">
            <v>#N/A</v>
          </cell>
        </row>
        <row r="175">
          <cell r="A175">
            <v>39721</v>
          </cell>
          <cell r="B175">
            <v>39721</v>
          </cell>
          <cell r="C175" t="str">
            <v>Past</v>
          </cell>
          <cell r="D175">
            <v>48.09</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48.09</v>
          </cell>
          <cell r="Q175">
            <v>1.6793589999999998</v>
          </cell>
          <cell r="R175" t="e">
            <v>#N/A</v>
          </cell>
        </row>
        <row r="176">
          <cell r="A176">
            <v>39722</v>
          </cell>
          <cell r="B176">
            <v>39722</v>
          </cell>
          <cell r="C176" t="str">
            <v>Past</v>
          </cell>
          <cell r="D176">
            <v>47.38</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47.38</v>
          </cell>
          <cell r="Q176">
            <v>1.4053179999999998</v>
          </cell>
          <cell r="R176" t="e">
            <v>#N/A</v>
          </cell>
        </row>
        <row r="177">
          <cell r="A177">
            <v>39723</v>
          </cell>
          <cell r="B177">
            <v>39723</v>
          </cell>
          <cell r="C177" t="str">
            <v>Past</v>
          </cell>
          <cell r="D177">
            <v>44.69</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44.69</v>
          </cell>
          <cell r="Q177">
            <v>1.511835</v>
          </cell>
          <cell r="R177" t="e">
            <v>#N/A</v>
          </cell>
        </row>
        <row r="178">
          <cell r="A178">
            <v>39724</v>
          </cell>
          <cell r="B178">
            <v>39724</v>
          </cell>
          <cell r="C178" t="str">
            <v>Past</v>
          </cell>
          <cell r="D178">
            <v>43.46</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43.46</v>
          </cell>
          <cell r="Q178">
            <v>1.5277289999999999</v>
          </cell>
          <cell r="R178" t="e">
            <v>#N/A</v>
          </cell>
        </row>
        <row r="179">
          <cell r="A179">
            <v>39727</v>
          </cell>
          <cell r="B179">
            <v>39727</v>
          </cell>
          <cell r="C179" t="str">
            <v>Past</v>
          </cell>
          <cell r="D179">
            <v>42</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42</v>
          </cell>
          <cell r="Q179">
            <v>1.765822</v>
          </cell>
          <cell r="R179" t="e">
            <v>#N/A</v>
          </cell>
        </row>
        <row r="180">
          <cell r="A180">
            <v>39728</v>
          </cell>
          <cell r="B180">
            <v>39728</v>
          </cell>
          <cell r="C180" t="str">
            <v>Past</v>
          </cell>
          <cell r="D180">
            <v>41</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41</v>
          </cell>
          <cell r="Q180">
            <v>1.6303779999999999</v>
          </cell>
          <cell r="R180" t="e">
            <v>#N/A</v>
          </cell>
        </row>
        <row r="181">
          <cell r="A181">
            <v>39729</v>
          </cell>
          <cell r="B181">
            <v>39729</v>
          </cell>
          <cell r="C181" t="str">
            <v>Past</v>
          </cell>
          <cell r="D181">
            <v>40.380000000000003</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40.380000000000003</v>
          </cell>
          <cell r="Q181">
            <v>1.881213</v>
          </cell>
          <cell r="R181" t="e">
            <v>#N/A</v>
          </cell>
        </row>
        <row r="182">
          <cell r="A182">
            <v>39730</v>
          </cell>
          <cell r="B182">
            <v>39730</v>
          </cell>
          <cell r="C182" t="str">
            <v>Past</v>
          </cell>
          <cell r="D182">
            <v>37.65</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37.65</v>
          </cell>
          <cell r="Q182">
            <v>1.7524679999999999</v>
          </cell>
          <cell r="R182" t="e">
            <v>#N/A</v>
          </cell>
        </row>
        <row r="183">
          <cell r="A183">
            <v>39731</v>
          </cell>
          <cell r="B183">
            <v>39731</v>
          </cell>
          <cell r="C183" t="str">
            <v>Past</v>
          </cell>
          <cell r="D183">
            <v>36.229999999999997</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36.229999999999997</v>
          </cell>
          <cell r="Q183">
            <v>2.4158139999999997</v>
          </cell>
          <cell r="R183" t="e">
            <v>#N/A</v>
          </cell>
        </row>
        <row r="184">
          <cell r="A184">
            <v>39734</v>
          </cell>
          <cell r="B184">
            <v>39734</v>
          </cell>
          <cell r="C184" t="str">
            <v>Past</v>
          </cell>
          <cell r="D184">
            <v>39.33</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39.33</v>
          </cell>
          <cell r="Q184">
            <v>2.5123959999999999</v>
          </cell>
          <cell r="R184" t="e">
            <v>#N/A</v>
          </cell>
        </row>
        <row r="185">
          <cell r="A185">
            <v>39735</v>
          </cell>
          <cell r="B185">
            <v>39735</v>
          </cell>
          <cell r="C185" t="str">
            <v>Past</v>
          </cell>
          <cell r="D185">
            <v>38.54</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38.54</v>
          </cell>
          <cell r="Q185">
            <v>1.695813</v>
          </cell>
          <cell r="R185" t="e">
            <v>#N/A</v>
          </cell>
        </row>
        <row r="186">
          <cell r="A186">
            <v>39736</v>
          </cell>
          <cell r="B186">
            <v>39736</v>
          </cell>
          <cell r="C186" t="str">
            <v>Past</v>
          </cell>
          <cell r="D186">
            <v>35.130000000000003</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35.130000000000003</v>
          </cell>
          <cell r="Q186">
            <v>1.4248689999999999</v>
          </cell>
          <cell r="R186" t="e">
            <v>#N/A</v>
          </cell>
        </row>
        <row r="187">
          <cell r="A187">
            <v>39737</v>
          </cell>
          <cell r="B187">
            <v>39737</v>
          </cell>
          <cell r="C187" t="str">
            <v>Past</v>
          </cell>
          <cell r="D187">
            <v>37.380000000000003</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37.380000000000003</v>
          </cell>
          <cell r="Q187">
            <v>2.2855159999999999</v>
          </cell>
          <cell r="R187" t="e">
            <v>#N/A</v>
          </cell>
        </row>
        <row r="188">
          <cell r="A188">
            <v>39738</v>
          </cell>
          <cell r="B188">
            <v>39738</v>
          </cell>
          <cell r="C188" t="str">
            <v>Past</v>
          </cell>
          <cell r="D188">
            <v>35.53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35.53</v>
          </cell>
          <cell r="Q188">
            <v>1.8588439999999999</v>
          </cell>
          <cell r="R188" t="e">
            <v>#N/A</v>
          </cell>
        </row>
        <row r="189">
          <cell r="A189">
            <v>39741</v>
          </cell>
          <cell r="B189">
            <v>39741</v>
          </cell>
          <cell r="C189" t="str">
            <v>Past</v>
          </cell>
          <cell r="D189">
            <v>37.19</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37.19</v>
          </cell>
          <cell r="Q189">
            <v>1.213749</v>
          </cell>
          <cell r="R189" t="e">
            <v>#N/A</v>
          </cell>
        </row>
        <row r="190">
          <cell r="A190">
            <v>39742</v>
          </cell>
          <cell r="B190">
            <v>39742</v>
          </cell>
          <cell r="C190" t="str">
            <v>Past</v>
          </cell>
          <cell r="D190">
            <v>35.68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35.68</v>
          </cell>
          <cell r="Q190">
            <v>1.675327</v>
          </cell>
          <cell r="R190" t="e">
            <v>#N/A</v>
          </cell>
        </row>
        <row r="191">
          <cell r="A191">
            <v>39743</v>
          </cell>
          <cell r="B191">
            <v>39743</v>
          </cell>
          <cell r="C191" t="str">
            <v>Past</v>
          </cell>
          <cell r="D191">
            <v>34.159999999999997</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34.159999999999997</v>
          </cell>
          <cell r="Q191">
            <v>1.662995</v>
          </cell>
          <cell r="R191" t="e">
            <v>#N/A</v>
          </cell>
        </row>
        <row r="192">
          <cell r="A192">
            <v>39744</v>
          </cell>
          <cell r="B192">
            <v>39744</v>
          </cell>
          <cell r="C192" t="str">
            <v>Past</v>
          </cell>
          <cell r="D192">
            <v>34.53</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34.53</v>
          </cell>
          <cell r="Q192">
            <v>2.4999100000000003</v>
          </cell>
          <cell r="R192" t="e">
            <v>#N/A</v>
          </cell>
        </row>
        <row r="193">
          <cell r="A193">
            <v>39745</v>
          </cell>
          <cell r="B193">
            <v>39745</v>
          </cell>
          <cell r="C193" t="str">
            <v>Past</v>
          </cell>
          <cell r="D193">
            <v>33.54</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33.54</v>
          </cell>
          <cell r="Q193">
            <v>1.7542069999999998</v>
          </cell>
          <cell r="R193" t="e">
            <v>#N/A</v>
          </cell>
        </row>
        <row r="194">
          <cell r="A194">
            <v>39748</v>
          </cell>
          <cell r="B194">
            <v>39748</v>
          </cell>
          <cell r="C194" t="str">
            <v>Past</v>
          </cell>
          <cell r="D194">
            <v>31.59</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31.59</v>
          </cell>
          <cell r="Q194">
            <v>1.6595419999999999</v>
          </cell>
          <cell r="R194" t="e">
            <v>#N/A</v>
          </cell>
        </row>
        <row r="195">
          <cell r="A195">
            <v>39749</v>
          </cell>
          <cell r="B195">
            <v>39749</v>
          </cell>
          <cell r="C195" t="str">
            <v>Past</v>
          </cell>
          <cell r="D195">
            <v>35.54</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35.54</v>
          </cell>
          <cell r="Q195">
            <v>1.9081379999999999</v>
          </cell>
          <cell r="R195" t="e">
            <v>#N/A</v>
          </cell>
        </row>
        <row r="196">
          <cell r="A196">
            <v>39750</v>
          </cell>
          <cell r="B196">
            <v>39750</v>
          </cell>
          <cell r="C196" t="str">
            <v>Past</v>
          </cell>
          <cell r="D196">
            <v>35.42</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35.42</v>
          </cell>
          <cell r="Q196">
            <v>1.819475</v>
          </cell>
          <cell r="R196" t="e">
            <v>#N/A</v>
          </cell>
        </row>
        <row r="197">
          <cell r="A197">
            <v>39751</v>
          </cell>
          <cell r="B197">
            <v>39751</v>
          </cell>
          <cell r="C197" t="str">
            <v>Past</v>
          </cell>
          <cell r="D197">
            <v>36.07</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36.07</v>
          </cell>
          <cell r="Q197">
            <v>1.863904</v>
          </cell>
          <cell r="R197" t="e">
            <v>#N/A</v>
          </cell>
        </row>
        <row r="198">
          <cell r="A198">
            <v>39752</v>
          </cell>
          <cell r="B198">
            <v>39752</v>
          </cell>
          <cell r="C198" t="str">
            <v>Past</v>
          </cell>
          <cell r="D198">
            <v>37.130000000000003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37.130000000000003</v>
          </cell>
          <cell r="Q198">
            <v>1.4296949999999999</v>
          </cell>
          <cell r="R198" t="e">
            <v>#N/A</v>
          </cell>
        </row>
        <row r="199">
          <cell r="A199">
            <v>39755</v>
          </cell>
          <cell r="B199">
            <v>39755</v>
          </cell>
          <cell r="C199" t="str">
            <v>Past</v>
          </cell>
          <cell r="D199">
            <v>37.83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37.83</v>
          </cell>
          <cell r="Q199">
            <v>1.6037669999999999</v>
          </cell>
          <cell r="R199" t="e">
            <v>#N/A</v>
          </cell>
        </row>
        <row r="200">
          <cell r="A200">
            <v>39756</v>
          </cell>
          <cell r="B200">
            <v>39756</v>
          </cell>
          <cell r="C200" t="str">
            <v>Past</v>
          </cell>
          <cell r="D200">
            <v>38.729999999999997</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38.729999999999997</v>
          </cell>
          <cell r="Q200">
            <v>1.6916800000000001</v>
          </cell>
          <cell r="R200" t="e">
            <v>#N/A</v>
          </cell>
        </row>
        <row r="201">
          <cell r="A201">
            <v>39757</v>
          </cell>
          <cell r="B201">
            <v>39757</v>
          </cell>
          <cell r="C201" t="str">
            <v>Past</v>
          </cell>
          <cell r="D201">
            <v>36.36</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36.36</v>
          </cell>
          <cell r="Q201">
            <v>1.1687969999999999</v>
          </cell>
          <cell r="R201" t="e">
            <v>#N/A</v>
          </cell>
        </row>
        <row r="202">
          <cell r="A202">
            <v>39758</v>
          </cell>
          <cell r="B202">
            <v>39758</v>
          </cell>
          <cell r="C202" t="str">
            <v>Past</v>
          </cell>
          <cell r="D202">
            <v>33.92</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33.92</v>
          </cell>
          <cell r="Q202">
            <v>1.369513</v>
          </cell>
          <cell r="R202" t="e">
            <v>#N/A</v>
          </cell>
        </row>
        <row r="203">
          <cell r="A203">
            <v>39759</v>
          </cell>
          <cell r="B203">
            <v>39759</v>
          </cell>
          <cell r="C203" t="str">
            <v>Past</v>
          </cell>
          <cell r="D203">
            <v>35.090000000000003</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35.090000000000003</v>
          </cell>
          <cell r="Q203">
            <v>0.88411099999999998</v>
          </cell>
          <cell r="R203" t="e">
            <v>#N/A</v>
          </cell>
        </row>
        <row r="204">
          <cell r="A204">
            <v>39762</v>
          </cell>
          <cell r="B204">
            <v>39762</v>
          </cell>
          <cell r="C204" t="str">
            <v>Past</v>
          </cell>
          <cell r="D204">
            <v>34.71</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34.71</v>
          </cell>
          <cell r="Q204">
            <v>0.85900899999999991</v>
          </cell>
          <cell r="R204" t="e">
            <v>#N/A</v>
          </cell>
        </row>
        <row r="205">
          <cell r="A205">
            <v>39763</v>
          </cell>
          <cell r="B205">
            <v>39763</v>
          </cell>
          <cell r="C205" t="str">
            <v>Past</v>
          </cell>
          <cell r="D205">
            <v>33.549999999999997</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33.549999999999997</v>
          </cell>
          <cell r="Q205">
            <v>0.76389099999999999</v>
          </cell>
          <cell r="R205" t="e">
            <v>#N/A</v>
          </cell>
        </row>
        <row r="206">
          <cell r="A206">
            <v>39764</v>
          </cell>
          <cell r="B206">
            <v>39764</v>
          </cell>
          <cell r="C206" t="str">
            <v>Past</v>
          </cell>
          <cell r="D206">
            <v>32.090000000000003</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32.090000000000003</v>
          </cell>
          <cell r="Q206">
            <v>1.303518</v>
          </cell>
          <cell r="R206" t="e">
            <v>#N/A</v>
          </cell>
        </row>
        <row r="207">
          <cell r="A207">
            <v>39765</v>
          </cell>
          <cell r="B207">
            <v>39765</v>
          </cell>
          <cell r="C207" t="str">
            <v>Past</v>
          </cell>
          <cell r="D207">
            <v>34.17</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34.17</v>
          </cell>
          <cell r="Q207">
            <v>1.3944500000000002</v>
          </cell>
          <cell r="R207" t="e">
            <v>#N/A</v>
          </cell>
        </row>
        <row r="208">
          <cell r="A208">
            <v>39766</v>
          </cell>
          <cell r="B208">
            <v>39766</v>
          </cell>
          <cell r="C208" t="str">
            <v>Past</v>
          </cell>
          <cell r="D208">
            <v>33.07</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33.07</v>
          </cell>
          <cell r="Q208">
            <v>1.0746549999999999</v>
          </cell>
          <cell r="R208" t="e">
            <v>#N/A</v>
          </cell>
        </row>
        <row r="209">
          <cell r="A209">
            <v>39769</v>
          </cell>
          <cell r="B209">
            <v>39769</v>
          </cell>
          <cell r="C209" t="str">
            <v>Past</v>
          </cell>
          <cell r="D209">
            <v>31.52</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31.52</v>
          </cell>
          <cell r="Q209">
            <v>1.4629829999999999</v>
          </cell>
          <cell r="R209" t="e">
            <v>#N/A</v>
          </cell>
        </row>
        <row r="210">
          <cell r="A210">
            <v>39770</v>
          </cell>
          <cell r="B210">
            <v>39770</v>
          </cell>
          <cell r="C210" t="str">
            <v>Past</v>
          </cell>
          <cell r="D210">
            <v>31.31</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31.31</v>
          </cell>
          <cell r="Q210">
            <v>1.3405800000000001</v>
          </cell>
          <cell r="R210" t="e">
            <v>#N/A</v>
          </cell>
        </row>
        <row r="211">
          <cell r="A211">
            <v>39771</v>
          </cell>
          <cell r="B211">
            <v>39771</v>
          </cell>
          <cell r="C211" t="str">
            <v>Past</v>
          </cell>
          <cell r="D211">
            <v>29.32</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29.32</v>
          </cell>
          <cell r="Q211">
            <v>1.274114</v>
          </cell>
          <cell r="R211" t="e">
            <v>#N/A</v>
          </cell>
        </row>
        <row r="212">
          <cell r="A212">
            <v>39772</v>
          </cell>
          <cell r="B212">
            <v>39772</v>
          </cell>
          <cell r="C212" t="str">
            <v>Past</v>
          </cell>
          <cell r="D212">
            <v>28.32</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28.32</v>
          </cell>
          <cell r="Q212">
            <v>1.9435449999999999</v>
          </cell>
          <cell r="R212" t="e">
            <v>#N/A</v>
          </cell>
        </row>
        <row r="213">
          <cell r="A213">
            <v>39773</v>
          </cell>
          <cell r="B213">
            <v>39773</v>
          </cell>
          <cell r="C213" t="str">
            <v>Past</v>
          </cell>
          <cell r="D213">
            <v>30.39</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30.39</v>
          </cell>
          <cell r="Q213">
            <v>1.4824329999999999</v>
          </cell>
          <cell r="R213" t="e">
            <v>#N/A</v>
          </cell>
        </row>
        <row r="214">
          <cell r="A214">
            <v>39776</v>
          </cell>
          <cell r="B214">
            <v>39776</v>
          </cell>
          <cell r="C214" t="str">
            <v>Past</v>
          </cell>
          <cell r="D214">
            <v>31.84</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31.84</v>
          </cell>
          <cell r="Q214">
            <v>1.4808139999999999</v>
          </cell>
          <cell r="R214" t="e">
            <v>#N/A</v>
          </cell>
        </row>
        <row r="215">
          <cell r="A215">
            <v>39777</v>
          </cell>
          <cell r="B215">
            <v>39777</v>
          </cell>
          <cell r="C215" t="str">
            <v>Past</v>
          </cell>
          <cell r="D215">
            <v>31.97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31.97</v>
          </cell>
          <cell r="Q215">
            <v>1.2708930000000001</v>
          </cell>
          <cell r="R215" t="e">
            <v>#N/A</v>
          </cell>
        </row>
        <row r="216">
          <cell r="A216">
            <v>39778</v>
          </cell>
          <cell r="B216">
            <v>39778</v>
          </cell>
          <cell r="C216" t="str">
            <v>Past</v>
          </cell>
          <cell r="D216">
            <v>33.14</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33.14</v>
          </cell>
          <cell r="Q216">
            <v>1.2845769999999999</v>
          </cell>
          <cell r="R216" t="e">
            <v>#N/A</v>
          </cell>
        </row>
        <row r="217">
          <cell r="A217">
            <v>39780</v>
          </cell>
          <cell r="B217">
            <v>39780</v>
          </cell>
          <cell r="C217" t="str">
            <v>Past</v>
          </cell>
          <cell r="D217">
            <v>34.08</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34.08</v>
          </cell>
          <cell r="Q217">
            <v>0.46989499999999995</v>
          </cell>
          <cell r="R217" t="e">
            <v>#N/A</v>
          </cell>
        </row>
        <row r="218">
          <cell r="A218">
            <v>39783</v>
          </cell>
          <cell r="B218">
            <v>39783</v>
          </cell>
          <cell r="C218" t="str">
            <v>Past</v>
          </cell>
          <cell r="D218">
            <v>31.63</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31.63</v>
          </cell>
          <cell r="Q218">
            <v>1.3593700000000002</v>
          </cell>
          <cell r="R218" t="e">
            <v>#N/A</v>
          </cell>
        </row>
        <row r="219">
          <cell r="A219">
            <v>39784</v>
          </cell>
          <cell r="B219">
            <v>39784</v>
          </cell>
          <cell r="C219" t="str">
            <v>Past</v>
          </cell>
          <cell r="D219">
            <v>32.75</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32.75</v>
          </cell>
          <cell r="Q219">
            <v>0.95006000000000013</v>
          </cell>
          <cell r="R219" t="e">
            <v>#N/A</v>
          </cell>
        </row>
        <row r="220">
          <cell r="A220">
            <v>39785</v>
          </cell>
          <cell r="B220">
            <v>39785</v>
          </cell>
          <cell r="C220" t="str">
            <v>Past</v>
          </cell>
          <cell r="D220">
            <v>33.380000000000003</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33.380000000000003</v>
          </cell>
          <cell r="Q220">
            <v>1.253403</v>
          </cell>
          <cell r="R220" t="e">
            <v>#N/A</v>
          </cell>
        </row>
        <row r="221">
          <cell r="A221">
            <v>39786</v>
          </cell>
          <cell r="B221">
            <v>39786</v>
          </cell>
          <cell r="C221" t="str">
            <v>Past</v>
          </cell>
          <cell r="D221">
            <v>32.08</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32.08</v>
          </cell>
          <cell r="Q221">
            <v>0.97640000000000005</v>
          </cell>
          <cell r="R221" t="e">
            <v>#N/A</v>
          </cell>
        </row>
        <row r="222">
          <cell r="A222">
            <v>39787</v>
          </cell>
          <cell r="B222">
            <v>39787</v>
          </cell>
          <cell r="C222" t="str">
            <v>Past</v>
          </cell>
          <cell r="D222">
            <v>33.1</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33.1</v>
          </cell>
          <cell r="Q222">
            <v>1.317288</v>
          </cell>
          <cell r="R222" t="e">
            <v>#N/A</v>
          </cell>
        </row>
        <row r="223">
          <cell r="A223">
            <v>39790</v>
          </cell>
          <cell r="B223">
            <v>39790</v>
          </cell>
          <cell r="C223" t="str">
            <v>Past</v>
          </cell>
          <cell r="D223">
            <v>34.880000000000003</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34.880000000000003</v>
          </cell>
          <cell r="Q223">
            <v>1.147405</v>
          </cell>
          <cell r="R223" t="e">
            <v>#N/A</v>
          </cell>
        </row>
        <row r="224">
          <cell r="A224">
            <v>39791</v>
          </cell>
          <cell r="B224">
            <v>39791</v>
          </cell>
          <cell r="C224" t="str">
            <v>Past</v>
          </cell>
          <cell r="D224">
            <v>34.68</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34.68</v>
          </cell>
          <cell r="Q224">
            <v>1.1801200000000001</v>
          </cell>
          <cell r="R224" t="e">
            <v>#N/A</v>
          </cell>
        </row>
        <row r="225">
          <cell r="A225">
            <v>39792</v>
          </cell>
          <cell r="B225">
            <v>39792</v>
          </cell>
          <cell r="C225" t="str">
            <v>Past</v>
          </cell>
          <cell r="D225">
            <v>34.93</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34.93</v>
          </cell>
          <cell r="Q225">
            <v>1.1749559999999999</v>
          </cell>
          <cell r="R225" t="e">
            <v>#N/A</v>
          </cell>
        </row>
        <row r="226">
          <cell r="A226">
            <v>39793</v>
          </cell>
          <cell r="B226">
            <v>39793</v>
          </cell>
          <cell r="C226" t="str">
            <v>Past</v>
          </cell>
          <cell r="D226">
            <v>34.72</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34.72</v>
          </cell>
          <cell r="Q226">
            <v>1.2353000000000001</v>
          </cell>
          <cell r="R226" t="e">
            <v>#N/A</v>
          </cell>
        </row>
        <row r="227">
          <cell r="A227">
            <v>39794</v>
          </cell>
          <cell r="B227">
            <v>39794</v>
          </cell>
          <cell r="C227" t="str">
            <v>Past</v>
          </cell>
          <cell r="D227">
            <v>35.29</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35.29</v>
          </cell>
          <cell r="Q227">
            <v>1.355864</v>
          </cell>
          <cell r="R227" t="e">
            <v>#N/A</v>
          </cell>
        </row>
        <row r="228">
          <cell r="A228">
            <v>39797</v>
          </cell>
          <cell r="B228">
            <v>39797</v>
          </cell>
          <cell r="C228" t="str">
            <v>Past</v>
          </cell>
          <cell r="D228">
            <v>35.049999999999997</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35.049999999999997</v>
          </cell>
          <cell r="Q228">
            <v>1.3373739999999998</v>
          </cell>
          <cell r="R228" t="e">
            <v>#N/A</v>
          </cell>
        </row>
        <row r="229">
          <cell r="A229">
            <v>39798</v>
          </cell>
          <cell r="B229">
            <v>39798</v>
          </cell>
          <cell r="C229" t="str">
            <v>Past</v>
          </cell>
          <cell r="D229">
            <v>37.82</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37.82</v>
          </cell>
          <cell r="Q229">
            <v>1.332317</v>
          </cell>
          <cell r="R229" t="e">
            <v>#N/A</v>
          </cell>
        </row>
        <row r="230">
          <cell r="A230">
            <v>39799</v>
          </cell>
          <cell r="B230">
            <v>39799</v>
          </cell>
          <cell r="C230" t="str">
            <v>Past</v>
          </cell>
          <cell r="D230">
            <v>37.57</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37.57</v>
          </cell>
          <cell r="Q230">
            <v>1.201721</v>
          </cell>
          <cell r="R230" t="e">
            <v>#N/A</v>
          </cell>
        </row>
        <row r="231">
          <cell r="A231">
            <v>39800</v>
          </cell>
          <cell r="B231">
            <v>39800</v>
          </cell>
          <cell r="C231" t="str">
            <v>Past</v>
          </cell>
          <cell r="D231">
            <v>36.96</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36.96</v>
          </cell>
          <cell r="Q231">
            <v>1.2798</v>
          </cell>
          <cell r="R231" t="e">
            <v>#N/A</v>
          </cell>
        </row>
        <row r="232">
          <cell r="A232">
            <v>39801</v>
          </cell>
          <cell r="B232">
            <v>39801</v>
          </cell>
          <cell r="C232" t="str">
            <v>Past</v>
          </cell>
          <cell r="D232">
            <v>37.69</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37.69</v>
          </cell>
          <cell r="Q232">
            <v>1.6420359999999998</v>
          </cell>
          <cell r="R232" t="e">
            <v>#N/A</v>
          </cell>
        </row>
        <row r="233">
          <cell r="A233">
            <v>39804</v>
          </cell>
          <cell r="B233">
            <v>39804</v>
          </cell>
          <cell r="C233" t="str">
            <v>Past</v>
          </cell>
          <cell r="D233">
            <v>36.96</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36.96</v>
          </cell>
          <cell r="Q233">
            <v>0.83622599999999991</v>
          </cell>
          <cell r="R233" t="e">
            <v>#N/A</v>
          </cell>
        </row>
        <row r="234">
          <cell r="A234">
            <v>39805</v>
          </cell>
          <cell r="B234">
            <v>39805</v>
          </cell>
          <cell r="C234" t="str">
            <v>Past</v>
          </cell>
          <cell r="D234">
            <v>36.24</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36.24</v>
          </cell>
          <cell r="Q234">
            <v>0.86388000000000009</v>
          </cell>
          <cell r="R234" t="e">
            <v>#N/A</v>
          </cell>
        </row>
        <row r="235">
          <cell r="A235">
            <v>39806</v>
          </cell>
          <cell r="B235">
            <v>39806</v>
          </cell>
          <cell r="C235" t="str">
            <v>Past</v>
          </cell>
          <cell r="D235">
            <v>36.06</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36.06</v>
          </cell>
          <cell r="Q235">
            <v>0.53962500000000002</v>
          </cell>
          <cell r="R235" t="e">
            <v>#N/A</v>
          </cell>
        </row>
        <row r="236">
          <cell r="A236">
            <v>39808</v>
          </cell>
          <cell r="B236">
            <v>39808</v>
          </cell>
          <cell r="C236" t="str">
            <v>Past</v>
          </cell>
          <cell r="D236">
            <v>36.74</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36.74</v>
          </cell>
          <cell r="Q236">
            <v>0.32439799999999996</v>
          </cell>
          <cell r="R236" t="e">
            <v>#N/A</v>
          </cell>
        </row>
        <row r="237">
          <cell r="A237">
            <v>39811</v>
          </cell>
          <cell r="B237">
            <v>39811</v>
          </cell>
          <cell r="C237" t="str">
            <v>Past</v>
          </cell>
          <cell r="D237">
            <v>36.729999999999997</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36.729999999999997</v>
          </cell>
          <cell r="Q237">
            <v>0.91232000000000002</v>
          </cell>
          <cell r="R237" t="e">
            <v>#N/A</v>
          </cell>
        </row>
        <row r="238">
          <cell r="A238">
            <v>39812</v>
          </cell>
          <cell r="B238">
            <v>39812</v>
          </cell>
          <cell r="C238" t="str">
            <v>Past</v>
          </cell>
          <cell r="D238">
            <v>38.049999999999997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38.049999999999997</v>
          </cell>
          <cell r="Q238">
            <v>0.75536099999999995</v>
          </cell>
          <cell r="R238" t="e">
            <v>#N/A</v>
          </cell>
        </row>
        <row r="239">
          <cell r="A239">
            <v>39813</v>
          </cell>
          <cell r="B239">
            <v>39813</v>
          </cell>
          <cell r="C239" t="str">
            <v>Past</v>
          </cell>
          <cell r="D239">
            <v>39.090000000000003</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39.090000000000003</v>
          </cell>
          <cell r="Q239">
            <v>0.75335699999999994</v>
          </cell>
          <cell r="R239" t="e">
            <v>#N/A</v>
          </cell>
        </row>
        <row r="240">
          <cell r="A240">
            <v>39815</v>
          </cell>
          <cell r="B240">
            <v>39815</v>
          </cell>
          <cell r="C240" t="str">
            <v>Past</v>
          </cell>
          <cell r="D240">
            <v>40.799999999999997</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40.799999999999997</v>
          </cell>
          <cell r="Q240">
            <v>0.66568799999999995</v>
          </cell>
          <cell r="R240" t="e">
            <v>#N/A</v>
          </cell>
        </row>
        <row r="241">
          <cell r="A241">
            <v>39818</v>
          </cell>
          <cell r="B241">
            <v>39818</v>
          </cell>
          <cell r="C241" t="str">
            <v>Past</v>
          </cell>
          <cell r="D241">
            <v>41.09</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41.09</v>
          </cell>
          <cell r="Q241">
            <v>0.81101199999999996</v>
          </cell>
          <cell r="R241" t="e">
            <v>#N/A</v>
          </cell>
        </row>
        <row r="242">
          <cell r="A242">
            <v>39819</v>
          </cell>
          <cell r="B242">
            <v>39819</v>
          </cell>
          <cell r="C242" t="str">
            <v>Past</v>
          </cell>
          <cell r="D242">
            <v>41.95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41.95</v>
          </cell>
          <cell r="Q242">
            <v>1.853437</v>
          </cell>
          <cell r="R242" t="e">
            <v>#N/A</v>
          </cell>
        </row>
        <row r="243">
          <cell r="A243">
            <v>39820</v>
          </cell>
          <cell r="B243">
            <v>39820</v>
          </cell>
          <cell r="C243" t="str">
            <v>Past</v>
          </cell>
          <cell r="D243">
            <v>40.299999999999997</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40.299999999999997</v>
          </cell>
          <cell r="Q243">
            <v>1.354182</v>
          </cell>
          <cell r="R243" t="e">
            <v>#N/A</v>
          </cell>
        </row>
        <row r="244">
          <cell r="A244">
            <v>39821</v>
          </cell>
          <cell r="B244">
            <v>39821</v>
          </cell>
          <cell r="C244" t="str">
            <v>Past</v>
          </cell>
          <cell r="D244">
            <v>39.5</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39.5</v>
          </cell>
          <cell r="Q244">
            <v>2.0060720000000001</v>
          </cell>
          <cell r="R244" t="e">
            <v>#N/A</v>
          </cell>
        </row>
        <row r="245">
          <cell r="A245">
            <v>39822</v>
          </cell>
          <cell r="B245">
            <v>39822</v>
          </cell>
          <cell r="C245" t="str">
            <v>Past</v>
          </cell>
          <cell r="D245">
            <v>39.04</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39.04</v>
          </cell>
          <cell r="Q245">
            <v>2.2234569999999998</v>
          </cell>
          <cell r="R245" t="e">
            <v>#N/A</v>
          </cell>
        </row>
        <row r="246">
          <cell r="A246">
            <v>39825</v>
          </cell>
          <cell r="B246">
            <v>39825</v>
          </cell>
          <cell r="C246" t="str">
            <v>Past</v>
          </cell>
          <cell r="D246">
            <v>38.83</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38.83</v>
          </cell>
          <cell r="Q246">
            <v>0.98887899999999995</v>
          </cell>
          <cell r="R246" t="e">
            <v>#N/A</v>
          </cell>
        </row>
        <row r="247">
          <cell r="A247">
            <v>39826</v>
          </cell>
          <cell r="B247">
            <v>39826</v>
          </cell>
          <cell r="C247" t="str">
            <v>Past</v>
          </cell>
          <cell r="D247">
            <v>36.99</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36.99</v>
          </cell>
          <cell r="Q247">
            <v>1.9892259999999999</v>
          </cell>
          <cell r="R247" t="e">
            <v>#N/A</v>
          </cell>
        </row>
        <row r="248">
          <cell r="A248">
            <v>39827</v>
          </cell>
          <cell r="B248">
            <v>39827</v>
          </cell>
          <cell r="C248" t="str">
            <v>Past</v>
          </cell>
          <cell r="D248">
            <v>36.200000000000003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36.200000000000003</v>
          </cell>
          <cell r="Q248">
            <v>1.216024</v>
          </cell>
          <cell r="R248" t="e">
            <v>#N/A</v>
          </cell>
        </row>
        <row r="249">
          <cell r="A249">
            <v>39828</v>
          </cell>
          <cell r="B249">
            <v>39828</v>
          </cell>
          <cell r="C249" t="str">
            <v>Past</v>
          </cell>
          <cell r="D249">
            <v>36.5</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36.5</v>
          </cell>
          <cell r="Q249">
            <v>1.0569109999999999</v>
          </cell>
          <cell r="R249" t="e">
            <v>#N/A</v>
          </cell>
        </row>
        <row r="250">
          <cell r="A250">
            <v>39829</v>
          </cell>
          <cell r="B250">
            <v>39829</v>
          </cell>
          <cell r="C250" t="str">
            <v>Past</v>
          </cell>
          <cell r="D250">
            <v>37.26</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37.26</v>
          </cell>
          <cell r="Q250">
            <v>1.5374949999999998</v>
          </cell>
          <cell r="R250" t="e">
            <v>#N/A</v>
          </cell>
        </row>
        <row r="251">
          <cell r="A251">
            <v>39833</v>
          </cell>
          <cell r="B251">
            <v>39833</v>
          </cell>
          <cell r="C251" t="str">
            <v>Past</v>
          </cell>
          <cell r="D251">
            <v>35.630000000000003</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35.630000000000003</v>
          </cell>
          <cell r="Q251">
            <v>1.29857</v>
          </cell>
          <cell r="R251" t="e">
            <v>#N/A</v>
          </cell>
        </row>
        <row r="252">
          <cell r="A252">
            <v>39834</v>
          </cell>
          <cell r="B252">
            <v>39834</v>
          </cell>
          <cell r="C252" t="str">
            <v>Past</v>
          </cell>
          <cell r="D252">
            <v>36.9</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36.9</v>
          </cell>
          <cell r="Q252">
            <v>1.132055</v>
          </cell>
          <cell r="R252" t="e">
            <v>#N/A</v>
          </cell>
        </row>
        <row r="253">
          <cell r="A253">
            <v>39835</v>
          </cell>
          <cell r="B253">
            <v>39835</v>
          </cell>
          <cell r="C253" t="str">
            <v>Past</v>
          </cell>
          <cell r="D253">
            <v>36.85</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36.85</v>
          </cell>
          <cell r="Q253">
            <v>0.86424699999999999</v>
          </cell>
          <cell r="R253" t="e">
            <v>#N/A</v>
          </cell>
        </row>
        <row r="254">
          <cell r="A254">
            <v>39836</v>
          </cell>
          <cell r="B254">
            <v>39836</v>
          </cell>
          <cell r="C254" t="str">
            <v>Past</v>
          </cell>
          <cell r="D254">
            <v>36.89</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36.89</v>
          </cell>
          <cell r="Q254">
            <v>1.010864</v>
          </cell>
          <cell r="R254" t="e">
            <v>#N/A</v>
          </cell>
        </row>
        <row r="255">
          <cell r="A255">
            <v>39839</v>
          </cell>
          <cell r="B255">
            <v>39839</v>
          </cell>
          <cell r="C255" t="str">
            <v>Past</v>
          </cell>
          <cell r="D255">
            <v>37.65</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37.65</v>
          </cell>
          <cell r="Q255">
            <v>1.089332</v>
          </cell>
          <cell r="R255" t="e">
            <v>#N/A</v>
          </cell>
        </row>
        <row r="256">
          <cell r="A256">
            <v>39840</v>
          </cell>
          <cell r="B256">
            <v>39840</v>
          </cell>
          <cell r="C256" t="str">
            <v>Past</v>
          </cell>
          <cell r="D256">
            <v>38.19</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38.19</v>
          </cell>
          <cell r="Q256">
            <v>1.320057</v>
          </cell>
          <cell r="R256" t="e">
            <v>#N/A</v>
          </cell>
        </row>
        <row r="257">
          <cell r="A257">
            <v>39841</v>
          </cell>
          <cell r="B257">
            <v>39841</v>
          </cell>
          <cell r="C257" t="str">
            <v>Past</v>
          </cell>
          <cell r="D257">
            <v>39.79</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39.79</v>
          </cell>
          <cell r="Q257">
            <v>1.7482139999999999</v>
          </cell>
          <cell r="R257" t="e">
            <v>#N/A</v>
          </cell>
        </row>
        <row r="258">
          <cell r="A258">
            <v>39842</v>
          </cell>
          <cell r="B258">
            <v>39842</v>
          </cell>
          <cell r="C258" t="str">
            <v>Past</v>
          </cell>
          <cell r="D258">
            <v>37.700000000000003</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37.700000000000003</v>
          </cell>
          <cell r="Q258">
            <v>1.058079</v>
          </cell>
          <cell r="R258" t="e">
            <v>#N/A</v>
          </cell>
        </row>
        <row r="259">
          <cell r="A259">
            <v>39843</v>
          </cell>
          <cell r="B259">
            <v>39843</v>
          </cell>
          <cell r="C259" t="str">
            <v>Past</v>
          </cell>
          <cell r="D259">
            <v>37.68</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37.68</v>
          </cell>
          <cell r="Q259">
            <v>1.8226500000000001</v>
          </cell>
          <cell r="R259" t="e">
            <v>#N/A</v>
          </cell>
        </row>
        <row r="260">
          <cell r="A260">
            <v>39846</v>
          </cell>
          <cell r="B260">
            <v>39846</v>
          </cell>
          <cell r="C260" t="str">
            <v>Past</v>
          </cell>
          <cell r="D260">
            <v>35.17</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35.17</v>
          </cell>
          <cell r="Q260">
            <v>3.0471219999999999</v>
          </cell>
          <cell r="R260" t="e">
            <v>#N/A</v>
          </cell>
        </row>
        <row r="261">
          <cell r="A261">
            <v>39847</v>
          </cell>
          <cell r="B261">
            <v>39847</v>
          </cell>
          <cell r="C261" t="str">
            <v>Past</v>
          </cell>
          <cell r="D261">
            <v>38.94</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38.94</v>
          </cell>
          <cell r="Q261">
            <v>3.9511779999999996</v>
          </cell>
          <cell r="R261" t="e">
            <v>#N/A</v>
          </cell>
        </row>
        <row r="262">
          <cell r="A262">
            <v>39848</v>
          </cell>
          <cell r="B262">
            <v>39848</v>
          </cell>
          <cell r="C262" t="str">
            <v>Past</v>
          </cell>
          <cell r="D262">
            <v>37.64</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37.64</v>
          </cell>
          <cell r="Q262">
            <v>2.8779859999999999</v>
          </cell>
          <cell r="R262" t="e">
            <v>#N/A</v>
          </cell>
        </row>
        <row r="263">
          <cell r="A263">
            <v>39849</v>
          </cell>
          <cell r="B263">
            <v>39849</v>
          </cell>
          <cell r="C263" t="str">
            <v>Past</v>
          </cell>
          <cell r="D263">
            <v>38.11</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38.11</v>
          </cell>
          <cell r="Q263">
            <v>2.970567</v>
          </cell>
          <cell r="R263" t="e">
            <v>#N/A</v>
          </cell>
        </row>
        <row r="264">
          <cell r="A264">
            <v>39850</v>
          </cell>
          <cell r="B264">
            <v>39850</v>
          </cell>
          <cell r="C264" t="str">
            <v>Past</v>
          </cell>
          <cell r="D264">
            <v>38.9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38.9</v>
          </cell>
          <cell r="Q264">
            <v>1.719133</v>
          </cell>
          <cell r="R264" t="e">
            <v>#N/A</v>
          </cell>
        </row>
        <row r="265">
          <cell r="A265">
            <v>39853</v>
          </cell>
          <cell r="B265">
            <v>39853</v>
          </cell>
          <cell r="C265" t="str">
            <v>Past</v>
          </cell>
          <cell r="D265">
            <v>38.99</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38.99</v>
          </cell>
          <cell r="Q265">
            <v>1.5008379999999999</v>
          </cell>
          <cell r="R265" t="e">
            <v>#N/A</v>
          </cell>
        </row>
        <row r="266">
          <cell r="A266">
            <v>39854</v>
          </cell>
          <cell r="B266">
            <v>39854</v>
          </cell>
          <cell r="C266" t="str">
            <v>Past</v>
          </cell>
          <cell r="D266">
            <v>37.090000000000003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37.090000000000003</v>
          </cell>
          <cell r="Q266">
            <v>1.4959879999999999</v>
          </cell>
          <cell r="R266" t="e">
            <v>#N/A</v>
          </cell>
        </row>
        <row r="267">
          <cell r="A267">
            <v>39855</v>
          </cell>
          <cell r="B267">
            <v>39855</v>
          </cell>
          <cell r="C267" t="str">
            <v>Past</v>
          </cell>
          <cell r="D267">
            <v>36.770000000000003</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36.770000000000003</v>
          </cell>
          <cell r="Q267">
            <v>1.2877729999999998</v>
          </cell>
          <cell r="R267" t="e">
            <v>#N/A</v>
          </cell>
        </row>
        <row r="268">
          <cell r="A268">
            <v>39856</v>
          </cell>
          <cell r="B268">
            <v>39856</v>
          </cell>
          <cell r="C268" t="str">
            <v>Past</v>
          </cell>
          <cell r="D268">
            <v>36.39</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36.39</v>
          </cell>
          <cell r="Q268">
            <v>1.3419000000000001</v>
          </cell>
          <cell r="R268" t="e">
            <v>#N/A</v>
          </cell>
        </row>
        <row r="269">
          <cell r="A269">
            <v>39857</v>
          </cell>
          <cell r="B269">
            <v>39857</v>
          </cell>
          <cell r="C269" t="str">
            <v>Past</v>
          </cell>
          <cell r="D269">
            <v>37.159999999999997</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37.159999999999997</v>
          </cell>
          <cell r="Q269">
            <v>1.2079569999999999</v>
          </cell>
          <cell r="R269" t="e">
            <v>#N/A</v>
          </cell>
        </row>
        <row r="270">
          <cell r="A270">
            <v>39861</v>
          </cell>
          <cell r="B270">
            <v>39861</v>
          </cell>
          <cell r="C270" t="str">
            <v>Past</v>
          </cell>
          <cell r="D270">
            <v>35.68</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35.68</v>
          </cell>
          <cell r="Q270">
            <v>1.8728529999999999</v>
          </cell>
          <cell r="R270" t="e">
            <v>#N/A</v>
          </cell>
        </row>
        <row r="271">
          <cell r="A271">
            <v>39862</v>
          </cell>
          <cell r="B271">
            <v>39862</v>
          </cell>
          <cell r="C271" t="str">
            <v>Past</v>
          </cell>
          <cell r="D271">
            <v>35.82</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35.82</v>
          </cell>
          <cell r="Q271">
            <v>1.7947139999999999</v>
          </cell>
          <cell r="R271" t="e">
            <v>#N/A</v>
          </cell>
        </row>
        <row r="272">
          <cell r="A272">
            <v>39863</v>
          </cell>
          <cell r="B272">
            <v>39863</v>
          </cell>
          <cell r="C272" t="str">
            <v>Past</v>
          </cell>
          <cell r="D272">
            <v>35.83</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35.83</v>
          </cell>
          <cell r="Q272">
            <v>1.442469</v>
          </cell>
          <cell r="R272" t="e">
            <v>#N/A</v>
          </cell>
        </row>
        <row r="273">
          <cell r="A273">
            <v>39864</v>
          </cell>
          <cell r="B273">
            <v>39864</v>
          </cell>
          <cell r="C273" t="str">
            <v>Past</v>
          </cell>
          <cell r="D273">
            <v>35.049999999999997</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35.049999999999997</v>
          </cell>
          <cell r="Q273">
            <v>2.6777120000000001</v>
          </cell>
          <cell r="R273" t="e">
            <v>#N/A</v>
          </cell>
        </row>
        <row r="274">
          <cell r="A274">
            <v>39867</v>
          </cell>
          <cell r="B274">
            <v>39867</v>
          </cell>
          <cell r="C274" t="str">
            <v>Past</v>
          </cell>
          <cell r="D274">
            <v>33.880000000000003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33.880000000000003</v>
          </cell>
          <cell r="Q274">
            <v>2.025531</v>
          </cell>
          <cell r="R274" t="e">
            <v>#N/A</v>
          </cell>
        </row>
        <row r="275">
          <cell r="A275">
            <v>39868</v>
          </cell>
          <cell r="B275">
            <v>39868</v>
          </cell>
          <cell r="C275" t="str">
            <v>Past</v>
          </cell>
          <cell r="D275">
            <v>34.549999999999997</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34.549999999999997</v>
          </cell>
          <cell r="Q275">
            <v>1.599594</v>
          </cell>
          <cell r="R275" t="e">
            <v>#N/A</v>
          </cell>
        </row>
        <row r="276">
          <cell r="A276">
            <v>39869</v>
          </cell>
          <cell r="B276">
            <v>39869</v>
          </cell>
          <cell r="C276" t="str">
            <v>Past</v>
          </cell>
          <cell r="D276">
            <v>33.18</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33.18</v>
          </cell>
          <cell r="Q276">
            <v>1.4807700000000001</v>
          </cell>
          <cell r="R276" t="e">
            <v>#N/A</v>
          </cell>
        </row>
        <row r="277">
          <cell r="A277">
            <v>39870</v>
          </cell>
          <cell r="B277">
            <v>39870</v>
          </cell>
          <cell r="C277" t="str">
            <v>Past</v>
          </cell>
          <cell r="D277">
            <v>32.229999999999997</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32.229999999999997</v>
          </cell>
          <cell r="Q277">
            <v>1.687538</v>
          </cell>
          <cell r="R277" t="e">
            <v>#N/A</v>
          </cell>
        </row>
        <row r="278">
          <cell r="A278">
            <v>39871</v>
          </cell>
          <cell r="B278">
            <v>39871</v>
          </cell>
          <cell r="C278" t="str">
            <v>Past</v>
          </cell>
          <cell r="D278">
            <v>31.2</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31.2</v>
          </cell>
          <cell r="Q278">
            <v>1.685773</v>
          </cell>
          <cell r="R278" t="e">
            <v>#N/A</v>
          </cell>
        </row>
        <row r="279">
          <cell r="A279">
            <v>39874</v>
          </cell>
          <cell r="B279">
            <v>39874</v>
          </cell>
          <cell r="C279" t="str">
            <v>Past</v>
          </cell>
          <cell r="D279">
            <v>29.01</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29.01</v>
          </cell>
          <cell r="Q279">
            <v>2.231986</v>
          </cell>
          <cell r="R279" t="e">
            <v>#N/A</v>
          </cell>
        </row>
        <row r="280">
          <cell r="A280">
            <v>39875</v>
          </cell>
          <cell r="B280">
            <v>39875</v>
          </cell>
          <cell r="C280" t="str">
            <v>Past</v>
          </cell>
          <cell r="D280">
            <v>28.76</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28.76</v>
          </cell>
          <cell r="Q280">
            <v>2.2519549999999997</v>
          </cell>
          <cell r="R280" t="e">
            <v>#N/A</v>
          </cell>
        </row>
        <row r="281">
          <cell r="A281">
            <v>39876</v>
          </cell>
          <cell r="B281">
            <v>39876</v>
          </cell>
          <cell r="C281" t="str">
            <v>Past</v>
          </cell>
          <cell r="D281">
            <v>29.63</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29.63</v>
          </cell>
          <cell r="Q281">
            <v>1.6556869999999999</v>
          </cell>
          <cell r="R281" t="e">
            <v>#N/A</v>
          </cell>
        </row>
        <row r="282">
          <cell r="A282">
            <v>39877</v>
          </cell>
          <cell r="B282">
            <v>39877</v>
          </cell>
          <cell r="C282" t="str">
            <v>Past</v>
          </cell>
          <cell r="D282">
            <v>27.97</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27.97</v>
          </cell>
          <cell r="Q282">
            <v>1.9948900000000003</v>
          </cell>
          <cell r="R282" t="e">
            <v>#N/A</v>
          </cell>
        </row>
        <row r="283">
          <cell r="A283">
            <v>39878</v>
          </cell>
          <cell r="B283">
            <v>39878</v>
          </cell>
          <cell r="C283" t="str">
            <v>Past</v>
          </cell>
          <cell r="D283">
            <v>28.35</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28.35</v>
          </cell>
          <cell r="Q283">
            <v>2.2119</v>
          </cell>
          <cell r="R283" t="e">
            <v>#N/A</v>
          </cell>
        </row>
        <row r="284">
          <cell r="A284">
            <v>39881</v>
          </cell>
          <cell r="B284">
            <v>39881</v>
          </cell>
          <cell r="C284" t="str">
            <v>Past</v>
          </cell>
          <cell r="D284">
            <v>27.85</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27.85</v>
          </cell>
          <cell r="Q284">
            <v>1.2486159999999999</v>
          </cell>
          <cell r="R284" t="e">
            <v>#N/A</v>
          </cell>
        </row>
        <row r="285">
          <cell r="A285">
            <v>39882</v>
          </cell>
          <cell r="B285">
            <v>39882</v>
          </cell>
          <cell r="C285" t="str">
            <v>Past</v>
          </cell>
          <cell r="D285">
            <v>29.83</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29.83</v>
          </cell>
          <cell r="Q285">
            <v>2.1134109999999997</v>
          </cell>
          <cell r="R285" t="e">
            <v>#N/A</v>
          </cell>
        </row>
        <row r="286">
          <cell r="A286">
            <v>39883</v>
          </cell>
          <cell r="B286">
            <v>39883</v>
          </cell>
          <cell r="C286" t="str">
            <v>Past</v>
          </cell>
          <cell r="D286">
            <v>30.2</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30.2</v>
          </cell>
          <cell r="Q286">
            <v>1.464324</v>
          </cell>
          <cell r="R286" t="e">
            <v>#N/A</v>
          </cell>
        </row>
        <row r="287">
          <cell r="A287">
            <v>39884</v>
          </cell>
          <cell r="B287">
            <v>39884</v>
          </cell>
          <cell r="C287" t="str">
            <v>Past</v>
          </cell>
          <cell r="D287">
            <v>30.72</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30.72</v>
          </cell>
          <cell r="Q287">
            <v>1.5964179999999999</v>
          </cell>
          <cell r="R287" t="e">
            <v>#N/A</v>
          </cell>
        </row>
        <row r="288">
          <cell r="A288">
            <v>39885</v>
          </cell>
          <cell r="B288">
            <v>39885</v>
          </cell>
          <cell r="C288" t="str">
            <v>Past</v>
          </cell>
          <cell r="D288">
            <v>30.39</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30.39</v>
          </cell>
          <cell r="Q288">
            <v>1.23434</v>
          </cell>
          <cell r="R288" t="e">
            <v>#N/A</v>
          </cell>
        </row>
        <row r="289">
          <cell r="A289">
            <v>39888</v>
          </cell>
          <cell r="B289">
            <v>39888</v>
          </cell>
          <cell r="C289" t="str">
            <v>Past</v>
          </cell>
          <cell r="D289">
            <v>31.06</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31.06</v>
          </cell>
          <cell r="Q289">
            <v>2.469805</v>
          </cell>
          <cell r="R289" t="e">
            <v>#N/A</v>
          </cell>
        </row>
        <row r="290">
          <cell r="A290">
            <v>39889</v>
          </cell>
          <cell r="B290">
            <v>39889</v>
          </cell>
          <cell r="C290" t="str">
            <v>Past</v>
          </cell>
          <cell r="D290">
            <v>31.79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31.79</v>
          </cell>
          <cell r="Q290">
            <v>1.6148359999999999</v>
          </cell>
          <cell r="R290" t="e">
            <v>#N/A</v>
          </cell>
        </row>
        <row r="291">
          <cell r="A291">
            <v>39890</v>
          </cell>
          <cell r="B291">
            <v>39890</v>
          </cell>
          <cell r="C291" t="str">
            <v>Past</v>
          </cell>
          <cell r="D291">
            <v>32.72</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32.72</v>
          </cell>
          <cell r="Q291">
            <v>1.9616849999999999</v>
          </cell>
          <cell r="R291" t="e">
            <v>#N/A</v>
          </cell>
        </row>
        <row r="292">
          <cell r="A292">
            <v>39891</v>
          </cell>
          <cell r="B292">
            <v>39891</v>
          </cell>
          <cell r="C292" t="str">
            <v>Past</v>
          </cell>
          <cell r="D292">
            <v>31.96</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31.96</v>
          </cell>
          <cell r="Q292">
            <v>1.6182200000000002</v>
          </cell>
          <cell r="R292" t="e">
            <v>#N/A</v>
          </cell>
        </row>
        <row r="293">
          <cell r="A293">
            <v>39892</v>
          </cell>
          <cell r="B293">
            <v>39892</v>
          </cell>
          <cell r="C293" t="str">
            <v>Past</v>
          </cell>
          <cell r="D293">
            <v>31.41</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31.41</v>
          </cell>
          <cell r="Q293">
            <v>2.0985969999999998</v>
          </cell>
          <cell r="R293" t="e">
            <v>#N/A</v>
          </cell>
        </row>
        <row r="294">
          <cell r="A294">
            <v>39895</v>
          </cell>
          <cell r="B294">
            <v>39895</v>
          </cell>
          <cell r="C294" t="str">
            <v>Past</v>
          </cell>
          <cell r="D294">
            <v>33.28</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33.28</v>
          </cell>
          <cell r="Q294">
            <v>1.4488939999999999</v>
          </cell>
          <cell r="R294" t="e">
            <v>#N/A</v>
          </cell>
        </row>
        <row r="295">
          <cell r="A295">
            <v>39896</v>
          </cell>
          <cell r="B295">
            <v>39896</v>
          </cell>
          <cell r="C295" t="str">
            <v>Past</v>
          </cell>
          <cell r="D295">
            <v>33.119999999999997</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33.119999999999997</v>
          </cell>
          <cell r="Q295">
            <v>1.1372449999999998</v>
          </cell>
          <cell r="R295" t="e">
            <v>#N/A</v>
          </cell>
        </row>
        <row r="296">
          <cell r="A296">
            <v>39897</v>
          </cell>
          <cell r="B296">
            <v>39897</v>
          </cell>
          <cell r="C296" t="str">
            <v>Past</v>
          </cell>
          <cell r="D296">
            <v>33.69</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33.69</v>
          </cell>
          <cell r="Q296">
            <v>1.103453</v>
          </cell>
          <cell r="R296" t="e">
            <v>#N/A</v>
          </cell>
        </row>
        <row r="297">
          <cell r="A297">
            <v>39898</v>
          </cell>
          <cell r="B297">
            <v>39898</v>
          </cell>
          <cell r="C297" t="str">
            <v>Past</v>
          </cell>
          <cell r="D297">
            <v>35.049999999999997</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35.049999999999997</v>
          </cell>
          <cell r="Q297">
            <v>1.1910049999999999</v>
          </cell>
          <cell r="R297" t="e">
            <v>#N/A</v>
          </cell>
        </row>
        <row r="298">
          <cell r="A298">
            <v>39899</v>
          </cell>
          <cell r="B298">
            <v>39899</v>
          </cell>
          <cell r="C298" t="str">
            <v>Past</v>
          </cell>
          <cell r="D298">
            <v>33.96</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33.96</v>
          </cell>
          <cell r="Q298">
            <v>1.0635029999999999</v>
          </cell>
          <cell r="R298" t="e">
            <v>#N/A</v>
          </cell>
        </row>
        <row r="299">
          <cell r="A299">
            <v>39902</v>
          </cell>
          <cell r="B299">
            <v>39902</v>
          </cell>
          <cell r="C299" t="str">
            <v>Past</v>
          </cell>
          <cell r="D299">
            <v>32.409999999999997</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32.409999999999997</v>
          </cell>
          <cell r="Q299">
            <v>1.3020419999999999</v>
          </cell>
          <cell r="R299" t="e">
            <v>#N/A</v>
          </cell>
        </row>
        <row r="300">
          <cell r="A300">
            <v>39903</v>
          </cell>
          <cell r="B300">
            <v>39903</v>
          </cell>
          <cell r="C300" t="str">
            <v>Past</v>
          </cell>
          <cell r="D300">
            <v>32.64</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32.64</v>
          </cell>
          <cell r="Q300">
            <v>1.0424640000000001</v>
          </cell>
          <cell r="R300" t="e">
            <v>#N/A</v>
          </cell>
        </row>
        <row r="301">
          <cell r="A301">
            <v>39904</v>
          </cell>
          <cell r="B301">
            <v>39904</v>
          </cell>
          <cell r="C301" t="str">
            <v>Past</v>
          </cell>
          <cell r="D301">
            <v>33.049999999999997</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33.049999999999997</v>
          </cell>
          <cell r="Q301">
            <v>0.68434799999999996</v>
          </cell>
          <cell r="R301" t="e">
            <v>#N/A</v>
          </cell>
        </row>
        <row r="302">
          <cell r="A302">
            <v>39905</v>
          </cell>
          <cell r="B302">
            <v>39905</v>
          </cell>
          <cell r="C302" t="str">
            <v>Past</v>
          </cell>
          <cell r="D302">
            <v>34.46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34.46</v>
          </cell>
          <cell r="Q302">
            <v>1.1556789999999999</v>
          </cell>
          <cell r="R302" t="e">
            <v>#N/A</v>
          </cell>
        </row>
        <row r="303">
          <cell r="A303">
            <v>39906</v>
          </cell>
          <cell r="B303">
            <v>39906</v>
          </cell>
          <cell r="C303" t="str">
            <v>Past</v>
          </cell>
          <cell r="D303">
            <v>33.630000000000003</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33.630000000000003</v>
          </cell>
          <cell r="Q303">
            <v>1.321304</v>
          </cell>
          <cell r="R303" t="e">
            <v>#N/A</v>
          </cell>
        </row>
        <row r="304">
          <cell r="A304">
            <v>39909</v>
          </cell>
          <cell r="B304">
            <v>39909</v>
          </cell>
          <cell r="C304" t="str">
            <v>Past</v>
          </cell>
          <cell r="D304">
            <v>34.14</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34.14</v>
          </cell>
          <cell r="Q304">
            <v>1.3123769999999999</v>
          </cell>
          <cell r="R304" t="e">
            <v>#N/A</v>
          </cell>
        </row>
        <row r="305">
          <cell r="A305">
            <v>39910</v>
          </cell>
          <cell r="B305">
            <v>39910</v>
          </cell>
          <cell r="C305" t="str">
            <v>Past</v>
          </cell>
          <cell r="D305">
            <v>33.39</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33.39</v>
          </cell>
          <cell r="Q305">
            <v>1.3610609999999999</v>
          </cell>
          <cell r="R305" t="e">
            <v>#N/A</v>
          </cell>
        </row>
        <row r="306">
          <cell r="A306">
            <v>39911</v>
          </cell>
          <cell r="B306">
            <v>39911</v>
          </cell>
          <cell r="C306" t="str">
            <v>Past</v>
          </cell>
          <cell r="D306">
            <v>33.72</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33.72</v>
          </cell>
          <cell r="Q306">
            <v>0.8842000000000001</v>
          </cell>
          <cell r="R306" t="e">
            <v>#N/A</v>
          </cell>
        </row>
        <row r="307">
          <cell r="A307">
            <v>39912</v>
          </cell>
          <cell r="B307">
            <v>39912</v>
          </cell>
          <cell r="C307" t="str">
            <v>Past</v>
          </cell>
          <cell r="D307">
            <v>35.159999999999997</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35.159999999999997</v>
          </cell>
          <cell r="Q307">
            <v>1.1407659999999999</v>
          </cell>
          <cell r="R307" t="e">
            <v>#N/A</v>
          </cell>
        </row>
        <row r="308">
          <cell r="A308">
            <v>39916</v>
          </cell>
          <cell r="B308">
            <v>39916</v>
          </cell>
          <cell r="C308" t="str">
            <v>Past</v>
          </cell>
          <cell r="D308">
            <v>34.15</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34.15</v>
          </cell>
          <cell r="Q308">
            <v>1.8393459999999999</v>
          </cell>
          <cell r="R308" t="e">
            <v>#N/A</v>
          </cell>
        </row>
        <row r="309">
          <cell r="A309">
            <v>39917</v>
          </cell>
          <cell r="B309">
            <v>39917</v>
          </cell>
          <cell r="C309" t="str">
            <v>Past</v>
          </cell>
          <cell r="D309">
            <v>34</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34</v>
          </cell>
          <cell r="Q309">
            <v>1.405413</v>
          </cell>
          <cell r="R309" t="e">
            <v>#N/A</v>
          </cell>
        </row>
        <row r="310">
          <cell r="A310">
            <v>39918</v>
          </cell>
          <cell r="B310">
            <v>39918</v>
          </cell>
          <cell r="C310" t="str">
            <v>Past</v>
          </cell>
          <cell r="D310">
            <v>34.26</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34.26</v>
          </cell>
          <cell r="Q310">
            <v>1.5141179999999999</v>
          </cell>
          <cell r="R310" t="e">
            <v>#N/A</v>
          </cell>
        </row>
        <row r="311">
          <cell r="A311">
            <v>39919</v>
          </cell>
          <cell r="B311">
            <v>39919</v>
          </cell>
          <cell r="C311" t="str">
            <v>Past</v>
          </cell>
          <cell r="D311">
            <v>35.76</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35.76</v>
          </cell>
          <cell r="Q311">
            <v>1.5302479999999998</v>
          </cell>
          <cell r="R311" t="e">
            <v>#N/A</v>
          </cell>
        </row>
        <row r="312">
          <cell r="A312">
            <v>39920</v>
          </cell>
          <cell r="B312">
            <v>39920</v>
          </cell>
          <cell r="C312" t="str">
            <v>Past</v>
          </cell>
          <cell r="D312">
            <v>36.44</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36.44</v>
          </cell>
          <cell r="Q312">
            <v>2.4616400000000001</v>
          </cell>
          <cell r="R312" t="e">
            <v>#N/A</v>
          </cell>
        </row>
        <row r="313">
          <cell r="A313">
            <v>39923</v>
          </cell>
          <cell r="B313">
            <v>39923</v>
          </cell>
          <cell r="C313" t="str">
            <v>Past</v>
          </cell>
          <cell r="D313">
            <v>35.549999999999997</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35.549999999999997</v>
          </cell>
          <cell r="Q313">
            <v>1.6513719999999998</v>
          </cell>
          <cell r="R313" t="e">
            <v>#N/A</v>
          </cell>
        </row>
        <row r="314">
          <cell r="A314">
            <v>39924</v>
          </cell>
          <cell r="B314">
            <v>39924</v>
          </cell>
          <cell r="C314" t="str">
            <v>Past</v>
          </cell>
          <cell r="D314">
            <v>36.11</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36.11</v>
          </cell>
          <cell r="Q314">
            <v>1.690744</v>
          </cell>
          <cell r="R314" t="e">
            <v>#N/A</v>
          </cell>
        </row>
        <row r="315">
          <cell r="A315">
            <v>39925</v>
          </cell>
          <cell r="B315">
            <v>39925</v>
          </cell>
          <cell r="C315" t="str">
            <v>Past</v>
          </cell>
          <cell r="D315">
            <v>36.200000000000003</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36.200000000000003</v>
          </cell>
          <cell r="Q315">
            <v>2.058144</v>
          </cell>
          <cell r="R315" t="e">
            <v>#N/A</v>
          </cell>
        </row>
        <row r="316">
          <cell r="A316">
            <v>39926</v>
          </cell>
          <cell r="B316">
            <v>39926</v>
          </cell>
          <cell r="C316" t="str">
            <v>Past</v>
          </cell>
          <cell r="D316">
            <v>36.69</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36.69</v>
          </cell>
          <cell r="Q316">
            <v>2.1060140000000001</v>
          </cell>
          <cell r="R316" t="e">
            <v>#N/A</v>
          </cell>
        </row>
        <row r="317">
          <cell r="A317">
            <v>39927</v>
          </cell>
          <cell r="B317">
            <v>39927</v>
          </cell>
          <cell r="C317" t="str">
            <v>Past</v>
          </cell>
          <cell r="D317">
            <v>36.54</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36.54</v>
          </cell>
          <cell r="Q317">
            <v>2.521862</v>
          </cell>
          <cell r="R317" t="e">
            <v>#N/A</v>
          </cell>
        </row>
        <row r="318">
          <cell r="A318">
            <v>39930</v>
          </cell>
          <cell r="B318">
            <v>39930</v>
          </cell>
          <cell r="C318" t="str">
            <v>Past</v>
          </cell>
          <cell r="D318">
            <v>37.26</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37.26</v>
          </cell>
          <cell r="Q318">
            <v>1.7961969999999998</v>
          </cell>
          <cell r="R318" t="e">
            <v>#N/A</v>
          </cell>
        </row>
        <row r="319">
          <cell r="A319">
            <v>39931</v>
          </cell>
          <cell r="B319">
            <v>39931</v>
          </cell>
          <cell r="C319" t="str">
            <v>Past</v>
          </cell>
          <cell r="D319">
            <v>37.299999999999997</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37.299999999999997</v>
          </cell>
          <cell r="Q319">
            <v>2.2748569999999999</v>
          </cell>
          <cell r="R319" t="e">
            <v>#N/A</v>
          </cell>
        </row>
        <row r="320">
          <cell r="A320">
            <v>39932</v>
          </cell>
          <cell r="B320">
            <v>39932</v>
          </cell>
          <cell r="C320" t="str">
            <v>Past</v>
          </cell>
          <cell r="D320">
            <v>38.880000000000003</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38.880000000000003</v>
          </cell>
          <cell r="Q320">
            <v>1.2563600000000001</v>
          </cell>
          <cell r="R320" t="e">
            <v>#N/A</v>
          </cell>
        </row>
        <row r="321">
          <cell r="A321">
            <v>39933</v>
          </cell>
          <cell r="B321">
            <v>39933</v>
          </cell>
          <cell r="C321" t="str">
            <v>Past</v>
          </cell>
          <cell r="D321">
            <v>38.35</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38.35</v>
          </cell>
          <cell r="Q321">
            <v>1.4778179999999999</v>
          </cell>
          <cell r="R321" t="e">
            <v>#N/A</v>
          </cell>
        </row>
        <row r="322">
          <cell r="A322">
            <v>39934</v>
          </cell>
          <cell r="B322">
            <v>39934</v>
          </cell>
          <cell r="C322" t="str">
            <v>Past</v>
          </cell>
          <cell r="D322">
            <v>38.33</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38.33</v>
          </cell>
          <cell r="Q322">
            <v>1.0110779999999999</v>
          </cell>
          <cell r="R322" t="e">
            <v>#N/A</v>
          </cell>
        </row>
        <row r="323">
          <cell r="A323">
            <v>39937</v>
          </cell>
          <cell r="B323">
            <v>39937</v>
          </cell>
          <cell r="C323" t="str">
            <v>Past</v>
          </cell>
          <cell r="D323">
            <v>38.26</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38.26</v>
          </cell>
          <cell r="Q323">
            <v>1.5605389999999999</v>
          </cell>
          <cell r="R323" t="e">
            <v>#N/A</v>
          </cell>
        </row>
        <row r="324">
          <cell r="A324">
            <v>39938</v>
          </cell>
          <cell r="B324">
            <v>39938</v>
          </cell>
          <cell r="C324" t="str">
            <v>Past</v>
          </cell>
          <cell r="D324">
            <v>38.619999999999997</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38.619999999999997</v>
          </cell>
          <cell r="Q324">
            <v>1.1764219999999999</v>
          </cell>
          <cell r="R324" t="e">
            <v>#N/A</v>
          </cell>
        </row>
        <row r="325">
          <cell r="A325">
            <v>39939</v>
          </cell>
          <cell r="B325">
            <v>39939</v>
          </cell>
          <cell r="C325" t="str">
            <v>Past</v>
          </cell>
          <cell r="D325">
            <v>38.78</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38.78</v>
          </cell>
          <cell r="Q325">
            <v>1.124679</v>
          </cell>
          <cell r="R325" t="e">
            <v>#N/A</v>
          </cell>
        </row>
        <row r="326">
          <cell r="A326">
            <v>39940</v>
          </cell>
          <cell r="B326">
            <v>39940</v>
          </cell>
          <cell r="C326" t="str">
            <v>Past</v>
          </cell>
          <cell r="D326">
            <v>37.950000000000003</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37.950000000000003</v>
          </cell>
          <cell r="Q326">
            <v>1.402852</v>
          </cell>
          <cell r="R326" t="e">
            <v>#N/A</v>
          </cell>
        </row>
        <row r="327">
          <cell r="A327">
            <v>39941</v>
          </cell>
          <cell r="B327">
            <v>39941</v>
          </cell>
          <cell r="C327" t="str">
            <v>Past</v>
          </cell>
          <cell r="D327">
            <v>39.93</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39.93</v>
          </cell>
          <cell r="Q327">
            <v>1.6159059999999998</v>
          </cell>
          <cell r="R327" t="e">
            <v>#N/A</v>
          </cell>
        </row>
        <row r="328">
          <cell r="A328">
            <v>39944</v>
          </cell>
          <cell r="B328">
            <v>39944</v>
          </cell>
          <cell r="C328" t="str">
            <v>Past</v>
          </cell>
          <cell r="D328">
            <v>38.9</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38.9</v>
          </cell>
          <cell r="Q328">
            <v>0.92390399999999995</v>
          </cell>
          <cell r="R328" t="e">
            <v>#N/A</v>
          </cell>
        </row>
        <row r="329">
          <cell r="A329">
            <v>39945</v>
          </cell>
          <cell r="B329">
            <v>39945</v>
          </cell>
          <cell r="C329" t="str">
            <v>Past</v>
          </cell>
          <cell r="D329">
            <v>38.630000000000003</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38.630000000000003</v>
          </cell>
          <cell r="Q329">
            <v>0.8756600000000001</v>
          </cell>
          <cell r="R329" t="e">
            <v>#N/A</v>
          </cell>
        </row>
        <row r="330">
          <cell r="A330">
            <v>39946</v>
          </cell>
          <cell r="B330">
            <v>39946</v>
          </cell>
          <cell r="C330" t="str">
            <v>Past</v>
          </cell>
          <cell r="D330">
            <v>37.590000000000003</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37.590000000000003</v>
          </cell>
          <cell r="Q330">
            <v>0.73119000000000001</v>
          </cell>
          <cell r="R330" t="e">
            <v>#N/A</v>
          </cell>
        </row>
        <row r="331">
          <cell r="A331">
            <v>39947</v>
          </cell>
          <cell r="B331">
            <v>39947</v>
          </cell>
          <cell r="C331" t="str">
            <v>Past</v>
          </cell>
          <cell r="D331">
            <v>37.58</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37.58</v>
          </cell>
          <cell r="Q331">
            <v>1.111156</v>
          </cell>
          <cell r="R331" t="e">
            <v>#N/A</v>
          </cell>
        </row>
        <row r="332">
          <cell r="A332">
            <v>39948</v>
          </cell>
          <cell r="B332">
            <v>39948</v>
          </cell>
          <cell r="C332" t="str">
            <v>Past</v>
          </cell>
          <cell r="D332">
            <v>38.22</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38.22</v>
          </cell>
          <cell r="Q332">
            <v>1.6577000000000002</v>
          </cell>
          <cell r="R332" t="e">
            <v>#N/A</v>
          </cell>
        </row>
        <row r="333">
          <cell r="A333">
            <v>39951</v>
          </cell>
          <cell r="B333">
            <v>39951</v>
          </cell>
          <cell r="C333" t="str">
            <v>Past</v>
          </cell>
          <cell r="D333">
            <v>40.1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40.1</v>
          </cell>
          <cell r="Q333">
            <v>1.5387000000000002</v>
          </cell>
          <cell r="R333" t="e">
            <v>#N/A</v>
          </cell>
        </row>
        <row r="334">
          <cell r="A334">
            <v>39952</v>
          </cell>
          <cell r="B334">
            <v>39952</v>
          </cell>
          <cell r="C334" t="str">
            <v>Past</v>
          </cell>
          <cell r="D334">
            <v>40.83</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40.83</v>
          </cell>
          <cell r="Q334">
            <v>1.719884</v>
          </cell>
          <cell r="R334" t="e">
            <v>#N/A</v>
          </cell>
        </row>
        <row r="335">
          <cell r="A335">
            <v>39953</v>
          </cell>
          <cell r="B335">
            <v>39953</v>
          </cell>
          <cell r="C335" t="str">
            <v>Past</v>
          </cell>
          <cell r="D335">
            <v>40.79</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40.79</v>
          </cell>
          <cell r="Q335">
            <v>1.304443</v>
          </cell>
          <cell r="R335" t="e">
            <v>#N/A</v>
          </cell>
        </row>
        <row r="336">
          <cell r="A336">
            <v>39954</v>
          </cell>
          <cell r="B336">
            <v>39954</v>
          </cell>
          <cell r="C336" t="str">
            <v>Past</v>
          </cell>
          <cell r="D336">
            <v>39.78</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39.78</v>
          </cell>
          <cell r="Q336">
            <v>0.92161000000000004</v>
          </cell>
          <cell r="R336" t="e">
            <v>#N/A</v>
          </cell>
        </row>
        <row r="337">
          <cell r="A337">
            <v>39955</v>
          </cell>
          <cell r="B337">
            <v>39955</v>
          </cell>
          <cell r="C337" t="str">
            <v>Past</v>
          </cell>
          <cell r="D337">
            <v>40.42</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40.42</v>
          </cell>
          <cell r="Q337">
            <v>1.098255</v>
          </cell>
          <cell r="R337" t="e">
            <v>#N/A</v>
          </cell>
        </row>
        <row r="338">
          <cell r="A338">
            <v>39959</v>
          </cell>
          <cell r="B338">
            <v>39959</v>
          </cell>
          <cell r="C338" t="str">
            <v>Past</v>
          </cell>
          <cell r="D338">
            <v>41.57</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41.57</v>
          </cell>
          <cell r="Q338">
            <v>0.89943799999999996</v>
          </cell>
          <cell r="R338" t="e">
            <v>#N/A</v>
          </cell>
        </row>
        <row r="339">
          <cell r="A339">
            <v>39960</v>
          </cell>
          <cell r="B339">
            <v>39960</v>
          </cell>
          <cell r="C339" t="str">
            <v>Past</v>
          </cell>
          <cell r="D339">
            <v>41.36</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41.36</v>
          </cell>
          <cell r="Q339">
            <v>1.173627</v>
          </cell>
          <cell r="R339" t="e">
            <v>#N/A</v>
          </cell>
        </row>
        <row r="340">
          <cell r="A340">
            <v>39961</v>
          </cell>
          <cell r="B340">
            <v>39961</v>
          </cell>
          <cell r="C340" t="str">
            <v>Past</v>
          </cell>
          <cell r="D340">
            <v>42.33</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42.33</v>
          </cell>
          <cell r="Q340">
            <v>1.292362</v>
          </cell>
          <cell r="R340" t="e">
            <v>#N/A</v>
          </cell>
        </row>
        <row r="341">
          <cell r="A341">
            <v>39962</v>
          </cell>
          <cell r="B341">
            <v>39962</v>
          </cell>
          <cell r="C341" t="str">
            <v>Past</v>
          </cell>
          <cell r="D341">
            <v>42.42</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42.42</v>
          </cell>
          <cell r="Q341">
            <v>1.1732819999999999</v>
          </cell>
          <cell r="R341" t="e">
            <v>#N/A</v>
          </cell>
        </row>
        <row r="342">
          <cell r="A342">
            <v>39965</v>
          </cell>
          <cell r="B342">
            <v>39965</v>
          </cell>
          <cell r="C342" t="str">
            <v>Past</v>
          </cell>
          <cell r="D342">
            <v>44.98</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44.98</v>
          </cell>
          <cell r="Q342">
            <v>1.5959100000000002</v>
          </cell>
          <cell r="R342" t="e">
            <v>#N/A</v>
          </cell>
        </row>
        <row r="343">
          <cell r="A343">
            <v>39966</v>
          </cell>
          <cell r="B343">
            <v>39966</v>
          </cell>
          <cell r="C343" t="str">
            <v>Past</v>
          </cell>
          <cell r="D343">
            <v>46.28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46.28</v>
          </cell>
          <cell r="Q343">
            <v>1.9716179999999999</v>
          </cell>
          <cell r="R343" t="e">
            <v>#N/A</v>
          </cell>
        </row>
        <row r="344">
          <cell r="A344">
            <v>39967</v>
          </cell>
          <cell r="B344">
            <v>39967</v>
          </cell>
          <cell r="C344" t="str">
            <v>Past</v>
          </cell>
          <cell r="D344">
            <v>45.55</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45.55</v>
          </cell>
          <cell r="Q344">
            <v>1.652676</v>
          </cell>
          <cell r="R344" t="e">
            <v>#N/A</v>
          </cell>
        </row>
        <row r="345">
          <cell r="A345">
            <v>39968</v>
          </cell>
          <cell r="B345">
            <v>39968</v>
          </cell>
          <cell r="C345" t="str">
            <v>Past</v>
          </cell>
          <cell r="D345">
            <v>47.69</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47.69</v>
          </cell>
          <cell r="Q345">
            <v>2.692161</v>
          </cell>
          <cell r="R345" t="e">
            <v>#N/A</v>
          </cell>
        </row>
        <row r="346">
          <cell r="A346">
            <v>39969</v>
          </cell>
          <cell r="B346">
            <v>39969</v>
          </cell>
          <cell r="C346" t="str">
            <v>Past</v>
          </cell>
          <cell r="D346">
            <v>48.08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48.08</v>
          </cell>
          <cell r="Q346">
            <v>1.7954300000000001</v>
          </cell>
          <cell r="R346" t="e">
            <v>#N/A</v>
          </cell>
        </row>
        <row r="347">
          <cell r="A347">
            <v>39972</v>
          </cell>
          <cell r="B347">
            <v>39972</v>
          </cell>
          <cell r="C347" t="str">
            <v>Past</v>
          </cell>
          <cell r="D347">
            <v>46.45</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46.45</v>
          </cell>
          <cell r="Q347">
            <v>2.6454109999999997</v>
          </cell>
          <cell r="R347" t="e">
            <v>#N/A</v>
          </cell>
        </row>
        <row r="348">
          <cell r="A348">
            <v>39973</v>
          </cell>
          <cell r="B348">
            <v>39973</v>
          </cell>
          <cell r="C348" t="str">
            <v>Past</v>
          </cell>
          <cell r="D348">
            <v>45.94</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45.94</v>
          </cell>
          <cell r="Q348">
            <v>1.8177559999999999</v>
          </cell>
          <cell r="R348" t="e">
            <v>#N/A</v>
          </cell>
        </row>
        <row r="349">
          <cell r="A349">
            <v>39974</v>
          </cell>
          <cell r="B349">
            <v>39974</v>
          </cell>
          <cell r="C349" t="str">
            <v>Past</v>
          </cell>
          <cell r="D349">
            <v>45.56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45.56</v>
          </cell>
          <cell r="Q349">
            <v>1.5304300000000002</v>
          </cell>
          <cell r="R349" t="e">
            <v>#N/A</v>
          </cell>
        </row>
        <row r="350">
          <cell r="A350">
            <v>39975</v>
          </cell>
          <cell r="B350">
            <v>39975</v>
          </cell>
          <cell r="C350" t="str">
            <v>Past</v>
          </cell>
          <cell r="D350">
            <v>44.67</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44.67</v>
          </cell>
          <cell r="Q350">
            <v>1.7533529999999999</v>
          </cell>
          <cell r="R350" t="e">
            <v>#N/A</v>
          </cell>
        </row>
        <row r="351">
          <cell r="A351">
            <v>39976</v>
          </cell>
          <cell r="B351">
            <v>39976</v>
          </cell>
          <cell r="C351" t="str">
            <v>Past</v>
          </cell>
          <cell r="D351">
            <v>45.3</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45.3</v>
          </cell>
          <cell r="Q351">
            <v>1.3559779999999999</v>
          </cell>
          <cell r="R351" t="e">
            <v>#N/A</v>
          </cell>
        </row>
        <row r="352">
          <cell r="A352">
            <v>39979</v>
          </cell>
          <cell r="B352">
            <v>39979</v>
          </cell>
          <cell r="C352" t="str">
            <v>Past</v>
          </cell>
          <cell r="D352">
            <v>44.01</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44.01</v>
          </cell>
          <cell r="Q352">
            <v>1.2862959999999999</v>
          </cell>
          <cell r="R352" t="e">
            <v>#N/A</v>
          </cell>
        </row>
        <row r="353">
          <cell r="A353">
            <v>39980</v>
          </cell>
          <cell r="B353">
            <v>39980</v>
          </cell>
          <cell r="C353" t="str">
            <v>Past</v>
          </cell>
          <cell r="D353">
            <v>43.51</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43.51</v>
          </cell>
          <cell r="Q353">
            <v>1.0004150000000001</v>
          </cell>
          <cell r="R353" t="e">
            <v>#N/A</v>
          </cell>
        </row>
        <row r="354">
          <cell r="A354">
            <v>39981</v>
          </cell>
          <cell r="B354">
            <v>39981</v>
          </cell>
          <cell r="C354" t="str">
            <v>Past</v>
          </cell>
          <cell r="D354">
            <v>43.74</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43.74</v>
          </cell>
          <cell r="Q354">
            <v>0.87782299999999991</v>
          </cell>
          <cell r="R354" t="e">
            <v>#N/A</v>
          </cell>
        </row>
        <row r="355">
          <cell r="A355">
            <v>39982</v>
          </cell>
          <cell r="B355">
            <v>39982</v>
          </cell>
          <cell r="C355" t="str">
            <v>Past</v>
          </cell>
          <cell r="D355">
            <v>43.79</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43.79</v>
          </cell>
          <cell r="Q355">
            <v>1.0064279999999999</v>
          </cell>
          <cell r="R355" t="e">
            <v>#N/A</v>
          </cell>
        </row>
        <row r="356">
          <cell r="A356">
            <v>39983</v>
          </cell>
          <cell r="B356">
            <v>39983</v>
          </cell>
          <cell r="C356" t="str">
            <v>Past</v>
          </cell>
          <cell r="D356">
            <v>43.69</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43.69</v>
          </cell>
          <cell r="Q356">
            <v>1.3082579999999999</v>
          </cell>
          <cell r="R356" t="e">
            <v>#N/A</v>
          </cell>
        </row>
        <row r="357">
          <cell r="A357">
            <v>39986</v>
          </cell>
          <cell r="B357">
            <v>39986</v>
          </cell>
          <cell r="C357" t="str">
            <v>Past</v>
          </cell>
          <cell r="D357">
            <v>42.43</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42.43</v>
          </cell>
          <cell r="Q357">
            <v>1.622252</v>
          </cell>
          <cell r="R357" t="e">
            <v>#N/A</v>
          </cell>
        </row>
        <row r="358">
          <cell r="A358">
            <v>39987</v>
          </cell>
          <cell r="B358">
            <v>39987</v>
          </cell>
          <cell r="C358" t="str">
            <v>Past</v>
          </cell>
          <cell r="D358">
            <v>41.91</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41.91</v>
          </cell>
          <cell r="Q358">
            <v>1.3651789999999999</v>
          </cell>
          <cell r="R358" t="e">
            <v>#N/A</v>
          </cell>
        </row>
        <row r="359">
          <cell r="A359">
            <v>39988</v>
          </cell>
          <cell r="B359">
            <v>39988</v>
          </cell>
          <cell r="C359" t="str">
            <v>Past</v>
          </cell>
          <cell r="D359">
            <v>41.6</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41.6</v>
          </cell>
          <cell r="Q359">
            <v>1.0306999999999999</v>
          </cell>
          <cell r="R359" t="e">
            <v>#N/A</v>
          </cell>
        </row>
        <row r="360">
          <cell r="A360">
            <v>39989</v>
          </cell>
          <cell r="B360">
            <v>39989</v>
          </cell>
          <cell r="C360" t="str">
            <v>Past</v>
          </cell>
          <cell r="D360">
            <v>42.18</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42.18</v>
          </cell>
          <cell r="Q360">
            <v>1.2519279999999999</v>
          </cell>
          <cell r="R360" t="e">
            <v>#N/A</v>
          </cell>
        </row>
        <row r="361">
          <cell r="A361">
            <v>39990</v>
          </cell>
          <cell r="B361">
            <v>39990</v>
          </cell>
          <cell r="C361" t="str">
            <v>Past</v>
          </cell>
          <cell r="D361">
            <v>41.55</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41.55</v>
          </cell>
          <cell r="Q361">
            <v>0.99302599999999996</v>
          </cell>
          <cell r="R361" t="e">
            <v>#N/A</v>
          </cell>
        </row>
        <row r="362">
          <cell r="A362">
            <v>39993</v>
          </cell>
          <cell r="B362">
            <v>39993</v>
          </cell>
          <cell r="C362" t="str">
            <v>Past</v>
          </cell>
          <cell r="D362">
            <v>42.2</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42.2</v>
          </cell>
          <cell r="Q362">
            <v>0.83581899999999998</v>
          </cell>
          <cell r="R362" t="e">
            <v>#N/A</v>
          </cell>
        </row>
        <row r="363">
          <cell r="A363">
            <v>39994</v>
          </cell>
          <cell r="B363">
            <v>39994</v>
          </cell>
          <cell r="C363" t="str">
            <v>Past</v>
          </cell>
          <cell r="D363">
            <v>41.73</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41.73</v>
          </cell>
          <cell r="Q363">
            <v>0.82126599999999994</v>
          </cell>
          <cell r="R363" t="e">
            <v>#N/A</v>
          </cell>
        </row>
        <row r="364">
          <cell r="A364">
            <v>39995</v>
          </cell>
          <cell r="B364">
            <v>39995</v>
          </cell>
          <cell r="C364" t="str">
            <v>Past</v>
          </cell>
          <cell r="D364">
            <v>42.05</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42.05</v>
          </cell>
          <cell r="Q364">
            <v>0.84606599999999998</v>
          </cell>
          <cell r="R364" t="e">
            <v>#N/A</v>
          </cell>
        </row>
        <row r="365">
          <cell r="A365">
            <v>39996</v>
          </cell>
          <cell r="B365">
            <v>39996</v>
          </cell>
          <cell r="C365" t="str">
            <v>Past</v>
          </cell>
          <cell r="D365">
            <v>40.200000000000003</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40.200000000000003</v>
          </cell>
          <cell r="Q365">
            <v>1.123769</v>
          </cell>
          <cell r="R365" t="e">
            <v>#N/A</v>
          </cell>
        </row>
        <row r="366">
          <cell r="A366">
            <v>40000</v>
          </cell>
          <cell r="B366">
            <v>40000</v>
          </cell>
          <cell r="C366" t="str">
            <v>Past</v>
          </cell>
          <cell r="D366">
            <v>40.33</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40.33</v>
          </cell>
          <cell r="Q366">
            <v>0.94517299999999993</v>
          </cell>
          <cell r="R366" t="e">
            <v>#N/A</v>
          </cell>
        </row>
        <row r="367">
          <cell r="A367">
            <v>40001</v>
          </cell>
          <cell r="B367">
            <v>40001</v>
          </cell>
          <cell r="C367" t="str">
            <v>Past</v>
          </cell>
          <cell r="D367">
            <v>38.42</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38.42</v>
          </cell>
          <cell r="Q367">
            <v>2.7292100000000001</v>
          </cell>
          <cell r="R367" t="e">
            <v>#N/A</v>
          </cell>
        </row>
        <row r="368">
          <cell r="A368">
            <v>40002</v>
          </cell>
          <cell r="B368">
            <v>40002</v>
          </cell>
          <cell r="C368" t="str">
            <v>Past</v>
          </cell>
          <cell r="D368">
            <v>39.090000000000003</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39.090000000000003</v>
          </cell>
          <cell r="Q368">
            <v>1.366736</v>
          </cell>
          <cell r="R368" t="e">
            <v>#N/A</v>
          </cell>
        </row>
        <row r="369">
          <cell r="A369">
            <v>40003</v>
          </cell>
          <cell r="B369">
            <v>40003</v>
          </cell>
          <cell r="C369" t="str">
            <v>Past</v>
          </cell>
          <cell r="D369">
            <v>38.81</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38.81</v>
          </cell>
          <cell r="Q369">
            <v>0.72730699999999993</v>
          </cell>
          <cell r="R369" t="e">
            <v>#N/A</v>
          </cell>
        </row>
        <row r="370">
          <cell r="A370">
            <v>40004</v>
          </cell>
          <cell r="B370">
            <v>40004</v>
          </cell>
          <cell r="C370" t="str">
            <v>Past</v>
          </cell>
          <cell r="D370">
            <v>38.81</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38.81</v>
          </cell>
          <cell r="Q370">
            <v>0.78500199999999998</v>
          </cell>
          <cell r="R370" t="e">
            <v>#N/A</v>
          </cell>
        </row>
        <row r="371">
          <cell r="A371">
            <v>40007</v>
          </cell>
          <cell r="B371">
            <v>40007</v>
          </cell>
          <cell r="C371" t="str">
            <v>Past</v>
          </cell>
          <cell r="D371">
            <v>39.97</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39.97</v>
          </cell>
          <cell r="Q371">
            <v>0.86119299999999999</v>
          </cell>
          <cell r="R371" t="e">
            <v>#N/A</v>
          </cell>
        </row>
        <row r="372">
          <cell r="A372">
            <v>40008</v>
          </cell>
          <cell r="B372">
            <v>40008</v>
          </cell>
          <cell r="C372" t="str">
            <v>Past</v>
          </cell>
          <cell r="D372">
            <v>40.68</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40.68</v>
          </cell>
          <cell r="Q372">
            <v>1.0273759999999998</v>
          </cell>
          <cell r="R372" t="e">
            <v>#N/A</v>
          </cell>
        </row>
        <row r="373">
          <cell r="A373">
            <v>40009</v>
          </cell>
          <cell r="B373">
            <v>40009</v>
          </cell>
          <cell r="C373" t="str">
            <v>Past</v>
          </cell>
          <cell r="D373">
            <v>41.13</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41.13</v>
          </cell>
          <cell r="Q373">
            <v>1.0150400000000002</v>
          </cell>
          <cell r="R373" t="e">
            <v>#N/A</v>
          </cell>
        </row>
        <row r="374">
          <cell r="A374">
            <v>40010</v>
          </cell>
          <cell r="B374">
            <v>40010</v>
          </cell>
          <cell r="C374" t="str">
            <v>Past</v>
          </cell>
          <cell r="D374">
            <v>41.31</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41.31</v>
          </cell>
          <cell r="Q374">
            <v>1.206189</v>
          </cell>
          <cell r="R374" t="e">
            <v>#N/A</v>
          </cell>
        </row>
        <row r="375">
          <cell r="A375">
            <v>40011</v>
          </cell>
          <cell r="B375">
            <v>40011</v>
          </cell>
          <cell r="C375" t="str">
            <v>Past</v>
          </cell>
          <cell r="D375">
            <v>40.94</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40.94</v>
          </cell>
          <cell r="Q375">
            <v>1.6902139999999999</v>
          </cell>
          <cell r="R375" t="e">
            <v>#N/A</v>
          </cell>
        </row>
        <row r="376">
          <cell r="A376">
            <v>40014</v>
          </cell>
          <cell r="B376">
            <v>40014</v>
          </cell>
          <cell r="C376" t="str">
            <v>Past</v>
          </cell>
          <cell r="D376">
            <v>41.41</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41.41</v>
          </cell>
          <cell r="Q376">
            <v>1.037147</v>
          </cell>
          <cell r="R376" t="e">
            <v>#N/A</v>
          </cell>
        </row>
        <row r="377">
          <cell r="A377">
            <v>40015</v>
          </cell>
          <cell r="B377">
            <v>40015</v>
          </cell>
          <cell r="C377" t="str">
            <v>Past</v>
          </cell>
          <cell r="D377">
            <v>41.91</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41.91</v>
          </cell>
          <cell r="Q377">
            <v>0.808396</v>
          </cell>
          <cell r="R377" t="e">
            <v>#N/A</v>
          </cell>
        </row>
        <row r="378">
          <cell r="A378">
            <v>40016</v>
          </cell>
          <cell r="B378">
            <v>40016</v>
          </cell>
          <cell r="C378" t="str">
            <v>Past</v>
          </cell>
          <cell r="D378">
            <v>41.87</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41.87</v>
          </cell>
          <cell r="Q378">
            <v>0.72513000000000005</v>
          </cell>
          <cell r="R378" t="e">
            <v>#N/A</v>
          </cell>
        </row>
        <row r="379">
          <cell r="A379">
            <v>40017</v>
          </cell>
          <cell r="B379">
            <v>40017</v>
          </cell>
          <cell r="C379" t="str">
            <v>Past</v>
          </cell>
          <cell r="D379">
            <v>41.85</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41.85</v>
          </cell>
          <cell r="Q379">
            <v>1.383923</v>
          </cell>
          <cell r="R379" t="e">
            <v>#N/A</v>
          </cell>
        </row>
        <row r="380">
          <cell r="A380">
            <v>40018</v>
          </cell>
          <cell r="B380">
            <v>40018</v>
          </cell>
          <cell r="C380" t="str">
            <v>Past</v>
          </cell>
          <cell r="D380">
            <v>40.74</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40.74</v>
          </cell>
          <cell r="Q380">
            <v>2.0377860000000001</v>
          </cell>
          <cell r="R380" t="e">
            <v>#N/A</v>
          </cell>
        </row>
        <row r="381">
          <cell r="A381">
            <v>40021</v>
          </cell>
          <cell r="B381">
            <v>40021</v>
          </cell>
          <cell r="C381" t="str">
            <v>Past</v>
          </cell>
          <cell r="D381">
            <v>39.590000000000003</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39.590000000000003</v>
          </cell>
          <cell r="Q381">
            <v>3.343461</v>
          </cell>
          <cell r="R381" t="e">
            <v>#N/A</v>
          </cell>
        </row>
        <row r="382">
          <cell r="A382">
            <v>40022</v>
          </cell>
          <cell r="B382">
            <v>40022</v>
          </cell>
          <cell r="C382" t="str">
            <v>Past</v>
          </cell>
          <cell r="D382">
            <v>39.61</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39.61</v>
          </cell>
          <cell r="Q382">
            <v>2.416506</v>
          </cell>
          <cell r="R382" t="e">
            <v>#N/A</v>
          </cell>
        </row>
        <row r="383">
          <cell r="A383">
            <v>40023</v>
          </cell>
          <cell r="B383">
            <v>40023</v>
          </cell>
          <cell r="C383" t="str">
            <v>Past</v>
          </cell>
          <cell r="D383">
            <v>40.26</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40.26</v>
          </cell>
          <cell r="Q383">
            <v>2.0140000000000002</v>
          </cell>
          <cell r="R383" t="e">
            <v>#N/A</v>
          </cell>
        </row>
        <row r="384">
          <cell r="A384">
            <v>40024</v>
          </cell>
          <cell r="B384">
            <v>40024</v>
          </cell>
          <cell r="C384" t="str">
            <v>Past</v>
          </cell>
          <cell r="D384">
            <v>42.52</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42.52</v>
          </cell>
          <cell r="Q384">
            <v>2.125607</v>
          </cell>
          <cell r="R384" t="e">
            <v>#N/A</v>
          </cell>
        </row>
        <row r="385">
          <cell r="A385">
            <v>40025</v>
          </cell>
          <cell r="B385">
            <v>40025</v>
          </cell>
          <cell r="C385" t="str">
            <v>Past</v>
          </cell>
          <cell r="D385">
            <v>42.2</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42.2</v>
          </cell>
          <cell r="Q385">
            <v>1.4255369999999998</v>
          </cell>
          <cell r="R385" t="e">
            <v>#N/A</v>
          </cell>
        </row>
        <row r="386">
          <cell r="A386">
            <v>40028</v>
          </cell>
          <cell r="B386">
            <v>40028</v>
          </cell>
          <cell r="C386" t="str">
            <v>Past</v>
          </cell>
          <cell r="D386">
            <v>43.29</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43.29</v>
          </cell>
          <cell r="Q386">
            <v>1.339715</v>
          </cell>
          <cell r="R386" t="e">
            <v>#N/A</v>
          </cell>
        </row>
        <row r="387">
          <cell r="A387">
            <v>40029</v>
          </cell>
          <cell r="B387">
            <v>40029</v>
          </cell>
          <cell r="C387" t="str">
            <v>Past</v>
          </cell>
          <cell r="D387">
            <v>43.77</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43.77</v>
          </cell>
          <cell r="Q387">
            <v>1.4680709999999999</v>
          </cell>
          <cell r="R387" t="e">
            <v>#N/A</v>
          </cell>
        </row>
        <row r="388">
          <cell r="A388">
            <v>40030</v>
          </cell>
          <cell r="B388">
            <v>40030</v>
          </cell>
          <cell r="C388" t="str">
            <v>Past</v>
          </cell>
          <cell r="D388">
            <v>43.65</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43.65</v>
          </cell>
          <cell r="Q388">
            <v>0.83979300000000001</v>
          </cell>
          <cell r="R388" t="e">
            <v>#N/A</v>
          </cell>
        </row>
        <row r="389">
          <cell r="A389">
            <v>40031</v>
          </cell>
          <cell r="B389">
            <v>40031</v>
          </cell>
          <cell r="C389" t="str">
            <v>Past</v>
          </cell>
          <cell r="D389">
            <v>44.09</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44.09</v>
          </cell>
          <cell r="Q389">
            <v>1.4793509999999999</v>
          </cell>
          <cell r="R389" t="e">
            <v>#N/A</v>
          </cell>
        </row>
        <row r="390">
          <cell r="A390">
            <v>40032</v>
          </cell>
          <cell r="B390">
            <v>40032</v>
          </cell>
          <cell r="C390" t="str">
            <v>Past</v>
          </cell>
          <cell r="D390">
            <v>45.23</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45.23</v>
          </cell>
          <cell r="Q390">
            <v>0.87159599999999993</v>
          </cell>
          <cell r="R390" t="e">
            <v>#N/A</v>
          </cell>
        </row>
        <row r="391">
          <cell r="A391">
            <v>40035</v>
          </cell>
          <cell r="B391">
            <v>40035</v>
          </cell>
          <cell r="C391" t="str">
            <v>Past</v>
          </cell>
          <cell r="D391">
            <v>44.55</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44.55</v>
          </cell>
          <cell r="Q391">
            <v>0.62007000000000001</v>
          </cell>
          <cell r="R391" t="e">
            <v>#N/A</v>
          </cell>
        </row>
        <row r="392">
          <cell r="A392">
            <v>40036</v>
          </cell>
          <cell r="B392">
            <v>40036</v>
          </cell>
          <cell r="C392" t="str">
            <v>Past</v>
          </cell>
          <cell r="D392">
            <v>43.89</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43.89</v>
          </cell>
          <cell r="Q392">
            <v>0.93275199999999991</v>
          </cell>
          <cell r="R392" t="e">
            <v>#N/A</v>
          </cell>
        </row>
        <row r="393">
          <cell r="A393">
            <v>40037</v>
          </cell>
          <cell r="B393">
            <v>40037</v>
          </cell>
          <cell r="C393" t="str">
            <v>Past</v>
          </cell>
          <cell r="D393">
            <v>45.32</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45.32</v>
          </cell>
          <cell r="Q393">
            <v>0.89216699999999993</v>
          </cell>
          <cell r="R393" t="e">
            <v>#N/A</v>
          </cell>
        </row>
        <row r="394">
          <cell r="A394">
            <v>40038</v>
          </cell>
          <cell r="B394">
            <v>40038</v>
          </cell>
          <cell r="C394" t="str">
            <v>Past</v>
          </cell>
          <cell r="D394">
            <v>44.24</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44.24</v>
          </cell>
          <cell r="Q394">
            <v>1.1771879999999999</v>
          </cell>
          <cell r="R394" t="e">
            <v>#N/A</v>
          </cell>
        </row>
        <row r="395">
          <cell r="A395">
            <v>40039</v>
          </cell>
          <cell r="B395">
            <v>40039</v>
          </cell>
          <cell r="C395" t="str">
            <v>Past</v>
          </cell>
          <cell r="D395">
            <v>43.76</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43.76</v>
          </cell>
          <cell r="Q395">
            <v>1.6624969999999999</v>
          </cell>
          <cell r="R395" t="e">
            <v>#N/A</v>
          </cell>
        </row>
        <row r="396">
          <cell r="A396">
            <v>40042</v>
          </cell>
          <cell r="B396">
            <v>40042</v>
          </cell>
          <cell r="C396" t="str">
            <v>Past</v>
          </cell>
          <cell r="D396">
            <v>42.69</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42.69</v>
          </cell>
          <cell r="Q396">
            <v>0.94399000000000011</v>
          </cell>
          <cell r="R396" t="e">
            <v>#N/A</v>
          </cell>
        </row>
        <row r="397">
          <cell r="A397">
            <v>40043</v>
          </cell>
          <cell r="B397">
            <v>40043</v>
          </cell>
          <cell r="C397" t="str">
            <v>Past</v>
          </cell>
          <cell r="D397">
            <v>42.98</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42.98</v>
          </cell>
          <cell r="Q397">
            <v>0.75176799999999999</v>
          </cell>
          <cell r="R397" t="e">
            <v>#N/A</v>
          </cell>
        </row>
        <row r="398">
          <cell r="A398">
            <v>40044</v>
          </cell>
          <cell r="B398">
            <v>40044</v>
          </cell>
          <cell r="C398" t="str">
            <v>Past</v>
          </cell>
          <cell r="D398">
            <v>42.6</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42.6</v>
          </cell>
          <cell r="Q398">
            <v>1.1943000000000001</v>
          </cell>
          <cell r="R398" t="e">
            <v>#N/A</v>
          </cell>
        </row>
        <row r="399">
          <cell r="A399">
            <v>40045</v>
          </cell>
          <cell r="B399">
            <v>40045</v>
          </cell>
          <cell r="C399" t="str">
            <v>Past</v>
          </cell>
          <cell r="D399">
            <v>43.21</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43.21</v>
          </cell>
          <cell r="Q399">
            <v>1.0741369999999999</v>
          </cell>
          <cell r="R399" t="e">
            <v>#N/A</v>
          </cell>
        </row>
        <row r="400">
          <cell r="A400">
            <v>40046</v>
          </cell>
          <cell r="B400">
            <v>40046</v>
          </cell>
          <cell r="C400" t="str">
            <v>Past</v>
          </cell>
          <cell r="D400">
            <v>44.4</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44.4</v>
          </cell>
          <cell r="Q400">
            <v>0.76256099999999993</v>
          </cell>
          <cell r="R400" t="e">
            <v>#N/A</v>
          </cell>
        </row>
        <row r="401">
          <cell r="A401">
            <v>40049</v>
          </cell>
          <cell r="B401">
            <v>40049</v>
          </cell>
          <cell r="C401" t="str">
            <v>Past</v>
          </cell>
          <cell r="D401">
            <v>44.76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44.76</v>
          </cell>
          <cell r="Q401">
            <v>1.1344159999999999</v>
          </cell>
          <cell r="R401" t="e">
            <v>#N/A</v>
          </cell>
        </row>
        <row r="402">
          <cell r="A402">
            <v>40050</v>
          </cell>
          <cell r="B402">
            <v>40050</v>
          </cell>
          <cell r="C402" t="str">
            <v>Past</v>
          </cell>
          <cell r="D402">
            <v>45.06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45.06</v>
          </cell>
          <cell r="Q402">
            <v>1.2374669999999999</v>
          </cell>
          <cell r="R402" t="e">
            <v>#N/A</v>
          </cell>
        </row>
        <row r="403">
          <cell r="A403">
            <v>40051</v>
          </cell>
          <cell r="B403">
            <v>40051</v>
          </cell>
          <cell r="C403" t="str">
            <v>Past</v>
          </cell>
          <cell r="D403">
            <v>44.99</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44.99</v>
          </cell>
          <cell r="Q403">
            <v>0.85366599999999992</v>
          </cell>
          <cell r="R403" t="e">
            <v>#N/A</v>
          </cell>
        </row>
        <row r="404">
          <cell r="A404">
            <v>40052</v>
          </cell>
          <cell r="B404">
            <v>40052</v>
          </cell>
          <cell r="C404" t="str">
            <v>Past</v>
          </cell>
          <cell r="D404">
            <v>46.53</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46.53</v>
          </cell>
          <cell r="Q404">
            <v>1.4525800000000002</v>
          </cell>
          <cell r="R404" t="e">
            <v>#N/A</v>
          </cell>
        </row>
        <row r="405">
          <cell r="A405">
            <v>40053</v>
          </cell>
          <cell r="B405">
            <v>40053</v>
          </cell>
          <cell r="C405" t="str">
            <v>Past</v>
          </cell>
          <cell r="D405">
            <v>46.3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46.3</v>
          </cell>
          <cell r="Q405">
            <v>0.83061200000000002</v>
          </cell>
          <cell r="R405" t="e">
            <v>#N/A</v>
          </cell>
        </row>
        <row r="406">
          <cell r="A406">
            <v>40056</v>
          </cell>
          <cell r="B406">
            <v>40056</v>
          </cell>
          <cell r="C406" t="str">
            <v>Past</v>
          </cell>
          <cell r="D406">
            <v>46.04</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46.04</v>
          </cell>
          <cell r="Q406">
            <v>0.78754399999999991</v>
          </cell>
          <cell r="R406" t="e">
            <v>#N/A</v>
          </cell>
        </row>
        <row r="407">
          <cell r="A407">
            <v>40057</v>
          </cell>
          <cell r="B407">
            <v>40057</v>
          </cell>
          <cell r="C407" t="str">
            <v>Past</v>
          </cell>
          <cell r="D407">
            <v>45.7</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45.7</v>
          </cell>
          <cell r="Q407">
            <v>1.3501859999999999</v>
          </cell>
          <cell r="R407" t="e">
            <v>#N/A</v>
          </cell>
        </row>
        <row r="408">
          <cell r="A408">
            <v>40058</v>
          </cell>
          <cell r="B408">
            <v>40058</v>
          </cell>
          <cell r="C408" t="str">
            <v>Past</v>
          </cell>
          <cell r="D408">
            <v>45.46</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45.46</v>
          </cell>
          <cell r="Q408">
            <v>1.899551</v>
          </cell>
          <cell r="R408" t="e">
            <v>#N/A</v>
          </cell>
        </row>
        <row r="409">
          <cell r="A409">
            <v>40059</v>
          </cell>
          <cell r="B409">
            <v>40059</v>
          </cell>
          <cell r="C409" t="str">
            <v>Past</v>
          </cell>
          <cell r="D409">
            <v>45.21</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45.21</v>
          </cell>
          <cell r="Q409">
            <v>1.3078259999999999</v>
          </cell>
          <cell r="R409" t="e">
            <v>#N/A</v>
          </cell>
        </row>
        <row r="410">
          <cell r="A410">
            <v>40060</v>
          </cell>
          <cell r="B410">
            <v>40060</v>
          </cell>
          <cell r="C410" t="str">
            <v>Past</v>
          </cell>
          <cell r="D410">
            <v>46.25</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46.25</v>
          </cell>
          <cell r="Q410">
            <v>1.049628</v>
          </cell>
          <cell r="R410" t="e">
            <v>#N/A</v>
          </cell>
        </row>
        <row r="411">
          <cell r="A411">
            <v>40064</v>
          </cell>
          <cell r="B411">
            <v>40064</v>
          </cell>
          <cell r="C411" t="str">
            <v>Past</v>
          </cell>
          <cell r="D411">
            <v>46.98</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46.98</v>
          </cell>
          <cell r="Q411">
            <v>1.187295</v>
          </cell>
          <cell r="R411" t="e">
            <v>#N/A</v>
          </cell>
        </row>
        <row r="412">
          <cell r="A412">
            <v>40065</v>
          </cell>
          <cell r="B412">
            <v>40065</v>
          </cell>
          <cell r="C412" t="str">
            <v>Past</v>
          </cell>
          <cell r="D412">
            <v>47.3</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47.3</v>
          </cell>
          <cell r="Q412">
            <v>0.80767199999999995</v>
          </cell>
          <cell r="R412" t="e">
            <v>#N/A</v>
          </cell>
        </row>
        <row r="413">
          <cell r="A413">
            <v>40066</v>
          </cell>
          <cell r="B413">
            <v>40066</v>
          </cell>
          <cell r="C413" t="str">
            <v>Past</v>
          </cell>
          <cell r="D413">
            <v>48</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48</v>
          </cell>
          <cell r="Q413">
            <v>1.0735440000000001</v>
          </cell>
          <cell r="R413" t="e">
            <v>#N/A</v>
          </cell>
        </row>
        <row r="414">
          <cell r="A414">
            <v>40067</v>
          </cell>
          <cell r="B414">
            <v>40067</v>
          </cell>
          <cell r="C414" t="str">
            <v>Past</v>
          </cell>
          <cell r="D414">
            <v>48.57</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48.57</v>
          </cell>
          <cell r="Q414">
            <v>1.183524</v>
          </cell>
          <cell r="R414" t="e">
            <v>#N/A</v>
          </cell>
        </row>
        <row r="415">
          <cell r="A415">
            <v>40070</v>
          </cell>
          <cell r="B415">
            <v>40070</v>
          </cell>
          <cell r="C415" t="str">
            <v>Past</v>
          </cell>
          <cell r="D415">
            <v>48.52</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48.52</v>
          </cell>
          <cell r="Q415">
            <v>1.076317</v>
          </cell>
          <cell r="R415" t="e">
            <v>#N/A</v>
          </cell>
        </row>
        <row r="416">
          <cell r="A416">
            <v>40071</v>
          </cell>
          <cell r="B416">
            <v>40071</v>
          </cell>
          <cell r="C416" t="str">
            <v>Past</v>
          </cell>
          <cell r="D416">
            <v>48.62</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48.62</v>
          </cell>
          <cell r="Q416">
            <v>1.2912509999999999</v>
          </cell>
          <cell r="R416" t="e">
            <v>#N/A</v>
          </cell>
        </row>
        <row r="417">
          <cell r="A417">
            <v>40072</v>
          </cell>
          <cell r="B417">
            <v>40072</v>
          </cell>
          <cell r="C417" t="str">
            <v>Past</v>
          </cell>
          <cell r="D417">
            <v>48.74</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48.74</v>
          </cell>
          <cell r="Q417">
            <v>1.2986169999999999</v>
          </cell>
          <cell r="R417" t="e">
            <v>#N/A</v>
          </cell>
        </row>
        <row r="418">
          <cell r="A418">
            <v>40073</v>
          </cell>
          <cell r="B418">
            <v>40073</v>
          </cell>
          <cell r="C418" t="str">
            <v>Past</v>
          </cell>
          <cell r="D418">
            <v>50.58</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50.58</v>
          </cell>
          <cell r="Q418">
            <v>2.638166</v>
          </cell>
          <cell r="R418" t="e">
            <v>#N/A</v>
          </cell>
        </row>
        <row r="419">
          <cell r="A419">
            <v>40074</v>
          </cell>
          <cell r="B419">
            <v>40074</v>
          </cell>
          <cell r="C419" t="str">
            <v>Past</v>
          </cell>
          <cell r="D419">
            <v>51.1</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51.1</v>
          </cell>
          <cell r="Q419">
            <v>1.7797829999999999</v>
          </cell>
          <cell r="R419" t="e">
            <v>#N/A</v>
          </cell>
        </row>
        <row r="420">
          <cell r="A420">
            <v>40077</v>
          </cell>
          <cell r="B420">
            <v>40077</v>
          </cell>
          <cell r="C420" t="str">
            <v>Past</v>
          </cell>
          <cell r="D420">
            <v>50.7</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50.7</v>
          </cell>
          <cell r="Q420">
            <v>0.85854699999999995</v>
          </cell>
          <cell r="R420" t="e">
            <v>#N/A</v>
          </cell>
        </row>
        <row r="421">
          <cell r="A421">
            <v>40078</v>
          </cell>
          <cell r="B421">
            <v>40078</v>
          </cell>
          <cell r="C421" t="str">
            <v>Past</v>
          </cell>
          <cell r="D421">
            <v>51.14</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51.14</v>
          </cell>
          <cell r="Q421">
            <v>0.74488599999999994</v>
          </cell>
          <cell r="R421" t="e">
            <v>#N/A</v>
          </cell>
        </row>
        <row r="422">
          <cell r="A422">
            <v>40079</v>
          </cell>
          <cell r="B422">
            <v>40079</v>
          </cell>
          <cell r="C422" t="str">
            <v>Past</v>
          </cell>
          <cell r="D422">
            <v>50.38</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50.38</v>
          </cell>
          <cell r="Q422">
            <v>0.68732499999999996</v>
          </cell>
          <cell r="R422" t="e">
            <v>#N/A</v>
          </cell>
        </row>
        <row r="423">
          <cell r="A423">
            <v>40080</v>
          </cell>
          <cell r="B423">
            <v>40080</v>
          </cell>
          <cell r="C423" t="str">
            <v>Past</v>
          </cell>
          <cell r="D423">
            <v>49.79</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49.79</v>
          </cell>
          <cell r="Q423">
            <v>0.85015000000000007</v>
          </cell>
          <cell r="R423" t="e">
            <v>#N/A</v>
          </cell>
        </row>
        <row r="424">
          <cell r="A424">
            <v>40081</v>
          </cell>
          <cell r="B424">
            <v>40081</v>
          </cell>
          <cell r="C424" t="str">
            <v>Past</v>
          </cell>
          <cell r="D424">
            <v>49.34</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49.34</v>
          </cell>
          <cell r="Q424">
            <v>1.657</v>
          </cell>
          <cell r="R424" t="e">
            <v>#N/A</v>
          </cell>
        </row>
        <row r="425">
          <cell r="A425">
            <v>40084</v>
          </cell>
          <cell r="B425">
            <v>40084</v>
          </cell>
          <cell r="C425" t="str">
            <v>Past</v>
          </cell>
          <cell r="D425">
            <v>50.46</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50.46</v>
          </cell>
          <cell r="Q425">
            <v>1.054549</v>
          </cell>
          <cell r="R425" t="e">
            <v>#N/A</v>
          </cell>
        </row>
        <row r="426">
          <cell r="A426">
            <v>40085</v>
          </cell>
          <cell r="B426">
            <v>40085</v>
          </cell>
          <cell r="C426" t="str">
            <v>Past</v>
          </cell>
          <cell r="D426">
            <v>50.63</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50.63</v>
          </cell>
          <cell r="Q426">
            <v>0.90181499999999992</v>
          </cell>
          <cell r="R426" t="e">
            <v>#N/A</v>
          </cell>
        </row>
        <row r="427">
          <cell r="A427">
            <v>40086</v>
          </cell>
          <cell r="B427">
            <v>40086</v>
          </cell>
          <cell r="C427" t="str">
            <v>Past</v>
          </cell>
          <cell r="D427">
            <v>50.8</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50.8</v>
          </cell>
          <cell r="Q427">
            <v>0.98253599999999996</v>
          </cell>
          <cell r="R427" t="e">
            <v>#N/A</v>
          </cell>
        </row>
        <row r="428">
          <cell r="A428">
            <v>40087</v>
          </cell>
          <cell r="B428">
            <v>40087</v>
          </cell>
          <cell r="C428" t="str">
            <v>Past</v>
          </cell>
          <cell r="D428">
            <v>49</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49</v>
          </cell>
          <cell r="Q428">
            <v>0.82640799999999992</v>
          </cell>
          <cell r="R428" t="e">
            <v>#N/A</v>
          </cell>
        </row>
        <row r="429">
          <cell r="A429">
            <v>40088</v>
          </cell>
          <cell r="B429">
            <v>40088</v>
          </cell>
          <cell r="C429" t="str">
            <v>Past</v>
          </cell>
          <cell r="D429">
            <v>48.15</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48.15</v>
          </cell>
          <cell r="Q429">
            <v>0.98199700000000001</v>
          </cell>
          <cell r="R429" t="e">
            <v>#N/A</v>
          </cell>
        </row>
        <row r="430">
          <cell r="A430">
            <v>40091</v>
          </cell>
          <cell r="B430">
            <v>40091</v>
          </cell>
          <cell r="C430" t="str">
            <v>Past</v>
          </cell>
          <cell r="D430">
            <v>48.81</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48.81</v>
          </cell>
          <cell r="Q430">
            <v>0.73605699999999996</v>
          </cell>
          <cell r="R430" t="e">
            <v>#N/A</v>
          </cell>
        </row>
        <row r="431">
          <cell r="A431">
            <v>40092</v>
          </cell>
          <cell r="B431">
            <v>40092</v>
          </cell>
          <cell r="C431" t="str">
            <v>Past</v>
          </cell>
          <cell r="D431">
            <v>49.99</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49.99</v>
          </cell>
          <cell r="Q431">
            <v>1.0131239999999999</v>
          </cell>
          <cell r="R431" t="e">
            <v>#N/A</v>
          </cell>
        </row>
        <row r="432">
          <cell r="A432">
            <v>40093</v>
          </cell>
          <cell r="B432">
            <v>40093</v>
          </cell>
          <cell r="C432" t="str">
            <v>Past</v>
          </cell>
          <cell r="D432">
            <v>49.9</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49.9</v>
          </cell>
          <cell r="Q432">
            <v>0.78963499999999998</v>
          </cell>
          <cell r="R432" t="e">
            <v>#N/A</v>
          </cell>
        </row>
        <row r="433">
          <cell r="A433">
            <v>40094</v>
          </cell>
          <cell r="B433">
            <v>40094</v>
          </cell>
          <cell r="C433" t="str">
            <v>Past</v>
          </cell>
          <cell r="D433">
            <v>50.5</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50.5</v>
          </cell>
          <cell r="Q433">
            <v>1.1762509999999999</v>
          </cell>
          <cell r="R433" t="e">
            <v>#N/A</v>
          </cell>
        </row>
        <row r="434">
          <cell r="A434">
            <v>40095</v>
          </cell>
          <cell r="B434">
            <v>40095</v>
          </cell>
          <cell r="C434" t="str">
            <v>Past</v>
          </cell>
          <cell r="D434">
            <v>50.99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50.99</v>
          </cell>
          <cell r="Q434">
            <v>0.84274399999999994</v>
          </cell>
          <cell r="R434" t="e">
            <v>#N/A</v>
          </cell>
        </row>
        <row r="435">
          <cell r="A435">
            <v>40098</v>
          </cell>
          <cell r="B435">
            <v>40098</v>
          </cell>
          <cell r="C435" t="str">
            <v>Past</v>
          </cell>
          <cell r="D435">
            <v>51.22</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51.22</v>
          </cell>
          <cell r="Q435">
            <v>0.63445099999999999</v>
          </cell>
          <cell r="R435" t="e">
            <v>#N/A</v>
          </cell>
        </row>
        <row r="436">
          <cell r="A436">
            <v>40099</v>
          </cell>
          <cell r="B436">
            <v>40099</v>
          </cell>
          <cell r="C436" t="str">
            <v>Past</v>
          </cell>
          <cell r="D436">
            <v>51.26</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51.26</v>
          </cell>
          <cell r="Q436">
            <v>0.80652899999999994</v>
          </cell>
          <cell r="R436" t="e">
            <v>#N/A</v>
          </cell>
        </row>
        <row r="437">
          <cell r="A437">
            <v>40100</v>
          </cell>
          <cell r="B437">
            <v>40100</v>
          </cell>
          <cell r="C437" t="str">
            <v>Past</v>
          </cell>
          <cell r="D437">
            <v>52.28</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52.28</v>
          </cell>
          <cell r="Q437">
            <v>0.71342499999999998</v>
          </cell>
          <cell r="R437" t="e">
            <v>#N/A</v>
          </cell>
        </row>
        <row r="438">
          <cell r="A438">
            <v>40101</v>
          </cell>
          <cell r="B438">
            <v>40101</v>
          </cell>
          <cell r="C438" t="str">
            <v>Past</v>
          </cell>
          <cell r="D438">
            <v>52.05</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52.05</v>
          </cell>
          <cell r="Q438">
            <v>0.74092599999999997</v>
          </cell>
          <cell r="R438" t="e">
            <v>#N/A</v>
          </cell>
        </row>
        <row r="439">
          <cell r="A439">
            <v>40102</v>
          </cell>
          <cell r="B439">
            <v>40102</v>
          </cell>
          <cell r="C439" t="str">
            <v>Past</v>
          </cell>
          <cell r="D439">
            <v>52.22</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52.22</v>
          </cell>
          <cell r="Q439">
            <v>0.60876000000000008</v>
          </cell>
          <cell r="R439" t="e">
            <v>#N/A</v>
          </cell>
        </row>
        <row r="440">
          <cell r="A440">
            <v>40105</v>
          </cell>
          <cell r="B440">
            <v>40105</v>
          </cell>
          <cell r="C440" t="str">
            <v>Past</v>
          </cell>
          <cell r="D440">
            <v>52.87</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52.87</v>
          </cell>
          <cell r="Q440">
            <v>0.48363000000000006</v>
          </cell>
          <cell r="R440" t="e">
            <v>#N/A</v>
          </cell>
        </row>
        <row r="441">
          <cell r="A441">
            <v>40106</v>
          </cell>
          <cell r="B441">
            <v>40106</v>
          </cell>
          <cell r="C441" t="str">
            <v>Past</v>
          </cell>
          <cell r="D441">
            <v>51.52</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51.52</v>
          </cell>
          <cell r="Q441">
            <v>0.797709</v>
          </cell>
          <cell r="R441" t="e">
            <v>#N/A</v>
          </cell>
        </row>
        <row r="442">
          <cell r="A442">
            <v>40107</v>
          </cell>
          <cell r="B442">
            <v>40107</v>
          </cell>
          <cell r="C442" t="str">
            <v>Past</v>
          </cell>
          <cell r="D442">
            <v>51.33</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51.33</v>
          </cell>
          <cell r="Q442">
            <v>0.95174399999999992</v>
          </cell>
          <cell r="R442" t="e">
            <v>#N/A</v>
          </cell>
        </row>
        <row r="443">
          <cell r="A443">
            <v>40108</v>
          </cell>
          <cell r="B443">
            <v>40108</v>
          </cell>
          <cell r="C443" t="str">
            <v>Past</v>
          </cell>
          <cell r="D443">
            <v>52</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52</v>
          </cell>
          <cell r="Q443">
            <v>0.86326700000000001</v>
          </cell>
          <cell r="R443" t="e">
            <v>#N/A</v>
          </cell>
        </row>
        <row r="444">
          <cell r="A444">
            <v>40109</v>
          </cell>
          <cell r="B444">
            <v>40109</v>
          </cell>
          <cell r="C444" t="str">
            <v>Past</v>
          </cell>
          <cell r="D444">
            <v>51.54</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51.54</v>
          </cell>
          <cell r="Q444">
            <v>0.66813299999999998</v>
          </cell>
          <cell r="R444" t="e">
            <v>#N/A</v>
          </cell>
        </row>
        <row r="445">
          <cell r="A445">
            <v>40112</v>
          </cell>
          <cell r="B445">
            <v>40112</v>
          </cell>
          <cell r="C445" t="str">
            <v>Past</v>
          </cell>
          <cell r="D445">
            <v>51.06</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51.06</v>
          </cell>
          <cell r="Q445">
            <v>0.73483100000000001</v>
          </cell>
          <cell r="R445" t="e">
            <v>#N/A</v>
          </cell>
        </row>
        <row r="446">
          <cell r="A446">
            <v>40113</v>
          </cell>
          <cell r="B446">
            <v>40113</v>
          </cell>
          <cell r="C446" t="str">
            <v>Past</v>
          </cell>
          <cell r="D446">
            <v>50.94</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50.94</v>
          </cell>
          <cell r="Q446">
            <v>1.0331429999999999</v>
          </cell>
          <cell r="R446" t="e">
            <v>#N/A</v>
          </cell>
        </row>
        <row r="447">
          <cell r="A447">
            <v>40114</v>
          </cell>
          <cell r="B447">
            <v>40114</v>
          </cell>
          <cell r="C447" t="str">
            <v>Past</v>
          </cell>
          <cell r="D447">
            <v>50.24</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50.24</v>
          </cell>
          <cell r="Q447">
            <v>1.9372469999999999</v>
          </cell>
          <cell r="R447" t="e">
            <v>#N/A</v>
          </cell>
        </row>
        <row r="448">
          <cell r="A448">
            <v>40115</v>
          </cell>
          <cell r="B448">
            <v>40115</v>
          </cell>
          <cell r="C448" t="str">
            <v>Past</v>
          </cell>
          <cell r="D448">
            <v>51.56</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51.56</v>
          </cell>
          <cell r="Q448">
            <v>1.9594319999999998</v>
          </cell>
          <cell r="R448" t="e">
            <v>#N/A</v>
          </cell>
        </row>
        <row r="449">
          <cell r="A449">
            <v>40116</v>
          </cell>
          <cell r="B449">
            <v>40116</v>
          </cell>
          <cell r="C449" t="str">
            <v>Past</v>
          </cell>
          <cell r="D449">
            <v>50.38</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50.38</v>
          </cell>
          <cell r="Q449">
            <v>1.9160649999999999</v>
          </cell>
          <cell r="R449" t="e">
            <v>#N/A</v>
          </cell>
        </row>
        <row r="450">
          <cell r="A450">
            <v>40119</v>
          </cell>
          <cell r="B450">
            <v>40119</v>
          </cell>
          <cell r="C450" t="str">
            <v>Past</v>
          </cell>
          <cell r="D450">
            <v>50.78</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50.78</v>
          </cell>
          <cell r="Q450">
            <v>1.4602200000000001</v>
          </cell>
          <cell r="R450" t="e">
            <v>#N/A</v>
          </cell>
        </row>
        <row r="451">
          <cell r="A451">
            <v>40120</v>
          </cell>
          <cell r="B451">
            <v>40120</v>
          </cell>
          <cell r="C451" t="str">
            <v>Past</v>
          </cell>
          <cell r="D451">
            <v>49.24</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49.24</v>
          </cell>
          <cell r="Q451">
            <v>2.3001649999999998</v>
          </cell>
          <cell r="R451" t="e">
            <v>#N/A</v>
          </cell>
        </row>
        <row r="452">
          <cell r="A452">
            <v>40121</v>
          </cell>
          <cell r="B452">
            <v>40121</v>
          </cell>
          <cell r="C452" t="str">
            <v>Past</v>
          </cell>
          <cell r="D452">
            <v>49.63</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49.63</v>
          </cell>
          <cell r="Q452">
            <v>1.014732</v>
          </cell>
          <cell r="R452" t="e">
            <v>#N/A</v>
          </cell>
        </row>
        <row r="453">
          <cell r="A453">
            <v>40122</v>
          </cell>
          <cell r="B453">
            <v>40122</v>
          </cell>
          <cell r="C453" t="str">
            <v>Past</v>
          </cell>
          <cell r="D453">
            <v>51.83</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51.83</v>
          </cell>
          <cell r="Q453">
            <v>2.1875149999999999</v>
          </cell>
          <cell r="R453" t="e">
            <v>#N/A</v>
          </cell>
        </row>
        <row r="454">
          <cell r="A454">
            <v>40123</v>
          </cell>
          <cell r="B454">
            <v>40123</v>
          </cell>
          <cell r="C454" t="str">
            <v>Past</v>
          </cell>
          <cell r="D454">
            <v>51.51</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51.51</v>
          </cell>
          <cell r="Q454">
            <v>1.1632069999999999</v>
          </cell>
          <cell r="R454" t="e">
            <v>#N/A</v>
          </cell>
        </row>
        <row r="455">
          <cell r="A455">
            <v>40126</v>
          </cell>
          <cell r="B455">
            <v>40126</v>
          </cell>
          <cell r="C455" t="str">
            <v>Past</v>
          </cell>
          <cell r="D455">
            <v>52.85</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52.85</v>
          </cell>
          <cell r="Q455">
            <v>0.84079099999999996</v>
          </cell>
          <cell r="R455" t="e">
            <v>#N/A</v>
          </cell>
        </row>
        <row r="456">
          <cell r="A456">
            <v>40127</v>
          </cell>
          <cell r="B456">
            <v>40127</v>
          </cell>
          <cell r="C456" t="str">
            <v>Past</v>
          </cell>
          <cell r="D456">
            <v>52.21</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52.21</v>
          </cell>
          <cell r="Q456">
            <v>0.694272</v>
          </cell>
          <cell r="R456" t="e">
            <v>#N/A</v>
          </cell>
        </row>
        <row r="457">
          <cell r="A457">
            <v>40128</v>
          </cell>
          <cell r="B457">
            <v>40128</v>
          </cell>
          <cell r="C457" t="str">
            <v>Past</v>
          </cell>
          <cell r="D457">
            <v>52.6</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52.6</v>
          </cell>
          <cell r="Q457">
            <v>0.58015799999999995</v>
          </cell>
          <cell r="R457" t="e">
            <v>#N/A</v>
          </cell>
        </row>
        <row r="458">
          <cell r="A458">
            <v>40129</v>
          </cell>
          <cell r="B458">
            <v>40129</v>
          </cell>
          <cell r="C458" t="str">
            <v>Past</v>
          </cell>
          <cell r="D458">
            <v>52.09</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52.09</v>
          </cell>
          <cell r="Q458">
            <v>0.49426799999999999</v>
          </cell>
          <cell r="R458" t="e">
            <v>#N/A</v>
          </cell>
        </row>
        <row r="459">
          <cell r="A459">
            <v>40130</v>
          </cell>
          <cell r="B459">
            <v>40130</v>
          </cell>
          <cell r="C459" t="str">
            <v>Past</v>
          </cell>
          <cell r="D459">
            <v>52.92</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52.92</v>
          </cell>
          <cell r="Q459">
            <v>0.79573299999999991</v>
          </cell>
          <cell r="R459" t="e">
            <v>#N/A</v>
          </cell>
        </row>
        <row r="460">
          <cell r="A460">
            <v>40133</v>
          </cell>
          <cell r="B460">
            <v>40133</v>
          </cell>
          <cell r="C460" t="str">
            <v>Past</v>
          </cell>
          <cell r="D460">
            <v>53.72</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53.72</v>
          </cell>
          <cell r="Q460">
            <v>0.62946199999999997</v>
          </cell>
          <cell r="R460" t="e">
            <v>#N/A</v>
          </cell>
        </row>
        <row r="461">
          <cell r="A461">
            <v>40134</v>
          </cell>
          <cell r="B461">
            <v>40134</v>
          </cell>
          <cell r="C461" t="str">
            <v>Past</v>
          </cell>
          <cell r="D461">
            <v>53.75</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53.75</v>
          </cell>
          <cell r="Q461">
            <v>0.72533499999999995</v>
          </cell>
          <cell r="R461" t="e">
            <v>#N/A</v>
          </cell>
        </row>
        <row r="462">
          <cell r="A462">
            <v>40135</v>
          </cell>
          <cell r="B462">
            <v>40135</v>
          </cell>
          <cell r="C462" t="str">
            <v>Past</v>
          </cell>
          <cell r="D462">
            <v>53.34</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53.34</v>
          </cell>
          <cell r="Q462">
            <v>1.0979619999999999</v>
          </cell>
          <cell r="R462" t="e">
            <v>#N/A</v>
          </cell>
        </row>
        <row r="463">
          <cell r="A463">
            <v>40136</v>
          </cell>
          <cell r="B463">
            <v>40136</v>
          </cell>
          <cell r="C463" t="str">
            <v>Past</v>
          </cell>
          <cell r="D463">
            <v>52.34</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52.34</v>
          </cell>
          <cell r="Q463">
            <v>0.83560800000000002</v>
          </cell>
          <cell r="R463" t="e">
            <v>#N/A</v>
          </cell>
        </row>
        <row r="464">
          <cell r="A464">
            <v>40137</v>
          </cell>
          <cell r="B464">
            <v>40137</v>
          </cell>
          <cell r="C464" t="str">
            <v>Past</v>
          </cell>
          <cell r="D464">
            <v>53.08</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53.08</v>
          </cell>
          <cell r="Q464">
            <v>1.199255</v>
          </cell>
          <cell r="R464" t="e">
            <v>#N/A</v>
          </cell>
        </row>
        <row r="465">
          <cell r="A465">
            <v>40140</v>
          </cell>
          <cell r="B465">
            <v>40140</v>
          </cell>
          <cell r="C465" t="str">
            <v>Past</v>
          </cell>
          <cell r="D465">
            <v>54.13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54.13</v>
          </cell>
          <cell r="Q465">
            <v>1.0304679999999999</v>
          </cell>
          <cell r="R465" t="e">
            <v>#N/A</v>
          </cell>
        </row>
        <row r="466">
          <cell r="A466">
            <v>40141</v>
          </cell>
          <cell r="B466">
            <v>40141</v>
          </cell>
          <cell r="C466" t="str">
            <v>Past</v>
          </cell>
          <cell r="D466">
            <v>54.01</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54.01</v>
          </cell>
          <cell r="Q466">
            <v>0.98047299999999993</v>
          </cell>
          <cell r="R466" t="e">
            <v>#N/A</v>
          </cell>
        </row>
        <row r="467">
          <cell r="A467">
            <v>40142</v>
          </cell>
          <cell r="B467">
            <v>40142</v>
          </cell>
          <cell r="C467" t="str">
            <v>Past</v>
          </cell>
          <cell r="D467">
            <v>54.5</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54.5</v>
          </cell>
          <cell r="Q467">
            <v>0.62567000000000006</v>
          </cell>
          <cell r="R467" t="e">
            <v>#N/A</v>
          </cell>
        </row>
        <row r="468">
          <cell r="A468">
            <v>40144</v>
          </cell>
          <cell r="B468">
            <v>40144</v>
          </cell>
          <cell r="C468" t="str">
            <v>Past</v>
          </cell>
          <cell r="D468">
            <v>53.7</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53.7</v>
          </cell>
          <cell r="Q468">
            <v>0.37877499999999997</v>
          </cell>
          <cell r="R468" t="e">
            <v>#N/A</v>
          </cell>
        </row>
        <row r="469">
          <cell r="A469">
            <v>40147</v>
          </cell>
          <cell r="B469">
            <v>40147</v>
          </cell>
          <cell r="C469" t="str">
            <v>Past</v>
          </cell>
          <cell r="D469">
            <v>53.46</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53.46</v>
          </cell>
          <cell r="Q469">
            <v>0.77588400000000002</v>
          </cell>
          <cell r="R469" t="e">
            <v>#N/A</v>
          </cell>
        </row>
        <row r="470">
          <cell r="A470">
            <v>40148</v>
          </cell>
          <cell r="B470">
            <v>40148</v>
          </cell>
          <cell r="C470" t="str">
            <v>Past</v>
          </cell>
          <cell r="D470">
            <v>54.43</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54.43</v>
          </cell>
          <cell r="Q470">
            <v>0.91150399999999998</v>
          </cell>
          <cell r="R470" t="e">
            <v>#N/A</v>
          </cell>
        </row>
        <row r="471">
          <cell r="A471">
            <v>40149</v>
          </cell>
          <cell r="B471">
            <v>40149</v>
          </cell>
          <cell r="C471" t="str">
            <v>Past</v>
          </cell>
          <cell r="D471">
            <v>54.92</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54.92</v>
          </cell>
          <cell r="Q471">
            <v>0.69361499999999998</v>
          </cell>
          <cell r="R471" t="e">
            <v>#N/A</v>
          </cell>
        </row>
        <row r="472">
          <cell r="A472">
            <v>40150</v>
          </cell>
          <cell r="B472">
            <v>40150</v>
          </cell>
          <cell r="C472" t="str">
            <v>Past</v>
          </cell>
          <cell r="D472">
            <v>54.8</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54.8</v>
          </cell>
          <cell r="Q472">
            <v>0.95516599999999996</v>
          </cell>
          <cell r="R472" t="e">
            <v>#N/A</v>
          </cell>
        </row>
        <row r="473">
          <cell r="A473">
            <v>40151</v>
          </cell>
          <cell r="B473">
            <v>40151</v>
          </cell>
          <cell r="C473" t="str">
            <v>Past</v>
          </cell>
          <cell r="D473">
            <v>54.7</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54.7</v>
          </cell>
          <cell r="Q473">
            <v>2.4204239999999997</v>
          </cell>
          <cell r="R473" t="e">
            <v>#N/A</v>
          </cell>
        </row>
        <row r="474">
          <cell r="A474">
            <v>40154</v>
          </cell>
          <cell r="B474">
            <v>40154</v>
          </cell>
          <cell r="C474" t="str">
            <v>Past</v>
          </cell>
          <cell r="D474">
            <v>55.87</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55.87</v>
          </cell>
          <cell r="Q474">
            <v>0.77695099999999995</v>
          </cell>
          <cell r="R474" t="e">
            <v>#N/A</v>
          </cell>
        </row>
        <row r="475">
          <cell r="A475">
            <v>40155</v>
          </cell>
          <cell r="B475">
            <v>40155</v>
          </cell>
          <cell r="C475" t="str">
            <v>Past</v>
          </cell>
          <cell r="D475">
            <v>55.62</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55.62</v>
          </cell>
          <cell r="Q475">
            <v>1.0417809999999998</v>
          </cell>
          <cell r="R475" t="e">
            <v>#N/A</v>
          </cell>
        </row>
        <row r="476">
          <cell r="A476">
            <v>40156</v>
          </cell>
          <cell r="B476">
            <v>40156</v>
          </cell>
          <cell r="C476" t="str">
            <v>Past</v>
          </cell>
          <cell r="D476">
            <v>55.37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55.37</v>
          </cell>
          <cell r="Q476">
            <v>0.86890699999999998</v>
          </cell>
          <cell r="R476" t="e">
            <v>#N/A</v>
          </cell>
        </row>
        <row r="477">
          <cell r="A477">
            <v>40157</v>
          </cell>
          <cell r="B477">
            <v>40157</v>
          </cell>
          <cell r="C477" t="str">
            <v>Past</v>
          </cell>
          <cell r="D477">
            <v>55.44</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55.44</v>
          </cell>
          <cell r="Q477">
            <v>0.50804199999999999</v>
          </cell>
          <cell r="R477" t="e">
            <v>#N/A</v>
          </cell>
        </row>
        <row r="478">
          <cell r="A478">
            <v>40158</v>
          </cell>
          <cell r="B478">
            <v>40158</v>
          </cell>
          <cell r="C478" t="str">
            <v>Past</v>
          </cell>
          <cell r="D478">
            <v>55.79</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55.79</v>
          </cell>
          <cell r="Q478">
            <v>0.54949599999999998</v>
          </cell>
          <cell r="R478" t="e">
            <v>#N/A</v>
          </cell>
        </row>
        <row r="479">
          <cell r="A479">
            <v>40161</v>
          </cell>
          <cell r="B479">
            <v>40161</v>
          </cell>
          <cell r="C479" t="str">
            <v>Past</v>
          </cell>
          <cell r="D479">
            <v>56.3</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56.3</v>
          </cell>
          <cell r="Q479">
            <v>0.85882700000000001</v>
          </cell>
          <cell r="R479" t="e">
            <v>#N/A</v>
          </cell>
        </row>
        <row r="480">
          <cell r="A480">
            <v>40162</v>
          </cell>
          <cell r="B480">
            <v>40162</v>
          </cell>
          <cell r="C480" t="str">
            <v>Past</v>
          </cell>
          <cell r="D480">
            <v>56.63</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56.63</v>
          </cell>
          <cell r="Q480">
            <v>0.64062799999999998</v>
          </cell>
          <cell r="R480" t="e">
            <v>#N/A</v>
          </cell>
        </row>
        <row r="481">
          <cell r="A481">
            <v>40163</v>
          </cell>
          <cell r="B481">
            <v>40163</v>
          </cell>
          <cell r="C481" t="str">
            <v>Past</v>
          </cell>
          <cell r="D481">
            <v>56.26</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56.26</v>
          </cell>
          <cell r="Q481">
            <v>0.85518699999999992</v>
          </cell>
          <cell r="R481" t="e">
            <v>#N/A</v>
          </cell>
        </row>
        <row r="482">
          <cell r="A482">
            <v>40164</v>
          </cell>
          <cell r="B482">
            <v>40164</v>
          </cell>
          <cell r="C482" t="str">
            <v>Past</v>
          </cell>
          <cell r="D482">
            <v>55.9</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55.9</v>
          </cell>
          <cell r="Q482">
            <v>0.53759599999999996</v>
          </cell>
          <cell r="R482" t="e">
            <v>#N/A</v>
          </cell>
        </row>
        <row r="483">
          <cell r="A483">
            <v>40165</v>
          </cell>
          <cell r="B483">
            <v>40165</v>
          </cell>
          <cell r="C483" t="str">
            <v>Past</v>
          </cell>
          <cell r="D483">
            <v>55.99</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55.99</v>
          </cell>
          <cell r="Q483">
            <v>0.79616799999999999</v>
          </cell>
          <cell r="R483" t="e">
            <v>#N/A</v>
          </cell>
        </row>
        <row r="484">
          <cell r="A484">
            <v>40168</v>
          </cell>
          <cell r="B484">
            <v>40168</v>
          </cell>
          <cell r="C484" t="str">
            <v>Past</v>
          </cell>
          <cell r="D484">
            <v>55.77</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55.77</v>
          </cell>
          <cell r="Q484">
            <v>0.78675499999999998</v>
          </cell>
          <cell r="R484" t="e">
            <v>#N/A</v>
          </cell>
        </row>
        <row r="485">
          <cell r="A485">
            <v>40169</v>
          </cell>
          <cell r="B485">
            <v>40169</v>
          </cell>
          <cell r="C485" t="str">
            <v>Past</v>
          </cell>
          <cell r="D485">
            <v>56.15</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56.15</v>
          </cell>
          <cell r="Q485">
            <v>0.83048899999999992</v>
          </cell>
          <cell r="R485" t="e">
            <v>#N/A</v>
          </cell>
        </row>
        <row r="486">
          <cell r="A486">
            <v>40170</v>
          </cell>
          <cell r="B486">
            <v>40170</v>
          </cell>
          <cell r="C486" t="str">
            <v>Past</v>
          </cell>
          <cell r="D486">
            <v>55.57</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55.57</v>
          </cell>
          <cell r="Q486">
            <v>1.2710349999999999</v>
          </cell>
          <cell r="R486" t="e">
            <v>#N/A</v>
          </cell>
        </row>
        <row r="487">
          <cell r="A487">
            <v>40171</v>
          </cell>
          <cell r="B487">
            <v>40171</v>
          </cell>
          <cell r="C487" t="str">
            <v>Past</v>
          </cell>
          <cell r="D487">
            <v>55.73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55.73</v>
          </cell>
          <cell r="Q487">
            <v>0.39665099999999998</v>
          </cell>
          <cell r="R487" t="e">
            <v>#N/A</v>
          </cell>
        </row>
        <row r="488">
          <cell r="A488">
            <v>40175</v>
          </cell>
          <cell r="B488">
            <v>40175</v>
          </cell>
          <cell r="C488" t="str">
            <v>Past</v>
          </cell>
          <cell r="D488">
            <v>55.99</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55.99</v>
          </cell>
          <cell r="Q488">
            <v>0.74642699999999995</v>
          </cell>
          <cell r="R488" t="e">
            <v>#N/A</v>
          </cell>
        </row>
        <row r="489">
          <cell r="A489">
            <v>40176</v>
          </cell>
          <cell r="B489">
            <v>40176</v>
          </cell>
          <cell r="C489" t="str">
            <v>Past</v>
          </cell>
          <cell r="D489">
            <v>56.16</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56.16</v>
          </cell>
          <cell r="Q489">
            <v>0.33045199999999997</v>
          </cell>
          <cell r="R489" t="e">
            <v>#N/A</v>
          </cell>
        </row>
        <row r="490">
          <cell r="A490">
            <v>40177</v>
          </cell>
          <cell r="B490">
            <v>40177</v>
          </cell>
          <cell r="C490" t="str">
            <v>Past</v>
          </cell>
          <cell r="D490">
            <v>56.24</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56.24</v>
          </cell>
          <cell r="Q490">
            <v>0.35655199999999998</v>
          </cell>
          <cell r="R490" t="e">
            <v>#N/A</v>
          </cell>
        </row>
        <row r="491">
          <cell r="A491">
            <v>40178</v>
          </cell>
          <cell r="B491">
            <v>40178</v>
          </cell>
          <cell r="C491" t="str">
            <v>Past</v>
          </cell>
          <cell r="D491">
            <v>55.36</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55.36</v>
          </cell>
          <cell r="Q491">
            <v>0.50804700000000003</v>
          </cell>
          <cell r="R491" t="e">
            <v>#N/A</v>
          </cell>
        </row>
        <row r="492">
          <cell r="A492">
            <v>40182</v>
          </cell>
          <cell r="B492">
            <v>40182</v>
          </cell>
          <cell r="C492" t="str">
            <v>Past</v>
          </cell>
          <cell r="D492">
            <v>56.35</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56.35</v>
          </cell>
          <cell r="Q492">
            <v>0.82801099999999994</v>
          </cell>
          <cell r="R492" t="e">
            <v>#N/A</v>
          </cell>
        </row>
        <row r="493">
          <cell r="A493">
            <v>40183</v>
          </cell>
          <cell r="B493">
            <v>40183</v>
          </cell>
          <cell r="C493" t="str">
            <v>Past</v>
          </cell>
          <cell r="D493">
            <v>56.36</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56.36</v>
          </cell>
          <cell r="Q493">
            <v>0.51512000000000002</v>
          </cell>
          <cell r="R493" t="e">
            <v>#N/A</v>
          </cell>
        </row>
        <row r="494">
          <cell r="A494">
            <v>40184</v>
          </cell>
          <cell r="B494">
            <v>40184</v>
          </cell>
          <cell r="C494" t="str">
            <v>Past</v>
          </cell>
          <cell r="D494">
            <v>56.42</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56.42</v>
          </cell>
          <cell r="Q494">
            <v>0.89539599999999997</v>
          </cell>
          <cell r="R494" t="e">
            <v>#N/A</v>
          </cell>
        </row>
        <row r="495">
          <cell r="A495">
            <v>40185</v>
          </cell>
          <cell r="B495">
            <v>40185</v>
          </cell>
          <cell r="C495" t="str">
            <v>Past</v>
          </cell>
          <cell r="D495">
            <v>56.83</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56.83</v>
          </cell>
          <cell r="Q495">
            <v>0.60548899999999994</v>
          </cell>
          <cell r="R495" t="e">
            <v>#N/A</v>
          </cell>
        </row>
        <row r="496">
          <cell r="A496">
            <v>40186</v>
          </cell>
          <cell r="B496">
            <v>40186</v>
          </cell>
          <cell r="C496" t="str">
            <v>Past</v>
          </cell>
          <cell r="D496">
            <v>57.39</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57.39</v>
          </cell>
          <cell r="Q496">
            <v>0.59313899999999997</v>
          </cell>
          <cell r="R496" t="e">
            <v>#N/A</v>
          </cell>
        </row>
        <row r="497">
          <cell r="A497">
            <v>40189</v>
          </cell>
          <cell r="B497">
            <v>40189</v>
          </cell>
          <cell r="C497" t="str">
            <v>Past</v>
          </cell>
          <cell r="D497">
            <v>57</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57</v>
          </cell>
          <cell r="Q497">
            <v>0.57861399999999996</v>
          </cell>
          <cell r="R497" t="e">
            <v>#N/A</v>
          </cell>
        </row>
        <row r="498">
          <cell r="A498">
            <v>40190</v>
          </cell>
          <cell r="B498">
            <v>40190</v>
          </cell>
          <cell r="C498" t="str">
            <v>Past</v>
          </cell>
          <cell r="D498">
            <v>56.56</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56.56</v>
          </cell>
          <cell r="Q498">
            <v>0.58831699999999998</v>
          </cell>
          <cell r="R498" t="e">
            <v>#N/A</v>
          </cell>
        </row>
        <row r="499">
          <cell r="A499">
            <v>40191</v>
          </cell>
          <cell r="B499">
            <v>40191</v>
          </cell>
          <cell r="C499" t="str">
            <v>Past</v>
          </cell>
          <cell r="D499">
            <v>56.8</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56.8</v>
          </cell>
          <cell r="Q499">
            <v>0.42825799999999997</v>
          </cell>
          <cell r="R499" t="e">
            <v>#N/A</v>
          </cell>
        </row>
        <row r="500">
          <cell r="A500">
            <v>40192</v>
          </cell>
          <cell r="B500">
            <v>40192</v>
          </cell>
          <cell r="C500" t="str">
            <v>Past</v>
          </cell>
          <cell r="D500">
            <v>57.07</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57.07</v>
          </cell>
          <cell r="Q500">
            <v>0.41117599999999999</v>
          </cell>
          <cell r="R500" t="e">
            <v>#N/A</v>
          </cell>
        </row>
        <row r="501">
          <cell r="A501">
            <v>40193</v>
          </cell>
          <cell r="B501">
            <v>40193</v>
          </cell>
          <cell r="C501" t="str">
            <v>Past</v>
          </cell>
          <cell r="D501">
            <v>56.7</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56.7</v>
          </cell>
          <cell r="Q501">
            <v>0.635907</v>
          </cell>
          <cell r="R501" t="e">
            <v>#N/A</v>
          </cell>
        </row>
        <row r="502">
          <cell r="A502">
            <v>40197</v>
          </cell>
          <cell r="B502">
            <v>40197</v>
          </cell>
          <cell r="C502" t="str">
            <v>Past</v>
          </cell>
          <cell r="D502">
            <v>56.78</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56.78</v>
          </cell>
          <cell r="Q502">
            <v>0.761459</v>
          </cell>
          <cell r="R502" t="e">
            <v>#N/A</v>
          </cell>
        </row>
        <row r="503">
          <cell r="A503">
            <v>40198</v>
          </cell>
          <cell r="B503">
            <v>40198</v>
          </cell>
          <cell r="C503" t="str">
            <v>Past</v>
          </cell>
          <cell r="D503">
            <v>56.04</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56.04</v>
          </cell>
          <cell r="Q503">
            <v>0.81456499999999998</v>
          </cell>
          <cell r="R503" t="e">
            <v>#N/A</v>
          </cell>
        </row>
        <row r="504">
          <cell r="A504">
            <v>40199</v>
          </cell>
          <cell r="B504">
            <v>40199</v>
          </cell>
          <cell r="C504" t="str">
            <v>Past</v>
          </cell>
          <cell r="D504">
            <v>54.47</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54.47</v>
          </cell>
          <cell r="Q504">
            <v>1.532249</v>
          </cell>
          <cell r="R504" t="e">
            <v>#N/A</v>
          </cell>
        </row>
        <row r="505">
          <cell r="A505">
            <v>40200</v>
          </cell>
          <cell r="B505">
            <v>40200</v>
          </cell>
          <cell r="C505" t="str">
            <v>Past</v>
          </cell>
          <cell r="D505">
            <v>53.68</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53.68</v>
          </cell>
          <cell r="Q505">
            <v>0.77065000000000006</v>
          </cell>
          <cell r="R505" t="e">
            <v>#N/A</v>
          </cell>
        </row>
        <row r="506">
          <cell r="A506">
            <v>40203</v>
          </cell>
          <cell r="B506">
            <v>40203</v>
          </cell>
          <cell r="C506" t="str">
            <v>Past</v>
          </cell>
          <cell r="D506">
            <v>53.51</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53.51</v>
          </cell>
          <cell r="Q506">
            <v>0.67970199999999992</v>
          </cell>
          <cell r="R506" t="e">
            <v>#N/A</v>
          </cell>
        </row>
        <row r="507">
          <cell r="A507">
            <v>40204</v>
          </cell>
          <cell r="B507">
            <v>40204</v>
          </cell>
          <cell r="C507" t="str">
            <v>Past</v>
          </cell>
          <cell r="D507">
            <v>53.16</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53.16</v>
          </cell>
          <cell r="Q507">
            <v>0.76214799999999994</v>
          </cell>
          <cell r="R507" t="e">
            <v>#N/A</v>
          </cell>
        </row>
        <row r="508">
          <cell r="A508">
            <v>40205</v>
          </cell>
          <cell r="B508">
            <v>40205</v>
          </cell>
          <cell r="C508" t="str">
            <v>Past</v>
          </cell>
          <cell r="D508">
            <v>53.64</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53.64</v>
          </cell>
          <cell r="Q508">
            <v>1.0098240000000001</v>
          </cell>
          <cell r="R508" t="e">
            <v>#N/A</v>
          </cell>
        </row>
        <row r="509">
          <cell r="A509">
            <v>40206</v>
          </cell>
          <cell r="B509">
            <v>40206</v>
          </cell>
          <cell r="C509" t="str">
            <v>Past</v>
          </cell>
          <cell r="D509">
            <v>53.3</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53.3</v>
          </cell>
          <cell r="Q509">
            <v>0.96841599999999994</v>
          </cell>
          <cell r="R509" t="e">
            <v>#N/A</v>
          </cell>
        </row>
        <row r="510">
          <cell r="A510">
            <v>40207</v>
          </cell>
          <cell r="B510">
            <v>40207</v>
          </cell>
          <cell r="C510" t="str">
            <v>Past</v>
          </cell>
          <cell r="D510">
            <v>53.19</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53.19</v>
          </cell>
          <cell r="Q510">
            <v>1.1838949999999999</v>
          </cell>
          <cell r="R510" t="e">
            <v>#N/A</v>
          </cell>
        </row>
        <row r="511">
          <cell r="A511">
            <v>40210</v>
          </cell>
          <cell r="B511">
            <v>40210</v>
          </cell>
          <cell r="C511" t="str">
            <v>Past</v>
          </cell>
          <cell r="D511">
            <v>54.04</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54.04</v>
          </cell>
          <cell r="Q511">
            <v>0.86742399999999997</v>
          </cell>
          <cell r="R511" t="e">
            <v>#N/A</v>
          </cell>
        </row>
        <row r="512">
          <cell r="A512">
            <v>40211</v>
          </cell>
          <cell r="B512">
            <v>40211</v>
          </cell>
          <cell r="C512" t="str">
            <v>Past</v>
          </cell>
          <cell r="D512">
            <v>54.88</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54.88</v>
          </cell>
          <cell r="Q512">
            <v>0.9135359999999999</v>
          </cell>
          <cell r="R512" t="e">
            <v>#N/A</v>
          </cell>
        </row>
        <row r="513">
          <cell r="A513">
            <v>40212</v>
          </cell>
          <cell r="B513">
            <v>40212</v>
          </cell>
          <cell r="C513" t="str">
            <v>Past</v>
          </cell>
          <cell r="D513">
            <v>54.75</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54.75</v>
          </cell>
          <cell r="Q513">
            <v>0.78450599999999993</v>
          </cell>
          <cell r="R513" t="e">
            <v>#N/A</v>
          </cell>
        </row>
        <row r="514">
          <cell r="A514">
            <v>40213</v>
          </cell>
          <cell r="B514">
            <v>40213</v>
          </cell>
          <cell r="C514" t="str">
            <v>Past</v>
          </cell>
          <cell r="D514">
            <v>53.11</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53.11</v>
          </cell>
          <cell r="Q514">
            <v>0.89056499999999994</v>
          </cell>
          <cell r="R514" t="e">
            <v>#N/A</v>
          </cell>
        </row>
        <row r="515">
          <cell r="A515">
            <v>40214</v>
          </cell>
          <cell r="B515">
            <v>40214</v>
          </cell>
          <cell r="C515" t="str">
            <v>Past</v>
          </cell>
          <cell r="D515">
            <v>52.91</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52.91</v>
          </cell>
          <cell r="Q515">
            <v>1.242391</v>
          </cell>
          <cell r="R515" t="e">
            <v>#N/A</v>
          </cell>
        </row>
        <row r="516">
          <cell r="A516">
            <v>40217</v>
          </cell>
          <cell r="B516">
            <v>40217</v>
          </cell>
          <cell r="C516" t="str">
            <v>Past</v>
          </cell>
          <cell r="D516">
            <v>52.23</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52.23</v>
          </cell>
          <cell r="Q516">
            <v>0.59411099999999994</v>
          </cell>
          <cell r="R516" t="e">
            <v>#N/A</v>
          </cell>
        </row>
        <row r="517">
          <cell r="A517">
            <v>40218</v>
          </cell>
          <cell r="B517">
            <v>40218</v>
          </cell>
          <cell r="C517" t="str">
            <v>Past</v>
          </cell>
          <cell r="D517">
            <v>53.3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53.3</v>
          </cell>
          <cell r="Q517">
            <v>0.99115299999999995</v>
          </cell>
          <cell r="R517" t="e">
            <v>#N/A</v>
          </cell>
        </row>
        <row r="518">
          <cell r="A518">
            <v>40219</v>
          </cell>
          <cell r="B518">
            <v>40219</v>
          </cell>
          <cell r="C518" t="str">
            <v>Past</v>
          </cell>
          <cell r="D518">
            <v>52.9</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52.9</v>
          </cell>
          <cell r="Q518">
            <v>0.65382200000000001</v>
          </cell>
          <cell r="R518" t="e">
            <v>#N/A</v>
          </cell>
        </row>
        <row r="519">
          <cell r="A519">
            <v>40220</v>
          </cell>
          <cell r="B519">
            <v>40220</v>
          </cell>
          <cell r="C519" t="str">
            <v>Past</v>
          </cell>
          <cell r="D519">
            <v>53.55</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53.55</v>
          </cell>
          <cell r="Q519">
            <v>0.59959200000000001</v>
          </cell>
          <cell r="R519" t="e">
            <v>#N/A</v>
          </cell>
        </row>
        <row r="520">
          <cell r="A520">
            <v>40221</v>
          </cell>
          <cell r="B520">
            <v>40221</v>
          </cell>
          <cell r="C520" t="str">
            <v>Past</v>
          </cell>
          <cell r="D520">
            <v>53.06</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53.06</v>
          </cell>
          <cell r="Q520">
            <v>0.62485099999999993</v>
          </cell>
          <cell r="R520" t="e">
            <v>#N/A</v>
          </cell>
        </row>
        <row r="521">
          <cell r="A521">
            <v>40225</v>
          </cell>
          <cell r="B521">
            <v>40225</v>
          </cell>
          <cell r="C521" t="str">
            <v>Past</v>
          </cell>
          <cell r="D521">
            <v>54.13</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54.13</v>
          </cell>
          <cell r="Q521">
            <v>0.51459299999999997</v>
          </cell>
          <cell r="R521" t="e">
            <v>#N/A</v>
          </cell>
        </row>
        <row r="522">
          <cell r="A522">
            <v>40226</v>
          </cell>
          <cell r="B522">
            <v>40226</v>
          </cell>
          <cell r="C522" t="str">
            <v>Past</v>
          </cell>
          <cell r="D522">
            <v>54.29</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54.29</v>
          </cell>
          <cell r="Q522">
            <v>0.85985699999999998</v>
          </cell>
          <cell r="R522" t="e">
            <v>#N/A</v>
          </cell>
        </row>
        <row r="523">
          <cell r="A523">
            <v>40227</v>
          </cell>
          <cell r="B523">
            <v>40227</v>
          </cell>
          <cell r="C523" t="str">
            <v>Past</v>
          </cell>
          <cell r="D523">
            <v>55.24</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55.24</v>
          </cell>
          <cell r="Q523">
            <v>0.45469599999999999</v>
          </cell>
          <cell r="R523" t="e">
            <v>#N/A</v>
          </cell>
        </row>
        <row r="524">
          <cell r="A524">
            <v>40228</v>
          </cell>
          <cell r="B524">
            <v>40228</v>
          </cell>
          <cell r="C524" t="str">
            <v>Past</v>
          </cell>
          <cell r="D524">
            <v>55.47</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55.47</v>
          </cell>
          <cell r="Q524">
            <v>0.80460900000000002</v>
          </cell>
          <cell r="R524" t="e">
            <v>#N/A</v>
          </cell>
        </row>
        <row r="525">
          <cell r="A525">
            <v>40231</v>
          </cell>
          <cell r="B525">
            <v>40231</v>
          </cell>
          <cell r="C525" t="str">
            <v>Past</v>
          </cell>
          <cell r="D525">
            <v>55.01</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55.01</v>
          </cell>
          <cell r="Q525">
            <v>0.61067199999999999</v>
          </cell>
          <cell r="R525" t="e">
            <v>#N/A</v>
          </cell>
        </row>
        <row r="526">
          <cell r="A526">
            <v>40232</v>
          </cell>
          <cell r="B526">
            <v>40232</v>
          </cell>
          <cell r="C526" t="str">
            <v>Past</v>
          </cell>
          <cell r="D526">
            <v>54.31</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54.31</v>
          </cell>
          <cell r="Q526">
            <v>0.76574299999999995</v>
          </cell>
          <cell r="R526" t="e">
            <v>#N/A</v>
          </cell>
        </row>
        <row r="527">
          <cell r="A527">
            <v>40233</v>
          </cell>
          <cell r="B527">
            <v>40233</v>
          </cell>
          <cell r="C527" t="str">
            <v>Past</v>
          </cell>
          <cell r="D527">
            <v>54.93</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54.93</v>
          </cell>
          <cell r="Q527">
            <v>0.669493</v>
          </cell>
          <cell r="R527" t="e">
            <v>#N/A</v>
          </cell>
        </row>
        <row r="528">
          <cell r="A528">
            <v>40234</v>
          </cell>
          <cell r="B528">
            <v>40234</v>
          </cell>
          <cell r="C528" t="str">
            <v>Past</v>
          </cell>
          <cell r="D528">
            <v>54.86</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54.86</v>
          </cell>
          <cell r="Q528">
            <v>1.2883519999999999</v>
          </cell>
          <cell r="R528" t="e">
            <v>#N/A</v>
          </cell>
        </row>
        <row r="529">
          <cell r="A529">
            <v>40235</v>
          </cell>
          <cell r="B529">
            <v>40235</v>
          </cell>
          <cell r="C529" t="str">
            <v>Past</v>
          </cell>
          <cell r="D529">
            <v>56.28</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56.28</v>
          </cell>
          <cell r="Q529">
            <v>1.642218</v>
          </cell>
          <cell r="R529" t="e">
            <v>#N/A</v>
          </cell>
        </row>
        <row r="530">
          <cell r="A530">
            <v>40238</v>
          </cell>
          <cell r="B530">
            <v>40238</v>
          </cell>
          <cell r="C530" t="str">
            <v>Past</v>
          </cell>
          <cell r="D530">
            <v>58.39</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58.39</v>
          </cell>
          <cell r="Q530">
            <v>1.6441269999999999</v>
          </cell>
          <cell r="R530" t="e">
            <v>#N/A</v>
          </cell>
        </row>
        <row r="531">
          <cell r="A531">
            <v>40239</v>
          </cell>
          <cell r="B531">
            <v>40239</v>
          </cell>
          <cell r="C531" t="str">
            <v>Past</v>
          </cell>
          <cell r="D531">
            <v>58.75</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58.75</v>
          </cell>
          <cell r="Q531">
            <v>1.914488</v>
          </cell>
          <cell r="R531" t="e">
            <v>#N/A</v>
          </cell>
        </row>
        <row r="532">
          <cell r="A532">
            <v>40240</v>
          </cell>
          <cell r="B532">
            <v>40240</v>
          </cell>
          <cell r="C532" t="str">
            <v>Past</v>
          </cell>
          <cell r="D532">
            <v>58.98</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58.98</v>
          </cell>
          <cell r="Q532">
            <v>1.1650700000000001</v>
          </cell>
          <cell r="R532" t="e">
            <v>#N/A</v>
          </cell>
        </row>
        <row r="533">
          <cell r="A533">
            <v>40241</v>
          </cell>
          <cell r="B533">
            <v>40241</v>
          </cell>
          <cell r="C533" t="str">
            <v>Past</v>
          </cell>
          <cell r="D533">
            <v>59.73</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59.73</v>
          </cell>
          <cell r="Q533">
            <v>1.3729709999999999</v>
          </cell>
          <cell r="R533" t="e">
            <v>#N/A</v>
          </cell>
        </row>
        <row r="534">
          <cell r="A534">
            <v>40242</v>
          </cell>
          <cell r="B534">
            <v>40242</v>
          </cell>
          <cell r="C534" t="str">
            <v>Past</v>
          </cell>
          <cell r="D534">
            <v>60.04</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60.04</v>
          </cell>
          <cell r="Q534">
            <v>1.855043</v>
          </cell>
          <cell r="R534" t="e">
            <v>#N/A</v>
          </cell>
        </row>
        <row r="535">
          <cell r="A535">
            <v>40245</v>
          </cell>
          <cell r="B535">
            <v>40245</v>
          </cell>
          <cell r="C535" t="str">
            <v>Past</v>
          </cell>
          <cell r="D535">
            <v>59.49</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59.49</v>
          </cell>
          <cell r="Q535">
            <v>0.89217599999999997</v>
          </cell>
          <cell r="R535" t="e">
            <v>#N/A</v>
          </cell>
        </row>
        <row r="536">
          <cell r="A536">
            <v>40246</v>
          </cell>
          <cell r="B536">
            <v>40246</v>
          </cell>
          <cell r="C536" t="str">
            <v>Past</v>
          </cell>
          <cell r="D536">
            <v>60.6</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60.6</v>
          </cell>
          <cell r="Q536">
            <v>1.6383449999999999</v>
          </cell>
          <cell r="R536" t="e">
            <v>#N/A</v>
          </cell>
        </row>
        <row r="537">
          <cell r="A537">
            <v>40247</v>
          </cell>
          <cell r="B537">
            <v>40247</v>
          </cell>
          <cell r="C537" t="str">
            <v>Past</v>
          </cell>
          <cell r="D537">
            <v>60.9</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60.9</v>
          </cell>
          <cell r="Q537">
            <v>0.94089899999999993</v>
          </cell>
          <cell r="R537" t="e">
            <v>#N/A</v>
          </cell>
        </row>
        <row r="538">
          <cell r="A538">
            <v>40248</v>
          </cell>
          <cell r="B538">
            <v>40248</v>
          </cell>
          <cell r="C538" t="str">
            <v>Past</v>
          </cell>
          <cell r="D538">
            <v>61.21</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61.21</v>
          </cell>
          <cell r="Q538">
            <v>0.87798899999999991</v>
          </cell>
          <cell r="R538" t="e">
            <v>#N/A</v>
          </cell>
        </row>
        <row r="539">
          <cell r="A539">
            <v>40249</v>
          </cell>
          <cell r="B539">
            <v>40249</v>
          </cell>
          <cell r="C539" t="str">
            <v>Past</v>
          </cell>
          <cell r="D539">
            <v>60.93</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60.93</v>
          </cell>
          <cell r="Q539">
            <v>0.47650599999999999</v>
          </cell>
          <cell r="R539" t="e">
            <v>#N/A</v>
          </cell>
        </row>
        <row r="540">
          <cell r="A540">
            <v>40252</v>
          </cell>
          <cell r="B540">
            <v>40252</v>
          </cell>
          <cell r="C540" t="str">
            <v>Past</v>
          </cell>
          <cell r="D540">
            <v>60.3</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60.3</v>
          </cell>
          <cell r="Q540">
            <v>0.64055899999999999</v>
          </cell>
          <cell r="R540" t="e">
            <v>#N/A</v>
          </cell>
        </row>
        <row r="541">
          <cell r="A541">
            <v>40253</v>
          </cell>
          <cell r="B541">
            <v>40253</v>
          </cell>
          <cell r="C541" t="str">
            <v>Past</v>
          </cell>
          <cell r="D541">
            <v>60.52</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60.52</v>
          </cell>
          <cell r="Q541">
            <v>0.92755399999999999</v>
          </cell>
          <cell r="R541" t="e">
            <v>#N/A</v>
          </cell>
        </row>
        <row r="542">
          <cell r="A542">
            <v>40254</v>
          </cell>
          <cell r="B542">
            <v>40254</v>
          </cell>
          <cell r="C542" t="str">
            <v>Past</v>
          </cell>
          <cell r="D542">
            <v>60.69</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60.69</v>
          </cell>
          <cell r="Q542">
            <v>0.820052</v>
          </cell>
          <cell r="R542" t="e">
            <v>#N/A</v>
          </cell>
        </row>
        <row r="543">
          <cell r="A543">
            <v>40255</v>
          </cell>
          <cell r="B543">
            <v>40255</v>
          </cell>
          <cell r="C543" t="str">
            <v>Past</v>
          </cell>
          <cell r="D543">
            <v>61.16</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61.16</v>
          </cell>
          <cell r="Q543">
            <v>0.89903599999999995</v>
          </cell>
          <cell r="R543" t="e">
            <v>#N/A</v>
          </cell>
        </row>
        <row r="544">
          <cell r="A544">
            <v>40256</v>
          </cell>
          <cell r="B544">
            <v>40256</v>
          </cell>
          <cell r="C544" t="str">
            <v>Past</v>
          </cell>
          <cell r="D544">
            <v>62.97</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62.97</v>
          </cell>
          <cell r="Q544">
            <v>3.6285810000000001</v>
          </cell>
          <cell r="R544" t="e">
            <v>#N/A</v>
          </cell>
        </row>
        <row r="545">
          <cell r="A545">
            <v>40259</v>
          </cell>
          <cell r="B545">
            <v>40259</v>
          </cell>
          <cell r="C545" t="str">
            <v>Past</v>
          </cell>
          <cell r="D545">
            <v>62.59</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62.59</v>
          </cell>
          <cell r="Q545">
            <v>0.79755199999999993</v>
          </cell>
          <cell r="R545" t="e">
            <v>#N/A</v>
          </cell>
        </row>
        <row r="546">
          <cell r="A546">
            <v>40260</v>
          </cell>
          <cell r="B546">
            <v>40260</v>
          </cell>
          <cell r="C546" t="str">
            <v>Past</v>
          </cell>
          <cell r="D546">
            <v>62.85</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62.85</v>
          </cell>
          <cell r="Q546">
            <v>0.81594099999999992</v>
          </cell>
          <cell r="R546" t="e">
            <v>#N/A</v>
          </cell>
        </row>
        <row r="547">
          <cell r="A547">
            <v>40261</v>
          </cell>
          <cell r="B547">
            <v>40261</v>
          </cell>
          <cell r="C547" t="str">
            <v>Past</v>
          </cell>
          <cell r="D547">
            <v>62.54</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62.54</v>
          </cell>
          <cell r="Q547">
            <v>0.63059100000000001</v>
          </cell>
          <cell r="R547" t="e">
            <v>#N/A</v>
          </cell>
        </row>
        <row r="548">
          <cell r="A548">
            <v>40262</v>
          </cell>
          <cell r="B548">
            <v>40262</v>
          </cell>
          <cell r="C548" t="str">
            <v>Past</v>
          </cell>
          <cell r="D548">
            <v>62.67</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62.67</v>
          </cell>
          <cell r="Q548">
            <v>0.72600900000000002</v>
          </cell>
          <cell r="R548" t="e">
            <v>#N/A</v>
          </cell>
        </row>
        <row r="549">
          <cell r="A549">
            <v>40263</v>
          </cell>
          <cell r="B549">
            <v>40263</v>
          </cell>
          <cell r="C549" t="str">
            <v>Past</v>
          </cell>
          <cell r="D549">
            <v>62.98</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62.98</v>
          </cell>
          <cell r="Q549">
            <v>0.87897799999999993</v>
          </cell>
          <cell r="R549" t="e">
            <v>#N/A</v>
          </cell>
        </row>
        <row r="550">
          <cell r="A550">
            <v>40266</v>
          </cell>
          <cell r="B550">
            <v>40266</v>
          </cell>
          <cell r="C550" t="str">
            <v>Past</v>
          </cell>
          <cell r="D550">
            <v>63.4</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63.4</v>
          </cell>
          <cell r="Q550">
            <v>1.082724</v>
          </cell>
          <cell r="R550" t="e">
            <v>#N/A</v>
          </cell>
        </row>
        <row r="551">
          <cell r="A551">
            <v>40267</v>
          </cell>
          <cell r="B551">
            <v>40267</v>
          </cell>
          <cell r="C551" t="str">
            <v>Past</v>
          </cell>
          <cell r="D551">
            <v>63.13</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63.13</v>
          </cell>
          <cell r="Q551">
            <v>0.73755799999999994</v>
          </cell>
          <cell r="R551" t="e">
            <v>#N/A</v>
          </cell>
        </row>
        <row r="552">
          <cell r="A552">
            <v>40268</v>
          </cell>
          <cell r="B552">
            <v>40268</v>
          </cell>
          <cell r="C552" t="str">
            <v>Past</v>
          </cell>
          <cell r="D552">
            <v>62.59</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62.59</v>
          </cell>
          <cell r="Q552">
            <v>0.99620399999999998</v>
          </cell>
          <cell r="R552" t="e">
            <v>#N/A</v>
          </cell>
        </row>
        <row r="553">
          <cell r="A553">
            <v>40269</v>
          </cell>
          <cell r="B553">
            <v>40269</v>
          </cell>
          <cell r="C553" t="str">
            <v>Past</v>
          </cell>
          <cell r="D553">
            <v>62.87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62.87</v>
          </cell>
          <cell r="Q553">
            <v>0.82861499999999999</v>
          </cell>
          <cell r="R553" t="e">
            <v>#N/A</v>
          </cell>
        </row>
        <row r="554">
          <cell r="A554">
            <v>40273</v>
          </cell>
          <cell r="B554">
            <v>40273</v>
          </cell>
          <cell r="C554" t="str">
            <v>Past</v>
          </cell>
          <cell r="D554">
            <v>62.76</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62.76</v>
          </cell>
          <cell r="Q554">
            <v>0.523926</v>
          </cell>
          <cell r="R554" t="e">
            <v>#N/A</v>
          </cell>
        </row>
        <row r="555">
          <cell r="A555">
            <v>40274</v>
          </cell>
          <cell r="B555">
            <v>40274</v>
          </cell>
          <cell r="C555" t="str">
            <v>Past</v>
          </cell>
          <cell r="D555">
            <v>63.04</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63.04</v>
          </cell>
          <cell r="Q555">
            <v>0.98579299999999992</v>
          </cell>
          <cell r="R555" t="e">
            <v>#N/A</v>
          </cell>
        </row>
        <row r="556">
          <cell r="A556">
            <v>40275</v>
          </cell>
          <cell r="B556">
            <v>40275</v>
          </cell>
          <cell r="C556" t="str">
            <v>Past</v>
          </cell>
          <cell r="D556">
            <v>62.48</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62.48</v>
          </cell>
          <cell r="Q556">
            <v>0.92876399999999992</v>
          </cell>
          <cell r="R556" t="e">
            <v>#N/A</v>
          </cell>
        </row>
        <row r="557">
          <cell r="A557">
            <v>40276</v>
          </cell>
          <cell r="B557">
            <v>40276</v>
          </cell>
          <cell r="C557" t="str">
            <v>Past</v>
          </cell>
          <cell r="D557">
            <v>62.99</v>
          </cell>
          <cell r="E557" t="e">
            <v>#N/A</v>
          </cell>
          <cell r="F557" t="e">
            <v>#N/A</v>
          </cell>
          <cell r="G557" t="e">
            <v>#N/A</v>
          </cell>
          <cell r="H557" t="e">
            <v>#N/A</v>
          </cell>
          <cell r="I557" t="e">
            <v>#N/A</v>
          </cell>
          <cell r="J557" t="e">
            <v>#N/A</v>
          </cell>
          <cell r="K557" t="e">
            <v>#N/A</v>
          </cell>
          <cell r="L557" t="e">
            <v>#N/A</v>
          </cell>
          <cell r="M557" t="e">
            <v>#N/A</v>
          </cell>
          <cell r="N557" t="e">
            <v>#N/A</v>
          </cell>
          <cell r="O557">
            <v>0</v>
          </cell>
          <cell r="P557">
            <v>62.99</v>
          </cell>
          <cell r="Q557">
            <v>0.56561899999999998</v>
          </cell>
          <cell r="R557" t="e">
            <v>#N/A</v>
          </cell>
        </row>
        <row r="558">
          <cell r="A558">
            <v>40277</v>
          </cell>
          <cell r="B558">
            <v>40277</v>
          </cell>
          <cell r="C558" t="str">
            <v>Current</v>
          </cell>
          <cell r="D558">
            <v>63.51</v>
          </cell>
          <cell r="E558">
            <v>63.51</v>
          </cell>
          <cell r="F558">
            <v>63.51</v>
          </cell>
          <cell r="G558">
            <v>63.51</v>
          </cell>
          <cell r="H558">
            <v>63.51</v>
          </cell>
          <cell r="I558">
            <v>63.51</v>
          </cell>
          <cell r="J558" t="e">
            <v>#N/A</v>
          </cell>
          <cell r="K558" t="e">
            <v>#N/A</v>
          </cell>
          <cell r="L558" t="e">
            <v>#N/A</v>
          </cell>
          <cell r="M558" t="e">
            <v>#N/A</v>
          </cell>
          <cell r="N558" t="e">
            <v>#N/A</v>
          </cell>
          <cell r="O558">
            <v>26.288689999999999</v>
          </cell>
          <cell r="P558">
            <v>63.51</v>
          </cell>
          <cell r="Q558">
            <v>0.52714799999999995</v>
          </cell>
          <cell r="R558" t="e">
            <v>#N/A</v>
          </cell>
        </row>
        <row r="559">
          <cell r="A559">
            <v>40280</v>
          </cell>
          <cell r="B559">
            <v>40280</v>
          </cell>
          <cell r="C559" t="str">
            <v>Future</v>
          </cell>
          <cell r="D559" t="e">
            <v>#N/A</v>
          </cell>
          <cell r="E559">
            <v>63.25996062992126</v>
          </cell>
          <cell r="F559">
            <v>63.614291338582674</v>
          </cell>
          <cell r="G559">
            <v>63.456811023622045</v>
          </cell>
          <cell r="H559">
            <v>63.456811023622045</v>
          </cell>
          <cell r="I559" t="e">
            <v>#N/A</v>
          </cell>
          <cell r="J559" t="e">
            <v>#N/A</v>
          </cell>
          <cell r="K559" t="e">
            <v>#N/A</v>
          </cell>
          <cell r="L559" t="e">
            <v>#N/A</v>
          </cell>
          <cell r="M559" t="e">
            <v>#N/A</v>
          </cell>
          <cell r="N559" t="e">
            <v>#N/A</v>
          </cell>
          <cell r="O559" t="e">
            <v>#N/A</v>
          </cell>
          <cell r="P559">
            <v>63.51</v>
          </cell>
          <cell r="Q559">
            <v>0.52714799999999995</v>
          </cell>
          <cell r="R559" t="e">
            <v>#N/A</v>
          </cell>
        </row>
        <row r="560">
          <cell r="A560">
            <v>40281</v>
          </cell>
          <cell r="B560">
            <v>40281</v>
          </cell>
          <cell r="C560" t="str">
            <v>Future</v>
          </cell>
          <cell r="D560" t="e">
            <v>#N/A</v>
          </cell>
          <cell r="E560">
            <v>63.009921259842521</v>
          </cell>
          <cell r="F560">
            <v>63.718582677165351</v>
          </cell>
          <cell r="G560">
            <v>63.403622047244092</v>
          </cell>
          <cell r="H560">
            <v>63.403622047244092</v>
          </cell>
          <cell r="I560" t="e">
            <v>#N/A</v>
          </cell>
          <cell r="J560" t="e">
            <v>#N/A</v>
          </cell>
          <cell r="K560" t="e">
            <v>#N/A</v>
          </cell>
          <cell r="L560" t="e">
            <v>#N/A</v>
          </cell>
          <cell r="M560" t="e">
            <v>#N/A</v>
          </cell>
          <cell r="N560" t="e">
            <v>#N/A</v>
          </cell>
          <cell r="O560" t="e">
            <v>#N/A</v>
          </cell>
          <cell r="P560">
            <v>63.51</v>
          </cell>
          <cell r="Q560" t="str">
            <v/>
          </cell>
          <cell r="R560" t="e">
            <v>#N/A</v>
          </cell>
        </row>
        <row r="561">
          <cell r="A561">
            <v>40282</v>
          </cell>
          <cell r="B561">
            <v>40282</v>
          </cell>
          <cell r="C561" t="str">
            <v>Future</v>
          </cell>
          <cell r="D561" t="e">
            <v>#N/A</v>
          </cell>
          <cell r="E561">
            <v>62.759881889763783</v>
          </cell>
          <cell r="F561">
            <v>63.822874015748027</v>
          </cell>
          <cell r="G561">
            <v>63.350433070866139</v>
          </cell>
          <cell r="H561">
            <v>63.350433070866139</v>
          </cell>
          <cell r="I561" t="e">
            <v>#N/A</v>
          </cell>
          <cell r="J561" t="e">
            <v>#N/A</v>
          </cell>
          <cell r="K561" t="e">
            <v>#N/A</v>
          </cell>
          <cell r="L561" t="e">
            <v>#N/A</v>
          </cell>
          <cell r="M561" t="e">
            <v>#N/A</v>
          </cell>
          <cell r="N561" t="e">
            <v>#N/A</v>
          </cell>
          <cell r="O561" t="e">
            <v>#N/A</v>
          </cell>
          <cell r="P561">
            <v>63.51</v>
          </cell>
          <cell r="Q561" t="str">
            <v/>
          </cell>
          <cell r="R561" t="e">
            <v>#N/A</v>
          </cell>
        </row>
        <row r="562">
          <cell r="A562">
            <v>40283</v>
          </cell>
          <cell r="B562">
            <v>40283</v>
          </cell>
          <cell r="C562" t="str">
            <v>Future</v>
          </cell>
          <cell r="D562" t="e">
            <v>#N/A</v>
          </cell>
          <cell r="E562">
            <v>62.509842519685044</v>
          </cell>
          <cell r="F562">
            <v>63.927165354330704</v>
          </cell>
          <cell r="G562">
            <v>63.297244094488185</v>
          </cell>
          <cell r="H562">
            <v>63.297244094488185</v>
          </cell>
          <cell r="I562" t="e">
            <v>#N/A</v>
          </cell>
          <cell r="J562" t="e">
            <v>#N/A</v>
          </cell>
          <cell r="K562" t="e">
            <v>#N/A</v>
          </cell>
          <cell r="L562" t="e">
            <v>#N/A</v>
          </cell>
          <cell r="M562" t="e">
            <v>#N/A</v>
          </cell>
          <cell r="N562" t="e">
            <v>#N/A</v>
          </cell>
          <cell r="O562" t="e">
            <v>#N/A</v>
          </cell>
          <cell r="P562">
            <v>63.51</v>
          </cell>
          <cell r="Q562" t="str">
            <v/>
          </cell>
          <cell r="R562" t="e">
            <v>#N/A</v>
          </cell>
        </row>
        <row r="563">
          <cell r="A563">
            <v>40284</v>
          </cell>
          <cell r="B563">
            <v>40284</v>
          </cell>
          <cell r="C563" t="str">
            <v>Future</v>
          </cell>
          <cell r="D563" t="e">
            <v>#N/A</v>
          </cell>
          <cell r="E563">
            <v>62.259803149606306</v>
          </cell>
          <cell r="F563">
            <v>64.03145669291338</v>
          </cell>
          <cell r="G563">
            <v>63.244055118110232</v>
          </cell>
          <cell r="H563">
            <v>63.244055118110232</v>
          </cell>
          <cell r="I563" t="e">
            <v>#N/A</v>
          </cell>
          <cell r="J563" t="e">
            <v>#N/A</v>
          </cell>
          <cell r="K563" t="e">
            <v>#N/A</v>
          </cell>
          <cell r="L563" t="e">
            <v>#N/A</v>
          </cell>
          <cell r="M563" t="e">
            <v>#N/A</v>
          </cell>
          <cell r="N563" t="e">
            <v>#N/A</v>
          </cell>
          <cell r="O563" t="e">
            <v>#N/A</v>
          </cell>
          <cell r="P563">
            <v>63.51</v>
          </cell>
          <cell r="Q563" t="str">
            <v/>
          </cell>
          <cell r="R563" t="e">
            <v>#N/A</v>
          </cell>
        </row>
        <row r="564">
          <cell r="A564">
            <v>40287</v>
          </cell>
          <cell r="B564">
            <v>40287</v>
          </cell>
          <cell r="C564" t="str">
            <v>Future</v>
          </cell>
          <cell r="D564" t="e">
            <v>#N/A</v>
          </cell>
          <cell r="E564">
            <v>62.009763779527567</v>
          </cell>
          <cell r="F564">
            <v>64.135748031496064</v>
          </cell>
          <cell r="G564">
            <v>63.190866141732279</v>
          </cell>
          <cell r="H564">
            <v>63.190866141732279</v>
          </cell>
          <cell r="I564" t="e">
            <v>#N/A</v>
          </cell>
          <cell r="J564" t="e">
            <v>#N/A</v>
          </cell>
          <cell r="K564" t="e">
            <v>#N/A</v>
          </cell>
          <cell r="L564" t="e">
            <v>#N/A</v>
          </cell>
          <cell r="M564" t="e">
            <v>#N/A</v>
          </cell>
          <cell r="N564" t="e">
            <v>#N/A</v>
          </cell>
          <cell r="O564" t="e">
            <v>#N/A</v>
          </cell>
          <cell r="P564">
            <v>63.51</v>
          </cell>
          <cell r="Q564" t="str">
            <v/>
          </cell>
          <cell r="R564" t="e">
            <v>#N/A</v>
          </cell>
        </row>
        <row r="565">
          <cell r="A565">
            <v>40288</v>
          </cell>
          <cell r="B565">
            <v>40288</v>
          </cell>
          <cell r="C565" t="str">
            <v>Future</v>
          </cell>
          <cell r="D565" t="e">
            <v>#N/A</v>
          </cell>
          <cell r="E565">
            <v>61.759724409448829</v>
          </cell>
          <cell r="F565">
            <v>64.240039370078748</v>
          </cell>
          <cell r="G565">
            <v>63.137677165354326</v>
          </cell>
          <cell r="H565">
            <v>63.137677165354326</v>
          </cell>
          <cell r="I565" t="e">
            <v>#N/A</v>
          </cell>
          <cell r="J565" t="e">
            <v>#N/A</v>
          </cell>
          <cell r="K565" t="e">
            <v>#N/A</v>
          </cell>
          <cell r="L565" t="e">
            <v>#N/A</v>
          </cell>
          <cell r="M565" t="e">
            <v>#N/A</v>
          </cell>
          <cell r="N565" t="e">
            <v>#N/A</v>
          </cell>
          <cell r="O565" t="e">
            <v>#N/A</v>
          </cell>
          <cell r="P565">
            <v>63.51</v>
          </cell>
          <cell r="Q565" t="str">
            <v/>
          </cell>
          <cell r="R565" t="e">
            <v>#N/A</v>
          </cell>
        </row>
        <row r="566">
          <cell r="A566">
            <v>40289</v>
          </cell>
          <cell r="B566">
            <v>40289</v>
          </cell>
          <cell r="C566" t="str">
            <v>Future</v>
          </cell>
          <cell r="D566" t="e">
            <v>#N/A</v>
          </cell>
          <cell r="E566">
            <v>61.50968503937009</v>
          </cell>
          <cell r="F566">
            <v>64.344330708661431</v>
          </cell>
          <cell r="G566">
            <v>63.084488188976373</v>
          </cell>
          <cell r="H566">
            <v>63.084488188976373</v>
          </cell>
          <cell r="I566" t="e">
            <v>#N/A</v>
          </cell>
          <cell r="J566" t="e">
            <v>#N/A</v>
          </cell>
          <cell r="K566" t="e">
            <v>#N/A</v>
          </cell>
          <cell r="L566" t="e">
            <v>#N/A</v>
          </cell>
          <cell r="M566" t="e">
            <v>#N/A</v>
          </cell>
          <cell r="N566" t="e">
            <v>#N/A</v>
          </cell>
          <cell r="O566" t="e">
            <v>#N/A</v>
          </cell>
          <cell r="P566">
            <v>63.51</v>
          </cell>
          <cell r="Q566" t="str">
            <v/>
          </cell>
          <cell r="R566" t="e">
            <v>#N/A</v>
          </cell>
        </row>
        <row r="567">
          <cell r="A567">
            <v>40290</v>
          </cell>
          <cell r="B567">
            <v>40290</v>
          </cell>
          <cell r="C567" t="str">
            <v>Future</v>
          </cell>
          <cell r="D567" t="e">
            <v>#N/A</v>
          </cell>
          <cell r="E567">
            <v>61.259645669291352</v>
          </cell>
          <cell r="F567">
            <v>64.448622047244115</v>
          </cell>
          <cell r="G567">
            <v>63.03129921259842</v>
          </cell>
          <cell r="H567">
            <v>63.03129921259842</v>
          </cell>
          <cell r="I567" t="e">
            <v>#N/A</v>
          </cell>
          <cell r="J567" t="e">
            <v>#N/A</v>
          </cell>
          <cell r="K567" t="e">
            <v>#N/A</v>
          </cell>
          <cell r="L567" t="e">
            <v>#N/A</v>
          </cell>
          <cell r="M567" t="e">
            <v>#N/A</v>
          </cell>
          <cell r="N567" t="e">
            <v>#N/A</v>
          </cell>
          <cell r="O567" t="e">
            <v>#N/A</v>
          </cell>
          <cell r="P567">
            <v>63.51</v>
          </cell>
          <cell r="Q567" t="str">
            <v/>
          </cell>
          <cell r="R567" t="e">
            <v>#N/A</v>
          </cell>
        </row>
        <row r="568">
          <cell r="A568">
            <v>40291</v>
          </cell>
          <cell r="B568">
            <v>40291</v>
          </cell>
          <cell r="C568" t="str">
            <v>Future</v>
          </cell>
          <cell r="D568" t="e">
            <v>#N/A</v>
          </cell>
          <cell r="E568">
            <v>61.009606299212614</v>
          </cell>
          <cell r="F568">
            <v>64.552913385826798</v>
          </cell>
          <cell r="G568">
            <v>62.978110236220466</v>
          </cell>
          <cell r="H568">
            <v>62.978110236220466</v>
          </cell>
          <cell r="I568" t="e">
            <v>#N/A</v>
          </cell>
          <cell r="J568" t="e">
            <v>#N/A</v>
          </cell>
          <cell r="K568" t="e">
            <v>#N/A</v>
          </cell>
          <cell r="L568" t="e">
            <v>#N/A</v>
          </cell>
          <cell r="M568" t="e">
            <v>#N/A</v>
          </cell>
          <cell r="N568" t="e">
            <v>#N/A</v>
          </cell>
          <cell r="O568" t="e">
            <v>#N/A</v>
          </cell>
          <cell r="P568">
            <v>63.51</v>
          </cell>
          <cell r="Q568" t="str">
            <v/>
          </cell>
          <cell r="R568" t="e">
            <v>#N/A</v>
          </cell>
        </row>
        <row r="569">
          <cell r="A569">
            <v>40294</v>
          </cell>
          <cell r="B569">
            <v>40294</v>
          </cell>
          <cell r="C569" t="str">
            <v>Future</v>
          </cell>
          <cell r="D569" t="e">
            <v>#N/A</v>
          </cell>
          <cell r="E569">
            <v>60.759566929133875</v>
          </cell>
          <cell r="F569">
            <v>64.657204724409482</v>
          </cell>
          <cell r="G569">
            <v>62.924921259842513</v>
          </cell>
          <cell r="H569">
            <v>62.924921259842513</v>
          </cell>
          <cell r="I569" t="e">
            <v>#N/A</v>
          </cell>
          <cell r="J569" t="e">
            <v>#N/A</v>
          </cell>
          <cell r="K569" t="e">
            <v>#N/A</v>
          </cell>
          <cell r="L569" t="e">
            <v>#N/A</v>
          </cell>
          <cell r="M569" t="e">
            <v>#N/A</v>
          </cell>
          <cell r="N569" t="e">
            <v>#N/A</v>
          </cell>
          <cell r="O569" t="e">
            <v>#N/A</v>
          </cell>
          <cell r="P569">
            <v>63.51</v>
          </cell>
          <cell r="Q569" t="str">
            <v/>
          </cell>
          <cell r="R569" t="e">
            <v>#N/A</v>
          </cell>
        </row>
        <row r="570">
          <cell r="A570">
            <v>40295</v>
          </cell>
          <cell r="B570">
            <v>40295</v>
          </cell>
          <cell r="C570" t="str">
            <v>Future</v>
          </cell>
          <cell r="D570" t="e">
            <v>#N/A</v>
          </cell>
          <cell r="E570">
            <v>60.509527559055137</v>
          </cell>
          <cell r="F570">
            <v>64.761496062992165</v>
          </cell>
          <cell r="G570">
            <v>62.87173228346456</v>
          </cell>
          <cell r="H570">
            <v>62.87173228346456</v>
          </cell>
          <cell r="I570" t="e">
            <v>#N/A</v>
          </cell>
          <cell r="J570" t="e">
            <v>#N/A</v>
          </cell>
          <cell r="K570" t="e">
            <v>#N/A</v>
          </cell>
          <cell r="L570" t="e">
            <v>#N/A</v>
          </cell>
          <cell r="M570" t="e">
            <v>#N/A</v>
          </cell>
          <cell r="N570" t="e">
            <v>#N/A</v>
          </cell>
          <cell r="O570" t="e">
            <v>#N/A</v>
          </cell>
          <cell r="P570">
            <v>63.51</v>
          </cell>
          <cell r="Q570" t="str">
            <v/>
          </cell>
          <cell r="R570" t="e">
            <v>#N/A</v>
          </cell>
        </row>
        <row r="571">
          <cell r="A571">
            <v>40296</v>
          </cell>
          <cell r="B571">
            <v>40296</v>
          </cell>
          <cell r="C571" t="str">
            <v>Future</v>
          </cell>
          <cell r="D571" t="e">
            <v>#N/A</v>
          </cell>
          <cell r="E571">
            <v>60.259488188976398</v>
          </cell>
          <cell r="F571">
            <v>64.865787401574849</v>
          </cell>
          <cell r="G571">
            <v>62.818543307086607</v>
          </cell>
          <cell r="H571">
            <v>62.818543307086607</v>
          </cell>
          <cell r="I571" t="e">
            <v>#N/A</v>
          </cell>
          <cell r="J571" t="e">
            <v>#N/A</v>
          </cell>
          <cell r="K571" t="e">
            <v>#N/A</v>
          </cell>
          <cell r="L571" t="e">
            <v>#N/A</v>
          </cell>
          <cell r="M571" t="e">
            <v>#N/A</v>
          </cell>
          <cell r="N571" t="e">
            <v>#N/A</v>
          </cell>
          <cell r="O571" t="e">
            <v>#N/A</v>
          </cell>
          <cell r="P571">
            <v>63.51</v>
          </cell>
          <cell r="Q571" t="str">
            <v/>
          </cell>
          <cell r="R571" t="e">
            <v>#N/A</v>
          </cell>
        </row>
        <row r="572">
          <cell r="A572">
            <v>40297</v>
          </cell>
          <cell r="B572">
            <v>40297</v>
          </cell>
          <cell r="C572" t="str">
            <v>Future</v>
          </cell>
          <cell r="D572" t="e">
            <v>#N/A</v>
          </cell>
          <cell r="E572">
            <v>60.00944881889766</v>
          </cell>
          <cell r="F572">
            <v>64.970078740157533</v>
          </cell>
          <cell r="G572">
            <v>62.765354330708654</v>
          </cell>
          <cell r="H572">
            <v>62.765354330708654</v>
          </cell>
          <cell r="I572" t="e">
            <v>#N/A</v>
          </cell>
          <cell r="J572" t="e">
            <v>#N/A</v>
          </cell>
          <cell r="K572" t="e">
            <v>#N/A</v>
          </cell>
          <cell r="L572" t="e">
            <v>#N/A</v>
          </cell>
          <cell r="M572" t="e">
            <v>#N/A</v>
          </cell>
          <cell r="N572" t="e">
            <v>#N/A</v>
          </cell>
          <cell r="O572" t="e">
            <v>#N/A</v>
          </cell>
          <cell r="P572">
            <v>63.51</v>
          </cell>
          <cell r="Q572" t="str">
            <v/>
          </cell>
          <cell r="R572" t="e">
            <v>#N/A</v>
          </cell>
        </row>
        <row r="573">
          <cell r="A573">
            <v>40298</v>
          </cell>
          <cell r="B573">
            <v>40298</v>
          </cell>
          <cell r="C573" t="str">
            <v>Future</v>
          </cell>
          <cell r="D573" t="e">
            <v>#N/A</v>
          </cell>
          <cell r="E573">
            <v>59.759409448818921</v>
          </cell>
          <cell r="F573">
            <v>65.074370078740216</v>
          </cell>
          <cell r="G573">
            <v>62.7121653543307</v>
          </cell>
          <cell r="H573">
            <v>62.7121653543307</v>
          </cell>
          <cell r="I573" t="e">
            <v>#N/A</v>
          </cell>
          <cell r="J573" t="e">
            <v>#N/A</v>
          </cell>
          <cell r="K573" t="e">
            <v>#N/A</v>
          </cell>
          <cell r="L573" t="e">
            <v>#N/A</v>
          </cell>
          <cell r="M573" t="e">
            <v>#N/A</v>
          </cell>
          <cell r="N573" t="e">
            <v>#N/A</v>
          </cell>
          <cell r="O573" t="e">
            <v>#N/A</v>
          </cell>
          <cell r="P573">
            <v>63.51</v>
          </cell>
          <cell r="Q573" t="str">
            <v/>
          </cell>
          <cell r="R573" t="e">
            <v>#N/A</v>
          </cell>
        </row>
        <row r="574">
          <cell r="A574">
            <v>40301</v>
          </cell>
          <cell r="B574">
            <v>40301</v>
          </cell>
          <cell r="C574" t="str">
            <v>Future</v>
          </cell>
          <cell r="D574" t="e">
            <v>#N/A</v>
          </cell>
          <cell r="E574">
            <v>59.509370078740183</v>
          </cell>
          <cell r="F574">
            <v>65.1786614173229</v>
          </cell>
          <cell r="G574">
            <v>62.658976377952747</v>
          </cell>
          <cell r="H574">
            <v>62.658976377952747</v>
          </cell>
          <cell r="I574" t="e">
            <v>#N/A</v>
          </cell>
          <cell r="J574" t="e">
            <v>#N/A</v>
          </cell>
          <cell r="K574" t="e">
            <v>#N/A</v>
          </cell>
          <cell r="L574" t="e">
            <v>#N/A</v>
          </cell>
          <cell r="M574" t="e">
            <v>#N/A</v>
          </cell>
          <cell r="N574" t="e">
            <v>#N/A</v>
          </cell>
          <cell r="O574" t="e">
            <v>#N/A</v>
          </cell>
          <cell r="P574">
            <v>63.51</v>
          </cell>
          <cell r="Q574" t="str">
            <v/>
          </cell>
          <cell r="R574" t="e">
            <v>#N/A</v>
          </cell>
        </row>
        <row r="575">
          <cell r="A575">
            <v>40302</v>
          </cell>
          <cell r="B575">
            <v>40302</v>
          </cell>
          <cell r="C575" t="str">
            <v>Future</v>
          </cell>
          <cell r="D575" t="e">
            <v>#N/A</v>
          </cell>
          <cell r="E575">
            <v>59.259330708661444</v>
          </cell>
          <cell r="F575">
            <v>65.282952755905583</v>
          </cell>
          <cell r="G575">
            <v>62.605787401574794</v>
          </cell>
          <cell r="H575">
            <v>62.605787401574794</v>
          </cell>
          <cell r="I575" t="e">
            <v>#N/A</v>
          </cell>
          <cell r="J575" t="e">
            <v>#N/A</v>
          </cell>
          <cell r="K575" t="e">
            <v>#N/A</v>
          </cell>
          <cell r="L575" t="e">
            <v>#N/A</v>
          </cell>
          <cell r="M575" t="e">
            <v>#N/A</v>
          </cell>
          <cell r="N575" t="e">
            <v>#N/A</v>
          </cell>
          <cell r="O575" t="e">
            <v>#N/A</v>
          </cell>
          <cell r="P575">
            <v>63.51</v>
          </cell>
          <cell r="Q575" t="str">
            <v/>
          </cell>
          <cell r="R575" t="e">
            <v>#N/A</v>
          </cell>
        </row>
        <row r="576">
          <cell r="A576">
            <v>40303</v>
          </cell>
          <cell r="B576">
            <v>40303</v>
          </cell>
          <cell r="C576" t="str">
            <v>Future</v>
          </cell>
          <cell r="D576" t="e">
            <v>#N/A</v>
          </cell>
          <cell r="E576">
            <v>59.009291338582706</v>
          </cell>
          <cell r="F576">
            <v>65.387244094488267</v>
          </cell>
          <cell r="G576">
            <v>62.552598425196841</v>
          </cell>
          <cell r="H576">
            <v>62.552598425196841</v>
          </cell>
          <cell r="I576" t="e">
            <v>#N/A</v>
          </cell>
          <cell r="J576" t="e">
            <v>#N/A</v>
          </cell>
          <cell r="K576" t="e">
            <v>#N/A</v>
          </cell>
          <cell r="L576" t="e">
            <v>#N/A</v>
          </cell>
          <cell r="M576" t="e">
            <v>#N/A</v>
          </cell>
          <cell r="N576" t="e">
            <v>#N/A</v>
          </cell>
          <cell r="O576" t="e">
            <v>#N/A</v>
          </cell>
          <cell r="P576">
            <v>63.51</v>
          </cell>
          <cell r="Q576" t="str">
            <v/>
          </cell>
          <cell r="R576" t="e">
            <v>#N/A</v>
          </cell>
        </row>
        <row r="577">
          <cell r="A577">
            <v>40304</v>
          </cell>
          <cell r="B577">
            <v>40304</v>
          </cell>
          <cell r="C577" t="str">
            <v>Future</v>
          </cell>
          <cell r="D577" t="e">
            <v>#N/A</v>
          </cell>
          <cell r="E577">
            <v>58.759251968503968</v>
          </cell>
          <cell r="F577">
            <v>65.49153543307095</v>
          </cell>
          <cell r="G577">
            <v>62.499409448818888</v>
          </cell>
          <cell r="H577">
            <v>62.499409448818888</v>
          </cell>
          <cell r="I577" t="e">
            <v>#N/A</v>
          </cell>
          <cell r="J577" t="e">
            <v>#N/A</v>
          </cell>
          <cell r="K577" t="e">
            <v>#N/A</v>
          </cell>
          <cell r="L577" t="e">
            <v>#N/A</v>
          </cell>
          <cell r="M577" t="e">
            <v>#N/A</v>
          </cell>
          <cell r="N577" t="e">
            <v>#N/A</v>
          </cell>
          <cell r="O577" t="e">
            <v>#N/A</v>
          </cell>
          <cell r="P577">
            <v>63.51</v>
          </cell>
          <cell r="Q577" t="str">
            <v/>
          </cell>
          <cell r="R577" t="e">
            <v>#N/A</v>
          </cell>
        </row>
        <row r="578">
          <cell r="A578">
            <v>40305</v>
          </cell>
          <cell r="B578">
            <v>40305</v>
          </cell>
          <cell r="C578" t="str">
            <v>Future</v>
          </cell>
          <cell r="D578" t="e">
            <v>#N/A</v>
          </cell>
          <cell r="E578">
            <v>58.509212598425229</v>
          </cell>
          <cell r="F578">
            <v>65.595826771653634</v>
          </cell>
          <cell r="G578">
            <v>62.446220472440935</v>
          </cell>
          <cell r="H578">
            <v>62.446220472440935</v>
          </cell>
          <cell r="I578" t="e">
            <v>#N/A</v>
          </cell>
          <cell r="J578" t="e">
            <v>#N/A</v>
          </cell>
          <cell r="K578" t="e">
            <v>#N/A</v>
          </cell>
          <cell r="L578" t="e">
            <v>#N/A</v>
          </cell>
          <cell r="M578" t="e">
            <v>#N/A</v>
          </cell>
          <cell r="N578" t="e">
            <v>#N/A</v>
          </cell>
          <cell r="O578" t="e">
            <v>#N/A</v>
          </cell>
          <cell r="P578">
            <v>63.51</v>
          </cell>
          <cell r="Q578" t="str">
            <v/>
          </cell>
          <cell r="R578" t="e">
            <v>#N/A</v>
          </cell>
        </row>
        <row r="579">
          <cell r="A579">
            <v>40308</v>
          </cell>
          <cell r="B579">
            <v>40308</v>
          </cell>
          <cell r="C579" t="str">
            <v>Future</v>
          </cell>
          <cell r="D579" t="e">
            <v>#N/A</v>
          </cell>
          <cell r="E579">
            <v>58.259173228346491</v>
          </cell>
          <cell r="F579">
            <v>65.700118110236318</v>
          </cell>
          <cell r="G579">
            <v>62.393031496062981</v>
          </cell>
          <cell r="H579">
            <v>62.393031496062981</v>
          </cell>
          <cell r="I579" t="e">
            <v>#N/A</v>
          </cell>
          <cell r="J579" t="e">
            <v>#N/A</v>
          </cell>
          <cell r="K579" t="e">
            <v>#N/A</v>
          </cell>
          <cell r="L579" t="e">
            <v>#N/A</v>
          </cell>
          <cell r="M579" t="e">
            <v>#N/A</v>
          </cell>
          <cell r="N579" t="e">
            <v>#N/A</v>
          </cell>
          <cell r="O579" t="e">
            <v>#N/A</v>
          </cell>
          <cell r="P579">
            <v>63.51</v>
          </cell>
          <cell r="Q579" t="str">
            <v/>
          </cell>
          <cell r="R579" t="e">
            <v>#N/A</v>
          </cell>
        </row>
        <row r="580">
          <cell r="A580">
            <v>40309</v>
          </cell>
          <cell r="B580">
            <v>40309</v>
          </cell>
          <cell r="C580" t="str">
            <v>Future</v>
          </cell>
          <cell r="D580" t="e">
            <v>#N/A</v>
          </cell>
          <cell r="E580">
            <v>58.009133858267752</v>
          </cell>
          <cell r="F580">
            <v>65.804409448819001</v>
          </cell>
          <cell r="G580">
            <v>62.339842519685028</v>
          </cell>
          <cell r="H580">
            <v>62.339842519685028</v>
          </cell>
          <cell r="I580" t="e">
            <v>#N/A</v>
          </cell>
          <cell r="J580" t="e">
            <v>#N/A</v>
          </cell>
          <cell r="K580" t="e">
            <v>#N/A</v>
          </cell>
          <cell r="L580" t="e">
            <v>#N/A</v>
          </cell>
          <cell r="M580" t="e">
            <v>#N/A</v>
          </cell>
          <cell r="N580" t="e">
            <v>#N/A</v>
          </cell>
          <cell r="O580" t="e">
            <v>#N/A</v>
          </cell>
          <cell r="P580">
            <v>63.51</v>
          </cell>
          <cell r="Q580" t="str">
            <v/>
          </cell>
          <cell r="R580" t="e">
            <v>#N/A</v>
          </cell>
        </row>
        <row r="581">
          <cell r="A581">
            <v>40310</v>
          </cell>
          <cell r="B581">
            <v>40310</v>
          </cell>
          <cell r="C581" t="str">
            <v>Future</v>
          </cell>
          <cell r="D581" t="e">
            <v>#N/A</v>
          </cell>
          <cell r="E581">
            <v>57.759094488189014</v>
          </cell>
          <cell r="F581">
            <v>65.908700787401685</v>
          </cell>
          <cell r="G581">
            <v>62.286653543307075</v>
          </cell>
          <cell r="H581">
            <v>62.286653543307075</v>
          </cell>
          <cell r="I581" t="e">
            <v>#N/A</v>
          </cell>
          <cell r="J581" t="e">
            <v>#N/A</v>
          </cell>
          <cell r="K581" t="e">
            <v>#N/A</v>
          </cell>
          <cell r="L581" t="e">
            <v>#N/A</v>
          </cell>
          <cell r="M581" t="e">
            <v>#N/A</v>
          </cell>
          <cell r="N581" t="e">
            <v>#N/A</v>
          </cell>
          <cell r="O581" t="e">
            <v>#N/A</v>
          </cell>
          <cell r="P581">
            <v>63.51</v>
          </cell>
          <cell r="Q581" t="str">
            <v/>
          </cell>
          <cell r="R581" t="e">
            <v>#N/A</v>
          </cell>
        </row>
        <row r="582">
          <cell r="A582">
            <v>40311</v>
          </cell>
          <cell r="B582">
            <v>40311</v>
          </cell>
          <cell r="C582" t="str">
            <v>Future</v>
          </cell>
          <cell r="D582" t="e">
            <v>#N/A</v>
          </cell>
          <cell r="E582">
            <v>57.509055118110275</v>
          </cell>
          <cell r="F582">
            <v>66.012992125984368</v>
          </cell>
          <cell r="G582">
            <v>62.233464566929122</v>
          </cell>
          <cell r="H582">
            <v>62.233464566929122</v>
          </cell>
          <cell r="I582" t="e">
            <v>#N/A</v>
          </cell>
          <cell r="J582" t="e">
            <v>#N/A</v>
          </cell>
          <cell r="K582" t="e">
            <v>#N/A</v>
          </cell>
          <cell r="L582" t="e">
            <v>#N/A</v>
          </cell>
          <cell r="M582" t="e">
            <v>#N/A</v>
          </cell>
          <cell r="N582" t="e">
            <v>#N/A</v>
          </cell>
          <cell r="O582" t="e">
            <v>#N/A</v>
          </cell>
          <cell r="P582">
            <v>63.51</v>
          </cell>
          <cell r="Q582" t="str">
            <v/>
          </cell>
          <cell r="R582" t="e">
            <v>#N/A</v>
          </cell>
        </row>
        <row r="583">
          <cell r="A583">
            <v>40312</v>
          </cell>
          <cell r="B583">
            <v>40312</v>
          </cell>
          <cell r="C583" t="str">
            <v>Future</v>
          </cell>
          <cell r="D583" t="e">
            <v>#N/A</v>
          </cell>
          <cell r="E583">
            <v>57.259015748031537</v>
          </cell>
          <cell r="F583">
            <v>66.117283464567052</v>
          </cell>
          <cell r="G583">
            <v>62.180275590551169</v>
          </cell>
          <cell r="H583">
            <v>62.180275590551169</v>
          </cell>
          <cell r="I583" t="e">
            <v>#N/A</v>
          </cell>
          <cell r="J583" t="e">
            <v>#N/A</v>
          </cell>
          <cell r="K583" t="e">
            <v>#N/A</v>
          </cell>
          <cell r="L583" t="e">
            <v>#N/A</v>
          </cell>
          <cell r="M583" t="e">
            <v>#N/A</v>
          </cell>
          <cell r="N583" t="e">
            <v>#N/A</v>
          </cell>
          <cell r="O583" t="e">
            <v>#N/A</v>
          </cell>
          <cell r="P583">
            <v>63.51</v>
          </cell>
          <cell r="Q583" t="str">
            <v/>
          </cell>
          <cell r="R583" t="e">
            <v>#N/A</v>
          </cell>
        </row>
        <row r="584">
          <cell r="A584">
            <v>40315</v>
          </cell>
          <cell r="B584">
            <v>40315</v>
          </cell>
          <cell r="C584" t="str">
            <v>Future</v>
          </cell>
          <cell r="D584" t="e">
            <v>#N/A</v>
          </cell>
          <cell r="E584">
            <v>57.008976377952798</v>
          </cell>
          <cell r="F584">
            <v>66.221574803149736</v>
          </cell>
          <cell r="G584">
            <v>62.127086614173216</v>
          </cell>
          <cell r="H584">
            <v>62.127086614173216</v>
          </cell>
          <cell r="I584" t="e">
            <v>#N/A</v>
          </cell>
          <cell r="J584" t="e">
            <v>#N/A</v>
          </cell>
          <cell r="K584" t="e">
            <v>#N/A</v>
          </cell>
          <cell r="L584" t="e">
            <v>#N/A</v>
          </cell>
          <cell r="M584" t="e">
            <v>#N/A</v>
          </cell>
          <cell r="N584" t="e">
            <v>#N/A</v>
          </cell>
          <cell r="O584" t="e">
            <v>#N/A</v>
          </cell>
          <cell r="P584">
            <v>63.51</v>
          </cell>
          <cell r="Q584" t="str">
            <v/>
          </cell>
          <cell r="R584" t="e">
            <v>#N/A</v>
          </cell>
        </row>
        <row r="585">
          <cell r="A585">
            <v>40316</v>
          </cell>
          <cell r="B585">
            <v>40316</v>
          </cell>
          <cell r="C585" t="str">
            <v>Future</v>
          </cell>
          <cell r="D585" t="e">
            <v>#N/A</v>
          </cell>
          <cell r="E585">
            <v>56.75893700787406</v>
          </cell>
          <cell r="F585">
            <v>66.325866141732419</v>
          </cell>
          <cell r="G585">
            <v>62.073897637795262</v>
          </cell>
          <cell r="H585">
            <v>62.073897637795262</v>
          </cell>
          <cell r="I585" t="e">
            <v>#N/A</v>
          </cell>
          <cell r="J585" t="e">
            <v>#N/A</v>
          </cell>
          <cell r="K585" t="e">
            <v>#N/A</v>
          </cell>
          <cell r="L585" t="e">
            <v>#N/A</v>
          </cell>
          <cell r="M585" t="e">
            <v>#N/A</v>
          </cell>
          <cell r="N585" t="e">
            <v>#N/A</v>
          </cell>
          <cell r="O585" t="e">
            <v>#N/A</v>
          </cell>
          <cell r="P585">
            <v>63.51</v>
          </cell>
          <cell r="Q585" t="str">
            <v/>
          </cell>
          <cell r="R585" t="e">
            <v>#N/A</v>
          </cell>
        </row>
        <row r="586">
          <cell r="A586">
            <v>40317</v>
          </cell>
          <cell r="B586">
            <v>40317</v>
          </cell>
          <cell r="C586" t="str">
            <v>Future</v>
          </cell>
          <cell r="D586" t="e">
            <v>#N/A</v>
          </cell>
          <cell r="E586">
            <v>56.508897637795322</v>
          </cell>
          <cell r="F586">
            <v>66.430157480315103</v>
          </cell>
          <cell r="G586">
            <v>62.020708661417309</v>
          </cell>
          <cell r="H586">
            <v>62.020708661417309</v>
          </cell>
          <cell r="I586" t="e">
            <v>#N/A</v>
          </cell>
          <cell r="J586" t="e">
            <v>#N/A</v>
          </cell>
          <cell r="K586" t="e">
            <v>#N/A</v>
          </cell>
          <cell r="L586" t="e">
            <v>#N/A</v>
          </cell>
          <cell r="M586" t="e">
            <v>#N/A</v>
          </cell>
          <cell r="N586" t="e">
            <v>#N/A</v>
          </cell>
          <cell r="O586" t="e">
            <v>#N/A</v>
          </cell>
          <cell r="P586">
            <v>63.51</v>
          </cell>
          <cell r="Q586" t="str">
            <v/>
          </cell>
          <cell r="R586" t="e">
            <v>#N/A</v>
          </cell>
        </row>
        <row r="587">
          <cell r="A587">
            <v>40318</v>
          </cell>
          <cell r="B587">
            <v>40318</v>
          </cell>
          <cell r="C587" t="str">
            <v>Future</v>
          </cell>
          <cell r="D587" t="e">
            <v>#N/A</v>
          </cell>
          <cell r="E587">
            <v>56.258858267716583</v>
          </cell>
          <cell r="F587">
            <v>66.534448818897786</v>
          </cell>
          <cell r="G587">
            <v>61.967519685039356</v>
          </cell>
          <cell r="H587">
            <v>61.967519685039356</v>
          </cell>
          <cell r="I587" t="e">
            <v>#N/A</v>
          </cell>
          <cell r="J587" t="e">
            <v>#N/A</v>
          </cell>
          <cell r="K587" t="e">
            <v>#N/A</v>
          </cell>
          <cell r="L587" t="e">
            <v>#N/A</v>
          </cell>
          <cell r="M587" t="e">
            <v>#N/A</v>
          </cell>
          <cell r="N587" t="e">
            <v>#N/A</v>
          </cell>
          <cell r="O587" t="e">
            <v>#N/A</v>
          </cell>
          <cell r="P587">
            <v>63.51</v>
          </cell>
          <cell r="Q587" t="str">
            <v/>
          </cell>
          <cell r="R587" t="e">
            <v>#N/A</v>
          </cell>
        </row>
        <row r="588">
          <cell r="A588">
            <v>40319</v>
          </cell>
          <cell r="B588">
            <v>40319</v>
          </cell>
          <cell r="C588" t="str">
            <v>Future</v>
          </cell>
          <cell r="D588" t="e">
            <v>#N/A</v>
          </cell>
          <cell r="E588">
            <v>56.008818897637845</v>
          </cell>
          <cell r="F588">
            <v>66.63874015748047</v>
          </cell>
          <cell r="G588">
            <v>61.914330708661403</v>
          </cell>
          <cell r="H588">
            <v>61.914330708661403</v>
          </cell>
          <cell r="I588" t="e">
            <v>#N/A</v>
          </cell>
          <cell r="J588" t="e">
            <v>#N/A</v>
          </cell>
          <cell r="K588" t="e">
            <v>#N/A</v>
          </cell>
          <cell r="L588" t="e">
            <v>#N/A</v>
          </cell>
          <cell r="M588" t="e">
            <v>#N/A</v>
          </cell>
          <cell r="N588" t="e">
            <v>#N/A</v>
          </cell>
          <cell r="O588" t="e">
            <v>#N/A</v>
          </cell>
          <cell r="P588">
            <v>63.51</v>
          </cell>
          <cell r="Q588" t="str">
            <v/>
          </cell>
          <cell r="R588" t="e">
            <v>#N/A</v>
          </cell>
        </row>
        <row r="589">
          <cell r="A589">
            <v>40322</v>
          </cell>
          <cell r="B589">
            <v>40322</v>
          </cell>
          <cell r="C589" t="str">
            <v>Future</v>
          </cell>
          <cell r="D589" t="e">
            <v>#N/A</v>
          </cell>
          <cell r="E589">
            <v>55.758779527559106</v>
          </cell>
          <cell r="F589">
            <v>66.743031496063153</v>
          </cell>
          <cell r="G589">
            <v>61.86114173228345</v>
          </cell>
          <cell r="H589">
            <v>61.86114173228345</v>
          </cell>
          <cell r="I589" t="e">
            <v>#N/A</v>
          </cell>
          <cell r="J589" t="e">
            <v>#N/A</v>
          </cell>
          <cell r="K589" t="e">
            <v>#N/A</v>
          </cell>
          <cell r="L589" t="e">
            <v>#N/A</v>
          </cell>
          <cell r="M589" t="e">
            <v>#N/A</v>
          </cell>
          <cell r="N589" t="e">
            <v>#N/A</v>
          </cell>
          <cell r="O589" t="e">
            <v>#N/A</v>
          </cell>
          <cell r="P589">
            <v>63.51</v>
          </cell>
          <cell r="Q589" t="str">
            <v/>
          </cell>
          <cell r="R589" t="e">
            <v>#N/A</v>
          </cell>
        </row>
        <row r="590">
          <cell r="A590">
            <v>40323</v>
          </cell>
          <cell r="B590">
            <v>40323</v>
          </cell>
          <cell r="C590" t="str">
            <v>Future</v>
          </cell>
          <cell r="D590" t="e">
            <v>#N/A</v>
          </cell>
          <cell r="E590">
            <v>55.508740157480368</v>
          </cell>
          <cell r="F590">
            <v>66.847322834645837</v>
          </cell>
          <cell r="G590">
            <v>61.807952755905497</v>
          </cell>
          <cell r="H590">
            <v>61.807952755905497</v>
          </cell>
          <cell r="I590" t="e">
            <v>#N/A</v>
          </cell>
          <cell r="J590" t="e">
            <v>#N/A</v>
          </cell>
          <cell r="K590" t="e">
            <v>#N/A</v>
          </cell>
          <cell r="L590" t="e">
            <v>#N/A</v>
          </cell>
          <cell r="M590" t="e">
            <v>#N/A</v>
          </cell>
          <cell r="N590" t="e">
            <v>#N/A</v>
          </cell>
          <cell r="O590" t="e">
            <v>#N/A</v>
          </cell>
          <cell r="P590">
            <v>63.51</v>
          </cell>
          <cell r="Q590" t="str">
            <v/>
          </cell>
          <cell r="R590" t="e">
            <v>#N/A</v>
          </cell>
        </row>
        <row r="591">
          <cell r="A591">
            <v>40324</v>
          </cell>
          <cell r="B591">
            <v>40324</v>
          </cell>
          <cell r="C591" t="str">
            <v>Future</v>
          </cell>
          <cell r="D591" t="e">
            <v>#N/A</v>
          </cell>
          <cell r="E591">
            <v>55.258700787401629</v>
          </cell>
          <cell r="F591">
            <v>66.951614173228521</v>
          </cell>
          <cell r="G591">
            <v>61.754763779527543</v>
          </cell>
          <cell r="H591">
            <v>61.754763779527543</v>
          </cell>
          <cell r="I591" t="e">
            <v>#N/A</v>
          </cell>
          <cell r="J591" t="e">
            <v>#N/A</v>
          </cell>
          <cell r="K591" t="e">
            <v>#N/A</v>
          </cell>
          <cell r="L591" t="e">
            <v>#N/A</v>
          </cell>
          <cell r="M591" t="e">
            <v>#N/A</v>
          </cell>
          <cell r="N591" t="e">
            <v>#N/A</v>
          </cell>
          <cell r="O591" t="e">
            <v>#N/A</v>
          </cell>
          <cell r="P591">
            <v>63.51</v>
          </cell>
          <cell r="Q591" t="str">
            <v/>
          </cell>
          <cell r="R591" t="e">
            <v>#N/A</v>
          </cell>
        </row>
        <row r="592">
          <cell r="A592">
            <v>40325</v>
          </cell>
          <cell r="B592">
            <v>40325</v>
          </cell>
          <cell r="C592" t="str">
            <v>Future</v>
          </cell>
          <cell r="D592" t="e">
            <v>#N/A</v>
          </cell>
          <cell r="E592">
            <v>55.008661417322891</v>
          </cell>
          <cell r="F592">
            <v>67.055905511811204</v>
          </cell>
          <cell r="G592">
            <v>61.70157480314959</v>
          </cell>
          <cell r="H592">
            <v>61.70157480314959</v>
          </cell>
          <cell r="I592" t="e">
            <v>#N/A</v>
          </cell>
          <cell r="J592" t="e">
            <v>#N/A</v>
          </cell>
          <cell r="K592" t="e">
            <v>#N/A</v>
          </cell>
          <cell r="L592" t="e">
            <v>#N/A</v>
          </cell>
          <cell r="M592" t="e">
            <v>#N/A</v>
          </cell>
          <cell r="N592" t="e">
            <v>#N/A</v>
          </cell>
          <cell r="O592" t="e">
            <v>#N/A</v>
          </cell>
          <cell r="P592">
            <v>63.51</v>
          </cell>
          <cell r="Q592" t="str">
            <v/>
          </cell>
          <cell r="R592" t="e">
            <v>#N/A</v>
          </cell>
        </row>
        <row r="593">
          <cell r="A593">
            <v>40326</v>
          </cell>
          <cell r="B593">
            <v>40326</v>
          </cell>
          <cell r="C593" t="str">
            <v>Future</v>
          </cell>
          <cell r="D593" t="e">
            <v>#N/A</v>
          </cell>
          <cell r="E593">
            <v>54.758622047244152</v>
          </cell>
          <cell r="F593">
            <v>67.160196850393888</v>
          </cell>
          <cell r="G593">
            <v>61.648385826771637</v>
          </cell>
          <cell r="H593">
            <v>61.648385826771637</v>
          </cell>
          <cell r="I593" t="e">
            <v>#N/A</v>
          </cell>
          <cell r="J593" t="e">
            <v>#N/A</v>
          </cell>
          <cell r="K593" t="e">
            <v>#N/A</v>
          </cell>
          <cell r="L593" t="e">
            <v>#N/A</v>
          </cell>
          <cell r="M593" t="e">
            <v>#N/A</v>
          </cell>
          <cell r="N593" t="e">
            <v>#N/A</v>
          </cell>
          <cell r="O593" t="e">
            <v>#N/A</v>
          </cell>
          <cell r="P593">
            <v>63.51</v>
          </cell>
          <cell r="Q593" t="str">
            <v/>
          </cell>
          <cell r="R593" t="e">
            <v>#N/A</v>
          </cell>
        </row>
        <row r="594">
          <cell r="A594">
            <v>40330</v>
          </cell>
          <cell r="B594">
            <v>40330</v>
          </cell>
          <cell r="C594" t="str">
            <v>Future</v>
          </cell>
          <cell r="D594" t="e">
            <v>#N/A</v>
          </cell>
          <cell r="E594">
            <v>54.508582677165414</v>
          </cell>
          <cell r="F594">
            <v>67.264488188976571</v>
          </cell>
          <cell r="G594">
            <v>61.595196850393684</v>
          </cell>
          <cell r="H594">
            <v>61.595196850393684</v>
          </cell>
          <cell r="I594" t="e">
            <v>#N/A</v>
          </cell>
          <cell r="J594" t="e">
            <v>#N/A</v>
          </cell>
          <cell r="K594" t="e">
            <v>#N/A</v>
          </cell>
          <cell r="L594" t="e">
            <v>#N/A</v>
          </cell>
          <cell r="M594" t="e">
            <v>#N/A</v>
          </cell>
          <cell r="N594" t="e">
            <v>#N/A</v>
          </cell>
          <cell r="O594" t="e">
            <v>#N/A</v>
          </cell>
          <cell r="P594">
            <v>63.51</v>
          </cell>
          <cell r="Q594" t="str">
            <v/>
          </cell>
          <cell r="R594" t="e">
            <v>#N/A</v>
          </cell>
        </row>
        <row r="595">
          <cell r="A595">
            <v>40331</v>
          </cell>
          <cell r="B595">
            <v>40331</v>
          </cell>
          <cell r="C595" t="str">
            <v>Future</v>
          </cell>
          <cell r="D595" t="e">
            <v>#N/A</v>
          </cell>
          <cell r="E595">
            <v>54.258543307086676</v>
          </cell>
          <cell r="F595">
            <v>67.368779527559255</v>
          </cell>
          <cell r="G595">
            <v>61.542007874015731</v>
          </cell>
          <cell r="H595">
            <v>61.542007874015731</v>
          </cell>
          <cell r="I595" t="e">
            <v>#N/A</v>
          </cell>
          <cell r="J595" t="e">
            <v>#N/A</v>
          </cell>
          <cell r="K595" t="e">
            <v>#N/A</v>
          </cell>
          <cell r="L595" t="e">
            <v>#N/A</v>
          </cell>
          <cell r="M595" t="e">
            <v>#N/A</v>
          </cell>
          <cell r="N595" t="e">
            <v>#N/A</v>
          </cell>
          <cell r="O595" t="e">
            <v>#N/A</v>
          </cell>
          <cell r="P595">
            <v>63.51</v>
          </cell>
          <cell r="Q595" t="str">
            <v/>
          </cell>
          <cell r="R595" t="e">
            <v>#N/A</v>
          </cell>
        </row>
        <row r="596">
          <cell r="A596">
            <v>40332</v>
          </cell>
          <cell r="B596">
            <v>40332</v>
          </cell>
          <cell r="C596" t="str">
            <v>Future</v>
          </cell>
          <cell r="D596" t="e">
            <v>#N/A</v>
          </cell>
          <cell r="E596">
            <v>54.008503937007937</v>
          </cell>
          <cell r="F596">
            <v>67.473070866141938</v>
          </cell>
          <cell r="G596">
            <v>61.488818897637778</v>
          </cell>
          <cell r="H596">
            <v>61.488818897637778</v>
          </cell>
          <cell r="I596" t="e">
            <v>#N/A</v>
          </cell>
          <cell r="J596" t="e">
            <v>#N/A</v>
          </cell>
          <cell r="K596" t="e">
            <v>#N/A</v>
          </cell>
          <cell r="L596" t="e">
            <v>#N/A</v>
          </cell>
          <cell r="M596" t="e">
            <v>#N/A</v>
          </cell>
          <cell r="N596" t="e">
            <v>#N/A</v>
          </cell>
          <cell r="O596" t="e">
            <v>#N/A</v>
          </cell>
          <cell r="P596">
            <v>63.51</v>
          </cell>
          <cell r="Q596" t="str">
            <v/>
          </cell>
          <cell r="R596" t="e">
            <v>#N/A</v>
          </cell>
        </row>
        <row r="597">
          <cell r="A597">
            <v>40333</v>
          </cell>
          <cell r="B597">
            <v>40333</v>
          </cell>
          <cell r="C597" t="str">
            <v>Future</v>
          </cell>
          <cell r="D597" t="e">
            <v>#N/A</v>
          </cell>
          <cell r="E597">
            <v>53.758464566929199</v>
          </cell>
          <cell r="F597">
            <v>67.577362204724622</v>
          </cell>
          <cell r="G597">
            <v>61.435629921259824</v>
          </cell>
          <cell r="H597">
            <v>61.435629921259824</v>
          </cell>
          <cell r="I597" t="e">
            <v>#N/A</v>
          </cell>
          <cell r="J597" t="e">
            <v>#N/A</v>
          </cell>
          <cell r="K597" t="e">
            <v>#N/A</v>
          </cell>
          <cell r="L597" t="e">
            <v>#N/A</v>
          </cell>
          <cell r="M597" t="e">
            <v>#N/A</v>
          </cell>
          <cell r="N597" t="e">
            <v>#N/A</v>
          </cell>
          <cell r="O597" t="e">
            <v>#N/A</v>
          </cell>
          <cell r="P597">
            <v>63.51</v>
          </cell>
          <cell r="Q597" t="str">
            <v/>
          </cell>
          <cell r="R597" t="e">
            <v>#N/A</v>
          </cell>
        </row>
        <row r="598">
          <cell r="A598">
            <v>40336</v>
          </cell>
          <cell r="B598">
            <v>40336</v>
          </cell>
          <cell r="C598" t="str">
            <v>Future</v>
          </cell>
          <cell r="D598" t="e">
            <v>#N/A</v>
          </cell>
          <cell r="E598">
            <v>53.50842519685046</v>
          </cell>
          <cell r="F598">
            <v>67.681653543307306</v>
          </cell>
          <cell r="G598">
            <v>61.382440944881871</v>
          </cell>
          <cell r="H598">
            <v>61.382440944881871</v>
          </cell>
          <cell r="I598" t="e">
            <v>#N/A</v>
          </cell>
          <cell r="J598" t="e">
            <v>#N/A</v>
          </cell>
          <cell r="K598" t="e">
            <v>#N/A</v>
          </cell>
          <cell r="L598" t="e">
            <v>#N/A</v>
          </cell>
          <cell r="M598" t="e">
            <v>#N/A</v>
          </cell>
          <cell r="N598" t="e">
            <v>#N/A</v>
          </cell>
          <cell r="O598" t="e">
            <v>#N/A</v>
          </cell>
          <cell r="P598">
            <v>63.51</v>
          </cell>
          <cell r="Q598" t="str">
            <v/>
          </cell>
          <cell r="R598" t="e">
            <v>#N/A</v>
          </cell>
        </row>
        <row r="599">
          <cell r="A599">
            <v>40337</v>
          </cell>
          <cell r="B599">
            <v>40337</v>
          </cell>
          <cell r="C599" t="str">
            <v>Future</v>
          </cell>
          <cell r="D599" t="e">
            <v>#N/A</v>
          </cell>
          <cell r="E599">
            <v>53.258385826771722</v>
          </cell>
          <cell r="F599">
            <v>67.785944881889989</v>
          </cell>
          <cell r="G599">
            <v>61.329251968503918</v>
          </cell>
          <cell r="H599">
            <v>61.329251968503918</v>
          </cell>
          <cell r="I599" t="e">
            <v>#N/A</v>
          </cell>
          <cell r="J599" t="e">
            <v>#N/A</v>
          </cell>
          <cell r="K599" t="e">
            <v>#N/A</v>
          </cell>
          <cell r="L599" t="e">
            <v>#N/A</v>
          </cell>
          <cell r="M599" t="e">
            <v>#N/A</v>
          </cell>
          <cell r="N599" t="e">
            <v>#N/A</v>
          </cell>
          <cell r="O599" t="e">
            <v>#N/A</v>
          </cell>
          <cell r="P599">
            <v>63.51</v>
          </cell>
          <cell r="Q599" t="str">
            <v/>
          </cell>
          <cell r="R599" t="e">
            <v>#N/A</v>
          </cell>
        </row>
        <row r="600">
          <cell r="A600">
            <v>40338</v>
          </cell>
          <cell r="B600">
            <v>40338</v>
          </cell>
          <cell r="C600" t="str">
            <v>Future</v>
          </cell>
          <cell r="D600" t="e">
            <v>#N/A</v>
          </cell>
          <cell r="E600">
            <v>53.008346456692983</v>
          </cell>
          <cell r="F600">
            <v>67.890236220472673</v>
          </cell>
          <cell r="G600">
            <v>61.276062992125965</v>
          </cell>
          <cell r="H600">
            <v>61.276062992125965</v>
          </cell>
          <cell r="I600" t="e">
            <v>#N/A</v>
          </cell>
          <cell r="J600" t="e">
            <v>#N/A</v>
          </cell>
          <cell r="K600" t="e">
            <v>#N/A</v>
          </cell>
          <cell r="L600" t="e">
            <v>#N/A</v>
          </cell>
          <cell r="M600" t="e">
            <v>#N/A</v>
          </cell>
          <cell r="N600" t="e">
            <v>#N/A</v>
          </cell>
          <cell r="O600" t="e">
            <v>#N/A</v>
          </cell>
          <cell r="P600">
            <v>63.51</v>
          </cell>
          <cell r="Q600" t="str">
            <v/>
          </cell>
          <cell r="R600" t="e">
            <v>#N/A</v>
          </cell>
        </row>
        <row r="601">
          <cell r="A601">
            <v>40339</v>
          </cell>
          <cell r="B601">
            <v>40339</v>
          </cell>
          <cell r="C601" t="str">
            <v>Future</v>
          </cell>
          <cell r="D601" t="e">
            <v>#N/A</v>
          </cell>
          <cell r="E601">
            <v>52.758307086614245</v>
          </cell>
          <cell r="F601">
            <v>67.994527559055356</v>
          </cell>
          <cell r="G601">
            <v>61.222874015748012</v>
          </cell>
          <cell r="H601">
            <v>61.222874015748012</v>
          </cell>
          <cell r="I601" t="e">
            <v>#N/A</v>
          </cell>
          <cell r="J601" t="e">
            <v>#N/A</v>
          </cell>
          <cell r="K601" t="e">
            <v>#N/A</v>
          </cell>
          <cell r="L601" t="e">
            <v>#N/A</v>
          </cell>
          <cell r="M601" t="e">
            <v>#N/A</v>
          </cell>
          <cell r="N601" t="e">
            <v>#N/A</v>
          </cell>
          <cell r="O601" t="e">
            <v>#N/A</v>
          </cell>
          <cell r="P601">
            <v>63.51</v>
          </cell>
          <cell r="Q601" t="str">
            <v/>
          </cell>
          <cell r="R601" t="e">
            <v>#N/A</v>
          </cell>
        </row>
        <row r="602">
          <cell r="A602">
            <v>40340</v>
          </cell>
          <cell r="B602">
            <v>40340</v>
          </cell>
          <cell r="C602" t="str">
            <v>Future</v>
          </cell>
          <cell r="D602" t="e">
            <v>#N/A</v>
          </cell>
          <cell r="E602">
            <v>52.508267716535507</v>
          </cell>
          <cell r="F602">
            <v>68.09881889763804</v>
          </cell>
          <cell r="G602">
            <v>61.169685039370059</v>
          </cell>
          <cell r="H602">
            <v>61.169685039370059</v>
          </cell>
          <cell r="I602" t="e">
            <v>#N/A</v>
          </cell>
          <cell r="J602" t="e">
            <v>#N/A</v>
          </cell>
          <cell r="K602" t="e">
            <v>#N/A</v>
          </cell>
          <cell r="L602" t="e">
            <v>#N/A</v>
          </cell>
          <cell r="M602" t="e">
            <v>#N/A</v>
          </cell>
          <cell r="N602" t="e">
            <v>#N/A</v>
          </cell>
          <cell r="O602" t="e">
            <v>#N/A</v>
          </cell>
          <cell r="P602">
            <v>63.51</v>
          </cell>
          <cell r="Q602" t="str">
            <v/>
          </cell>
          <cell r="R602" t="e">
            <v>#N/A</v>
          </cell>
        </row>
        <row r="603">
          <cell r="A603">
            <v>40343</v>
          </cell>
          <cell r="B603">
            <v>40343</v>
          </cell>
          <cell r="C603" t="str">
            <v>Future</v>
          </cell>
          <cell r="D603" t="e">
            <v>#N/A</v>
          </cell>
          <cell r="E603">
            <v>52.258228346456768</v>
          </cell>
          <cell r="F603">
            <v>68.203110236220724</v>
          </cell>
          <cell r="G603">
            <v>61.116496062992105</v>
          </cell>
          <cell r="H603">
            <v>61.116496062992105</v>
          </cell>
          <cell r="I603" t="e">
            <v>#N/A</v>
          </cell>
          <cell r="J603" t="e">
            <v>#N/A</v>
          </cell>
          <cell r="K603" t="e">
            <v>#N/A</v>
          </cell>
          <cell r="L603" t="e">
            <v>#N/A</v>
          </cell>
          <cell r="M603" t="e">
            <v>#N/A</v>
          </cell>
          <cell r="N603" t="e">
            <v>#N/A</v>
          </cell>
          <cell r="O603" t="e">
            <v>#N/A</v>
          </cell>
          <cell r="P603">
            <v>63.51</v>
          </cell>
          <cell r="Q603" t="str">
            <v/>
          </cell>
          <cell r="R603" t="e">
            <v>#N/A</v>
          </cell>
        </row>
        <row r="604">
          <cell r="A604">
            <v>40344</v>
          </cell>
          <cell r="B604">
            <v>40344</v>
          </cell>
          <cell r="C604" t="str">
            <v>Future</v>
          </cell>
          <cell r="D604" t="e">
            <v>#N/A</v>
          </cell>
          <cell r="E604">
            <v>52.00818897637803</v>
          </cell>
          <cell r="F604">
            <v>68.307401574803407</v>
          </cell>
          <cell r="G604">
            <v>61.063307086614152</v>
          </cell>
          <cell r="H604">
            <v>61.063307086614152</v>
          </cell>
          <cell r="I604" t="e">
            <v>#N/A</v>
          </cell>
          <cell r="J604" t="e">
            <v>#N/A</v>
          </cell>
          <cell r="K604" t="e">
            <v>#N/A</v>
          </cell>
          <cell r="L604" t="e">
            <v>#N/A</v>
          </cell>
          <cell r="M604" t="e">
            <v>#N/A</v>
          </cell>
          <cell r="N604" t="e">
            <v>#N/A</v>
          </cell>
          <cell r="O604" t="e">
            <v>#N/A</v>
          </cell>
          <cell r="P604">
            <v>63.51</v>
          </cell>
          <cell r="Q604" t="str">
            <v/>
          </cell>
          <cell r="R604" t="e">
            <v>#N/A</v>
          </cell>
        </row>
        <row r="605">
          <cell r="A605">
            <v>40345</v>
          </cell>
          <cell r="B605">
            <v>40345</v>
          </cell>
          <cell r="C605" t="str">
            <v>Future</v>
          </cell>
          <cell r="D605" t="e">
            <v>#N/A</v>
          </cell>
          <cell r="E605">
            <v>51.758149606299291</v>
          </cell>
          <cell r="F605">
            <v>68.411692913386091</v>
          </cell>
          <cell r="G605">
            <v>61.010118110236199</v>
          </cell>
          <cell r="H605">
            <v>61.010118110236199</v>
          </cell>
          <cell r="I605" t="e">
            <v>#N/A</v>
          </cell>
          <cell r="J605" t="e">
            <v>#N/A</v>
          </cell>
          <cell r="K605" t="e">
            <v>#N/A</v>
          </cell>
          <cell r="L605" t="e">
            <v>#N/A</v>
          </cell>
          <cell r="M605" t="e">
            <v>#N/A</v>
          </cell>
          <cell r="N605" t="e">
            <v>#N/A</v>
          </cell>
          <cell r="O605" t="e">
            <v>#N/A</v>
          </cell>
          <cell r="P605">
            <v>63.51</v>
          </cell>
          <cell r="Q605" t="str">
            <v/>
          </cell>
          <cell r="R605" t="e">
            <v>#N/A</v>
          </cell>
        </row>
        <row r="606">
          <cell r="A606">
            <v>40346</v>
          </cell>
          <cell r="B606">
            <v>40346</v>
          </cell>
          <cell r="C606" t="str">
            <v>Future</v>
          </cell>
          <cell r="D606" t="e">
            <v>#N/A</v>
          </cell>
          <cell r="E606">
            <v>51.508110236220553</v>
          </cell>
          <cell r="F606">
            <v>68.515984251968774</v>
          </cell>
          <cell r="G606">
            <v>60.956929133858246</v>
          </cell>
          <cell r="H606">
            <v>60.956929133858246</v>
          </cell>
          <cell r="I606" t="e">
            <v>#N/A</v>
          </cell>
          <cell r="J606" t="e">
            <v>#N/A</v>
          </cell>
          <cell r="K606" t="e">
            <v>#N/A</v>
          </cell>
          <cell r="L606" t="e">
            <v>#N/A</v>
          </cell>
          <cell r="M606" t="e">
            <v>#N/A</v>
          </cell>
          <cell r="N606" t="e">
            <v>#N/A</v>
          </cell>
          <cell r="O606" t="e">
            <v>#N/A</v>
          </cell>
          <cell r="P606">
            <v>63.51</v>
          </cell>
          <cell r="Q606" t="str">
            <v/>
          </cell>
          <cell r="R606" t="e">
            <v>#N/A</v>
          </cell>
        </row>
        <row r="607">
          <cell r="A607">
            <v>40347</v>
          </cell>
          <cell r="B607">
            <v>40347</v>
          </cell>
          <cell r="C607" t="str">
            <v>Future</v>
          </cell>
          <cell r="D607" t="e">
            <v>#N/A</v>
          </cell>
          <cell r="E607">
            <v>51.258070866141814</v>
          </cell>
          <cell r="F607">
            <v>68.620275590551458</v>
          </cell>
          <cell r="G607">
            <v>60.903740157480293</v>
          </cell>
          <cell r="H607">
            <v>60.903740157480293</v>
          </cell>
          <cell r="I607" t="e">
            <v>#N/A</v>
          </cell>
          <cell r="J607" t="e">
            <v>#N/A</v>
          </cell>
          <cell r="K607" t="e">
            <v>#N/A</v>
          </cell>
          <cell r="L607" t="e">
            <v>#N/A</v>
          </cell>
          <cell r="M607" t="e">
            <v>#N/A</v>
          </cell>
          <cell r="N607" t="e">
            <v>#N/A</v>
          </cell>
          <cell r="O607" t="e">
            <v>#N/A</v>
          </cell>
          <cell r="P607">
            <v>63.51</v>
          </cell>
          <cell r="Q607" t="str">
            <v/>
          </cell>
          <cell r="R607" t="e">
            <v>#N/A</v>
          </cell>
        </row>
        <row r="608">
          <cell r="A608">
            <v>40350</v>
          </cell>
          <cell r="B608">
            <v>40350</v>
          </cell>
          <cell r="C608" t="str">
            <v>Future</v>
          </cell>
          <cell r="D608" t="e">
            <v>#N/A</v>
          </cell>
          <cell r="E608">
            <v>51.008031496063076</v>
          </cell>
          <cell r="F608">
            <v>68.724566929134141</v>
          </cell>
          <cell r="G608">
            <v>60.85055118110234</v>
          </cell>
          <cell r="H608">
            <v>60.85055118110234</v>
          </cell>
          <cell r="I608" t="e">
            <v>#N/A</v>
          </cell>
          <cell r="J608" t="e">
            <v>#N/A</v>
          </cell>
          <cell r="K608" t="e">
            <v>#N/A</v>
          </cell>
          <cell r="L608" t="e">
            <v>#N/A</v>
          </cell>
          <cell r="M608" t="e">
            <v>#N/A</v>
          </cell>
          <cell r="N608" t="e">
            <v>#N/A</v>
          </cell>
          <cell r="O608" t="e">
            <v>#N/A</v>
          </cell>
          <cell r="P608">
            <v>63.51</v>
          </cell>
          <cell r="Q608" t="str">
            <v/>
          </cell>
          <cell r="R608" t="e">
            <v>#N/A</v>
          </cell>
        </row>
        <row r="609">
          <cell r="A609">
            <v>40351</v>
          </cell>
          <cell r="B609">
            <v>40351</v>
          </cell>
          <cell r="C609" t="str">
            <v>Future</v>
          </cell>
          <cell r="D609" t="e">
            <v>#N/A</v>
          </cell>
          <cell r="E609">
            <v>50.757992125984337</v>
          </cell>
          <cell r="F609">
            <v>68.828858267716825</v>
          </cell>
          <cell r="G609">
            <v>60.797362204724386</v>
          </cell>
          <cell r="H609">
            <v>60.797362204724386</v>
          </cell>
          <cell r="I609" t="e">
            <v>#N/A</v>
          </cell>
          <cell r="J609" t="e">
            <v>#N/A</v>
          </cell>
          <cell r="K609" t="e">
            <v>#N/A</v>
          </cell>
          <cell r="L609" t="e">
            <v>#N/A</v>
          </cell>
          <cell r="M609" t="e">
            <v>#N/A</v>
          </cell>
          <cell r="N609" t="e">
            <v>#N/A</v>
          </cell>
          <cell r="O609" t="e">
            <v>#N/A</v>
          </cell>
          <cell r="P609">
            <v>63.51</v>
          </cell>
          <cell r="Q609" t="str">
            <v/>
          </cell>
          <cell r="R609" t="e">
            <v>#N/A</v>
          </cell>
        </row>
        <row r="610">
          <cell r="A610">
            <v>40352</v>
          </cell>
          <cell r="B610">
            <v>40352</v>
          </cell>
          <cell r="C610" t="str">
            <v>Future</v>
          </cell>
          <cell r="D610" t="e">
            <v>#N/A</v>
          </cell>
          <cell r="E610">
            <v>50.507952755905599</v>
          </cell>
          <cell r="F610">
            <v>68.933149606299509</v>
          </cell>
          <cell r="G610">
            <v>60.744173228346433</v>
          </cell>
          <cell r="H610">
            <v>60.744173228346433</v>
          </cell>
          <cell r="I610" t="e">
            <v>#N/A</v>
          </cell>
          <cell r="J610" t="e">
            <v>#N/A</v>
          </cell>
          <cell r="K610" t="e">
            <v>#N/A</v>
          </cell>
          <cell r="L610" t="e">
            <v>#N/A</v>
          </cell>
          <cell r="M610" t="e">
            <v>#N/A</v>
          </cell>
          <cell r="N610" t="e">
            <v>#N/A</v>
          </cell>
          <cell r="O610" t="e">
            <v>#N/A</v>
          </cell>
          <cell r="P610">
            <v>63.51</v>
          </cell>
          <cell r="Q610" t="str">
            <v/>
          </cell>
          <cell r="R610" t="e">
            <v>#N/A</v>
          </cell>
        </row>
        <row r="611">
          <cell r="A611">
            <v>40353</v>
          </cell>
          <cell r="B611">
            <v>40353</v>
          </cell>
          <cell r="C611" t="str">
            <v>Future</v>
          </cell>
          <cell r="D611" t="e">
            <v>#N/A</v>
          </cell>
          <cell r="E611">
            <v>50.257913385826861</v>
          </cell>
          <cell r="F611">
            <v>69.037440944882192</v>
          </cell>
          <cell r="G611">
            <v>60.69098425196848</v>
          </cell>
          <cell r="H611">
            <v>60.69098425196848</v>
          </cell>
          <cell r="I611" t="e">
            <v>#N/A</v>
          </cell>
          <cell r="J611" t="e">
            <v>#N/A</v>
          </cell>
          <cell r="K611" t="e">
            <v>#N/A</v>
          </cell>
          <cell r="L611" t="e">
            <v>#N/A</v>
          </cell>
          <cell r="M611" t="e">
            <v>#N/A</v>
          </cell>
          <cell r="N611" t="e">
            <v>#N/A</v>
          </cell>
          <cell r="O611" t="e">
            <v>#N/A</v>
          </cell>
          <cell r="P611">
            <v>63.51</v>
          </cell>
          <cell r="Q611" t="str">
            <v/>
          </cell>
          <cell r="R611" t="e">
            <v>#N/A</v>
          </cell>
        </row>
        <row r="612">
          <cell r="A612">
            <v>40354</v>
          </cell>
          <cell r="B612">
            <v>40354</v>
          </cell>
          <cell r="C612" t="str">
            <v>Future</v>
          </cell>
          <cell r="D612" t="e">
            <v>#N/A</v>
          </cell>
          <cell r="E612">
            <v>50.007874015748122</v>
          </cell>
          <cell r="F612">
            <v>69.141732283464876</v>
          </cell>
          <cell r="G612">
            <v>60.637795275590527</v>
          </cell>
          <cell r="H612">
            <v>60.637795275590527</v>
          </cell>
          <cell r="I612" t="e">
            <v>#N/A</v>
          </cell>
          <cell r="J612" t="e">
            <v>#N/A</v>
          </cell>
          <cell r="K612" t="e">
            <v>#N/A</v>
          </cell>
          <cell r="L612" t="e">
            <v>#N/A</v>
          </cell>
          <cell r="M612" t="e">
            <v>#N/A</v>
          </cell>
          <cell r="N612" t="e">
            <v>#N/A</v>
          </cell>
          <cell r="O612" t="e">
            <v>#N/A</v>
          </cell>
          <cell r="P612">
            <v>63.51</v>
          </cell>
          <cell r="Q612" t="str">
            <v/>
          </cell>
          <cell r="R612" t="e">
            <v>#N/A</v>
          </cell>
        </row>
        <row r="613">
          <cell r="A613">
            <v>40357</v>
          </cell>
          <cell r="B613">
            <v>40357</v>
          </cell>
          <cell r="C613" t="str">
            <v>Future</v>
          </cell>
          <cell r="D613" t="e">
            <v>#N/A</v>
          </cell>
          <cell r="E613">
            <v>49.757834645669384</v>
          </cell>
          <cell r="F613">
            <v>69.246023622047559</v>
          </cell>
          <cell r="G613">
            <v>60.584606299212574</v>
          </cell>
          <cell r="H613">
            <v>60.584606299212574</v>
          </cell>
          <cell r="I613" t="e">
            <v>#N/A</v>
          </cell>
          <cell r="J613" t="e">
            <v>#N/A</v>
          </cell>
          <cell r="K613" t="e">
            <v>#N/A</v>
          </cell>
          <cell r="L613" t="e">
            <v>#N/A</v>
          </cell>
          <cell r="M613" t="e">
            <v>#N/A</v>
          </cell>
          <cell r="N613" t="e">
            <v>#N/A</v>
          </cell>
          <cell r="O613" t="e">
            <v>#N/A</v>
          </cell>
          <cell r="P613">
            <v>63.51</v>
          </cell>
          <cell r="Q613" t="str">
            <v/>
          </cell>
          <cell r="R613" t="e">
            <v>#N/A</v>
          </cell>
        </row>
        <row r="614">
          <cell r="A614">
            <v>40358</v>
          </cell>
          <cell r="B614">
            <v>40358</v>
          </cell>
          <cell r="C614" t="str">
            <v>Future</v>
          </cell>
          <cell r="D614" t="e">
            <v>#N/A</v>
          </cell>
          <cell r="E614">
            <v>49.507795275590645</v>
          </cell>
          <cell r="F614">
            <v>69.350314960630243</v>
          </cell>
          <cell r="G614">
            <v>60.531417322834621</v>
          </cell>
          <cell r="H614">
            <v>60.531417322834621</v>
          </cell>
          <cell r="I614" t="e">
            <v>#N/A</v>
          </cell>
          <cell r="J614" t="e">
            <v>#N/A</v>
          </cell>
          <cell r="K614" t="e">
            <v>#N/A</v>
          </cell>
          <cell r="L614" t="e">
            <v>#N/A</v>
          </cell>
          <cell r="M614" t="e">
            <v>#N/A</v>
          </cell>
          <cell r="N614" t="e">
            <v>#N/A</v>
          </cell>
          <cell r="O614" t="e">
            <v>#N/A</v>
          </cell>
          <cell r="P614">
            <v>63.51</v>
          </cell>
          <cell r="Q614" t="str">
            <v/>
          </cell>
          <cell r="R614" t="e">
            <v>#N/A</v>
          </cell>
        </row>
        <row r="615">
          <cell r="A615">
            <v>40359</v>
          </cell>
          <cell r="B615">
            <v>40359</v>
          </cell>
          <cell r="C615" t="str">
            <v>Future</v>
          </cell>
          <cell r="D615" t="e">
            <v>#N/A</v>
          </cell>
          <cell r="E615">
            <v>49.257755905511907</v>
          </cell>
          <cell r="F615">
            <v>69.454606299212927</v>
          </cell>
          <cell r="G615">
            <v>60.478228346456667</v>
          </cell>
          <cell r="H615">
            <v>60.478228346456667</v>
          </cell>
          <cell r="I615" t="e">
            <v>#N/A</v>
          </cell>
          <cell r="J615" t="e">
            <v>#N/A</v>
          </cell>
          <cell r="K615" t="e">
            <v>#N/A</v>
          </cell>
          <cell r="L615" t="e">
            <v>#N/A</v>
          </cell>
          <cell r="M615" t="e">
            <v>#N/A</v>
          </cell>
          <cell r="N615" t="e">
            <v>#N/A</v>
          </cell>
          <cell r="O615" t="e">
            <v>#N/A</v>
          </cell>
          <cell r="P615">
            <v>63.51</v>
          </cell>
          <cell r="Q615" t="str">
            <v/>
          </cell>
          <cell r="R615" t="e">
            <v>#N/A</v>
          </cell>
        </row>
        <row r="616">
          <cell r="A616">
            <v>40360</v>
          </cell>
          <cell r="B616">
            <v>40360</v>
          </cell>
          <cell r="C616" t="str">
            <v>Future</v>
          </cell>
          <cell r="D616" t="e">
            <v>#N/A</v>
          </cell>
          <cell r="E616">
            <v>49.007716535433168</v>
          </cell>
          <cell r="F616">
            <v>69.55889763779561</v>
          </cell>
          <cell r="G616">
            <v>60.425039370078714</v>
          </cell>
          <cell r="H616">
            <v>60.425039370078714</v>
          </cell>
          <cell r="I616" t="e">
            <v>#N/A</v>
          </cell>
          <cell r="J616" t="e">
            <v>#N/A</v>
          </cell>
          <cell r="K616" t="e">
            <v>#N/A</v>
          </cell>
          <cell r="L616" t="e">
            <v>#N/A</v>
          </cell>
          <cell r="M616" t="e">
            <v>#N/A</v>
          </cell>
          <cell r="N616" t="e">
            <v>#N/A</v>
          </cell>
          <cell r="O616" t="e">
            <v>#N/A</v>
          </cell>
          <cell r="P616">
            <v>63.51</v>
          </cell>
          <cell r="Q616" t="str">
            <v/>
          </cell>
          <cell r="R616" t="e">
            <v>#N/A</v>
          </cell>
        </row>
        <row r="617">
          <cell r="A617">
            <v>40361</v>
          </cell>
          <cell r="B617">
            <v>40361</v>
          </cell>
          <cell r="C617" t="str">
            <v>Future</v>
          </cell>
          <cell r="D617" t="e">
            <v>#N/A</v>
          </cell>
          <cell r="E617">
            <v>48.75767716535443</v>
          </cell>
          <cell r="F617">
            <v>69.663188976378294</v>
          </cell>
          <cell r="G617">
            <v>60.371850393700761</v>
          </cell>
          <cell r="H617">
            <v>60.371850393700761</v>
          </cell>
          <cell r="I617" t="e">
            <v>#N/A</v>
          </cell>
          <cell r="J617" t="e">
            <v>#N/A</v>
          </cell>
          <cell r="K617" t="e">
            <v>#N/A</v>
          </cell>
          <cell r="L617" t="e">
            <v>#N/A</v>
          </cell>
          <cell r="M617" t="e">
            <v>#N/A</v>
          </cell>
          <cell r="N617" t="e">
            <v>#N/A</v>
          </cell>
          <cell r="O617" t="e">
            <v>#N/A</v>
          </cell>
          <cell r="P617">
            <v>63.51</v>
          </cell>
          <cell r="Q617" t="str">
            <v/>
          </cell>
          <cell r="R617" t="e">
            <v>#N/A</v>
          </cell>
        </row>
        <row r="618">
          <cell r="A618">
            <v>40365</v>
          </cell>
          <cell r="B618">
            <v>40365</v>
          </cell>
          <cell r="C618" t="str">
            <v>Future</v>
          </cell>
          <cell r="D618" t="e">
            <v>#N/A</v>
          </cell>
          <cell r="E618">
            <v>48.507637795275691</v>
          </cell>
          <cell r="F618">
            <v>69.767480314960977</v>
          </cell>
          <cell r="G618">
            <v>60.318661417322808</v>
          </cell>
          <cell r="H618">
            <v>60.318661417322808</v>
          </cell>
          <cell r="I618" t="e">
            <v>#N/A</v>
          </cell>
          <cell r="J618" t="e">
            <v>#N/A</v>
          </cell>
          <cell r="K618" t="e">
            <v>#N/A</v>
          </cell>
          <cell r="L618" t="e">
            <v>#N/A</v>
          </cell>
          <cell r="M618" t="e">
            <v>#N/A</v>
          </cell>
          <cell r="N618" t="e">
            <v>#N/A</v>
          </cell>
          <cell r="O618" t="e">
            <v>#N/A</v>
          </cell>
          <cell r="P618">
            <v>63.51</v>
          </cell>
          <cell r="Q618" t="str">
            <v/>
          </cell>
          <cell r="R618" t="e">
            <v>#N/A</v>
          </cell>
        </row>
        <row r="619">
          <cell r="A619">
            <v>40366</v>
          </cell>
          <cell r="B619">
            <v>40366</v>
          </cell>
          <cell r="C619" t="str">
            <v>Future</v>
          </cell>
          <cell r="D619" t="e">
            <v>#N/A</v>
          </cell>
          <cell r="E619">
            <v>48.257598425196953</v>
          </cell>
          <cell r="F619">
            <v>69.871771653543661</v>
          </cell>
          <cell r="G619">
            <v>60.265472440944855</v>
          </cell>
          <cell r="H619">
            <v>60.265472440944855</v>
          </cell>
          <cell r="I619" t="e">
            <v>#N/A</v>
          </cell>
          <cell r="J619" t="e">
            <v>#N/A</v>
          </cell>
          <cell r="K619" t="e">
            <v>#N/A</v>
          </cell>
          <cell r="L619" t="e">
            <v>#N/A</v>
          </cell>
          <cell r="M619" t="e">
            <v>#N/A</v>
          </cell>
          <cell r="N619" t="e">
            <v>#N/A</v>
          </cell>
          <cell r="O619" t="e">
            <v>#N/A</v>
          </cell>
          <cell r="P619">
            <v>63.51</v>
          </cell>
          <cell r="Q619" t="str">
            <v/>
          </cell>
          <cell r="R619" t="e">
            <v>#N/A</v>
          </cell>
        </row>
        <row r="620">
          <cell r="A620">
            <v>40367</v>
          </cell>
          <cell r="B620">
            <v>40367</v>
          </cell>
          <cell r="C620" t="str">
            <v>Future</v>
          </cell>
          <cell r="D620" t="e">
            <v>#N/A</v>
          </cell>
          <cell r="E620">
            <v>48.007559055118215</v>
          </cell>
          <cell r="F620">
            <v>69.976062992126344</v>
          </cell>
          <cell r="G620">
            <v>60.212283464566902</v>
          </cell>
          <cell r="H620">
            <v>60.212283464566902</v>
          </cell>
          <cell r="I620" t="e">
            <v>#N/A</v>
          </cell>
          <cell r="J620" t="e">
            <v>#N/A</v>
          </cell>
          <cell r="K620" t="e">
            <v>#N/A</v>
          </cell>
          <cell r="L620" t="e">
            <v>#N/A</v>
          </cell>
          <cell r="M620" t="e">
            <v>#N/A</v>
          </cell>
          <cell r="N620" t="e">
            <v>#N/A</v>
          </cell>
          <cell r="O620" t="e">
            <v>#N/A</v>
          </cell>
          <cell r="P620">
            <v>63.51</v>
          </cell>
          <cell r="Q620" t="str">
            <v/>
          </cell>
          <cell r="R620" t="e">
            <v>#N/A</v>
          </cell>
        </row>
        <row r="621">
          <cell r="A621">
            <v>40368</v>
          </cell>
          <cell r="B621">
            <v>40368</v>
          </cell>
          <cell r="C621" t="str">
            <v>Future</v>
          </cell>
          <cell r="D621" t="e">
            <v>#N/A</v>
          </cell>
          <cell r="E621">
            <v>47.757519685039476</v>
          </cell>
          <cell r="F621">
            <v>70.080354330709028</v>
          </cell>
          <cell r="G621">
            <v>60.159094488188948</v>
          </cell>
          <cell r="H621">
            <v>60.159094488188948</v>
          </cell>
          <cell r="I621" t="e">
            <v>#N/A</v>
          </cell>
          <cell r="J621" t="e">
            <v>#N/A</v>
          </cell>
          <cell r="K621" t="e">
            <v>#N/A</v>
          </cell>
          <cell r="L621" t="e">
            <v>#N/A</v>
          </cell>
          <cell r="M621" t="e">
            <v>#N/A</v>
          </cell>
          <cell r="N621" t="e">
            <v>#N/A</v>
          </cell>
          <cell r="O621" t="e">
            <v>#N/A</v>
          </cell>
          <cell r="P621">
            <v>63.51</v>
          </cell>
          <cell r="Q621" t="str">
            <v/>
          </cell>
          <cell r="R621" t="e">
            <v>#N/A</v>
          </cell>
        </row>
        <row r="622">
          <cell r="A622">
            <v>40371</v>
          </cell>
          <cell r="B622">
            <v>40371</v>
          </cell>
          <cell r="C622" t="str">
            <v>Future</v>
          </cell>
          <cell r="D622" t="e">
            <v>#N/A</v>
          </cell>
          <cell r="E622">
            <v>47.507480314960738</v>
          </cell>
          <cell r="F622">
            <v>70.184645669291712</v>
          </cell>
          <cell r="G622">
            <v>60.105905511810995</v>
          </cell>
          <cell r="H622">
            <v>60.105905511810995</v>
          </cell>
          <cell r="I622" t="e">
            <v>#N/A</v>
          </cell>
          <cell r="J622" t="e">
            <v>#N/A</v>
          </cell>
          <cell r="K622" t="e">
            <v>#N/A</v>
          </cell>
          <cell r="L622" t="e">
            <v>#N/A</v>
          </cell>
          <cell r="M622" t="e">
            <v>#N/A</v>
          </cell>
          <cell r="N622" t="e">
            <v>#N/A</v>
          </cell>
          <cell r="O622" t="e">
            <v>#N/A</v>
          </cell>
          <cell r="P622">
            <v>63.51</v>
          </cell>
          <cell r="Q622" t="str">
            <v/>
          </cell>
          <cell r="R622" t="e">
            <v>#N/A</v>
          </cell>
        </row>
        <row r="623">
          <cell r="A623">
            <v>40372</v>
          </cell>
          <cell r="B623">
            <v>40372</v>
          </cell>
          <cell r="C623" t="str">
            <v>Future</v>
          </cell>
          <cell r="D623" t="e">
            <v>#N/A</v>
          </cell>
          <cell r="E623">
            <v>47.257440944881999</v>
          </cell>
          <cell r="F623">
            <v>70.288937007874395</v>
          </cell>
          <cell r="G623">
            <v>60.052716535433042</v>
          </cell>
          <cell r="H623">
            <v>60.052716535433042</v>
          </cell>
          <cell r="I623" t="e">
            <v>#N/A</v>
          </cell>
          <cell r="J623" t="e">
            <v>#N/A</v>
          </cell>
          <cell r="K623" t="e">
            <v>#N/A</v>
          </cell>
          <cell r="L623" t="e">
            <v>#N/A</v>
          </cell>
          <cell r="M623" t="e">
            <v>#N/A</v>
          </cell>
          <cell r="N623" t="e">
            <v>#N/A</v>
          </cell>
          <cell r="O623" t="e">
            <v>#N/A</v>
          </cell>
          <cell r="P623">
            <v>63.51</v>
          </cell>
          <cell r="Q623" t="str">
            <v/>
          </cell>
          <cell r="R623" t="e">
            <v>#N/A</v>
          </cell>
        </row>
        <row r="624">
          <cell r="A624">
            <v>40373</v>
          </cell>
          <cell r="B624">
            <v>40373</v>
          </cell>
          <cell r="C624" t="str">
            <v>Future</v>
          </cell>
          <cell r="D624" t="e">
            <v>#N/A</v>
          </cell>
          <cell r="E624">
            <v>47.007401574803261</v>
          </cell>
          <cell r="F624">
            <v>70.393228346457079</v>
          </cell>
          <cell r="G624">
            <v>59.999527559055089</v>
          </cell>
          <cell r="H624">
            <v>59.999527559055089</v>
          </cell>
          <cell r="I624" t="e">
            <v>#N/A</v>
          </cell>
          <cell r="J624" t="e">
            <v>#N/A</v>
          </cell>
          <cell r="K624" t="e">
            <v>#N/A</v>
          </cell>
          <cell r="L624" t="e">
            <v>#N/A</v>
          </cell>
          <cell r="M624" t="e">
            <v>#N/A</v>
          </cell>
          <cell r="N624" t="e">
            <v>#N/A</v>
          </cell>
          <cell r="O624" t="e">
            <v>#N/A</v>
          </cell>
          <cell r="P624">
            <v>63.51</v>
          </cell>
          <cell r="Q624" t="str">
            <v/>
          </cell>
          <cell r="R624" t="e">
            <v>#N/A</v>
          </cell>
        </row>
        <row r="625">
          <cell r="A625">
            <v>40374</v>
          </cell>
          <cell r="B625">
            <v>40374</v>
          </cell>
          <cell r="C625" t="str">
            <v>Future</v>
          </cell>
          <cell r="D625" t="e">
            <v>#N/A</v>
          </cell>
          <cell r="E625">
            <v>46.757362204724522</v>
          </cell>
          <cell r="F625">
            <v>70.497519685039762</v>
          </cell>
          <cell r="G625">
            <v>59.946338582677136</v>
          </cell>
          <cell r="H625">
            <v>59.946338582677136</v>
          </cell>
          <cell r="I625" t="e">
            <v>#N/A</v>
          </cell>
          <cell r="J625" t="e">
            <v>#N/A</v>
          </cell>
          <cell r="K625" t="e">
            <v>#N/A</v>
          </cell>
          <cell r="L625" t="e">
            <v>#N/A</v>
          </cell>
          <cell r="M625" t="e">
            <v>#N/A</v>
          </cell>
          <cell r="N625" t="e">
            <v>#N/A</v>
          </cell>
          <cell r="O625" t="e">
            <v>#N/A</v>
          </cell>
          <cell r="P625">
            <v>63.51</v>
          </cell>
          <cell r="Q625" t="str">
            <v/>
          </cell>
          <cell r="R625" t="e">
            <v>#N/A</v>
          </cell>
        </row>
        <row r="626">
          <cell r="A626">
            <v>40375</v>
          </cell>
          <cell r="B626">
            <v>40375</v>
          </cell>
          <cell r="C626" t="str">
            <v>Future</v>
          </cell>
          <cell r="D626" t="e">
            <v>#N/A</v>
          </cell>
          <cell r="E626">
            <v>46.507322834645784</v>
          </cell>
          <cell r="F626">
            <v>70.601811023622446</v>
          </cell>
          <cell r="G626">
            <v>59.893149606299183</v>
          </cell>
          <cell r="H626">
            <v>59.893149606299183</v>
          </cell>
          <cell r="I626" t="e">
            <v>#N/A</v>
          </cell>
          <cell r="J626" t="e">
            <v>#N/A</v>
          </cell>
          <cell r="K626" t="e">
            <v>#N/A</v>
          </cell>
          <cell r="L626" t="e">
            <v>#N/A</v>
          </cell>
          <cell r="M626" t="e">
            <v>#N/A</v>
          </cell>
          <cell r="N626" t="e">
            <v>#N/A</v>
          </cell>
          <cell r="O626" t="e">
            <v>#N/A</v>
          </cell>
          <cell r="P626">
            <v>63.51</v>
          </cell>
          <cell r="Q626" t="str">
            <v/>
          </cell>
          <cell r="R626" t="e">
            <v>#N/A</v>
          </cell>
        </row>
        <row r="627">
          <cell r="A627">
            <v>40378</v>
          </cell>
          <cell r="B627">
            <v>40378</v>
          </cell>
          <cell r="C627" t="str">
            <v>Future</v>
          </cell>
          <cell r="D627" t="e">
            <v>#N/A</v>
          </cell>
          <cell r="E627">
            <v>46.257283464567045</v>
          </cell>
          <cell r="F627">
            <v>70.706102362205129</v>
          </cell>
          <cell r="G627">
            <v>59.839960629921229</v>
          </cell>
          <cell r="H627">
            <v>59.839960629921229</v>
          </cell>
          <cell r="I627" t="e">
            <v>#N/A</v>
          </cell>
          <cell r="J627" t="e">
            <v>#N/A</v>
          </cell>
          <cell r="K627" t="e">
            <v>#N/A</v>
          </cell>
          <cell r="L627" t="e">
            <v>#N/A</v>
          </cell>
          <cell r="M627" t="e">
            <v>#N/A</v>
          </cell>
          <cell r="N627" t="e">
            <v>#N/A</v>
          </cell>
          <cell r="O627" t="e">
            <v>#N/A</v>
          </cell>
          <cell r="P627">
            <v>63.51</v>
          </cell>
          <cell r="Q627" t="str">
            <v/>
          </cell>
          <cell r="R627" t="e">
            <v>#N/A</v>
          </cell>
        </row>
        <row r="628">
          <cell r="A628">
            <v>40379</v>
          </cell>
          <cell r="B628">
            <v>40379</v>
          </cell>
          <cell r="C628" t="str">
            <v>Future</v>
          </cell>
          <cell r="D628" t="e">
            <v>#N/A</v>
          </cell>
          <cell r="E628">
            <v>46.007244094488307</v>
          </cell>
          <cell r="F628">
            <v>70.810393700787813</v>
          </cell>
          <cell r="G628">
            <v>59.786771653543276</v>
          </cell>
          <cell r="H628">
            <v>59.786771653543276</v>
          </cell>
          <cell r="I628" t="e">
            <v>#N/A</v>
          </cell>
          <cell r="J628" t="e">
            <v>#N/A</v>
          </cell>
          <cell r="K628" t="e">
            <v>#N/A</v>
          </cell>
          <cell r="L628" t="e">
            <v>#N/A</v>
          </cell>
          <cell r="M628" t="e">
            <v>#N/A</v>
          </cell>
          <cell r="N628" t="e">
            <v>#N/A</v>
          </cell>
          <cell r="O628" t="e">
            <v>#N/A</v>
          </cell>
          <cell r="P628">
            <v>63.51</v>
          </cell>
          <cell r="Q628" t="str">
            <v/>
          </cell>
          <cell r="R628" t="e">
            <v>#N/A</v>
          </cell>
        </row>
        <row r="629">
          <cell r="A629">
            <v>40380</v>
          </cell>
          <cell r="B629">
            <v>40380</v>
          </cell>
          <cell r="C629" t="str">
            <v>Future</v>
          </cell>
          <cell r="D629" t="e">
            <v>#N/A</v>
          </cell>
          <cell r="E629">
            <v>45.757204724409569</v>
          </cell>
          <cell r="F629">
            <v>70.914685039370497</v>
          </cell>
          <cell r="G629">
            <v>59.733582677165323</v>
          </cell>
          <cell r="H629">
            <v>59.733582677165323</v>
          </cell>
          <cell r="I629" t="e">
            <v>#N/A</v>
          </cell>
          <cell r="J629" t="e">
            <v>#N/A</v>
          </cell>
          <cell r="K629" t="e">
            <v>#N/A</v>
          </cell>
          <cell r="L629" t="e">
            <v>#N/A</v>
          </cell>
          <cell r="M629" t="e">
            <v>#N/A</v>
          </cell>
          <cell r="N629" t="e">
            <v>#N/A</v>
          </cell>
          <cell r="O629" t="e">
            <v>#N/A</v>
          </cell>
          <cell r="P629">
            <v>63.51</v>
          </cell>
          <cell r="Q629" t="str">
            <v/>
          </cell>
          <cell r="R629" t="e">
            <v>#N/A</v>
          </cell>
        </row>
        <row r="630">
          <cell r="A630">
            <v>40381</v>
          </cell>
          <cell r="B630">
            <v>40381</v>
          </cell>
          <cell r="C630" t="str">
            <v>Future</v>
          </cell>
          <cell r="D630" t="e">
            <v>#N/A</v>
          </cell>
          <cell r="E630">
            <v>45.50716535433083</v>
          </cell>
          <cell r="F630">
            <v>71.01897637795318</v>
          </cell>
          <cell r="G630">
            <v>59.68039370078737</v>
          </cell>
          <cell r="H630">
            <v>59.68039370078737</v>
          </cell>
          <cell r="I630" t="e">
            <v>#N/A</v>
          </cell>
          <cell r="J630" t="e">
            <v>#N/A</v>
          </cell>
          <cell r="K630" t="e">
            <v>#N/A</v>
          </cell>
          <cell r="L630" t="e">
            <v>#N/A</v>
          </cell>
          <cell r="M630" t="e">
            <v>#N/A</v>
          </cell>
          <cell r="N630" t="e">
            <v>#N/A</v>
          </cell>
          <cell r="O630" t="e">
            <v>#N/A</v>
          </cell>
          <cell r="P630">
            <v>63.51</v>
          </cell>
          <cell r="Q630" t="str">
            <v/>
          </cell>
          <cell r="R630" t="e">
            <v>#N/A</v>
          </cell>
        </row>
        <row r="631">
          <cell r="A631">
            <v>40382</v>
          </cell>
          <cell r="B631">
            <v>40382</v>
          </cell>
          <cell r="C631" t="str">
            <v>Future</v>
          </cell>
          <cell r="D631" t="e">
            <v>#N/A</v>
          </cell>
          <cell r="E631">
            <v>45.257125984252092</v>
          </cell>
          <cell r="F631">
            <v>71.123267716535864</v>
          </cell>
          <cell r="G631">
            <v>59.627204724409417</v>
          </cell>
          <cell r="H631">
            <v>59.627204724409417</v>
          </cell>
          <cell r="I631" t="e">
            <v>#N/A</v>
          </cell>
          <cell r="J631" t="e">
            <v>#N/A</v>
          </cell>
          <cell r="K631" t="e">
            <v>#N/A</v>
          </cell>
          <cell r="L631" t="e">
            <v>#N/A</v>
          </cell>
          <cell r="M631" t="e">
            <v>#N/A</v>
          </cell>
          <cell r="N631" t="e">
            <v>#N/A</v>
          </cell>
          <cell r="O631" t="e">
            <v>#N/A</v>
          </cell>
          <cell r="P631">
            <v>63.51</v>
          </cell>
          <cell r="Q631" t="str">
            <v/>
          </cell>
          <cell r="R631" t="e">
            <v>#N/A</v>
          </cell>
        </row>
        <row r="632">
          <cell r="A632">
            <v>40385</v>
          </cell>
          <cell r="B632">
            <v>40385</v>
          </cell>
          <cell r="C632" t="str">
            <v>Future</v>
          </cell>
          <cell r="D632" t="e">
            <v>#N/A</v>
          </cell>
          <cell r="E632">
            <v>45.007086614173353</v>
          </cell>
          <cell r="F632">
            <v>71.227559055118547</v>
          </cell>
          <cell r="G632">
            <v>59.574015748031464</v>
          </cell>
          <cell r="H632">
            <v>59.574015748031464</v>
          </cell>
          <cell r="I632" t="e">
            <v>#N/A</v>
          </cell>
          <cell r="J632" t="e">
            <v>#N/A</v>
          </cell>
          <cell r="K632" t="e">
            <v>#N/A</v>
          </cell>
          <cell r="L632" t="e">
            <v>#N/A</v>
          </cell>
          <cell r="M632" t="e">
            <v>#N/A</v>
          </cell>
          <cell r="N632" t="e">
            <v>#N/A</v>
          </cell>
          <cell r="O632" t="e">
            <v>#N/A</v>
          </cell>
          <cell r="P632">
            <v>63.51</v>
          </cell>
          <cell r="Q632" t="str">
            <v/>
          </cell>
          <cell r="R632" t="e">
            <v>#N/A</v>
          </cell>
        </row>
        <row r="633">
          <cell r="A633">
            <v>40386</v>
          </cell>
          <cell r="B633">
            <v>40386</v>
          </cell>
          <cell r="C633" t="str">
            <v>Future</v>
          </cell>
          <cell r="D633" t="e">
            <v>#N/A</v>
          </cell>
          <cell r="E633">
            <v>44.757047244094615</v>
          </cell>
          <cell r="F633">
            <v>71.331850393701231</v>
          </cell>
          <cell r="G633">
            <v>59.52082677165351</v>
          </cell>
          <cell r="H633">
            <v>59.52082677165351</v>
          </cell>
          <cell r="I633" t="e">
            <v>#N/A</v>
          </cell>
          <cell r="J633" t="e">
            <v>#N/A</v>
          </cell>
          <cell r="K633" t="e">
            <v>#N/A</v>
          </cell>
          <cell r="L633" t="e">
            <v>#N/A</v>
          </cell>
          <cell r="M633" t="e">
            <v>#N/A</v>
          </cell>
          <cell r="N633" t="e">
            <v>#N/A</v>
          </cell>
          <cell r="O633" t="e">
            <v>#N/A</v>
          </cell>
          <cell r="P633">
            <v>63.51</v>
          </cell>
          <cell r="Q633" t="str">
            <v/>
          </cell>
          <cell r="R633" t="e">
            <v>#N/A</v>
          </cell>
        </row>
        <row r="634">
          <cell r="A634">
            <v>40387</v>
          </cell>
          <cell r="B634">
            <v>40387</v>
          </cell>
          <cell r="C634" t="str">
            <v>Future</v>
          </cell>
          <cell r="D634" t="e">
            <v>#N/A</v>
          </cell>
          <cell r="E634">
            <v>44.507007874015876</v>
          </cell>
          <cell r="F634">
            <v>71.436141732283915</v>
          </cell>
          <cell r="G634">
            <v>59.467637795275557</v>
          </cell>
          <cell r="H634">
            <v>59.467637795275557</v>
          </cell>
          <cell r="I634" t="e">
            <v>#N/A</v>
          </cell>
          <cell r="J634" t="e">
            <v>#N/A</v>
          </cell>
          <cell r="K634" t="e">
            <v>#N/A</v>
          </cell>
          <cell r="L634" t="e">
            <v>#N/A</v>
          </cell>
          <cell r="M634" t="e">
            <v>#N/A</v>
          </cell>
          <cell r="N634" t="e">
            <v>#N/A</v>
          </cell>
          <cell r="O634" t="e">
            <v>#N/A</v>
          </cell>
          <cell r="P634">
            <v>63.51</v>
          </cell>
          <cell r="Q634" t="str">
            <v/>
          </cell>
          <cell r="R634" t="e">
            <v>#N/A</v>
          </cell>
        </row>
        <row r="635">
          <cell r="A635">
            <v>40388</v>
          </cell>
          <cell r="B635">
            <v>40388</v>
          </cell>
          <cell r="C635" t="str">
            <v>Future</v>
          </cell>
          <cell r="D635" t="e">
            <v>#N/A</v>
          </cell>
          <cell r="E635">
            <v>44.256968503937138</v>
          </cell>
          <cell r="F635">
            <v>71.540433070866598</v>
          </cell>
          <cell r="G635">
            <v>59.414448818897604</v>
          </cell>
          <cell r="H635">
            <v>59.414448818897604</v>
          </cell>
          <cell r="I635" t="e">
            <v>#N/A</v>
          </cell>
          <cell r="J635" t="e">
            <v>#N/A</v>
          </cell>
          <cell r="K635" t="e">
            <v>#N/A</v>
          </cell>
          <cell r="L635" t="e">
            <v>#N/A</v>
          </cell>
          <cell r="M635" t="e">
            <v>#N/A</v>
          </cell>
          <cell r="N635" t="e">
            <v>#N/A</v>
          </cell>
          <cell r="O635" t="e">
            <v>#N/A</v>
          </cell>
          <cell r="P635">
            <v>63.51</v>
          </cell>
          <cell r="Q635" t="str">
            <v/>
          </cell>
          <cell r="R635" t="e">
            <v>#N/A</v>
          </cell>
        </row>
        <row r="636">
          <cell r="A636">
            <v>40389</v>
          </cell>
          <cell r="B636">
            <v>40389</v>
          </cell>
          <cell r="C636" t="str">
            <v>Future</v>
          </cell>
          <cell r="D636" t="e">
            <v>#N/A</v>
          </cell>
          <cell r="E636">
            <v>44.006929133858399</v>
          </cell>
          <cell r="F636">
            <v>71.644724409449282</v>
          </cell>
          <cell r="G636">
            <v>59.361259842519651</v>
          </cell>
          <cell r="H636">
            <v>59.361259842519651</v>
          </cell>
          <cell r="I636" t="e">
            <v>#N/A</v>
          </cell>
          <cell r="J636" t="e">
            <v>#N/A</v>
          </cell>
          <cell r="K636" t="e">
            <v>#N/A</v>
          </cell>
          <cell r="L636" t="e">
            <v>#N/A</v>
          </cell>
          <cell r="M636" t="e">
            <v>#N/A</v>
          </cell>
          <cell r="N636" t="e">
            <v>#N/A</v>
          </cell>
          <cell r="O636" t="e">
            <v>#N/A</v>
          </cell>
          <cell r="P636">
            <v>63.51</v>
          </cell>
          <cell r="Q636" t="str">
            <v/>
          </cell>
          <cell r="R636" t="e">
            <v>#N/A</v>
          </cell>
        </row>
        <row r="637">
          <cell r="A637">
            <v>40392</v>
          </cell>
          <cell r="B637">
            <v>40392</v>
          </cell>
          <cell r="C637" t="str">
            <v>Future</v>
          </cell>
          <cell r="D637" t="e">
            <v>#N/A</v>
          </cell>
          <cell r="E637">
            <v>43.756889763779661</v>
          </cell>
          <cell r="F637">
            <v>71.749015748031965</v>
          </cell>
          <cell r="G637">
            <v>59.308070866141698</v>
          </cell>
          <cell r="H637">
            <v>59.308070866141698</v>
          </cell>
          <cell r="I637" t="e">
            <v>#N/A</v>
          </cell>
          <cell r="J637" t="e">
            <v>#N/A</v>
          </cell>
          <cell r="K637" t="e">
            <v>#N/A</v>
          </cell>
          <cell r="L637" t="e">
            <v>#N/A</v>
          </cell>
          <cell r="M637" t="e">
            <v>#N/A</v>
          </cell>
          <cell r="N637" t="e">
            <v>#N/A</v>
          </cell>
          <cell r="O637" t="e">
            <v>#N/A</v>
          </cell>
          <cell r="P637">
            <v>63.51</v>
          </cell>
          <cell r="Q637" t="str">
            <v/>
          </cell>
          <cell r="R637" t="e">
            <v>#N/A</v>
          </cell>
        </row>
        <row r="638">
          <cell r="A638">
            <v>40393</v>
          </cell>
          <cell r="B638">
            <v>40393</v>
          </cell>
          <cell r="C638" t="str">
            <v>Future</v>
          </cell>
          <cell r="D638" t="e">
            <v>#N/A</v>
          </cell>
          <cell r="E638">
            <v>43.506850393700923</v>
          </cell>
          <cell r="F638">
            <v>71.853307086614649</v>
          </cell>
          <cell r="G638">
            <v>59.254881889763745</v>
          </cell>
          <cell r="H638">
            <v>59.254881889763745</v>
          </cell>
          <cell r="I638" t="e">
            <v>#N/A</v>
          </cell>
          <cell r="J638" t="e">
            <v>#N/A</v>
          </cell>
          <cell r="K638" t="e">
            <v>#N/A</v>
          </cell>
          <cell r="L638" t="e">
            <v>#N/A</v>
          </cell>
          <cell r="M638" t="e">
            <v>#N/A</v>
          </cell>
          <cell r="N638" t="e">
            <v>#N/A</v>
          </cell>
          <cell r="O638" t="e">
            <v>#N/A</v>
          </cell>
          <cell r="P638">
            <v>63.51</v>
          </cell>
          <cell r="Q638" t="str">
            <v/>
          </cell>
          <cell r="R638" t="e">
            <v>#N/A</v>
          </cell>
        </row>
        <row r="639">
          <cell r="A639">
            <v>40394</v>
          </cell>
          <cell r="B639">
            <v>40394</v>
          </cell>
          <cell r="C639" t="str">
            <v>Future</v>
          </cell>
          <cell r="D639" t="e">
            <v>#N/A</v>
          </cell>
          <cell r="E639">
            <v>43.256811023622184</v>
          </cell>
          <cell r="F639">
            <v>71.957598425197332</v>
          </cell>
          <cell r="G639">
            <v>59.201692913385791</v>
          </cell>
          <cell r="H639">
            <v>59.201692913385791</v>
          </cell>
          <cell r="I639" t="e">
            <v>#N/A</v>
          </cell>
          <cell r="J639" t="e">
            <v>#N/A</v>
          </cell>
          <cell r="K639" t="e">
            <v>#N/A</v>
          </cell>
          <cell r="L639" t="e">
            <v>#N/A</v>
          </cell>
          <cell r="M639" t="e">
            <v>#N/A</v>
          </cell>
          <cell r="N639" t="e">
            <v>#N/A</v>
          </cell>
          <cell r="O639" t="e">
            <v>#N/A</v>
          </cell>
          <cell r="P639">
            <v>63.51</v>
          </cell>
          <cell r="Q639" t="str">
            <v/>
          </cell>
          <cell r="R639" t="e">
            <v>#N/A</v>
          </cell>
        </row>
        <row r="640">
          <cell r="A640">
            <v>40395</v>
          </cell>
          <cell r="B640">
            <v>40395</v>
          </cell>
          <cell r="C640" t="str">
            <v>Future</v>
          </cell>
          <cell r="D640" t="e">
            <v>#N/A</v>
          </cell>
          <cell r="E640">
            <v>43.006771653543446</v>
          </cell>
          <cell r="F640">
            <v>72.061889763780016</v>
          </cell>
          <cell r="G640">
            <v>59.148503937007838</v>
          </cell>
          <cell r="H640">
            <v>59.148503937007838</v>
          </cell>
          <cell r="I640" t="e">
            <v>#N/A</v>
          </cell>
          <cell r="J640" t="e">
            <v>#N/A</v>
          </cell>
          <cell r="K640" t="e">
            <v>#N/A</v>
          </cell>
          <cell r="L640" t="e">
            <v>#N/A</v>
          </cell>
          <cell r="M640" t="e">
            <v>#N/A</v>
          </cell>
          <cell r="N640" t="e">
            <v>#N/A</v>
          </cell>
          <cell r="O640" t="e">
            <v>#N/A</v>
          </cell>
          <cell r="P640">
            <v>63.51</v>
          </cell>
          <cell r="Q640" t="str">
            <v/>
          </cell>
          <cell r="R640" t="e">
            <v>#N/A</v>
          </cell>
        </row>
        <row r="641">
          <cell r="A641">
            <v>40396</v>
          </cell>
          <cell r="B641">
            <v>40396</v>
          </cell>
          <cell r="C641" t="str">
            <v>Future</v>
          </cell>
          <cell r="D641" t="e">
            <v>#N/A</v>
          </cell>
          <cell r="E641">
            <v>42.756732283464707</v>
          </cell>
          <cell r="F641">
            <v>72.1661811023627</v>
          </cell>
          <cell r="G641">
            <v>59.095314960629885</v>
          </cell>
          <cell r="H641">
            <v>59.095314960629885</v>
          </cell>
          <cell r="I641" t="e">
            <v>#N/A</v>
          </cell>
          <cell r="J641" t="e">
            <v>#N/A</v>
          </cell>
          <cell r="K641" t="e">
            <v>#N/A</v>
          </cell>
          <cell r="L641" t="e">
            <v>#N/A</v>
          </cell>
          <cell r="M641" t="e">
            <v>#N/A</v>
          </cell>
          <cell r="N641" t="e">
            <v>#N/A</v>
          </cell>
          <cell r="O641" t="e">
            <v>#N/A</v>
          </cell>
          <cell r="P641">
            <v>63.51</v>
          </cell>
          <cell r="Q641" t="str">
            <v/>
          </cell>
          <cell r="R641" t="e">
            <v>#N/A</v>
          </cell>
        </row>
        <row r="642">
          <cell r="A642">
            <v>40399</v>
          </cell>
          <cell r="B642">
            <v>40399</v>
          </cell>
          <cell r="C642" t="str">
            <v>Future</v>
          </cell>
          <cell r="D642" t="e">
            <v>#N/A</v>
          </cell>
          <cell r="E642">
            <v>42.506692913385969</v>
          </cell>
          <cell r="F642">
            <v>72.270472440945383</v>
          </cell>
          <cell r="G642">
            <v>59.042125984251932</v>
          </cell>
          <cell r="H642">
            <v>59.042125984251932</v>
          </cell>
          <cell r="I642" t="e">
            <v>#N/A</v>
          </cell>
          <cell r="J642" t="e">
            <v>#N/A</v>
          </cell>
          <cell r="K642" t="e">
            <v>#N/A</v>
          </cell>
          <cell r="L642" t="e">
            <v>#N/A</v>
          </cell>
          <cell r="M642" t="e">
            <v>#N/A</v>
          </cell>
          <cell r="N642" t="e">
            <v>#N/A</v>
          </cell>
          <cell r="O642" t="e">
            <v>#N/A</v>
          </cell>
          <cell r="P642">
            <v>63.51</v>
          </cell>
          <cell r="Q642" t="str">
            <v/>
          </cell>
          <cell r="R642" t="e">
            <v>#N/A</v>
          </cell>
        </row>
        <row r="643">
          <cell r="A643">
            <v>40400</v>
          </cell>
          <cell r="B643">
            <v>40400</v>
          </cell>
          <cell r="C643" t="str">
            <v>Future</v>
          </cell>
          <cell r="D643" t="e">
            <v>#N/A</v>
          </cell>
          <cell r="E643">
            <v>42.25665354330723</v>
          </cell>
          <cell r="F643">
            <v>72.374763779528067</v>
          </cell>
          <cell r="G643">
            <v>58.988937007873979</v>
          </cell>
          <cell r="H643">
            <v>58.988937007873979</v>
          </cell>
          <cell r="I643" t="e">
            <v>#N/A</v>
          </cell>
          <cell r="J643" t="e">
            <v>#N/A</v>
          </cell>
          <cell r="K643" t="e">
            <v>#N/A</v>
          </cell>
          <cell r="L643" t="e">
            <v>#N/A</v>
          </cell>
          <cell r="M643" t="e">
            <v>#N/A</v>
          </cell>
          <cell r="N643" t="e">
            <v>#N/A</v>
          </cell>
          <cell r="O643" t="e">
            <v>#N/A</v>
          </cell>
          <cell r="P643">
            <v>63.51</v>
          </cell>
          <cell r="Q643" t="str">
            <v/>
          </cell>
          <cell r="R643" t="e">
            <v>#N/A</v>
          </cell>
        </row>
        <row r="644">
          <cell r="A644">
            <v>40401</v>
          </cell>
          <cell r="B644">
            <v>40401</v>
          </cell>
          <cell r="C644" t="str">
            <v>Future</v>
          </cell>
          <cell r="D644" t="e">
            <v>#N/A</v>
          </cell>
          <cell r="E644">
            <v>42.006614173228492</v>
          </cell>
          <cell r="F644">
            <v>72.47905511811075</v>
          </cell>
          <cell r="G644">
            <v>58.935748031496026</v>
          </cell>
          <cell r="H644">
            <v>58.935748031496026</v>
          </cell>
          <cell r="I644" t="e">
            <v>#N/A</v>
          </cell>
          <cell r="J644" t="e">
            <v>#N/A</v>
          </cell>
          <cell r="K644" t="e">
            <v>#N/A</v>
          </cell>
          <cell r="L644" t="e">
            <v>#N/A</v>
          </cell>
          <cell r="M644" t="e">
            <v>#N/A</v>
          </cell>
          <cell r="N644" t="e">
            <v>#N/A</v>
          </cell>
          <cell r="O644" t="e">
            <v>#N/A</v>
          </cell>
          <cell r="P644">
            <v>63.51</v>
          </cell>
          <cell r="Q644" t="str">
            <v/>
          </cell>
          <cell r="R644" t="e">
            <v>#N/A</v>
          </cell>
        </row>
        <row r="645">
          <cell r="A645">
            <v>40402</v>
          </cell>
          <cell r="B645">
            <v>40402</v>
          </cell>
          <cell r="C645" t="str">
            <v>Future</v>
          </cell>
          <cell r="D645" t="e">
            <v>#N/A</v>
          </cell>
          <cell r="E645">
            <v>41.756574803149753</v>
          </cell>
          <cell r="F645">
            <v>72.583346456693434</v>
          </cell>
          <cell r="G645">
            <v>58.882559055118072</v>
          </cell>
          <cell r="H645">
            <v>58.882559055118072</v>
          </cell>
          <cell r="I645" t="e">
            <v>#N/A</v>
          </cell>
          <cell r="J645" t="e">
            <v>#N/A</v>
          </cell>
          <cell r="K645" t="e">
            <v>#N/A</v>
          </cell>
          <cell r="L645" t="e">
            <v>#N/A</v>
          </cell>
          <cell r="M645" t="e">
            <v>#N/A</v>
          </cell>
          <cell r="N645" t="e">
            <v>#N/A</v>
          </cell>
          <cell r="O645" t="e">
            <v>#N/A</v>
          </cell>
          <cell r="P645">
            <v>63.51</v>
          </cell>
          <cell r="Q645" t="str">
            <v/>
          </cell>
          <cell r="R645" t="e">
            <v>#N/A</v>
          </cell>
        </row>
        <row r="646">
          <cell r="A646">
            <v>40403</v>
          </cell>
          <cell r="B646">
            <v>40403</v>
          </cell>
          <cell r="C646" t="str">
            <v>Future</v>
          </cell>
          <cell r="D646" t="e">
            <v>#N/A</v>
          </cell>
          <cell r="E646">
            <v>41.506535433071015</v>
          </cell>
          <cell r="F646">
            <v>72.687637795276117</v>
          </cell>
          <cell r="G646">
            <v>58.829370078740119</v>
          </cell>
          <cell r="H646">
            <v>58.829370078740119</v>
          </cell>
          <cell r="I646" t="e">
            <v>#N/A</v>
          </cell>
          <cell r="J646" t="e">
            <v>#N/A</v>
          </cell>
          <cell r="K646" t="e">
            <v>#N/A</v>
          </cell>
          <cell r="L646" t="e">
            <v>#N/A</v>
          </cell>
          <cell r="M646" t="e">
            <v>#N/A</v>
          </cell>
          <cell r="N646" t="e">
            <v>#N/A</v>
          </cell>
          <cell r="O646" t="e">
            <v>#N/A</v>
          </cell>
          <cell r="P646">
            <v>63.51</v>
          </cell>
          <cell r="Q646" t="str">
            <v/>
          </cell>
          <cell r="R646" t="e">
            <v>#N/A</v>
          </cell>
        </row>
        <row r="647">
          <cell r="A647">
            <v>40406</v>
          </cell>
          <cell r="B647">
            <v>40406</v>
          </cell>
          <cell r="C647" t="str">
            <v>Future</v>
          </cell>
          <cell r="D647" t="e">
            <v>#N/A</v>
          </cell>
          <cell r="E647">
            <v>41.256496062992277</v>
          </cell>
          <cell r="F647">
            <v>72.791929133858801</v>
          </cell>
          <cell r="G647">
            <v>58.776181102362166</v>
          </cell>
          <cell r="H647">
            <v>58.776181102362166</v>
          </cell>
          <cell r="I647" t="e">
            <v>#N/A</v>
          </cell>
          <cell r="J647" t="e">
            <v>#N/A</v>
          </cell>
          <cell r="K647" t="e">
            <v>#N/A</v>
          </cell>
          <cell r="L647" t="e">
            <v>#N/A</v>
          </cell>
          <cell r="M647" t="e">
            <v>#N/A</v>
          </cell>
          <cell r="N647" t="e">
            <v>#N/A</v>
          </cell>
          <cell r="O647" t="e">
            <v>#N/A</v>
          </cell>
          <cell r="P647">
            <v>63.51</v>
          </cell>
          <cell r="Q647" t="str">
            <v/>
          </cell>
          <cell r="R647" t="e">
            <v>#N/A</v>
          </cell>
        </row>
        <row r="648">
          <cell r="A648">
            <v>40407</v>
          </cell>
          <cell r="B648">
            <v>40407</v>
          </cell>
          <cell r="C648" t="str">
            <v>Future</v>
          </cell>
          <cell r="D648" t="e">
            <v>#N/A</v>
          </cell>
          <cell r="E648">
            <v>41.006456692913538</v>
          </cell>
          <cell r="F648">
            <v>72.896220472441485</v>
          </cell>
          <cell r="G648">
            <v>58.722992125984213</v>
          </cell>
          <cell r="H648">
            <v>58.722992125984213</v>
          </cell>
          <cell r="I648" t="e">
            <v>#N/A</v>
          </cell>
          <cell r="J648" t="e">
            <v>#N/A</v>
          </cell>
          <cell r="K648" t="e">
            <v>#N/A</v>
          </cell>
          <cell r="L648" t="e">
            <v>#N/A</v>
          </cell>
          <cell r="M648" t="e">
            <v>#N/A</v>
          </cell>
          <cell r="N648" t="e">
            <v>#N/A</v>
          </cell>
          <cell r="O648" t="e">
            <v>#N/A</v>
          </cell>
          <cell r="P648">
            <v>63.51</v>
          </cell>
          <cell r="Q648" t="str">
            <v/>
          </cell>
          <cell r="R648" t="e">
            <v>#N/A</v>
          </cell>
        </row>
        <row r="649">
          <cell r="A649">
            <v>40408</v>
          </cell>
          <cell r="B649">
            <v>40408</v>
          </cell>
          <cell r="C649" t="str">
            <v>Future</v>
          </cell>
          <cell r="D649" t="e">
            <v>#N/A</v>
          </cell>
          <cell r="E649">
            <v>40.7564173228348</v>
          </cell>
          <cell r="F649">
            <v>73.000511811024168</v>
          </cell>
          <cell r="G649">
            <v>58.66980314960626</v>
          </cell>
          <cell r="H649">
            <v>58.66980314960626</v>
          </cell>
          <cell r="I649" t="e">
            <v>#N/A</v>
          </cell>
          <cell r="J649" t="e">
            <v>#N/A</v>
          </cell>
          <cell r="K649" t="e">
            <v>#N/A</v>
          </cell>
          <cell r="L649" t="e">
            <v>#N/A</v>
          </cell>
          <cell r="M649" t="e">
            <v>#N/A</v>
          </cell>
          <cell r="N649" t="e">
            <v>#N/A</v>
          </cell>
          <cell r="O649" t="e">
            <v>#N/A</v>
          </cell>
          <cell r="P649">
            <v>63.51</v>
          </cell>
          <cell r="Q649" t="str">
            <v/>
          </cell>
          <cell r="R649" t="e">
            <v>#N/A</v>
          </cell>
        </row>
        <row r="650">
          <cell r="A650">
            <v>40409</v>
          </cell>
          <cell r="B650">
            <v>40409</v>
          </cell>
          <cell r="C650" t="str">
            <v>Future</v>
          </cell>
          <cell r="D650" t="e">
            <v>#N/A</v>
          </cell>
          <cell r="E650">
            <v>40.506377952756061</v>
          </cell>
          <cell r="F650">
            <v>73.104803149606852</v>
          </cell>
          <cell r="G650">
            <v>58.616614173228307</v>
          </cell>
          <cell r="H650">
            <v>58.616614173228307</v>
          </cell>
          <cell r="I650" t="e">
            <v>#N/A</v>
          </cell>
          <cell r="J650" t="e">
            <v>#N/A</v>
          </cell>
          <cell r="K650" t="e">
            <v>#N/A</v>
          </cell>
          <cell r="L650" t="e">
            <v>#N/A</v>
          </cell>
          <cell r="M650" t="e">
            <v>#N/A</v>
          </cell>
          <cell r="N650" t="e">
            <v>#N/A</v>
          </cell>
          <cell r="O650" t="e">
            <v>#N/A</v>
          </cell>
          <cell r="P650">
            <v>63.51</v>
          </cell>
          <cell r="Q650" t="str">
            <v/>
          </cell>
          <cell r="R650" t="e">
            <v>#N/A</v>
          </cell>
        </row>
        <row r="651">
          <cell r="A651">
            <v>40410</v>
          </cell>
          <cell r="B651">
            <v>40410</v>
          </cell>
          <cell r="C651" t="str">
            <v>Future</v>
          </cell>
          <cell r="D651" t="e">
            <v>#N/A</v>
          </cell>
          <cell r="E651">
            <v>40.256338582677323</v>
          </cell>
          <cell r="F651">
            <v>73.209094488189535</v>
          </cell>
          <cell r="G651">
            <v>58.563425196850353</v>
          </cell>
          <cell r="H651">
            <v>58.563425196850353</v>
          </cell>
          <cell r="I651" t="e">
            <v>#N/A</v>
          </cell>
          <cell r="J651" t="e">
            <v>#N/A</v>
          </cell>
          <cell r="K651" t="e">
            <v>#N/A</v>
          </cell>
          <cell r="L651" t="e">
            <v>#N/A</v>
          </cell>
          <cell r="M651" t="e">
            <v>#N/A</v>
          </cell>
          <cell r="N651" t="e">
            <v>#N/A</v>
          </cell>
          <cell r="O651" t="e">
            <v>#N/A</v>
          </cell>
          <cell r="P651">
            <v>63.51</v>
          </cell>
          <cell r="Q651" t="str">
            <v/>
          </cell>
          <cell r="R651" t="e">
            <v>#N/A</v>
          </cell>
        </row>
        <row r="652">
          <cell r="A652">
            <v>40413</v>
          </cell>
          <cell r="B652">
            <v>40413</v>
          </cell>
          <cell r="C652" t="str">
            <v>Future</v>
          </cell>
          <cell r="D652" t="e">
            <v>#N/A</v>
          </cell>
          <cell r="E652">
            <v>40.006299212598584</v>
          </cell>
          <cell r="F652">
            <v>73.313385826772219</v>
          </cell>
          <cell r="G652">
            <v>58.5102362204724</v>
          </cell>
          <cell r="H652">
            <v>58.5102362204724</v>
          </cell>
          <cell r="I652" t="e">
            <v>#N/A</v>
          </cell>
          <cell r="J652" t="e">
            <v>#N/A</v>
          </cell>
          <cell r="K652" t="e">
            <v>#N/A</v>
          </cell>
          <cell r="L652" t="e">
            <v>#N/A</v>
          </cell>
          <cell r="M652" t="e">
            <v>#N/A</v>
          </cell>
          <cell r="N652" t="e">
            <v>#N/A</v>
          </cell>
          <cell r="O652" t="e">
            <v>#N/A</v>
          </cell>
          <cell r="P652">
            <v>63.51</v>
          </cell>
          <cell r="Q652" t="str">
            <v/>
          </cell>
          <cell r="R652" t="e">
            <v>#N/A</v>
          </cell>
        </row>
        <row r="653">
          <cell r="A653">
            <v>40414</v>
          </cell>
          <cell r="B653">
            <v>40414</v>
          </cell>
          <cell r="C653" t="str">
            <v>Future</v>
          </cell>
          <cell r="D653" t="e">
            <v>#N/A</v>
          </cell>
          <cell r="E653">
            <v>39.756259842519846</v>
          </cell>
          <cell r="F653">
            <v>73.417677165354903</v>
          </cell>
          <cell r="G653">
            <v>58.457047244094447</v>
          </cell>
          <cell r="H653">
            <v>58.457047244094447</v>
          </cell>
          <cell r="I653" t="e">
            <v>#N/A</v>
          </cell>
          <cell r="J653" t="e">
            <v>#N/A</v>
          </cell>
          <cell r="K653" t="e">
            <v>#N/A</v>
          </cell>
          <cell r="L653" t="e">
            <v>#N/A</v>
          </cell>
          <cell r="M653" t="e">
            <v>#N/A</v>
          </cell>
          <cell r="N653" t="e">
            <v>#N/A</v>
          </cell>
          <cell r="O653" t="e">
            <v>#N/A</v>
          </cell>
          <cell r="P653">
            <v>63.51</v>
          </cell>
          <cell r="Q653" t="str">
            <v/>
          </cell>
          <cell r="R653" t="e">
            <v>#N/A</v>
          </cell>
        </row>
        <row r="654">
          <cell r="A654">
            <v>40415</v>
          </cell>
          <cell r="B654">
            <v>40415</v>
          </cell>
          <cell r="C654" t="str">
            <v>Future</v>
          </cell>
          <cell r="D654" t="e">
            <v>#N/A</v>
          </cell>
          <cell r="E654">
            <v>39.506220472441107</v>
          </cell>
          <cell r="F654">
            <v>73.521968503937586</v>
          </cell>
          <cell r="G654">
            <v>58.403858267716494</v>
          </cell>
          <cell r="H654">
            <v>58.403858267716494</v>
          </cell>
          <cell r="I654" t="e">
            <v>#N/A</v>
          </cell>
          <cell r="J654" t="e">
            <v>#N/A</v>
          </cell>
          <cell r="K654" t="e">
            <v>#N/A</v>
          </cell>
          <cell r="L654" t="e">
            <v>#N/A</v>
          </cell>
          <cell r="M654" t="e">
            <v>#N/A</v>
          </cell>
          <cell r="N654" t="e">
            <v>#N/A</v>
          </cell>
          <cell r="O654" t="e">
            <v>#N/A</v>
          </cell>
          <cell r="P654">
            <v>63.51</v>
          </cell>
          <cell r="Q654" t="str">
            <v/>
          </cell>
          <cell r="R654" t="e">
            <v>#N/A</v>
          </cell>
        </row>
        <row r="655">
          <cell r="A655">
            <v>40416</v>
          </cell>
          <cell r="B655">
            <v>40416</v>
          </cell>
          <cell r="C655" t="str">
            <v>Future</v>
          </cell>
          <cell r="D655" t="e">
            <v>#N/A</v>
          </cell>
          <cell r="E655">
            <v>39.256181102362369</v>
          </cell>
          <cell r="F655">
            <v>73.62625984252027</v>
          </cell>
          <cell r="G655">
            <v>58.350669291338541</v>
          </cell>
          <cell r="H655">
            <v>58.350669291338541</v>
          </cell>
          <cell r="I655" t="e">
            <v>#N/A</v>
          </cell>
          <cell r="J655" t="e">
            <v>#N/A</v>
          </cell>
          <cell r="K655" t="e">
            <v>#N/A</v>
          </cell>
          <cell r="L655" t="e">
            <v>#N/A</v>
          </cell>
          <cell r="M655" t="e">
            <v>#N/A</v>
          </cell>
          <cell r="N655" t="e">
            <v>#N/A</v>
          </cell>
          <cell r="O655" t="e">
            <v>#N/A</v>
          </cell>
          <cell r="P655">
            <v>63.51</v>
          </cell>
          <cell r="Q655" t="str">
            <v/>
          </cell>
          <cell r="R655" t="e">
            <v>#N/A</v>
          </cell>
        </row>
        <row r="656">
          <cell r="A656">
            <v>40417</v>
          </cell>
          <cell r="B656">
            <v>40417</v>
          </cell>
          <cell r="C656" t="str">
            <v>Future</v>
          </cell>
          <cell r="D656" t="e">
            <v>#N/A</v>
          </cell>
          <cell r="E656">
            <v>39.006141732283631</v>
          </cell>
          <cell r="F656">
            <v>73.730551181102953</v>
          </cell>
          <cell r="G656">
            <v>58.297480314960588</v>
          </cell>
          <cell r="H656">
            <v>58.297480314960588</v>
          </cell>
          <cell r="I656" t="e">
            <v>#N/A</v>
          </cell>
          <cell r="J656" t="e">
            <v>#N/A</v>
          </cell>
          <cell r="K656" t="e">
            <v>#N/A</v>
          </cell>
          <cell r="L656" t="e">
            <v>#N/A</v>
          </cell>
          <cell r="M656" t="e">
            <v>#N/A</v>
          </cell>
          <cell r="N656" t="e">
            <v>#N/A</v>
          </cell>
          <cell r="O656" t="e">
            <v>#N/A</v>
          </cell>
          <cell r="P656">
            <v>63.51</v>
          </cell>
          <cell r="Q656" t="str">
            <v/>
          </cell>
          <cell r="R656" t="e">
            <v>#N/A</v>
          </cell>
        </row>
        <row r="657">
          <cell r="A657">
            <v>40420</v>
          </cell>
          <cell r="B657">
            <v>40420</v>
          </cell>
          <cell r="C657" t="str">
            <v>Future</v>
          </cell>
          <cell r="D657" t="e">
            <v>#N/A</v>
          </cell>
          <cell r="E657">
            <v>38.756102362204892</v>
          </cell>
          <cell r="F657">
            <v>73.834842519685637</v>
          </cell>
          <cell r="G657">
            <v>58.244291338582634</v>
          </cell>
          <cell r="H657">
            <v>58.244291338582634</v>
          </cell>
          <cell r="I657" t="e">
            <v>#N/A</v>
          </cell>
          <cell r="J657" t="e">
            <v>#N/A</v>
          </cell>
          <cell r="K657" t="e">
            <v>#N/A</v>
          </cell>
          <cell r="L657" t="e">
            <v>#N/A</v>
          </cell>
          <cell r="M657" t="e">
            <v>#N/A</v>
          </cell>
          <cell r="N657" t="e">
            <v>#N/A</v>
          </cell>
          <cell r="O657" t="e">
            <v>#N/A</v>
          </cell>
          <cell r="P657">
            <v>63.51</v>
          </cell>
          <cell r="Q657" t="str">
            <v/>
          </cell>
          <cell r="R657" t="e">
            <v>#N/A</v>
          </cell>
        </row>
        <row r="658">
          <cell r="A658">
            <v>40421</v>
          </cell>
          <cell r="B658">
            <v>40421</v>
          </cell>
          <cell r="C658" t="str">
            <v>Future</v>
          </cell>
          <cell r="D658" t="e">
            <v>#N/A</v>
          </cell>
          <cell r="E658">
            <v>38.506062992126154</v>
          </cell>
          <cell r="F658">
            <v>73.93913385826832</v>
          </cell>
          <cell r="G658">
            <v>58.191102362204681</v>
          </cell>
          <cell r="H658">
            <v>58.191102362204681</v>
          </cell>
          <cell r="I658" t="e">
            <v>#N/A</v>
          </cell>
          <cell r="J658" t="e">
            <v>#N/A</v>
          </cell>
          <cell r="K658" t="e">
            <v>#N/A</v>
          </cell>
          <cell r="L658" t="e">
            <v>#N/A</v>
          </cell>
          <cell r="M658" t="e">
            <v>#N/A</v>
          </cell>
          <cell r="N658" t="e">
            <v>#N/A</v>
          </cell>
          <cell r="O658" t="e">
            <v>#N/A</v>
          </cell>
          <cell r="P658">
            <v>63.51</v>
          </cell>
          <cell r="Q658" t="str">
            <v/>
          </cell>
          <cell r="R658" t="e">
            <v>#N/A</v>
          </cell>
        </row>
        <row r="659">
          <cell r="A659">
            <v>40422</v>
          </cell>
          <cell r="B659">
            <v>40422</v>
          </cell>
          <cell r="C659" t="str">
            <v>Future</v>
          </cell>
          <cell r="D659" t="e">
            <v>#N/A</v>
          </cell>
          <cell r="E659">
            <v>38.256023622047415</v>
          </cell>
          <cell r="F659">
            <v>74.043425196851004</v>
          </cell>
          <cell r="G659">
            <v>58.137913385826728</v>
          </cell>
          <cell r="H659">
            <v>58.137913385826728</v>
          </cell>
          <cell r="I659" t="e">
            <v>#N/A</v>
          </cell>
          <cell r="J659" t="e">
            <v>#N/A</v>
          </cell>
          <cell r="K659" t="e">
            <v>#N/A</v>
          </cell>
          <cell r="L659" t="e">
            <v>#N/A</v>
          </cell>
          <cell r="M659" t="e">
            <v>#N/A</v>
          </cell>
          <cell r="N659" t="e">
            <v>#N/A</v>
          </cell>
          <cell r="O659" t="e">
            <v>#N/A</v>
          </cell>
          <cell r="P659">
            <v>63.51</v>
          </cell>
          <cell r="Q659" t="str">
            <v/>
          </cell>
          <cell r="R659" t="e">
            <v>#N/A</v>
          </cell>
        </row>
        <row r="660">
          <cell r="A660">
            <v>40423</v>
          </cell>
          <cell r="B660">
            <v>40423</v>
          </cell>
          <cell r="C660" t="str">
            <v>Future</v>
          </cell>
          <cell r="D660" t="e">
            <v>#N/A</v>
          </cell>
          <cell r="E660">
            <v>38.005984251968677</v>
          </cell>
          <cell r="F660">
            <v>74.147716535433688</v>
          </cell>
          <cell r="G660">
            <v>58.084724409448775</v>
          </cell>
          <cell r="H660">
            <v>58.084724409448775</v>
          </cell>
          <cell r="I660" t="e">
            <v>#N/A</v>
          </cell>
          <cell r="J660" t="e">
            <v>#N/A</v>
          </cell>
          <cell r="K660" t="e">
            <v>#N/A</v>
          </cell>
          <cell r="L660" t="e">
            <v>#N/A</v>
          </cell>
          <cell r="M660" t="e">
            <v>#N/A</v>
          </cell>
          <cell r="N660" t="e">
            <v>#N/A</v>
          </cell>
          <cell r="O660" t="e">
            <v>#N/A</v>
          </cell>
          <cell r="P660">
            <v>63.51</v>
          </cell>
          <cell r="Q660" t="str">
            <v/>
          </cell>
          <cell r="R660" t="e">
            <v>#N/A</v>
          </cell>
        </row>
        <row r="661">
          <cell r="A661">
            <v>40424</v>
          </cell>
          <cell r="B661">
            <v>40424</v>
          </cell>
          <cell r="C661" t="str">
            <v>Future</v>
          </cell>
          <cell r="D661" t="e">
            <v>#N/A</v>
          </cell>
          <cell r="E661">
            <v>37.755944881889938</v>
          </cell>
          <cell r="F661">
            <v>74.252007874016371</v>
          </cell>
          <cell r="G661">
            <v>58.031535433070822</v>
          </cell>
          <cell r="H661">
            <v>58.031535433070822</v>
          </cell>
          <cell r="I661" t="e">
            <v>#N/A</v>
          </cell>
          <cell r="J661" t="e">
            <v>#N/A</v>
          </cell>
          <cell r="K661" t="e">
            <v>#N/A</v>
          </cell>
          <cell r="L661" t="e">
            <v>#N/A</v>
          </cell>
          <cell r="M661" t="e">
            <v>#N/A</v>
          </cell>
          <cell r="N661" t="e">
            <v>#N/A</v>
          </cell>
          <cell r="O661" t="e">
            <v>#N/A</v>
          </cell>
          <cell r="P661">
            <v>63.51</v>
          </cell>
          <cell r="Q661" t="str">
            <v/>
          </cell>
          <cell r="R661" t="e">
            <v>#N/A</v>
          </cell>
        </row>
        <row r="662">
          <cell r="A662">
            <v>40428</v>
          </cell>
          <cell r="B662">
            <v>40428</v>
          </cell>
          <cell r="C662" t="str">
            <v>Future</v>
          </cell>
          <cell r="D662" t="e">
            <v>#N/A</v>
          </cell>
          <cell r="E662">
            <v>37.5059055118112</v>
          </cell>
          <cell r="F662">
            <v>74.356299212599055</v>
          </cell>
          <cell r="G662">
            <v>57.978346456692869</v>
          </cell>
          <cell r="H662">
            <v>57.978346456692869</v>
          </cell>
          <cell r="I662" t="e">
            <v>#N/A</v>
          </cell>
          <cell r="J662" t="e">
            <v>#N/A</v>
          </cell>
          <cell r="K662" t="e">
            <v>#N/A</v>
          </cell>
          <cell r="L662" t="e">
            <v>#N/A</v>
          </cell>
          <cell r="M662" t="e">
            <v>#N/A</v>
          </cell>
          <cell r="N662" t="e">
            <v>#N/A</v>
          </cell>
          <cell r="O662" t="e">
            <v>#N/A</v>
          </cell>
          <cell r="P662">
            <v>63.51</v>
          </cell>
          <cell r="Q662" t="str">
            <v/>
          </cell>
          <cell r="R662" t="e">
            <v>#N/A</v>
          </cell>
        </row>
        <row r="663">
          <cell r="A663">
            <v>40429</v>
          </cell>
          <cell r="B663">
            <v>40429</v>
          </cell>
          <cell r="C663" t="str">
            <v>Future</v>
          </cell>
          <cell r="D663" t="e">
            <v>#N/A</v>
          </cell>
          <cell r="E663">
            <v>37.255866141732461</v>
          </cell>
          <cell r="F663">
            <v>74.460590551181738</v>
          </cell>
          <cell r="G663">
            <v>57.925157480314915</v>
          </cell>
          <cell r="H663">
            <v>57.925157480314915</v>
          </cell>
          <cell r="I663" t="e">
            <v>#N/A</v>
          </cell>
          <cell r="J663" t="e">
            <v>#N/A</v>
          </cell>
          <cell r="K663" t="e">
            <v>#N/A</v>
          </cell>
          <cell r="L663" t="e">
            <v>#N/A</v>
          </cell>
          <cell r="M663" t="e">
            <v>#N/A</v>
          </cell>
          <cell r="N663" t="e">
            <v>#N/A</v>
          </cell>
          <cell r="O663" t="e">
            <v>#N/A</v>
          </cell>
          <cell r="P663">
            <v>63.51</v>
          </cell>
          <cell r="Q663" t="str">
            <v/>
          </cell>
          <cell r="R663" t="e">
            <v>#N/A</v>
          </cell>
        </row>
        <row r="664">
          <cell r="A664">
            <v>40430</v>
          </cell>
          <cell r="B664">
            <v>40430</v>
          </cell>
          <cell r="C664" t="str">
            <v>Future</v>
          </cell>
          <cell r="D664" t="e">
            <v>#N/A</v>
          </cell>
          <cell r="E664">
            <v>37.005826771653723</v>
          </cell>
          <cell r="F664">
            <v>74.564881889764422</v>
          </cell>
          <cell r="G664">
            <v>57.871968503936962</v>
          </cell>
          <cell r="H664">
            <v>57.871968503936962</v>
          </cell>
          <cell r="I664" t="e">
            <v>#N/A</v>
          </cell>
          <cell r="J664" t="e">
            <v>#N/A</v>
          </cell>
          <cell r="K664" t="e">
            <v>#N/A</v>
          </cell>
          <cell r="L664" t="e">
            <v>#N/A</v>
          </cell>
          <cell r="M664" t="e">
            <v>#N/A</v>
          </cell>
          <cell r="N664" t="e">
            <v>#N/A</v>
          </cell>
          <cell r="O664" t="e">
            <v>#N/A</v>
          </cell>
          <cell r="P664">
            <v>63.51</v>
          </cell>
          <cell r="Q664" t="str">
            <v/>
          </cell>
          <cell r="R664" t="e">
            <v>#N/A</v>
          </cell>
        </row>
        <row r="665">
          <cell r="A665">
            <v>40431</v>
          </cell>
          <cell r="B665">
            <v>40431</v>
          </cell>
          <cell r="C665" t="str">
            <v>Future</v>
          </cell>
          <cell r="D665" t="e">
            <v>#N/A</v>
          </cell>
          <cell r="E665">
            <v>36.755787401574985</v>
          </cell>
          <cell r="F665">
            <v>74.669173228347105</v>
          </cell>
          <cell r="G665">
            <v>57.818779527559009</v>
          </cell>
          <cell r="H665">
            <v>57.818779527559009</v>
          </cell>
          <cell r="I665" t="e">
            <v>#N/A</v>
          </cell>
          <cell r="J665" t="e">
            <v>#N/A</v>
          </cell>
          <cell r="K665" t="e">
            <v>#N/A</v>
          </cell>
          <cell r="L665" t="e">
            <v>#N/A</v>
          </cell>
          <cell r="M665" t="e">
            <v>#N/A</v>
          </cell>
          <cell r="N665" t="e">
            <v>#N/A</v>
          </cell>
          <cell r="O665" t="e">
            <v>#N/A</v>
          </cell>
          <cell r="P665">
            <v>63.51</v>
          </cell>
          <cell r="Q665" t="str">
            <v/>
          </cell>
          <cell r="R665" t="e">
            <v>#N/A</v>
          </cell>
        </row>
        <row r="666">
          <cell r="A666">
            <v>40434</v>
          </cell>
          <cell r="B666">
            <v>40434</v>
          </cell>
          <cell r="C666" t="str">
            <v>Future</v>
          </cell>
          <cell r="D666" t="e">
            <v>#N/A</v>
          </cell>
          <cell r="E666">
            <v>36.505748031496246</v>
          </cell>
          <cell r="F666">
            <v>74.773464566929789</v>
          </cell>
          <cell r="G666">
            <v>57.765590551181056</v>
          </cell>
          <cell r="H666">
            <v>57.765590551181056</v>
          </cell>
          <cell r="I666" t="e">
            <v>#N/A</v>
          </cell>
          <cell r="J666" t="e">
            <v>#N/A</v>
          </cell>
          <cell r="K666" t="e">
            <v>#N/A</v>
          </cell>
          <cell r="L666" t="e">
            <v>#N/A</v>
          </cell>
          <cell r="M666" t="e">
            <v>#N/A</v>
          </cell>
          <cell r="N666" t="e">
            <v>#N/A</v>
          </cell>
          <cell r="O666" t="e">
            <v>#N/A</v>
          </cell>
          <cell r="P666">
            <v>63.51</v>
          </cell>
          <cell r="Q666" t="str">
            <v/>
          </cell>
          <cell r="R666" t="e">
            <v>#N/A</v>
          </cell>
        </row>
        <row r="667">
          <cell r="A667">
            <v>40435</v>
          </cell>
          <cell r="B667">
            <v>40435</v>
          </cell>
          <cell r="C667" t="str">
            <v>Future</v>
          </cell>
          <cell r="D667" t="e">
            <v>#N/A</v>
          </cell>
          <cell r="E667">
            <v>36.255708661417508</v>
          </cell>
          <cell r="F667">
            <v>74.877755905512473</v>
          </cell>
          <cell r="G667">
            <v>57.712401574803103</v>
          </cell>
          <cell r="H667">
            <v>57.712401574803103</v>
          </cell>
          <cell r="I667" t="e">
            <v>#N/A</v>
          </cell>
          <cell r="J667" t="e">
            <v>#N/A</v>
          </cell>
          <cell r="K667" t="e">
            <v>#N/A</v>
          </cell>
          <cell r="L667" t="e">
            <v>#N/A</v>
          </cell>
          <cell r="M667" t="e">
            <v>#N/A</v>
          </cell>
          <cell r="N667" t="e">
            <v>#N/A</v>
          </cell>
          <cell r="O667" t="e">
            <v>#N/A</v>
          </cell>
          <cell r="P667">
            <v>63.51</v>
          </cell>
          <cell r="Q667" t="str">
            <v/>
          </cell>
          <cell r="R667" t="e">
            <v>#N/A</v>
          </cell>
        </row>
        <row r="668">
          <cell r="A668">
            <v>40436</v>
          </cell>
          <cell r="B668">
            <v>40436</v>
          </cell>
          <cell r="C668" t="str">
            <v>Future</v>
          </cell>
          <cell r="D668" t="e">
            <v>#N/A</v>
          </cell>
          <cell r="E668">
            <v>36.005669291338769</v>
          </cell>
          <cell r="F668">
            <v>74.982047244095156</v>
          </cell>
          <cell r="G668">
            <v>57.65921259842515</v>
          </cell>
          <cell r="H668">
            <v>57.65921259842515</v>
          </cell>
          <cell r="I668" t="e">
            <v>#N/A</v>
          </cell>
          <cell r="J668" t="e">
            <v>#N/A</v>
          </cell>
          <cell r="K668" t="e">
            <v>#N/A</v>
          </cell>
          <cell r="L668" t="e">
            <v>#N/A</v>
          </cell>
          <cell r="M668" t="e">
            <v>#N/A</v>
          </cell>
          <cell r="N668" t="e">
            <v>#N/A</v>
          </cell>
          <cell r="O668" t="e">
            <v>#N/A</v>
          </cell>
          <cell r="P668">
            <v>63.51</v>
          </cell>
          <cell r="Q668" t="str">
            <v/>
          </cell>
          <cell r="R668" t="e">
            <v>#N/A</v>
          </cell>
        </row>
        <row r="669">
          <cell r="A669">
            <v>40437</v>
          </cell>
          <cell r="B669">
            <v>40437</v>
          </cell>
          <cell r="C669" t="str">
            <v>Future</v>
          </cell>
          <cell r="D669" t="e">
            <v>#N/A</v>
          </cell>
          <cell r="E669">
            <v>35.755629921260031</v>
          </cell>
          <cell r="F669">
            <v>75.08633858267784</v>
          </cell>
          <cell r="G669">
            <v>57.606023622047196</v>
          </cell>
          <cell r="H669">
            <v>57.606023622047196</v>
          </cell>
          <cell r="I669" t="e">
            <v>#N/A</v>
          </cell>
          <cell r="J669" t="e">
            <v>#N/A</v>
          </cell>
          <cell r="K669" t="e">
            <v>#N/A</v>
          </cell>
          <cell r="L669" t="e">
            <v>#N/A</v>
          </cell>
          <cell r="M669" t="e">
            <v>#N/A</v>
          </cell>
          <cell r="N669" t="e">
            <v>#N/A</v>
          </cell>
          <cell r="O669" t="e">
            <v>#N/A</v>
          </cell>
          <cell r="P669">
            <v>63.51</v>
          </cell>
          <cell r="Q669" t="str">
            <v/>
          </cell>
          <cell r="R669" t="e">
            <v>#N/A</v>
          </cell>
        </row>
        <row r="670">
          <cell r="A670">
            <v>40438</v>
          </cell>
          <cell r="B670">
            <v>40438</v>
          </cell>
          <cell r="C670" t="str">
            <v>Future</v>
          </cell>
          <cell r="D670" t="e">
            <v>#N/A</v>
          </cell>
          <cell r="E670">
            <v>35.505590551181292</v>
          </cell>
          <cell r="F670">
            <v>75.190629921260523</v>
          </cell>
          <cell r="G670">
            <v>57.552834645669243</v>
          </cell>
          <cell r="H670">
            <v>57.552834645669243</v>
          </cell>
          <cell r="I670" t="e">
            <v>#N/A</v>
          </cell>
          <cell r="J670" t="e">
            <v>#N/A</v>
          </cell>
          <cell r="K670" t="e">
            <v>#N/A</v>
          </cell>
          <cell r="L670" t="e">
            <v>#N/A</v>
          </cell>
          <cell r="M670" t="e">
            <v>#N/A</v>
          </cell>
          <cell r="N670" t="e">
            <v>#N/A</v>
          </cell>
          <cell r="O670" t="e">
            <v>#N/A</v>
          </cell>
          <cell r="P670">
            <v>63.51</v>
          </cell>
          <cell r="Q670" t="str">
            <v/>
          </cell>
          <cell r="R670" t="e">
            <v>#N/A</v>
          </cell>
        </row>
        <row r="671">
          <cell r="A671">
            <v>40441</v>
          </cell>
          <cell r="B671">
            <v>40441</v>
          </cell>
          <cell r="C671" t="str">
            <v>Future</v>
          </cell>
          <cell r="D671" t="e">
            <v>#N/A</v>
          </cell>
          <cell r="E671">
            <v>35.255551181102554</v>
          </cell>
          <cell r="F671">
            <v>75.294921259843207</v>
          </cell>
          <cell r="G671">
            <v>57.49964566929129</v>
          </cell>
          <cell r="H671">
            <v>57.49964566929129</v>
          </cell>
          <cell r="I671" t="e">
            <v>#N/A</v>
          </cell>
          <cell r="J671" t="e">
            <v>#N/A</v>
          </cell>
          <cell r="K671" t="e">
            <v>#N/A</v>
          </cell>
          <cell r="L671" t="e">
            <v>#N/A</v>
          </cell>
          <cell r="M671" t="e">
            <v>#N/A</v>
          </cell>
          <cell r="N671" t="e">
            <v>#N/A</v>
          </cell>
          <cell r="O671" t="e">
            <v>#N/A</v>
          </cell>
          <cell r="P671">
            <v>63.51</v>
          </cell>
          <cell r="Q671" t="str">
            <v/>
          </cell>
          <cell r="R671" t="e">
            <v>#N/A</v>
          </cell>
        </row>
        <row r="672">
          <cell r="A672">
            <v>40442</v>
          </cell>
          <cell r="B672">
            <v>40442</v>
          </cell>
          <cell r="C672" t="str">
            <v>Future</v>
          </cell>
          <cell r="D672" t="e">
            <v>#N/A</v>
          </cell>
          <cell r="E672">
            <v>35.005511811023815</v>
          </cell>
          <cell r="F672">
            <v>75.399212598425891</v>
          </cell>
          <cell r="G672">
            <v>57.446456692913337</v>
          </cell>
          <cell r="H672">
            <v>57.446456692913337</v>
          </cell>
          <cell r="I672" t="e">
            <v>#N/A</v>
          </cell>
          <cell r="J672" t="e">
            <v>#N/A</v>
          </cell>
          <cell r="K672" t="e">
            <v>#N/A</v>
          </cell>
          <cell r="L672" t="e">
            <v>#N/A</v>
          </cell>
          <cell r="M672" t="e">
            <v>#N/A</v>
          </cell>
          <cell r="N672" t="e">
            <v>#N/A</v>
          </cell>
          <cell r="O672" t="e">
            <v>#N/A</v>
          </cell>
          <cell r="P672">
            <v>63.51</v>
          </cell>
          <cell r="Q672" t="str">
            <v/>
          </cell>
          <cell r="R672" t="e">
            <v>#N/A</v>
          </cell>
        </row>
        <row r="673">
          <cell r="A673">
            <v>40443</v>
          </cell>
          <cell r="B673">
            <v>40443</v>
          </cell>
          <cell r="C673" t="str">
            <v>Future</v>
          </cell>
          <cell r="D673" t="e">
            <v>#N/A</v>
          </cell>
          <cell r="E673">
            <v>34.755472440945077</v>
          </cell>
          <cell r="F673">
            <v>75.503503937008574</v>
          </cell>
          <cell r="G673">
            <v>57.393267716535384</v>
          </cell>
          <cell r="H673">
            <v>57.393267716535384</v>
          </cell>
          <cell r="I673" t="e">
            <v>#N/A</v>
          </cell>
          <cell r="J673" t="e">
            <v>#N/A</v>
          </cell>
          <cell r="K673" t="e">
            <v>#N/A</v>
          </cell>
          <cell r="L673" t="e">
            <v>#N/A</v>
          </cell>
          <cell r="M673" t="e">
            <v>#N/A</v>
          </cell>
          <cell r="N673" t="e">
            <v>#N/A</v>
          </cell>
          <cell r="O673" t="e">
            <v>#N/A</v>
          </cell>
          <cell r="P673">
            <v>63.51</v>
          </cell>
          <cell r="Q673" t="str">
            <v/>
          </cell>
          <cell r="R673" t="e">
            <v>#N/A</v>
          </cell>
        </row>
        <row r="674">
          <cell r="A674">
            <v>40444</v>
          </cell>
          <cell r="B674">
            <v>40444</v>
          </cell>
          <cell r="C674" t="str">
            <v>Future</v>
          </cell>
          <cell r="D674" t="e">
            <v>#N/A</v>
          </cell>
          <cell r="E674">
            <v>34.505433070866339</v>
          </cell>
          <cell r="F674">
            <v>75.607795275591258</v>
          </cell>
          <cell r="G674">
            <v>57.340078740157431</v>
          </cell>
          <cell r="H674">
            <v>57.340078740157431</v>
          </cell>
          <cell r="I674" t="e">
            <v>#N/A</v>
          </cell>
          <cell r="J674" t="e">
            <v>#N/A</v>
          </cell>
          <cell r="K674" t="e">
            <v>#N/A</v>
          </cell>
          <cell r="L674" t="e">
            <v>#N/A</v>
          </cell>
          <cell r="M674" t="e">
            <v>#N/A</v>
          </cell>
          <cell r="N674" t="e">
            <v>#N/A</v>
          </cell>
          <cell r="O674" t="e">
            <v>#N/A</v>
          </cell>
          <cell r="P674">
            <v>63.51</v>
          </cell>
          <cell r="Q674" t="str">
            <v/>
          </cell>
          <cell r="R674" t="e">
            <v>#N/A</v>
          </cell>
        </row>
        <row r="675">
          <cell r="A675">
            <v>40445</v>
          </cell>
          <cell r="B675">
            <v>40445</v>
          </cell>
          <cell r="C675" t="str">
            <v>Future</v>
          </cell>
          <cell r="D675" t="e">
            <v>#N/A</v>
          </cell>
          <cell r="E675">
            <v>34.2553937007876</v>
          </cell>
          <cell r="F675">
            <v>75.712086614173941</v>
          </cell>
          <cell r="G675">
            <v>57.286889763779477</v>
          </cell>
          <cell r="H675">
            <v>57.286889763779477</v>
          </cell>
          <cell r="I675" t="e">
            <v>#N/A</v>
          </cell>
          <cell r="J675" t="e">
            <v>#N/A</v>
          </cell>
          <cell r="K675" t="e">
            <v>#N/A</v>
          </cell>
          <cell r="L675" t="e">
            <v>#N/A</v>
          </cell>
          <cell r="M675" t="e">
            <v>#N/A</v>
          </cell>
          <cell r="N675" t="e">
            <v>#N/A</v>
          </cell>
          <cell r="O675" t="e">
            <v>#N/A</v>
          </cell>
          <cell r="P675">
            <v>63.51</v>
          </cell>
          <cell r="Q675" t="str">
            <v/>
          </cell>
          <cell r="R675" t="e">
            <v>#N/A</v>
          </cell>
        </row>
        <row r="676">
          <cell r="A676">
            <v>40448</v>
          </cell>
          <cell r="B676">
            <v>40448</v>
          </cell>
          <cell r="C676" t="str">
            <v>Future</v>
          </cell>
          <cell r="D676" t="e">
            <v>#N/A</v>
          </cell>
          <cell r="E676">
            <v>34.005354330708862</v>
          </cell>
          <cell r="F676">
            <v>75.816377952756625</v>
          </cell>
          <cell r="G676">
            <v>57.233700787401524</v>
          </cell>
          <cell r="H676">
            <v>57.233700787401524</v>
          </cell>
          <cell r="I676" t="e">
            <v>#N/A</v>
          </cell>
          <cell r="J676" t="e">
            <v>#N/A</v>
          </cell>
          <cell r="K676" t="e">
            <v>#N/A</v>
          </cell>
          <cell r="L676" t="e">
            <v>#N/A</v>
          </cell>
          <cell r="M676" t="e">
            <v>#N/A</v>
          </cell>
          <cell r="N676" t="e">
            <v>#N/A</v>
          </cell>
          <cell r="O676" t="e">
            <v>#N/A</v>
          </cell>
          <cell r="P676">
            <v>63.51</v>
          </cell>
          <cell r="Q676" t="str">
            <v/>
          </cell>
          <cell r="R676" t="e">
            <v>#N/A</v>
          </cell>
        </row>
        <row r="677">
          <cell r="A677">
            <v>40449</v>
          </cell>
          <cell r="B677">
            <v>40449</v>
          </cell>
          <cell r="C677" t="str">
            <v>Future</v>
          </cell>
          <cell r="D677" t="e">
            <v>#N/A</v>
          </cell>
          <cell r="E677">
            <v>33.755314960630123</v>
          </cell>
          <cell r="F677">
            <v>75.920669291339308</v>
          </cell>
          <cell r="G677">
            <v>57.180511811023571</v>
          </cell>
          <cell r="H677">
            <v>57.180511811023571</v>
          </cell>
          <cell r="I677" t="e">
            <v>#N/A</v>
          </cell>
          <cell r="J677" t="e">
            <v>#N/A</v>
          </cell>
          <cell r="K677" t="e">
            <v>#N/A</v>
          </cell>
          <cell r="L677" t="e">
            <v>#N/A</v>
          </cell>
          <cell r="M677" t="e">
            <v>#N/A</v>
          </cell>
          <cell r="N677" t="e">
            <v>#N/A</v>
          </cell>
          <cell r="O677" t="e">
            <v>#N/A</v>
          </cell>
          <cell r="P677">
            <v>63.51</v>
          </cell>
          <cell r="Q677" t="str">
            <v/>
          </cell>
          <cell r="R677" t="e">
            <v>#N/A</v>
          </cell>
        </row>
        <row r="678">
          <cell r="A678">
            <v>40450</v>
          </cell>
          <cell r="B678">
            <v>40450</v>
          </cell>
          <cell r="C678" t="str">
            <v>Future</v>
          </cell>
          <cell r="D678" t="e">
            <v>#N/A</v>
          </cell>
          <cell r="E678">
            <v>33.505275590551385</v>
          </cell>
          <cell r="F678">
            <v>76.024960629921992</v>
          </cell>
          <cell r="G678">
            <v>57.127322834645618</v>
          </cell>
          <cell r="H678">
            <v>57.127322834645618</v>
          </cell>
          <cell r="I678" t="e">
            <v>#N/A</v>
          </cell>
          <cell r="J678" t="e">
            <v>#N/A</v>
          </cell>
          <cell r="K678" t="e">
            <v>#N/A</v>
          </cell>
          <cell r="L678" t="e">
            <v>#N/A</v>
          </cell>
          <cell r="M678" t="e">
            <v>#N/A</v>
          </cell>
          <cell r="N678" t="e">
            <v>#N/A</v>
          </cell>
          <cell r="O678" t="e">
            <v>#N/A</v>
          </cell>
          <cell r="P678">
            <v>63.51</v>
          </cell>
          <cell r="Q678" t="str">
            <v/>
          </cell>
          <cell r="R678" t="e">
            <v>#N/A</v>
          </cell>
        </row>
        <row r="679">
          <cell r="A679">
            <v>40451</v>
          </cell>
          <cell r="B679">
            <v>40451</v>
          </cell>
          <cell r="C679" t="str">
            <v>Future</v>
          </cell>
          <cell r="D679" t="e">
            <v>#N/A</v>
          </cell>
          <cell r="E679">
            <v>33.255236220472646</v>
          </cell>
          <cell r="F679">
            <v>76.129251968504676</v>
          </cell>
          <cell r="G679">
            <v>57.074133858267665</v>
          </cell>
          <cell r="H679">
            <v>57.074133858267665</v>
          </cell>
          <cell r="I679" t="e">
            <v>#N/A</v>
          </cell>
          <cell r="J679" t="e">
            <v>#N/A</v>
          </cell>
          <cell r="K679" t="e">
            <v>#N/A</v>
          </cell>
          <cell r="L679" t="e">
            <v>#N/A</v>
          </cell>
          <cell r="M679" t="e">
            <v>#N/A</v>
          </cell>
          <cell r="N679" t="e">
            <v>#N/A</v>
          </cell>
          <cell r="O679" t="e">
            <v>#N/A</v>
          </cell>
          <cell r="P679">
            <v>63.51</v>
          </cell>
          <cell r="Q679" t="str">
            <v/>
          </cell>
          <cell r="R679" t="e">
            <v>#N/A</v>
          </cell>
        </row>
        <row r="680">
          <cell r="A680">
            <v>40452</v>
          </cell>
          <cell r="B680">
            <v>40452</v>
          </cell>
          <cell r="C680" t="str">
            <v>Future</v>
          </cell>
          <cell r="D680" t="e">
            <v>#N/A</v>
          </cell>
          <cell r="E680">
            <v>33.005196850393908</v>
          </cell>
          <cell r="F680">
            <v>76.233543307087359</v>
          </cell>
          <cell r="G680">
            <v>57.020944881889712</v>
          </cell>
          <cell r="H680">
            <v>57.020944881889712</v>
          </cell>
          <cell r="I680" t="e">
            <v>#N/A</v>
          </cell>
          <cell r="J680" t="e">
            <v>#N/A</v>
          </cell>
          <cell r="K680" t="e">
            <v>#N/A</v>
          </cell>
          <cell r="L680" t="e">
            <v>#N/A</v>
          </cell>
          <cell r="M680" t="e">
            <v>#N/A</v>
          </cell>
          <cell r="N680" t="e">
            <v>#N/A</v>
          </cell>
          <cell r="O680" t="e">
            <v>#N/A</v>
          </cell>
          <cell r="P680">
            <v>63.51</v>
          </cell>
          <cell r="Q680" t="str">
            <v/>
          </cell>
          <cell r="R680" t="e">
            <v>#N/A</v>
          </cell>
        </row>
        <row r="681">
          <cell r="A681">
            <v>40455</v>
          </cell>
          <cell r="B681">
            <v>40455</v>
          </cell>
          <cell r="C681" t="str">
            <v>Future</v>
          </cell>
          <cell r="D681" t="e">
            <v>#N/A</v>
          </cell>
          <cell r="E681">
            <v>32.755157480315169</v>
          </cell>
          <cell r="F681">
            <v>76.337834645670043</v>
          </cell>
          <cell r="G681">
            <v>56.967755905511758</v>
          </cell>
          <cell r="H681">
            <v>56.967755905511758</v>
          </cell>
          <cell r="I681" t="e">
            <v>#N/A</v>
          </cell>
          <cell r="J681" t="e">
            <v>#N/A</v>
          </cell>
          <cell r="K681" t="e">
            <v>#N/A</v>
          </cell>
          <cell r="L681" t="e">
            <v>#N/A</v>
          </cell>
          <cell r="M681" t="e">
            <v>#N/A</v>
          </cell>
          <cell r="N681" t="e">
            <v>#N/A</v>
          </cell>
          <cell r="O681" t="e">
            <v>#N/A</v>
          </cell>
          <cell r="P681">
            <v>63.51</v>
          </cell>
          <cell r="Q681" t="str">
            <v/>
          </cell>
          <cell r="R681" t="e">
            <v>#N/A</v>
          </cell>
        </row>
        <row r="682">
          <cell r="A682">
            <v>40456</v>
          </cell>
          <cell r="B682">
            <v>40456</v>
          </cell>
          <cell r="C682" t="str">
            <v>Future</v>
          </cell>
          <cell r="D682" t="e">
            <v>#N/A</v>
          </cell>
          <cell r="E682">
            <v>32.505118110236431</v>
          </cell>
          <cell r="F682">
            <v>76.442125984252726</v>
          </cell>
          <cell r="G682">
            <v>56.914566929133805</v>
          </cell>
          <cell r="H682">
            <v>56.914566929133805</v>
          </cell>
          <cell r="I682" t="e">
            <v>#N/A</v>
          </cell>
          <cell r="J682" t="e">
            <v>#N/A</v>
          </cell>
          <cell r="K682" t="e">
            <v>#N/A</v>
          </cell>
          <cell r="L682" t="e">
            <v>#N/A</v>
          </cell>
          <cell r="M682" t="e">
            <v>#N/A</v>
          </cell>
          <cell r="N682" t="e">
            <v>#N/A</v>
          </cell>
          <cell r="O682" t="e">
            <v>#N/A</v>
          </cell>
          <cell r="P682">
            <v>63.51</v>
          </cell>
          <cell r="Q682" t="str">
            <v/>
          </cell>
          <cell r="R682" t="e">
            <v>#N/A</v>
          </cell>
        </row>
        <row r="683">
          <cell r="A683">
            <v>40457</v>
          </cell>
          <cell r="B683">
            <v>40457</v>
          </cell>
          <cell r="C683" t="str">
            <v>Future</v>
          </cell>
          <cell r="D683" t="e">
            <v>#N/A</v>
          </cell>
          <cell r="E683">
            <v>32.255078740157693</v>
          </cell>
          <cell r="F683">
            <v>76.54641732283541</v>
          </cell>
          <cell r="G683">
            <v>56.861377952755852</v>
          </cell>
          <cell r="H683">
            <v>56.861377952755852</v>
          </cell>
          <cell r="I683" t="e">
            <v>#N/A</v>
          </cell>
          <cell r="J683" t="e">
            <v>#N/A</v>
          </cell>
          <cell r="K683" t="e">
            <v>#N/A</v>
          </cell>
          <cell r="L683" t="e">
            <v>#N/A</v>
          </cell>
          <cell r="M683" t="e">
            <v>#N/A</v>
          </cell>
          <cell r="N683" t="e">
            <v>#N/A</v>
          </cell>
          <cell r="O683" t="e">
            <v>#N/A</v>
          </cell>
          <cell r="P683">
            <v>63.51</v>
          </cell>
          <cell r="Q683" t="str">
            <v/>
          </cell>
          <cell r="R683" t="e">
            <v>#N/A</v>
          </cell>
        </row>
        <row r="684">
          <cell r="A684">
            <v>40458</v>
          </cell>
          <cell r="B684">
            <v>40458</v>
          </cell>
          <cell r="C684" t="str">
            <v>Future</v>
          </cell>
          <cell r="D684" t="e">
            <v>#N/A</v>
          </cell>
          <cell r="E684">
            <v>32.005039370078954</v>
          </cell>
          <cell r="F684">
            <v>76.650708661418093</v>
          </cell>
          <cell r="G684">
            <v>56.808188976377899</v>
          </cell>
          <cell r="H684">
            <v>56.808188976377899</v>
          </cell>
          <cell r="I684" t="e">
            <v>#N/A</v>
          </cell>
          <cell r="J684" t="e">
            <v>#N/A</v>
          </cell>
          <cell r="K684" t="e">
            <v>#N/A</v>
          </cell>
          <cell r="L684" t="e">
            <v>#N/A</v>
          </cell>
          <cell r="M684" t="e">
            <v>#N/A</v>
          </cell>
          <cell r="N684" t="e">
            <v>#N/A</v>
          </cell>
          <cell r="O684" t="e">
            <v>#N/A</v>
          </cell>
          <cell r="P684">
            <v>63.51</v>
          </cell>
          <cell r="Q684" t="str">
            <v/>
          </cell>
          <cell r="R684" t="e">
            <v>#N/A</v>
          </cell>
        </row>
        <row r="685">
          <cell r="A685">
            <v>40459</v>
          </cell>
          <cell r="B685">
            <v>40459</v>
          </cell>
          <cell r="C685" t="str">
            <v>Future</v>
          </cell>
          <cell r="D685" t="e">
            <v>#N/A</v>
          </cell>
          <cell r="E685">
            <v>31.755000000000216</v>
          </cell>
          <cell r="F685">
            <v>76.755000000000777</v>
          </cell>
          <cell r="G685">
            <v>56.754999999999946</v>
          </cell>
          <cell r="H685">
            <v>56.754999999999946</v>
          </cell>
          <cell r="I685" t="e">
            <v>#N/A</v>
          </cell>
          <cell r="J685" t="e">
            <v>#N/A</v>
          </cell>
          <cell r="K685" t="e">
            <v>#N/A</v>
          </cell>
          <cell r="L685" t="e">
            <v>#N/A</v>
          </cell>
          <cell r="M685" t="e">
            <v>#N/A</v>
          </cell>
          <cell r="N685" t="e">
            <v>#N/A</v>
          </cell>
          <cell r="O685" t="e">
            <v>#N/A</v>
          </cell>
          <cell r="P685">
            <v>63.51</v>
          </cell>
          <cell r="Q685" t="str">
            <v/>
          </cell>
          <cell r="R685" t="e">
            <v>#N/A</v>
          </cell>
        </row>
        <row r="686">
          <cell r="A686">
            <v>40462</v>
          </cell>
          <cell r="B686">
            <v>40462</v>
          </cell>
          <cell r="C686" t="str">
            <v>Future</v>
          </cell>
          <cell r="D686" t="e">
            <v>#N/A</v>
          </cell>
          <cell r="E686">
            <v>31.504960629921477</v>
          </cell>
          <cell r="F686">
            <v>76.859291338583461</v>
          </cell>
          <cell r="G686">
            <v>56.701811023621993</v>
          </cell>
          <cell r="H686">
            <v>56.701811023621993</v>
          </cell>
          <cell r="I686" t="e">
            <v>#N/A</v>
          </cell>
          <cell r="J686" t="e">
            <v>#N/A</v>
          </cell>
          <cell r="K686" t="e">
            <v>#N/A</v>
          </cell>
          <cell r="L686" t="e">
            <v>#N/A</v>
          </cell>
          <cell r="M686" t="e">
            <v>#N/A</v>
          </cell>
          <cell r="N686" t="e">
            <v>#N/A</v>
          </cell>
          <cell r="O686" t="e">
            <v>#N/A</v>
          </cell>
          <cell r="P686">
            <v>63.51</v>
          </cell>
          <cell r="Q686" t="str">
            <v/>
          </cell>
          <cell r="R686" t="e">
            <v>#N/A</v>
          </cell>
        </row>
        <row r="687">
          <cell r="A687">
            <v>40463</v>
          </cell>
          <cell r="B687">
            <v>40463</v>
          </cell>
          <cell r="C687" t="str">
            <v>Future</v>
          </cell>
          <cell r="D687" t="e">
            <v>#N/A</v>
          </cell>
          <cell r="E687">
            <v>31.254921259842739</v>
          </cell>
          <cell r="F687">
            <v>76.963582677166144</v>
          </cell>
          <cell r="G687">
            <v>56.648622047244039</v>
          </cell>
          <cell r="H687">
            <v>56.648622047244039</v>
          </cell>
          <cell r="I687" t="e">
            <v>#N/A</v>
          </cell>
          <cell r="J687" t="e">
            <v>#N/A</v>
          </cell>
          <cell r="K687" t="e">
            <v>#N/A</v>
          </cell>
          <cell r="L687" t="e">
            <v>#N/A</v>
          </cell>
          <cell r="M687" t="e">
            <v>#N/A</v>
          </cell>
          <cell r="N687" t="e">
            <v>#N/A</v>
          </cell>
          <cell r="O687" t="e">
            <v>#N/A</v>
          </cell>
          <cell r="P687">
            <v>63.51</v>
          </cell>
          <cell r="Q687" t="str">
            <v/>
          </cell>
          <cell r="R687" t="e">
            <v>#N/A</v>
          </cell>
        </row>
        <row r="688">
          <cell r="A688">
            <v>40464</v>
          </cell>
          <cell r="B688">
            <v>40464</v>
          </cell>
          <cell r="C688" t="str">
            <v>Future</v>
          </cell>
          <cell r="D688" t="e">
            <v>#N/A</v>
          </cell>
          <cell r="E688">
            <v>31.004881889764</v>
          </cell>
          <cell r="F688">
            <v>77.067874015748828</v>
          </cell>
          <cell r="G688">
            <v>56.595433070866086</v>
          </cell>
          <cell r="H688">
            <v>56.595433070866086</v>
          </cell>
          <cell r="I688" t="e">
            <v>#N/A</v>
          </cell>
          <cell r="J688" t="e">
            <v>#N/A</v>
          </cell>
          <cell r="K688" t="e">
            <v>#N/A</v>
          </cell>
          <cell r="L688" t="e">
            <v>#N/A</v>
          </cell>
          <cell r="M688" t="e">
            <v>#N/A</v>
          </cell>
          <cell r="N688" t="e">
            <v>#N/A</v>
          </cell>
          <cell r="O688" t="e">
            <v>#N/A</v>
          </cell>
          <cell r="P688">
            <v>63.51</v>
          </cell>
          <cell r="Q688" t="str">
            <v/>
          </cell>
          <cell r="R688" t="e">
            <v>#N/A</v>
          </cell>
        </row>
        <row r="689">
          <cell r="A689">
            <v>40465</v>
          </cell>
          <cell r="B689">
            <v>40465</v>
          </cell>
          <cell r="C689" t="str">
            <v>Future</v>
          </cell>
          <cell r="D689" t="e">
            <v>#N/A</v>
          </cell>
          <cell r="E689">
            <v>30.754842519685262</v>
          </cell>
          <cell r="F689">
            <v>77.172165354331511</v>
          </cell>
          <cell r="G689">
            <v>56.542244094488133</v>
          </cell>
          <cell r="H689">
            <v>56.542244094488133</v>
          </cell>
          <cell r="I689" t="e">
            <v>#N/A</v>
          </cell>
          <cell r="J689" t="e">
            <v>#N/A</v>
          </cell>
          <cell r="K689" t="e">
            <v>#N/A</v>
          </cell>
          <cell r="L689" t="e">
            <v>#N/A</v>
          </cell>
          <cell r="M689" t="e">
            <v>#N/A</v>
          </cell>
          <cell r="N689" t="e">
            <v>#N/A</v>
          </cell>
          <cell r="O689" t="e">
            <v>#N/A</v>
          </cell>
          <cell r="P689">
            <v>63.51</v>
          </cell>
          <cell r="Q689" t="str">
            <v/>
          </cell>
          <cell r="R689" t="e">
            <v>#N/A</v>
          </cell>
        </row>
        <row r="690">
          <cell r="A690">
            <v>40466</v>
          </cell>
          <cell r="B690">
            <v>40466</v>
          </cell>
          <cell r="C690" t="str">
            <v>Future</v>
          </cell>
          <cell r="D690" t="e">
            <v>#N/A</v>
          </cell>
          <cell r="E690">
            <v>30.504803149606524</v>
          </cell>
          <cell r="F690">
            <v>77.276456692914195</v>
          </cell>
          <cell r="G690">
            <v>56.48905511811018</v>
          </cell>
          <cell r="H690">
            <v>56.48905511811018</v>
          </cell>
          <cell r="I690" t="e">
            <v>#N/A</v>
          </cell>
          <cell r="J690" t="e">
            <v>#N/A</v>
          </cell>
          <cell r="K690" t="e">
            <v>#N/A</v>
          </cell>
          <cell r="L690" t="e">
            <v>#N/A</v>
          </cell>
          <cell r="M690" t="e">
            <v>#N/A</v>
          </cell>
          <cell r="N690" t="e">
            <v>#N/A</v>
          </cell>
          <cell r="O690" t="e">
            <v>#N/A</v>
          </cell>
          <cell r="P690">
            <v>63.51</v>
          </cell>
          <cell r="Q690" t="str">
            <v/>
          </cell>
          <cell r="R690" t="e">
            <v>#N/A</v>
          </cell>
        </row>
        <row r="691">
          <cell r="A691">
            <v>40469</v>
          </cell>
          <cell r="B691">
            <v>40469</v>
          </cell>
          <cell r="C691" t="str">
            <v>Future</v>
          </cell>
          <cell r="D691" t="e">
            <v>#N/A</v>
          </cell>
          <cell r="E691">
            <v>30.254763779527785</v>
          </cell>
          <cell r="F691">
            <v>77.380748031496879</v>
          </cell>
          <cell r="G691">
            <v>56.435866141732227</v>
          </cell>
          <cell r="H691">
            <v>56.435866141732227</v>
          </cell>
          <cell r="I691" t="e">
            <v>#N/A</v>
          </cell>
          <cell r="J691" t="e">
            <v>#N/A</v>
          </cell>
          <cell r="K691" t="e">
            <v>#N/A</v>
          </cell>
          <cell r="L691" t="e">
            <v>#N/A</v>
          </cell>
          <cell r="M691" t="e">
            <v>#N/A</v>
          </cell>
          <cell r="N691" t="e">
            <v>#N/A</v>
          </cell>
          <cell r="O691" t="e">
            <v>#N/A</v>
          </cell>
          <cell r="P691">
            <v>63.51</v>
          </cell>
          <cell r="Q691" t="str">
            <v/>
          </cell>
          <cell r="R691" t="e">
            <v>#N/A</v>
          </cell>
        </row>
        <row r="692">
          <cell r="A692">
            <v>40470</v>
          </cell>
          <cell r="B692">
            <v>40470</v>
          </cell>
          <cell r="C692" t="str">
            <v>Future</v>
          </cell>
          <cell r="D692" t="e">
            <v>#N/A</v>
          </cell>
          <cell r="E692">
            <v>30.004724409449047</v>
          </cell>
          <cell r="F692">
            <v>77.485039370079562</v>
          </cell>
          <cell r="G692">
            <v>56.382677165354274</v>
          </cell>
          <cell r="H692">
            <v>56.382677165354274</v>
          </cell>
          <cell r="I692" t="e">
            <v>#N/A</v>
          </cell>
          <cell r="J692" t="e">
            <v>#N/A</v>
          </cell>
          <cell r="K692" t="e">
            <v>#N/A</v>
          </cell>
          <cell r="L692" t="e">
            <v>#N/A</v>
          </cell>
          <cell r="M692" t="e">
            <v>#N/A</v>
          </cell>
          <cell r="N692" t="e">
            <v>#N/A</v>
          </cell>
          <cell r="O692" t="e">
            <v>#N/A</v>
          </cell>
          <cell r="P692">
            <v>63.51</v>
          </cell>
          <cell r="Q692" t="str">
            <v/>
          </cell>
          <cell r="R692" t="e">
            <v>#N/A</v>
          </cell>
        </row>
        <row r="693">
          <cell r="A693">
            <v>40471</v>
          </cell>
          <cell r="B693">
            <v>40471</v>
          </cell>
          <cell r="C693" t="str">
            <v>Future</v>
          </cell>
          <cell r="D693" t="e">
            <v>#N/A</v>
          </cell>
          <cell r="E693">
            <v>29.754685039370308</v>
          </cell>
          <cell r="F693">
            <v>77.589330708662246</v>
          </cell>
          <cell r="G693">
            <v>56.32948818897632</v>
          </cell>
          <cell r="H693">
            <v>56.32948818897632</v>
          </cell>
          <cell r="I693" t="e">
            <v>#N/A</v>
          </cell>
          <cell r="J693" t="e">
            <v>#N/A</v>
          </cell>
          <cell r="K693" t="e">
            <v>#N/A</v>
          </cell>
          <cell r="L693" t="e">
            <v>#N/A</v>
          </cell>
          <cell r="M693" t="e">
            <v>#N/A</v>
          </cell>
          <cell r="N693" t="e">
            <v>#N/A</v>
          </cell>
          <cell r="O693" t="e">
            <v>#N/A</v>
          </cell>
          <cell r="P693">
            <v>63.51</v>
          </cell>
          <cell r="Q693" t="str">
            <v/>
          </cell>
          <cell r="R693" t="e">
            <v>#N/A</v>
          </cell>
        </row>
        <row r="694">
          <cell r="A694">
            <v>40472</v>
          </cell>
          <cell r="B694">
            <v>40472</v>
          </cell>
          <cell r="C694" t="str">
            <v>Future</v>
          </cell>
          <cell r="D694" t="e">
            <v>#N/A</v>
          </cell>
          <cell r="E694">
            <v>29.50464566929157</v>
          </cell>
          <cell r="F694">
            <v>77.693622047244929</v>
          </cell>
          <cell r="G694">
            <v>56.276299212598367</v>
          </cell>
          <cell r="H694">
            <v>56.276299212598367</v>
          </cell>
          <cell r="I694" t="e">
            <v>#N/A</v>
          </cell>
          <cell r="J694" t="e">
            <v>#N/A</v>
          </cell>
          <cell r="K694" t="e">
            <v>#N/A</v>
          </cell>
          <cell r="L694" t="e">
            <v>#N/A</v>
          </cell>
          <cell r="M694" t="e">
            <v>#N/A</v>
          </cell>
          <cell r="N694" t="e">
            <v>#N/A</v>
          </cell>
          <cell r="O694" t="e">
            <v>#N/A</v>
          </cell>
          <cell r="P694">
            <v>63.51</v>
          </cell>
          <cell r="Q694" t="str">
            <v/>
          </cell>
          <cell r="R694" t="e">
            <v>#N/A</v>
          </cell>
        </row>
        <row r="695">
          <cell r="A695">
            <v>40473</v>
          </cell>
          <cell r="B695">
            <v>40473</v>
          </cell>
          <cell r="C695" t="str">
            <v>Future</v>
          </cell>
          <cell r="D695" t="e">
            <v>#N/A</v>
          </cell>
          <cell r="E695">
            <v>29.254606299212831</v>
          </cell>
          <cell r="F695">
            <v>77.797913385827613</v>
          </cell>
          <cell r="G695">
            <v>56.223110236220414</v>
          </cell>
          <cell r="H695">
            <v>56.223110236220414</v>
          </cell>
          <cell r="I695" t="e">
            <v>#N/A</v>
          </cell>
          <cell r="J695" t="e">
            <v>#N/A</v>
          </cell>
          <cell r="K695" t="e">
            <v>#N/A</v>
          </cell>
          <cell r="L695" t="e">
            <v>#N/A</v>
          </cell>
          <cell r="M695" t="e">
            <v>#N/A</v>
          </cell>
          <cell r="N695" t="e">
            <v>#N/A</v>
          </cell>
          <cell r="O695" t="e">
            <v>#N/A</v>
          </cell>
          <cell r="P695">
            <v>63.51</v>
          </cell>
          <cell r="Q695" t="str">
            <v/>
          </cell>
          <cell r="R695" t="e">
            <v>#N/A</v>
          </cell>
        </row>
        <row r="696">
          <cell r="A696">
            <v>40476</v>
          </cell>
          <cell r="B696">
            <v>40476</v>
          </cell>
          <cell r="C696" t="str">
            <v>Future</v>
          </cell>
          <cell r="D696" t="e">
            <v>#N/A</v>
          </cell>
          <cell r="E696">
            <v>29.004566929134093</v>
          </cell>
          <cell r="F696">
            <v>77.902204724410296</v>
          </cell>
          <cell r="G696">
            <v>56.169921259842461</v>
          </cell>
          <cell r="H696">
            <v>56.169921259842461</v>
          </cell>
          <cell r="I696" t="e">
            <v>#N/A</v>
          </cell>
          <cell r="J696" t="e">
            <v>#N/A</v>
          </cell>
          <cell r="K696" t="e">
            <v>#N/A</v>
          </cell>
          <cell r="L696" t="e">
            <v>#N/A</v>
          </cell>
          <cell r="M696" t="e">
            <v>#N/A</v>
          </cell>
          <cell r="N696" t="e">
            <v>#N/A</v>
          </cell>
          <cell r="O696" t="e">
            <v>#N/A</v>
          </cell>
          <cell r="P696">
            <v>63.51</v>
          </cell>
          <cell r="Q696" t="str">
            <v/>
          </cell>
          <cell r="R696" t="e">
            <v>#N/A</v>
          </cell>
        </row>
        <row r="697">
          <cell r="A697">
            <v>40477</v>
          </cell>
          <cell r="B697">
            <v>40477</v>
          </cell>
          <cell r="C697" t="str">
            <v>Future</v>
          </cell>
          <cell r="D697" t="e">
            <v>#N/A</v>
          </cell>
          <cell r="E697">
            <v>28.754527559055354</v>
          </cell>
          <cell r="F697">
            <v>78.00649606299298</v>
          </cell>
          <cell r="G697">
            <v>56.116732283464508</v>
          </cell>
          <cell r="H697">
            <v>56.116732283464508</v>
          </cell>
          <cell r="I697" t="e">
            <v>#N/A</v>
          </cell>
          <cell r="J697" t="e">
            <v>#N/A</v>
          </cell>
          <cell r="K697" t="e">
            <v>#N/A</v>
          </cell>
          <cell r="L697" t="e">
            <v>#N/A</v>
          </cell>
          <cell r="M697" t="e">
            <v>#N/A</v>
          </cell>
          <cell r="N697" t="e">
            <v>#N/A</v>
          </cell>
          <cell r="O697" t="e">
            <v>#N/A</v>
          </cell>
          <cell r="P697">
            <v>63.51</v>
          </cell>
          <cell r="Q697" t="str">
            <v/>
          </cell>
          <cell r="R697" t="e">
            <v>#N/A</v>
          </cell>
        </row>
        <row r="698">
          <cell r="A698">
            <v>40478</v>
          </cell>
          <cell r="B698">
            <v>40478</v>
          </cell>
          <cell r="C698" t="str">
            <v>Future</v>
          </cell>
          <cell r="D698" t="e">
            <v>#N/A</v>
          </cell>
          <cell r="E698">
            <v>28.504488188976616</v>
          </cell>
          <cell r="F698">
            <v>78.110787401575664</v>
          </cell>
          <cell r="G698">
            <v>56.063543307086555</v>
          </cell>
          <cell r="H698">
            <v>56.063543307086555</v>
          </cell>
          <cell r="I698" t="e">
            <v>#N/A</v>
          </cell>
          <cell r="J698" t="e">
            <v>#N/A</v>
          </cell>
          <cell r="K698" t="e">
            <v>#N/A</v>
          </cell>
          <cell r="L698" t="e">
            <v>#N/A</v>
          </cell>
          <cell r="M698" t="e">
            <v>#N/A</v>
          </cell>
          <cell r="N698" t="e">
            <v>#N/A</v>
          </cell>
          <cell r="O698" t="e">
            <v>#N/A</v>
          </cell>
          <cell r="P698">
            <v>63.51</v>
          </cell>
          <cell r="Q698" t="str">
            <v/>
          </cell>
          <cell r="R698" t="e">
            <v>#N/A</v>
          </cell>
        </row>
        <row r="699">
          <cell r="A699">
            <v>40479</v>
          </cell>
          <cell r="B699">
            <v>40479</v>
          </cell>
          <cell r="C699" t="str">
            <v>Future</v>
          </cell>
          <cell r="D699" t="e">
            <v>#N/A</v>
          </cell>
          <cell r="E699">
            <v>28.254448818897878</v>
          </cell>
          <cell r="F699">
            <v>78.215078740158347</v>
          </cell>
          <cell r="G699">
            <v>56.010354330708601</v>
          </cell>
          <cell r="H699">
            <v>56.010354330708601</v>
          </cell>
          <cell r="I699" t="e">
            <v>#N/A</v>
          </cell>
          <cell r="J699" t="e">
            <v>#N/A</v>
          </cell>
          <cell r="K699" t="e">
            <v>#N/A</v>
          </cell>
          <cell r="L699" t="e">
            <v>#N/A</v>
          </cell>
          <cell r="M699" t="e">
            <v>#N/A</v>
          </cell>
          <cell r="N699" t="e">
            <v>#N/A</v>
          </cell>
          <cell r="O699" t="e">
            <v>#N/A</v>
          </cell>
          <cell r="P699">
            <v>63.51</v>
          </cell>
          <cell r="Q699" t="str">
            <v/>
          </cell>
          <cell r="R699" t="e">
            <v>#N/A</v>
          </cell>
        </row>
        <row r="700">
          <cell r="A700">
            <v>40480</v>
          </cell>
          <cell r="B700">
            <v>40480</v>
          </cell>
          <cell r="C700" t="str">
            <v>Future</v>
          </cell>
          <cell r="D700" t="e">
            <v>#N/A</v>
          </cell>
          <cell r="E700">
            <v>28.004409448819139</v>
          </cell>
          <cell r="F700">
            <v>78.319370078741031</v>
          </cell>
          <cell r="G700">
            <v>55.957165354330648</v>
          </cell>
          <cell r="H700">
            <v>55.957165354330648</v>
          </cell>
          <cell r="I700" t="e">
            <v>#N/A</v>
          </cell>
          <cell r="J700" t="e">
            <v>#N/A</v>
          </cell>
          <cell r="K700" t="e">
            <v>#N/A</v>
          </cell>
          <cell r="L700" t="e">
            <v>#N/A</v>
          </cell>
          <cell r="M700" t="e">
            <v>#N/A</v>
          </cell>
          <cell r="N700" t="e">
            <v>#N/A</v>
          </cell>
          <cell r="O700" t="e">
            <v>#N/A</v>
          </cell>
          <cell r="P700">
            <v>63.51</v>
          </cell>
          <cell r="Q700" t="str">
            <v/>
          </cell>
          <cell r="R700" t="e">
            <v>#N/A</v>
          </cell>
        </row>
        <row r="701">
          <cell r="A701">
            <v>40483</v>
          </cell>
          <cell r="B701">
            <v>40483</v>
          </cell>
          <cell r="C701" t="str">
            <v>Future</v>
          </cell>
          <cell r="D701" t="e">
            <v>#N/A</v>
          </cell>
          <cell r="E701">
            <v>27.754370078740401</v>
          </cell>
          <cell r="F701">
            <v>78.423661417323714</v>
          </cell>
          <cell r="G701">
            <v>55.903976377952695</v>
          </cell>
          <cell r="H701">
            <v>55.903976377952695</v>
          </cell>
          <cell r="I701" t="e">
            <v>#N/A</v>
          </cell>
          <cell r="J701" t="e">
            <v>#N/A</v>
          </cell>
          <cell r="K701" t="e">
            <v>#N/A</v>
          </cell>
          <cell r="L701" t="e">
            <v>#N/A</v>
          </cell>
          <cell r="M701" t="e">
            <v>#N/A</v>
          </cell>
          <cell r="N701" t="e">
            <v>#N/A</v>
          </cell>
          <cell r="O701" t="e">
            <v>#N/A</v>
          </cell>
          <cell r="P701">
            <v>63.51</v>
          </cell>
          <cell r="Q701" t="str">
            <v/>
          </cell>
          <cell r="R701" t="e">
            <v>#N/A</v>
          </cell>
        </row>
        <row r="702">
          <cell r="A702">
            <v>40484</v>
          </cell>
          <cell r="B702">
            <v>40484</v>
          </cell>
          <cell r="C702" t="str">
            <v>Future</v>
          </cell>
          <cell r="D702" t="e">
            <v>#N/A</v>
          </cell>
          <cell r="E702">
            <v>27.504330708661662</v>
          </cell>
          <cell r="F702">
            <v>78.527952755906398</v>
          </cell>
          <cell r="G702">
            <v>55.850787401574742</v>
          </cell>
          <cell r="H702">
            <v>55.850787401574742</v>
          </cell>
          <cell r="I702" t="e">
            <v>#N/A</v>
          </cell>
          <cell r="J702" t="e">
            <v>#N/A</v>
          </cell>
          <cell r="K702" t="e">
            <v>#N/A</v>
          </cell>
          <cell r="L702" t="e">
            <v>#N/A</v>
          </cell>
          <cell r="M702" t="e">
            <v>#N/A</v>
          </cell>
          <cell r="N702" t="e">
            <v>#N/A</v>
          </cell>
          <cell r="O702" t="e">
            <v>#N/A</v>
          </cell>
          <cell r="P702">
            <v>63.51</v>
          </cell>
          <cell r="Q702" t="str">
            <v/>
          </cell>
          <cell r="R702" t="e">
            <v>#N/A</v>
          </cell>
        </row>
        <row r="703">
          <cell r="A703">
            <v>40485</v>
          </cell>
          <cell r="B703">
            <v>40485</v>
          </cell>
          <cell r="C703" t="str">
            <v>Future</v>
          </cell>
          <cell r="D703" t="e">
            <v>#N/A</v>
          </cell>
          <cell r="E703">
            <v>27.254291338582924</v>
          </cell>
          <cell r="F703">
            <v>78.632244094489081</v>
          </cell>
          <cell r="G703">
            <v>55.797598425196789</v>
          </cell>
          <cell r="H703">
            <v>55.797598425196789</v>
          </cell>
          <cell r="I703" t="e">
            <v>#N/A</v>
          </cell>
          <cell r="J703" t="e">
            <v>#N/A</v>
          </cell>
          <cell r="K703" t="e">
            <v>#N/A</v>
          </cell>
          <cell r="L703" t="e">
            <v>#N/A</v>
          </cell>
          <cell r="M703" t="e">
            <v>#N/A</v>
          </cell>
          <cell r="N703" t="e">
            <v>#N/A</v>
          </cell>
          <cell r="O703" t="e">
            <v>#N/A</v>
          </cell>
          <cell r="P703">
            <v>63.51</v>
          </cell>
          <cell r="Q703" t="str">
            <v/>
          </cell>
          <cell r="R703" t="e">
            <v>#N/A</v>
          </cell>
        </row>
        <row r="704">
          <cell r="A704">
            <v>40486</v>
          </cell>
          <cell r="B704">
            <v>40486</v>
          </cell>
          <cell r="C704" t="str">
            <v>Future</v>
          </cell>
          <cell r="D704" t="e">
            <v>#N/A</v>
          </cell>
          <cell r="E704">
            <v>27.004251968504185</v>
          </cell>
          <cell r="F704">
            <v>78.736535433071765</v>
          </cell>
          <cell r="G704">
            <v>55.744409448818836</v>
          </cell>
          <cell r="H704">
            <v>55.744409448818836</v>
          </cell>
          <cell r="I704" t="e">
            <v>#N/A</v>
          </cell>
          <cell r="J704" t="e">
            <v>#N/A</v>
          </cell>
          <cell r="K704" t="e">
            <v>#N/A</v>
          </cell>
          <cell r="L704" t="e">
            <v>#N/A</v>
          </cell>
          <cell r="M704" t="e">
            <v>#N/A</v>
          </cell>
          <cell r="N704" t="e">
            <v>#N/A</v>
          </cell>
          <cell r="O704" t="e">
            <v>#N/A</v>
          </cell>
          <cell r="P704">
            <v>63.51</v>
          </cell>
          <cell r="Q704" t="str">
            <v/>
          </cell>
          <cell r="R704" t="e">
            <v>#N/A</v>
          </cell>
        </row>
        <row r="705">
          <cell r="A705">
            <v>40487</v>
          </cell>
          <cell r="B705">
            <v>40487</v>
          </cell>
          <cell r="C705" t="str">
            <v>Future</v>
          </cell>
          <cell r="D705" t="e">
            <v>#N/A</v>
          </cell>
          <cell r="E705">
            <v>26.754212598425447</v>
          </cell>
          <cell r="F705">
            <v>78.840826771654449</v>
          </cell>
          <cell r="G705">
            <v>55.691220472440882</v>
          </cell>
          <cell r="H705">
            <v>55.691220472440882</v>
          </cell>
          <cell r="I705" t="e">
            <v>#N/A</v>
          </cell>
          <cell r="J705" t="e">
            <v>#N/A</v>
          </cell>
          <cell r="K705" t="e">
            <v>#N/A</v>
          </cell>
          <cell r="L705" t="e">
            <v>#N/A</v>
          </cell>
          <cell r="M705" t="e">
            <v>#N/A</v>
          </cell>
          <cell r="N705" t="e">
            <v>#N/A</v>
          </cell>
          <cell r="O705" t="e">
            <v>#N/A</v>
          </cell>
          <cell r="P705">
            <v>63.51</v>
          </cell>
          <cell r="Q705" t="str">
            <v/>
          </cell>
          <cell r="R705" t="e">
            <v>#N/A</v>
          </cell>
        </row>
        <row r="706">
          <cell r="A706">
            <v>40490</v>
          </cell>
          <cell r="B706">
            <v>40490</v>
          </cell>
          <cell r="C706" t="str">
            <v>Future</v>
          </cell>
          <cell r="D706" t="e">
            <v>#N/A</v>
          </cell>
          <cell r="E706">
            <v>26.504173228346708</v>
          </cell>
          <cell r="F706">
            <v>78.945118110237132</v>
          </cell>
          <cell r="G706">
            <v>55.638031496062929</v>
          </cell>
          <cell r="H706">
            <v>55.638031496062929</v>
          </cell>
          <cell r="I706" t="e">
            <v>#N/A</v>
          </cell>
          <cell r="J706" t="e">
            <v>#N/A</v>
          </cell>
          <cell r="K706" t="e">
            <v>#N/A</v>
          </cell>
          <cell r="L706" t="e">
            <v>#N/A</v>
          </cell>
          <cell r="M706" t="e">
            <v>#N/A</v>
          </cell>
          <cell r="N706" t="e">
            <v>#N/A</v>
          </cell>
          <cell r="O706" t="e">
            <v>#N/A</v>
          </cell>
          <cell r="P706">
            <v>63.51</v>
          </cell>
          <cell r="Q706" t="str">
            <v/>
          </cell>
          <cell r="R706" t="e">
            <v>#N/A</v>
          </cell>
        </row>
        <row r="707">
          <cell r="A707">
            <v>40491</v>
          </cell>
          <cell r="B707">
            <v>40491</v>
          </cell>
          <cell r="C707" t="str">
            <v>Future</v>
          </cell>
          <cell r="D707" t="e">
            <v>#N/A</v>
          </cell>
          <cell r="E707">
            <v>26.25413385826797</v>
          </cell>
          <cell r="F707">
            <v>79.049409448819816</v>
          </cell>
          <cell r="G707">
            <v>55.584842519684976</v>
          </cell>
          <cell r="H707">
            <v>55.584842519684976</v>
          </cell>
          <cell r="I707" t="e">
            <v>#N/A</v>
          </cell>
          <cell r="J707" t="e">
            <v>#N/A</v>
          </cell>
          <cell r="K707" t="e">
            <v>#N/A</v>
          </cell>
          <cell r="L707" t="e">
            <v>#N/A</v>
          </cell>
          <cell r="M707" t="e">
            <v>#N/A</v>
          </cell>
          <cell r="N707" t="e">
            <v>#N/A</v>
          </cell>
          <cell r="O707" t="e">
            <v>#N/A</v>
          </cell>
          <cell r="P707">
            <v>63.51</v>
          </cell>
          <cell r="Q707" t="str">
            <v/>
          </cell>
          <cell r="R707" t="e">
            <v>#N/A</v>
          </cell>
        </row>
        <row r="708">
          <cell r="A708">
            <v>40492</v>
          </cell>
          <cell r="B708">
            <v>40492</v>
          </cell>
          <cell r="C708" t="str">
            <v>Future</v>
          </cell>
          <cell r="D708" t="e">
            <v>#N/A</v>
          </cell>
          <cell r="E708">
            <v>26.004094488189232</v>
          </cell>
          <cell r="F708">
            <v>79.153700787402499</v>
          </cell>
          <cell r="G708">
            <v>55.531653543307023</v>
          </cell>
          <cell r="H708">
            <v>55.531653543307023</v>
          </cell>
          <cell r="I708" t="e">
            <v>#N/A</v>
          </cell>
          <cell r="J708" t="e">
            <v>#N/A</v>
          </cell>
          <cell r="K708" t="e">
            <v>#N/A</v>
          </cell>
          <cell r="L708" t="e">
            <v>#N/A</v>
          </cell>
          <cell r="M708" t="e">
            <v>#N/A</v>
          </cell>
          <cell r="N708" t="e">
            <v>#N/A</v>
          </cell>
          <cell r="O708" t="e">
            <v>#N/A</v>
          </cell>
          <cell r="P708">
            <v>63.51</v>
          </cell>
          <cell r="Q708" t="str">
            <v/>
          </cell>
          <cell r="R708" t="e">
            <v>#N/A</v>
          </cell>
        </row>
        <row r="709">
          <cell r="A709">
            <v>40493</v>
          </cell>
          <cell r="B709">
            <v>40493</v>
          </cell>
          <cell r="C709" t="str">
            <v>Future</v>
          </cell>
          <cell r="D709" t="e">
            <v>#N/A</v>
          </cell>
          <cell r="E709">
            <v>25.754055118110493</v>
          </cell>
          <cell r="F709">
            <v>79.257992125985183</v>
          </cell>
          <cell r="G709">
            <v>55.47846456692907</v>
          </cell>
          <cell r="H709">
            <v>55.47846456692907</v>
          </cell>
          <cell r="I709" t="e">
            <v>#N/A</v>
          </cell>
          <cell r="J709" t="e">
            <v>#N/A</v>
          </cell>
          <cell r="K709" t="e">
            <v>#N/A</v>
          </cell>
          <cell r="L709" t="e">
            <v>#N/A</v>
          </cell>
          <cell r="M709" t="e">
            <v>#N/A</v>
          </cell>
          <cell r="N709" t="e">
            <v>#N/A</v>
          </cell>
          <cell r="O709" t="e">
            <v>#N/A</v>
          </cell>
          <cell r="P709">
            <v>63.51</v>
          </cell>
          <cell r="Q709" t="str">
            <v/>
          </cell>
          <cell r="R709" t="e">
            <v>#N/A</v>
          </cell>
        </row>
        <row r="710">
          <cell r="A710">
            <v>40494</v>
          </cell>
          <cell r="B710">
            <v>40494</v>
          </cell>
          <cell r="C710" t="str">
            <v>Future</v>
          </cell>
          <cell r="D710" t="e">
            <v>#N/A</v>
          </cell>
          <cell r="E710">
            <v>25.504015748031755</v>
          </cell>
          <cell r="F710">
            <v>79.362283464567867</v>
          </cell>
          <cell r="G710">
            <v>55.425275590551117</v>
          </cell>
          <cell r="H710">
            <v>55.425275590551117</v>
          </cell>
          <cell r="I710" t="e">
            <v>#N/A</v>
          </cell>
          <cell r="J710" t="e">
            <v>#N/A</v>
          </cell>
          <cell r="K710" t="e">
            <v>#N/A</v>
          </cell>
          <cell r="L710" t="e">
            <v>#N/A</v>
          </cell>
          <cell r="M710" t="e">
            <v>#N/A</v>
          </cell>
          <cell r="N710" t="e">
            <v>#N/A</v>
          </cell>
          <cell r="O710" t="e">
            <v>#N/A</v>
          </cell>
          <cell r="P710">
            <v>63.51</v>
          </cell>
          <cell r="Q710" t="str">
            <v/>
          </cell>
          <cell r="R710" t="e">
            <v>#N/A</v>
          </cell>
        </row>
        <row r="711">
          <cell r="A711">
            <v>40497</v>
          </cell>
          <cell r="B711">
            <v>40497</v>
          </cell>
          <cell r="C711" t="str">
            <v>Future</v>
          </cell>
          <cell r="D711" t="e">
            <v>#N/A</v>
          </cell>
          <cell r="E711">
            <v>25.253976377953016</v>
          </cell>
          <cell r="F711">
            <v>79.46657480315055</v>
          </cell>
          <cell r="G711">
            <v>55.372086614173163</v>
          </cell>
          <cell r="H711">
            <v>55.372086614173163</v>
          </cell>
          <cell r="I711" t="e">
            <v>#N/A</v>
          </cell>
          <cell r="J711" t="e">
            <v>#N/A</v>
          </cell>
          <cell r="K711" t="e">
            <v>#N/A</v>
          </cell>
          <cell r="L711" t="e">
            <v>#N/A</v>
          </cell>
          <cell r="M711" t="e">
            <v>#N/A</v>
          </cell>
          <cell r="N711" t="e">
            <v>#N/A</v>
          </cell>
          <cell r="O711" t="e">
            <v>#N/A</v>
          </cell>
          <cell r="P711">
            <v>63.51</v>
          </cell>
          <cell r="Q711" t="str">
            <v/>
          </cell>
          <cell r="R711" t="e">
            <v>#N/A</v>
          </cell>
        </row>
        <row r="712">
          <cell r="A712">
            <v>40498</v>
          </cell>
          <cell r="B712">
            <v>40498</v>
          </cell>
          <cell r="C712" t="str">
            <v>Future</v>
          </cell>
          <cell r="D712" t="e">
            <v>#N/A</v>
          </cell>
          <cell r="E712">
            <v>25.003937007874278</v>
          </cell>
          <cell r="F712">
            <v>79.570866141733234</v>
          </cell>
          <cell r="G712">
            <v>55.31889763779521</v>
          </cell>
          <cell r="H712">
            <v>55.31889763779521</v>
          </cell>
          <cell r="I712" t="e">
            <v>#N/A</v>
          </cell>
          <cell r="J712" t="e">
            <v>#N/A</v>
          </cell>
          <cell r="K712" t="e">
            <v>#N/A</v>
          </cell>
          <cell r="L712" t="e">
            <v>#N/A</v>
          </cell>
          <cell r="M712" t="e">
            <v>#N/A</v>
          </cell>
          <cell r="N712" t="e">
            <v>#N/A</v>
          </cell>
          <cell r="O712" t="e">
            <v>#N/A</v>
          </cell>
          <cell r="P712">
            <v>63.51</v>
          </cell>
          <cell r="Q712" t="str">
            <v/>
          </cell>
          <cell r="R712" t="e">
            <v>#N/A</v>
          </cell>
        </row>
        <row r="713">
          <cell r="A713">
            <v>40499</v>
          </cell>
          <cell r="B713">
            <v>40499</v>
          </cell>
          <cell r="C713" t="str">
            <v>Future</v>
          </cell>
          <cell r="D713" t="e">
            <v>#N/A</v>
          </cell>
          <cell r="E713">
            <v>24.753897637795539</v>
          </cell>
          <cell r="F713">
            <v>79.675157480315917</v>
          </cell>
          <cell r="G713">
            <v>55.265708661417257</v>
          </cell>
          <cell r="H713">
            <v>55.265708661417257</v>
          </cell>
          <cell r="I713" t="e">
            <v>#N/A</v>
          </cell>
          <cell r="J713" t="e">
            <v>#N/A</v>
          </cell>
          <cell r="K713" t="e">
            <v>#N/A</v>
          </cell>
          <cell r="L713" t="e">
            <v>#N/A</v>
          </cell>
          <cell r="M713" t="e">
            <v>#N/A</v>
          </cell>
          <cell r="N713" t="e">
            <v>#N/A</v>
          </cell>
          <cell r="O713" t="e">
            <v>#N/A</v>
          </cell>
          <cell r="P713">
            <v>63.51</v>
          </cell>
          <cell r="Q713" t="str">
            <v/>
          </cell>
          <cell r="R713" t="e">
            <v>#N/A</v>
          </cell>
        </row>
        <row r="714">
          <cell r="A714">
            <v>40500</v>
          </cell>
          <cell r="B714">
            <v>40500</v>
          </cell>
          <cell r="C714" t="str">
            <v>Future</v>
          </cell>
          <cell r="D714" t="e">
            <v>#N/A</v>
          </cell>
          <cell r="E714">
            <v>24.503858267716801</v>
          </cell>
          <cell r="F714">
            <v>79.779448818898601</v>
          </cell>
          <cell r="G714">
            <v>55.212519685039304</v>
          </cell>
          <cell r="H714">
            <v>55.212519685039304</v>
          </cell>
          <cell r="I714" t="e">
            <v>#N/A</v>
          </cell>
          <cell r="J714" t="e">
            <v>#N/A</v>
          </cell>
          <cell r="K714" t="e">
            <v>#N/A</v>
          </cell>
          <cell r="L714" t="e">
            <v>#N/A</v>
          </cell>
          <cell r="M714" t="e">
            <v>#N/A</v>
          </cell>
          <cell r="N714" t="e">
            <v>#N/A</v>
          </cell>
          <cell r="O714" t="e">
            <v>#N/A</v>
          </cell>
          <cell r="P714">
            <v>63.51</v>
          </cell>
          <cell r="Q714" t="str">
            <v/>
          </cell>
          <cell r="R714" t="e">
            <v>#N/A</v>
          </cell>
        </row>
        <row r="715">
          <cell r="A715">
            <v>40501</v>
          </cell>
          <cell r="B715">
            <v>40501</v>
          </cell>
          <cell r="C715" t="str">
            <v>Future</v>
          </cell>
          <cell r="D715" t="e">
            <v>#N/A</v>
          </cell>
          <cell r="E715">
            <v>24.253818897638062</v>
          </cell>
          <cell r="F715">
            <v>79.883740157481284</v>
          </cell>
          <cell r="G715">
            <v>55.159330708661351</v>
          </cell>
          <cell r="H715">
            <v>55.159330708661351</v>
          </cell>
          <cell r="I715" t="e">
            <v>#N/A</v>
          </cell>
          <cell r="J715" t="e">
            <v>#N/A</v>
          </cell>
          <cell r="K715" t="e">
            <v>#N/A</v>
          </cell>
          <cell r="L715" t="e">
            <v>#N/A</v>
          </cell>
          <cell r="M715" t="e">
            <v>#N/A</v>
          </cell>
          <cell r="N715" t="e">
            <v>#N/A</v>
          </cell>
          <cell r="O715" t="e">
            <v>#N/A</v>
          </cell>
          <cell r="P715">
            <v>63.51</v>
          </cell>
          <cell r="Q715" t="str">
            <v/>
          </cell>
          <cell r="R715" t="e">
            <v>#N/A</v>
          </cell>
        </row>
        <row r="716">
          <cell r="A716">
            <v>40504</v>
          </cell>
          <cell r="B716">
            <v>40504</v>
          </cell>
          <cell r="C716" t="str">
            <v>Future</v>
          </cell>
          <cell r="D716" t="e">
            <v>#N/A</v>
          </cell>
          <cell r="E716">
            <v>24.003779527559324</v>
          </cell>
          <cell r="F716">
            <v>79.988031496063968</v>
          </cell>
          <cell r="G716">
            <v>55.106141732283398</v>
          </cell>
          <cell r="H716">
            <v>55.106141732283398</v>
          </cell>
          <cell r="I716" t="e">
            <v>#N/A</v>
          </cell>
          <cell r="J716" t="e">
            <v>#N/A</v>
          </cell>
          <cell r="K716" t="e">
            <v>#N/A</v>
          </cell>
          <cell r="L716" t="e">
            <v>#N/A</v>
          </cell>
          <cell r="M716" t="e">
            <v>#N/A</v>
          </cell>
          <cell r="N716" t="e">
            <v>#N/A</v>
          </cell>
          <cell r="O716" t="e">
            <v>#N/A</v>
          </cell>
          <cell r="P716">
            <v>63.51</v>
          </cell>
          <cell r="Q716" t="str">
            <v/>
          </cell>
          <cell r="R716" t="e">
            <v>#N/A</v>
          </cell>
        </row>
        <row r="717">
          <cell r="A717">
            <v>40505</v>
          </cell>
          <cell r="B717">
            <v>40505</v>
          </cell>
          <cell r="C717" t="str">
            <v>Future</v>
          </cell>
          <cell r="D717" t="e">
            <v>#N/A</v>
          </cell>
          <cell r="E717">
            <v>23.753740157480586</v>
          </cell>
          <cell r="F717">
            <v>80.092322834646652</v>
          </cell>
          <cell r="G717">
            <v>55.052952755905444</v>
          </cell>
          <cell r="H717">
            <v>55.052952755905444</v>
          </cell>
          <cell r="I717" t="e">
            <v>#N/A</v>
          </cell>
          <cell r="J717" t="e">
            <v>#N/A</v>
          </cell>
          <cell r="K717" t="e">
            <v>#N/A</v>
          </cell>
          <cell r="L717" t="e">
            <v>#N/A</v>
          </cell>
          <cell r="M717" t="e">
            <v>#N/A</v>
          </cell>
          <cell r="N717" t="e">
            <v>#N/A</v>
          </cell>
          <cell r="O717" t="e">
            <v>#N/A</v>
          </cell>
          <cell r="P717">
            <v>63.51</v>
          </cell>
          <cell r="Q717" t="str">
            <v/>
          </cell>
          <cell r="R717" t="e">
            <v>#N/A</v>
          </cell>
        </row>
        <row r="718">
          <cell r="A718">
            <v>40506</v>
          </cell>
          <cell r="B718">
            <v>40506</v>
          </cell>
          <cell r="C718" t="str">
            <v>Future</v>
          </cell>
          <cell r="D718" t="e">
            <v>#N/A</v>
          </cell>
          <cell r="E718">
            <v>23.503700787401847</v>
          </cell>
          <cell r="F718">
            <v>80.196614173229335</v>
          </cell>
          <cell r="G718">
            <v>54.999763779527491</v>
          </cell>
          <cell r="H718">
            <v>54.999763779527491</v>
          </cell>
          <cell r="I718" t="e">
            <v>#N/A</v>
          </cell>
          <cell r="J718" t="e">
            <v>#N/A</v>
          </cell>
          <cell r="K718" t="e">
            <v>#N/A</v>
          </cell>
          <cell r="L718" t="e">
            <v>#N/A</v>
          </cell>
          <cell r="M718" t="e">
            <v>#N/A</v>
          </cell>
          <cell r="N718" t="e">
            <v>#N/A</v>
          </cell>
          <cell r="O718" t="e">
            <v>#N/A</v>
          </cell>
          <cell r="P718">
            <v>63.51</v>
          </cell>
          <cell r="Q718" t="str">
            <v/>
          </cell>
          <cell r="R718" t="e">
            <v>#N/A</v>
          </cell>
        </row>
        <row r="719">
          <cell r="A719">
            <v>40508</v>
          </cell>
          <cell r="B719">
            <v>40508</v>
          </cell>
          <cell r="C719" t="str">
            <v>Future</v>
          </cell>
          <cell r="D719" t="e">
            <v>#N/A</v>
          </cell>
          <cell r="E719">
            <v>23.253661417323109</v>
          </cell>
          <cell r="F719">
            <v>80.300905511812019</v>
          </cell>
          <cell r="G719">
            <v>54.946574803149538</v>
          </cell>
          <cell r="H719">
            <v>54.946574803149538</v>
          </cell>
          <cell r="I719" t="e">
            <v>#N/A</v>
          </cell>
          <cell r="J719" t="e">
            <v>#N/A</v>
          </cell>
          <cell r="K719" t="e">
            <v>#N/A</v>
          </cell>
          <cell r="L719" t="e">
            <v>#N/A</v>
          </cell>
          <cell r="M719" t="e">
            <v>#N/A</v>
          </cell>
          <cell r="N719" t="e">
            <v>#N/A</v>
          </cell>
          <cell r="O719" t="e">
            <v>#N/A</v>
          </cell>
          <cell r="P719">
            <v>63.51</v>
          </cell>
          <cell r="Q719" t="str">
            <v/>
          </cell>
          <cell r="R719" t="e">
            <v>#N/A</v>
          </cell>
        </row>
        <row r="720">
          <cell r="A720">
            <v>40511</v>
          </cell>
          <cell r="B720">
            <v>40511</v>
          </cell>
          <cell r="C720" t="str">
            <v>Future</v>
          </cell>
          <cell r="D720" t="e">
            <v>#N/A</v>
          </cell>
          <cell r="E720">
            <v>23.00362204724437</v>
          </cell>
          <cell r="F720">
            <v>80.405196850394702</v>
          </cell>
          <cell r="G720">
            <v>54.893385826771585</v>
          </cell>
          <cell r="H720">
            <v>54.893385826771585</v>
          </cell>
          <cell r="I720" t="e">
            <v>#N/A</v>
          </cell>
          <cell r="J720" t="e">
            <v>#N/A</v>
          </cell>
          <cell r="K720" t="e">
            <v>#N/A</v>
          </cell>
          <cell r="L720" t="e">
            <v>#N/A</v>
          </cell>
          <cell r="M720" t="e">
            <v>#N/A</v>
          </cell>
          <cell r="N720" t="e">
            <v>#N/A</v>
          </cell>
          <cell r="O720" t="e">
            <v>#N/A</v>
          </cell>
          <cell r="P720">
            <v>63.51</v>
          </cell>
          <cell r="Q720" t="str">
            <v/>
          </cell>
          <cell r="R720" t="e">
            <v>#N/A</v>
          </cell>
        </row>
        <row r="721">
          <cell r="A721">
            <v>40512</v>
          </cell>
          <cell r="B721">
            <v>40512</v>
          </cell>
          <cell r="C721" t="str">
            <v>Future</v>
          </cell>
          <cell r="D721" t="e">
            <v>#N/A</v>
          </cell>
          <cell r="E721">
            <v>22.753582677165632</v>
          </cell>
          <cell r="F721">
            <v>80.509488188977386</v>
          </cell>
          <cell r="G721">
            <v>54.840196850393632</v>
          </cell>
          <cell r="H721">
            <v>54.840196850393632</v>
          </cell>
          <cell r="I721" t="e">
            <v>#N/A</v>
          </cell>
          <cell r="J721" t="e">
            <v>#N/A</v>
          </cell>
          <cell r="K721" t="e">
            <v>#N/A</v>
          </cell>
          <cell r="L721" t="e">
            <v>#N/A</v>
          </cell>
          <cell r="M721" t="e">
            <v>#N/A</v>
          </cell>
          <cell r="N721" t="e">
            <v>#N/A</v>
          </cell>
          <cell r="O721" t="e">
            <v>#N/A</v>
          </cell>
          <cell r="P721">
            <v>63.51</v>
          </cell>
          <cell r="Q721" t="str">
            <v/>
          </cell>
          <cell r="R721" t="e">
            <v>#N/A</v>
          </cell>
        </row>
        <row r="722">
          <cell r="A722">
            <v>40513</v>
          </cell>
          <cell r="B722">
            <v>40513</v>
          </cell>
          <cell r="C722" t="str">
            <v>Future</v>
          </cell>
          <cell r="D722" t="e">
            <v>#N/A</v>
          </cell>
          <cell r="E722">
            <v>22.503543307086893</v>
          </cell>
          <cell r="F722">
            <v>80.613779527560069</v>
          </cell>
          <cell r="G722">
            <v>54.787007874015679</v>
          </cell>
          <cell r="H722">
            <v>54.787007874015679</v>
          </cell>
          <cell r="I722" t="e">
            <v>#N/A</v>
          </cell>
          <cell r="J722" t="e">
            <v>#N/A</v>
          </cell>
          <cell r="K722" t="e">
            <v>#N/A</v>
          </cell>
          <cell r="L722" t="e">
            <v>#N/A</v>
          </cell>
          <cell r="M722" t="e">
            <v>#N/A</v>
          </cell>
          <cell r="N722" t="e">
            <v>#N/A</v>
          </cell>
          <cell r="O722" t="e">
            <v>#N/A</v>
          </cell>
          <cell r="P722">
            <v>63.51</v>
          </cell>
          <cell r="Q722" t="str">
            <v/>
          </cell>
          <cell r="R722" t="e">
            <v>#N/A</v>
          </cell>
        </row>
        <row r="723">
          <cell r="A723">
            <v>40514</v>
          </cell>
          <cell r="B723">
            <v>40514</v>
          </cell>
          <cell r="C723" t="str">
            <v>Future</v>
          </cell>
          <cell r="D723" t="e">
            <v>#N/A</v>
          </cell>
          <cell r="E723">
            <v>22.253503937008155</v>
          </cell>
          <cell r="F723">
            <v>80.718070866142753</v>
          </cell>
          <cell r="G723">
            <v>54.733818897637725</v>
          </cell>
          <cell r="H723">
            <v>54.733818897637725</v>
          </cell>
          <cell r="I723" t="e">
            <v>#N/A</v>
          </cell>
          <cell r="J723" t="e">
            <v>#N/A</v>
          </cell>
          <cell r="K723" t="e">
            <v>#N/A</v>
          </cell>
          <cell r="L723" t="e">
            <v>#N/A</v>
          </cell>
          <cell r="M723" t="e">
            <v>#N/A</v>
          </cell>
          <cell r="N723" t="e">
            <v>#N/A</v>
          </cell>
          <cell r="O723" t="e">
            <v>#N/A</v>
          </cell>
          <cell r="P723">
            <v>63.51</v>
          </cell>
          <cell r="Q723" t="str">
            <v/>
          </cell>
          <cell r="R723" t="e">
            <v>#N/A</v>
          </cell>
        </row>
        <row r="724">
          <cell r="A724">
            <v>40515</v>
          </cell>
          <cell r="B724">
            <v>40515</v>
          </cell>
          <cell r="C724" t="str">
            <v>Future</v>
          </cell>
          <cell r="D724" t="e">
            <v>#N/A</v>
          </cell>
          <cell r="E724">
            <v>22.003464566929416</v>
          </cell>
          <cell r="F724">
            <v>80.822362204725437</v>
          </cell>
          <cell r="G724">
            <v>54.680629921259772</v>
          </cell>
          <cell r="H724">
            <v>54.680629921259772</v>
          </cell>
          <cell r="I724" t="e">
            <v>#N/A</v>
          </cell>
          <cell r="J724" t="e">
            <v>#N/A</v>
          </cell>
          <cell r="K724" t="e">
            <v>#N/A</v>
          </cell>
          <cell r="L724" t="e">
            <v>#N/A</v>
          </cell>
          <cell r="M724" t="e">
            <v>#N/A</v>
          </cell>
          <cell r="N724" t="e">
            <v>#N/A</v>
          </cell>
          <cell r="O724" t="e">
            <v>#N/A</v>
          </cell>
          <cell r="P724">
            <v>63.51</v>
          </cell>
          <cell r="Q724" t="str">
            <v/>
          </cell>
          <cell r="R724" t="e">
            <v>#N/A</v>
          </cell>
        </row>
        <row r="725">
          <cell r="A725">
            <v>40518</v>
          </cell>
          <cell r="B725">
            <v>40518</v>
          </cell>
          <cell r="C725" t="str">
            <v>Future</v>
          </cell>
          <cell r="D725" t="e">
            <v>#N/A</v>
          </cell>
          <cell r="E725">
            <v>21.753425196850678</v>
          </cell>
          <cell r="F725">
            <v>80.92665354330812</v>
          </cell>
          <cell r="G725">
            <v>54.627440944881819</v>
          </cell>
          <cell r="H725">
            <v>54.627440944881819</v>
          </cell>
          <cell r="I725" t="e">
            <v>#N/A</v>
          </cell>
          <cell r="J725" t="e">
            <v>#N/A</v>
          </cell>
          <cell r="K725" t="e">
            <v>#N/A</v>
          </cell>
          <cell r="L725" t="e">
            <v>#N/A</v>
          </cell>
          <cell r="M725" t="e">
            <v>#N/A</v>
          </cell>
          <cell r="N725" t="e">
            <v>#N/A</v>
          </cell>
          <cell r="O725" t="e">
            <v>#N/A</v>
          </cell>
          <cell r="P725">
            <v>63.51</v>
          </cell>
          <cell r="Q725" t="str">
            <v/>
          </cell>
          <cell r="R725" t="e">
            <v>#N/A</v>
          </cell>
        </row>
        <row r="726">
          <cell r="A726">
            <v>40519</v>
          </cell>
          <cell r="B726">
            <v>40519</v>
          </cell>
          <cell r="C726" t="str">
            <v>Future</v>
          </cell>
          <cell r="D726" t="e">
            <v>#N/A</v>
          </cell>
          <cell r="E726">
            <v>21.50338582677194</v>
          </cell>
          <cell r="F726">
            <v>81.030944881890804</v>
          </cell>
          <cell r="G726">
            <v>54.574251968503866</v>
          </cell>
          <cell r="H726">
            <v>54.574251968503866</v>
          </cell>
          <cell r="I726" t="e">
            <v>#N/A</v>
          </cell>
          <cell r="J726" t="e">
            <v>#N/A</v>
          </cell>
          <cell r="K726" t="e">
            <v>#N/A</v>
          </cell>
          <cell r="L726" t="e">
            <v>#N/A</v>
          </cell>
          <cell r="M726" t="e">
            <v>#N/A</v>
          </cell>
          <cell r="N726" t="e">
            <v>#N/A</v>
          </cell>
          <cell r="O726" t="e">
            <v>#N/A</v>
          </cell>
          <cell r="P726">
            <v>63.51</v>
          </cell>
          <cell r="Q726" t="str">
            <v/>
          </cell>
          <cell r="R726" t="e">
            <v>#N/A</v>
          </cell>
        </row>
        <row r="727">
          <cell r="A727">
            <v>40520</v>
          </cell>
          <cell r="B727">
            <v>40520</v>
          </cell>
          <cell r="C727" t="str">
            <v>Future</v>
          </cell>
          <cell r="D727" t="e">
            <v>#N/A</v>
          </cell>
          <cell r="E727">
            <v>21.253346456693201</v>
          </cell>
          <cell r="F727">
            <v>81.135236220473487</v>
          </cell>
          <cell r="G727">
            <v>54.521062992125913</v>
          </cell>
          <cell r="H727">
            <v>54.521062992125913</v>
          </cell>
          <cell r="I727" t="e">
            <v>#N/A</v>
          </cell>
          <cell r="J727" t="e">
            <v>#N/A</v>
          </cell>
          <cell r="K727" t="e">
            <v>#N/A</v>
          </cell>
          <cell r="L727" t="e">
            <v>#N/A</v>
          </cell>
          <cell r="M727" t="e">
            <v>#N/A</v>
          </cell>
          <cell r="N727" t="e">
            <v>#N/A</v>
          </cell>
          <cell r="O727" t="e">
            <v>#N/A</v>
          </cell>
          <cell r="P727">
            <v>63.51</v>
          </cell>
          <cell r="Q727" t="str">
            <v/>
          </cell>
          <cell r="R727" t="e">
            <v>#N/A</v>
          </cell>
        </row>
        <row r="728">
          <cell r="A728">
            <v>40521</v>
          </cell>
          <cell r="B728">
            <v>40521</v>
          </cell>
          <cell r="C728" t="str">
            <v>Future</v>
          </cell>
          <cell r="D728" t="e">
            <v>#N/A</v>
          </cell>
          <cell r="E728">
            <v>21.003307086614463</v>
          </cell>
          <cell r="F728">
            <v>81.239527559056171</v>
          </cell>
          <cell r="G728">
            <v>54.46787401574796</v>
          </cell>
          <cell r="H728">
            <v>54.46787401574796</v>
          </cell>
          <cell r="I728" t="e">
            <v>#N/A</v>
          </cell>
          <cell r="J728" t="e">
            <v>#N/A</v>
          </cell>
          <cell r="K728" t="e">
            <v>#N/A</v>
          </cell>
          <cell r="L728" t="e">
            <v>#N/A</v>
          </cell>
          <cell r="M728" t="e">
            <v>#N/A</v>
          </cell>
          <cell r="N728" t="e">
            <v>#N/A</v>
          </cell>
          <cell r="O728" t="e">
            <v>#N/A</v>
          </cell>
          <cell r="P728">
            <v>63.51</v>
          </cell>
          <cell r="Q728" t="str">
            <v/>
          </cell>
          <cell r="R728" t="e">
            <v>#N/A</v>
          </cell>
        </row>
        <row r="729">
          <cell r="A729">
            <v>40522</v>
          </cell>
          <cell r="B729">
            <v>40522</v>
          </cell>
          <cell r="C729" t="str">
            <v>Future</v>
          </cell>
          <cell r="D729" t="e">
            <v>#N/A</v>
          </cell>
          <cell r="E729">
            <v>20.753267716535724</v>
          </cell>
          <cell r="F729">
            <v>81.343818897638855</v>
          </cell>
          <cell r="G729">
            <v>54.414685039370006</v>
          </cell>
          <cell r="H729">
            <v>54.414685039370006</v>
          </cell>
          <cell r="I729" t="e">
            <v>#N/A</v>
          </cell>
          <cell r="J729" t="e">
            <v>#N/A</v>
          </cell>
          <cell r="K729" t="e">
            <v>#N/A</v>
          </cell>
          <cell r="L729" t="e">
            <v>#N/A</v>
          </cell>
          <cell r="M729" t="e">
            <v>#N/A</v>
          </cell>
          <cell r="N729" t="e">
            <v>#N/A</v>
          </cell>
          <cell r="O729" t="e">
            <v>#N/A</v>
          </cell>
          <cell r="P729">
            <v>63.51</v>
          </cell>
          <cell r="Q729" t="str">
            <v/>
          </cell>
          <cell r="R729" t="e">
            <v>#N/A</v>
          </cell>
        </row>
        <row r="730">
          <cell r="A730">
            <v>40525</v>
          </cell>
          <cell r="B730">
            <v>40525</v>
          </cell>
          <cell r="C730" t="str">
            <v>Future</v>
          </cell>
          <cell r="D730" t="e">
            <v>#N/A</v>
          </cell>
          <cell r="E730">
            <v>20.503228346456986</v>
          </cell>
          <cell r="F730">
            <v>81.448110236221538</v>
          </cell>
          <cell r="G730">
            <v>54.361496062992053</v>
          </cell>
          <cell r="H730">
            <v>54.361496062992053</v>
          </cell>
          <cell r="I730" t="e">
            <v>#N/A</v>
          </cell>
          <cell r="J730" t="e">
            <v>#N/A</v>
          </cell>
          <cell r="K730" t="e">
            <v>#N/A</v>
          </cell>
          <cell r="L730" t="e">
            <v>#N/A</v>
          </cell>
          <cell r="M730" t="e">
            <v>#N/A</v>
          </cell>
          <cell r="N730" t="e">
            <v>#N/A</v>
          </cell>
          <cell r="O730" t="e">
            <v>#N/A</v>
          </cell>
          <cell r="P730">
            <v>63.51</v>
          </cell>
          <cell r="Q730" t="str">
            <v/>
          </cell>
          <cell r="R730" t="e">
            <v>#N/A</v>
          </cell>
        </row>
        <row r="731">
          <cell r="A731">
            <v>40526</v>
          </cell>
          <cell r="B731">
            <v>40526</v>
          </cell>
          <cell r="C731" t="str">
            <v>Future</v>
          </cell>
          <cell r="D731" t="e">
            <v>#N/A</v>
          </cell>
          <cell r="E731">
            <v>20.253188976378247</v>
          </cell>
          <cell r="F731">
            <v>81.552401574804222</v>
          </cell>
          <cell r="G731">
            <v>54.3083070866141</v>
          </cell>
          <cell r="H731">
            <v>54.3083070866141</v>
          </cell>
          <cell r="I731" t="e">
            <v>#N/A</v>
          </cell>
          <cell r="J731" t="e">
            <v>#N/A</v>
          </cell>
          <cell r="K731" t="e">
            <v>#N/A</v>
          </cell>
          <cell r="L731" t="e">
            <v>#N/A</v>
          </cell>
          <cell r="M731" t="e">
            <v>#N/A</v>
          </cell>
          <cell r="N731" t="e">
            <v>#N/A</v>
          </cell>
          <cell r="O731" t="e">
            <v>#N/A</v>
          </cell>
          <cell r="P731">
            <v>63.51</v>
          </cell>
          <cell r="Q731" t="str">
            <v/>
          </cell>
          <cell r="R731" t="e">
            <v>#N/A</v>
          </cell>
        </row>
        <row r="732">
          <cell r="A732">
            <v>40527</v>
          </cell>
          <cell r="B732">
            <v>40527</v>
          </cell>
          <cell r="C732" t="str">
            <v>Future</v>
          </cell>
          <cell r="D732" t="e">
            <v>#N/A</v>
          </cell>
          <cell r="E732">
            <v>20.003149606299509</v>
          </cell>
          <cell r="F732">
            <v>81.656692913386905</v>
          </cell>
          <cell r="G732">
            <v>54.255118110236147</v>
          </cell>
          <cell r="H732">
            <v>54.255118110236147</v>
          </cell>
          <cell r="I732" t="e">
            <v>#N/A</v>
          </cell>
          <cell r="J732" t="e">
            <v>#N/A</v>
          </cell>
          <cell r="K732" t="e">
            <v>#N/A</v>
          </cell>
          <cell r="L732" t="e">
            <v>#N/A</v>
          </cell>
          <cell r="M732" t="e">
            <v>#N/A</v>
          </cell>
          <cell r="N732" t="e">
            <v>#N/A</v>
          </cell>
          <cell r="O732" t="e">
            <v>#N/A</v>
          </cell>
          <cell r="P732">
            <v>63.51</v>
          </cell>
          <cell r="Q732" t="str">
            <v/>
          </cell>
          <cell r="R732" t="e">
            <v>#N/A</v>
          </cell>
        </row>
        <row r="733">
          <cell r="A733">
            <v>40528</v>
          </cell>
          <cell r="B733">
            <v>40528</v>
          </cell>
          <cell r="C733" t="str">
            <v>Future</v>
          </cell>
          <cell r="D733" t="e">
            <v>#N/A</v>
          </cell>
          <cell r="E733">
            <v>19.75311023622077</v>
          </cell>
          <cell r="F733">
            <v>81.760984251969589</v>
          </cell>
          <cell r="G733">
            <v>54.201929133858194</v>
          </cell>
          <cell r="H733">
            <v>54.201929133858194</v>
          </cell>
          <cell r="I733" t="e">
            <v>#N/A</v>
          </cell>
          <cell r="J733" t="e">
            <v>#N/A</v>
          </cell>
          <cell r="K733" t="e">
            <v>#N/A</v>
          </cell>
          <cell r="L733" t="e">
            <v>#N/A</v>
          </cell>
          <cell r="M733" t="e">
            <v>#N/A</v>
          </cell>
          <cell r="N733" t="e">
            <v>#N/A</v>
          </cell>
          <cell r="O733" t="e">
            <v>#N/A</v>
          </cell>
          <cell r="P733">
            <v>63.51</v>
          </cell>
          <cell r="Q733" t="str">
            <v/>
          </cell>
          <cell r="R733" t="e">
            <v>#N/A</v>
          </cell>
        </row>
        <row r="734">
          <cell r="A734">
            <v>40529</v>
          </cell>
          <cell r="B734">
            <v>40529</v>
          </cell>
          <cell r="C734" t="str">
            <v>Future</v>
          </cell>
          <cell r="D734" t="e">
            <v>#N/A</v>
          </cell>
          <cell r="E734">
            <v>19.503070866142032</v>
          </cell>
          <cell r="F734">
            <v>81.865275590552272</v>
          </cell>
          <cell r="G734">
            <v>54.14874015748024</v>
          </cell>
          <cell r="H734">
            <v>54.14874015748024</v>
          </cell>
          <cell r="I734" t="e">
            <v>#N/A</v>
          </cell>
          <cell r="J734" t="e">
            <v>#N/A</v>
          </cell>
          <cell r="K734" t="e">
            <v>#N/A</v>
          </cell>
          <cell r="L734" t="e">
            <v>#N/A</v>
          </cell>
          <cell r="M734" t="e">
            <v>#N/A</v>
          </cell>
          <cell r="N734" t="e">
            <v>#N/A</v>
          </cell>
          <cell r="O734" t="e">
            <v>#N/A</v>
          </cell>
          <cell r="P734">
            <v>63.51</v>
          </cell>
          <cell r="Q734" t="str">
            <v/>
          </cell>
          <cell r="R734" t="e">
            <v>#N/A</v>
          </cell>
        </row>
        <row r="735">
          <cell r="A735">
            <v>40532</v>
          </cell>
          <cell r="B735">
            <v>40532</v>
          </cell>
          <cell r="C735" t="str">
            <v>Future</v>
          </cell>
          <cell r="D735" t="e">
            <v>#N/A</v>
          </cell>
          <cell r="E735">
            <v>19.253031496063294</v>
          </cell>
          <cell r="F735">
            <v>81.969566929134956</v>
          </cell>
          <cell r="G735">
            <v>54.095551181102287</v>
          </cell>
          <cell r="H735">
            <v>54.095551181102287</v>
          </cell>
          <cell r="I735" t="e">
            <v>#N/A</v>
          </cell>
          <cell r="J735" t="e">
            <v>#N/A</v>
          </cell>
          <cell r="K735" t="e">
            <v>#N/A</v>
          </cell>
          <cell r="L735" t="e">
            <v>#N/A</v>
          </cell>
          <cell r="M735" t="e">
            <v>#N/A</v>
          </cell>
          <cell r="N735" t="e">
            <v>#N/A</v>
          </cell>
          <cell r="O735" t="e">
            <v>#N/A</v>
          </cell>
          <cell r="P735">
            <v>63.51</v>
          </cell>
          <cell r="Q735" t="str">
            <v/>
          </cell>
          <cell r="R735" t="e">
            <v>#N/A</v>
          </cell>
        </row>
        <row r="736">
          <cell r="A736">
            <v>40533</v>
          </cell>
          <cell r="B736">
            <v>40533</v>
          </cell>
          <cell r="C736" t="str">
            <v>Future</v>
          </cell>
          <cell r="D736" t="e">
            <v>#N/A</v>
          </cell>
          <cell r="E736">
            <v>19.002992125984555</v>
          </cell>
          <cell r="F736">
            <v>82.07385826771764</v>
          </cell>
          <cell r="G736">
            <v>54.042362204724334</v>
          </cell>
          <cell r="H736">
            <v>54.042362204724334</v>
          </cell>
          <cell r="I736" t="e">
            <v>#N/A</v>
          </cell>
          <cell r="J736" t="e">
            <v>#N/A</v>
          </cell>
          <cell r="K736" t="e">
            <v>#N/A</v>
          </cell>
          <cell r="L736" t="e">
            <v>#N/A</v>
          </cell>
          <cell r="M736" t="e">
            <v>#N/A</v>
          </cell>
          <cell r="N736" t="e">
            <v>#N/A</v>
          </cell>
          <cell r="O736" t="e">
            <v>#N/A</v>
          </cell>
          <cell r="P736">
            <v>63.51</v>
          </cell>
          <cell r="Q736" t="str">
            <v/>
          </cell>
          <cell r="R736" t="e">
            <v>#N/A</v>
          </cell>
        </row>
        <row r="737">
          <cell r="A737">
            <v>40534</v>
          </cell>
          <cell r="B737">
            <v>40534</v>
          </cell>
          <cell r="C737" t="str">
            <v>Future</v>
          </cell>
          <cell r="D737" t="e">
            <v>#N/A</v>
          </cell>
          <cell r="E737">
            <v>18.752952755905817</v>
          </cell>
          <cell r="F737">
            <v>82.178149606300323</v>
          </cell>
          <cell r="G737">
            <v>53.989173228346381</v>
          </cell>
          <cell r="H737">
            <v>53.989173228346381</v>
          </cell>
          <cell r="I737" t="e">
            <v>#N/A</v>
          </cell>
          <cell r="J737" t="e">
            <v>#N/A</v>
          </cell>
          <cell r="K737" t="e">
            <v>#N/A</v>
          </cell>
          <cell r="L737" t="e">
            <v>#N/A</v>
          </cell>
          <cell r="M737" t="e">
            <v>#N/A</v>
          </cell>
          <cell r="N737" t="e">
            <v>#N/A</v>
          </cell>
          <cell r="O737" t="e">
            <v>#N/A</v>
          </cell>
          <cell r="P737">
            <v>63.51</v>
          </cell>
          <cell r="Q737" t="str">
            <v/>
          </cell>
          <cell r="R737" t="e">
            <v>#N/A</v>
          </cell>
        </row>
        <row r="738">
          <cell r="A738">
            <v>40535</v>
          </cell>
          <cell r="B738">
            <v>40535</v>
          </cell>
          <cell r="C738" t="str">
            <v>Future</v>
          </cell>
          <cell r="D738" t="e">
            <v>#N/A</v>
          </cell>
          <cell r="E738">
            <v>18.502913385827078</v>
          </cell>
          <cell r="F738">
            <v>82.282440944883007</v>
          </cell>
          <cell r="G738">
            <v>53.935984251968428</v>
          </cell>
          <cell r="H738">
            <v>53.935984251968428</v>
          </cell>
          <cell r="I738" t="e">
            <v>#N/A</v>
          </cell>
          <cell r="J738" t="e">
            <v>#N/A</v>
          </cell>
          <cell r="K738" t="e">
            <v>#N/A</v>
          </cell>
          <cell r="L738" t="e">
            <v>#N/A</v>
          </cell>
          <cell r="M738" t="e">
            <v>#N/A</v>
          </cell>
          <cell r="N738" t="e">
            <v>#N/A</v>
          </cell>
          <cell r="O738" t="e">
            <v>#N/A</v>
          </cell>
          <cell r="P738">
            <v>63.51</v>
          </cell>
          <cell r="Q738" t="str">
            <v/>
          </cell>
          <cell r="R738" t="e">
            <v>#N/A</v>
          </cell>
        </row>
        <row r="739">
          <cell r="A739">
            <v>40539</v>
          </cell>
          <cell r="B739">
            <v>40539</v>
          </cell>
          <cell r="C739" t="str">
            <v>Future</v>
          </cell>
          <cell r="D739" t="e">
            <v>#N/A</v>
          </cell>
          <cell r="E739">
            <v>18.25287401574834</v>
          </cell>
          <cell r="F739">
            <v>82.38673228346569</v>
          </cell>
          <cell r="G739">
            <v>53.882795275590475</v>
          </cell>
          <cell r="H739">
            <v>53.882795275590475</v>
          </cell>
          <cell r="I739" t="e">
            <v>#N/A</v>
          </cell>
          <cell r="J739" t="e">
            <v>#N/A</v>
          </cell>
          <cell r="K739" t="e">
            <v>#N/A</v>
          </cell>
          <cell r="L739" t="e">
            <v>#N/A</v>
          </cell>
          <cell r="M739" t="e">
            <v>#N/A</v>
          </cell>
          <cell r="N739" t="e">
            <v>#N/A</v>
          </cell>
          <cell r="O739" t="e">
            <v>#N/A</v>
          </cell>
          <cell r="P739">
            <v>63.51</v>
          </cell>
          <cell r="Q739" t="str">
            <v/>
          </cell>
          <cell r="R739" t="e">
            <v>#N/A</v>
          </cell>
        </row>
        <row r="740">
          <cell r="A740">
            <v>40540</v>
          </cell>
          <cell r="B740">
            <v>40540</v>
          </cell>
          <cell r="C740" t="str">
            <v>Future</v>
          </cell>
          <cell r="D740" t="e">
            <v>#N/A</v>
          </cell>
          <cell r="E740">
            <v>18.002834645669601</v>
          </cell>
          <cell r="F740">
            <v>82.491023622048374</v>
          </cell>
          <cell r="G740">
            <v>53.829606299212521</v>
          </cell>
          <cell r="H740">
            <v>53.829606299212521</v>
          </cell>
          <cell r="I740" t="e">
            <v>#N/A</v>
          </cell>
          <cell r="J740" t="e">
            <v>#N/A</v>
          </cell>
          <cell r="K740" t="e">
            <v>#N/A</v>
          </cell>
          <cell r="L740" t="e">
            <v>#N/A</v>
          </cell>
          <cell r="M740" t="e">
            <v>#N/A</v>
          </cell>
          <cell r="N740" t="e">
            <v>#N/A</v>
          </cell>
          <cell r="O740" t="e">
            <v>#N/A</v>
          </cell>
          <cell r="P740">
            <v>63.51</v>
          </cell>
          <cell r="Q740" t="str">
            <v/>
          </cell>
          <cell r="R740" t="e">
            <v>#N/A</v>
          </cell>
        </row>
        <row r="741">
          <cell r="A741">
            <v>40541</v>
          </cell>
          <cell r="B741">
            <v>40541</v>
          </cell>
          <cell r="C741" t="str">
            <v>Future</v>
          </cell>
          <cell r="D741" t="e">
            <v>#N/A</v>
          </cell>
          <cell r="E741">
            <v>17.752795275590863</v>
          </cell>
          <cell r="F741">
            <v>82.595314960631057</v>
          </cell>
          <cell r="G741">
            <v>53.776417322834568</v>
          </cell>
          <cell r="H741">
            <v>53.776417322834568</v>
          </cell>
          <cell r="I741" t="e">
            <v>#N/A</v>
          </cell>
          <cell r="J741" t="e">
            <v>#N/A</v>
          </cell>
          <cell r="K741" t="e">
            <v>#N/A</v>
          </cell>
          <cell r="L741" t="e">
            <v>#N/A</v>
          </cell>
          <cell r="M741" t="e">
            <v>#N/A</v>
          </cell>
          <cell r="N741" t="e">
            <v>#N/A</v>
          </cell>
          <cell r="O741" t="e">
            <v>#N/A</v>
          </cell>
          <cell r="P741">
            <v>63.51</v>
          </cell>
          <cell r="Q741" t="str">
            <v/>
          </cell>
          <cell r="R741" t="e">
            <v>#N/A</v>
          </cell>
        </row>
        <row r="742">
          <cell r="A742">
            <v>40542</v>
          </cell>
          <cell r="B742">
            <v>40542</v>
          </cell>
          <cell r="C742" t="str">
            <v>Future</v>
          </cell>
          <cell r="D742" t="e">
            <v>#N/A</v>
          </cell>
          <cell r="E742">
            <v>17.502755905512124</v>
          </cell>
          <cell r="F742">
            <v>82.699606299213741</v>
          </cell>
          <cell r="G742">
            <v>53.723228346456615</v>
          </cell>
          <cell r="H742">
            <v>53.723228346456615</v>
          </cell>
          <cell r="I742" t="e">
            <v>#N/A</v>
          </cell>
          <cell r="J742" t="e">
            <v>#N/A</v>
          </cell>
          <cell r="K742" t="e">
            <v>#N/A</v>
          </cell>
          <cell r="L742" t="e">
            <v>#N/A</v>
          </cell>
          <cell r="M742" t="e">
            <v>#N/A</v>
          </cell>
          <cell r="N742" t="e">
            <v>#N/A</v>
          </cell>
          <cell r="O742" t="e">
            <v>#N/A</v>
          </cell>
          <cell r="P742">
            <v>63.51</v>
          </cell>
          <cell r="Q742" t="str">
            <v/>
          </cell>
          <cell r="R742" t="e">
            <v>#N/A</v>
          </cell>
        </row>
        <row r="743">
          <cell r="A743">
            <v>40543</v>
          </cell>
          <cell r="B743">
            <v>40543</v>
          </cell>
          <cell r="C743" t="str">
            <v>Future</v>
          </cell>
          <cell r="D743" t="e">
            <v>#N/A</v>
          </cell>
          <cell r="E743">
            <v>17.252716535433386</v>
          </cell>
          <cell r="F743">
            <v>82.803897637796425</v>
          </cell>
          <cell r="G743">
            <v>53.670039370078662</v>
          </cell>
          <cell r="H743">
            <v>53.670039370078662</v>
          </cell>
          <cell r="I743" t="e">
            <v>#N/A</v>
          </cell>
          <cell r="J743" t="e">
            <v>#N/A</v>
          </cell>
          <cell r="K743" t="e">
            <v>#N/A</v>
          </cell>
          <cell r="L743" t="e">
            <v>#N/A</v>
          </cell>
          <cell r="M743" t="e">
            <v>#N/A</v>
          </cell>
          <cell r="N743" t="e">
            <v>#N/A</v>
          </cell>
          <cell r="O743" t="e">
            <v>#N/A</v>
          </cell>
          <cell r="P743">
            <v>63.51</v>
          </cell>
          <cell r="Q743" t="str">
            <v/>
          </cell>
          <cell r="R743" t="e">
            <v>#N/A</v>
          </cell>
        </row>
        <row r="744">
          <cell r="A744">
            <v>40546</v>
          </cell>
          <cell r="B744">
            <v>40546</v>
          </cell>
          <cell r="C744" t="str">
            <v>Future</v>
          </cell>
          <cell r="D744" t="e">
            <v>#N/A</v>
          </cell>
          <cell r="E744">
            <v>17.002677165354648</v>
          </cell>
          <cell r="F744">
            <v>82.908188976379108</v>
          </cell>
          <cell r="G744">
            <v>53.616850393700709</v>
          </cell>
          <cell r="H744">
            <v>53.616850393700709</v>
          </cell>
          <cell r="I744" t="e">
            <v>#N/A</v>
          </cell>
          <cell r="J744" t="e">
            <v>#N/A</v>
          </cell>
          <cell r="K744" t="e">
            <v>#N/A</v>
          </cell>
          <cell r="L744" t="e">
            <v>#N/A</v>
          </cell>
          <cell r="M744" t="e">
            <v>#N/A</v>
          </cell>
          <cell r="N744" t="e">
            <v>#N/A</v>
          </cell>
          <cell r="O744" t="e">
            <v>#N/A</v>
          </cell>
          <cell r="P744">
            <v>63.51</v>
          </cell>
          <cell r="Q744" t="str">
            <v/>
          </cell>
          <cell r="R744" t="e">
            <v>#N/A</v>
          </cell>
        </row>
        <row r="745">
          <cell r="A745">
            <v>40547</v>
          </cell>
          <cell r="B745">
            <v>40547</v>
          </cell>
          <cell r="C745" t="str">
            <v>Future</v>
          </cell>
          <cell r="D745" t="e">
            <v>#N/A</v>
          </cell>
          <cell r="E745">
            <v>16.752637795275909</v>
          </cell>
          <cell r="F745">
            <v>83.012480314961792</v>
          </cell>
          <cell r="G745">
            <v>53.563661417322756</v>
          </cell>
          <cell r="H745">
            <v>53.563661417322756</v>
          </cell>
          <cell r="I745" t="e">
            <v>#N/A</v>
          </cell>
          <cell r="J745" t="e">
            <v>#N/A</v>
          </cell>
          <cell r="K745" t="e">
            <v>#N/A</v>
          </cell>
          <cell r="L745" t="e">
            <v>#N/A</v>
          </cell>
          <cell r="M745" t="e">
            <v>#N/A</v>
          </cell>
          <cell r="N745" t="e">
            <v>#N/A</v>
          </cell>
          <cell r="O745" t="e">
            <v>#N/A</v>
          </cell>
          <cell r="P745">
            <v>63.51</v>
          </cell>
          <cell r="Q745" t="str">
            <v/>
          </cell>
          <cell r="R745" t="e">
            <v>#N/A</v>
          </cell>
        </row>
        <row r="746">
          <cell r="A746">
            <v>40548</v>
          </cell>
          <cell r="B746">
            <v>40548</v>
          </cell>
          <cell r="C746" t="str">
            <v>Future</v>
          </cell>
          <cell r="D746" t="e">
            <v>#N/A</v>
          </cell>
          <cell r="E746">
            <v>16.502598425197171</v>
          </cell>
          <cell r="F746">
            <v>83.116771653544475</v>
          </cell>
          <cell r="G746">
            <v>53.510472440944802</v>
          </cell>
          <cell r="H746">
            <v>53.510472440944802</v>
          </cell>
          <cell r="I746" t="e">
            <v>#N/A</v>
          </cell>
          <cell r="J746" t="e">
            <v>#N/A</v>
          </cell>
          <cell r="K746" t="e">
            <v>#N/A</v>
          </cell>
          <cell r="L746" t="e">
            <v>#N/A</v>
          </cell>
          <cell r="M746" t="e">
            <v>#N/A</v>
          </cell>
          <cell r="N746" t="e">
            <v>#N/A</v>
          </cell>
          <cell r="O746" t="e">
            <v>#N/A</v>
          </cell>
          <cell r="P746">
            <v>63.51</v>
          </cell>
          <cell r="Q746" t="str">
            <v/>
          </cell>
          <cell r="R746" t="e">
            <v>#N/A</v>
          </cell>
        </row>
        <row r="747">
          <cell r="A747">
            <v>40549</v>
          </cell>
          <cell r="B747">
            <v>40549</v>
          </cell>
          <cell r="C747" t="str">
            <v>Future</v>
          </cell>
          <cell r="D747" t="e">
            <v>#N/A</v>
          </cell>
          <cell r="E747">
            <v>16.252559055118432</v>
          </cell>
          <cell r="F747">
            <v>83.221062992127159</v>
          </cell>
          <cell r="G747">
            <v>53.457283464566849</v>
          </cell>
          <cell r="H747">
            <v>53.457283464566849</v>
          </cell>
          <cell r="I747" t="e">
            <v>#N/A</v>
          </cell>
          <cell r="J747" t="e">
            <v>#N/A</v>
          </cell>
          <cell r="K747" t="e">
            <v>#N/A</v>
          </cell>
          <cell r="L747" t="e">
            <v>#N/A</v>
          </cell>
          <cell r="M747" t="e">
            <v>#N/A</v>
          </cell>
          <cell r="N747" t="e">
            <v>#N/A</v>
          </cell>
          <cell r="O747" t="e">
            <v>#N/A</v>
          </cell>
          <cell r="P747">
            <v>63.51</v>
          </cell>
          <cell r="Q747" t="str">
            <v/>
          </cell>
          <cell r="R747" t="e">
            <v>#N/A</v>
          </cell>
        </row>
        <row r="748">
          <cell r="A748">
            <v>40550</v>
          </cell>
          <cell r="B748">
            <v>40550</v>
          </cell>
          <cell r="C748" t="str">
            <v>Future</v>
          </cell>
          <cell r="D748" t="e">
            <v>#N/A</v>
          </cell>
          <cell r="E748">
            <v>16.002519685039694</v>
          </cell>
          <cell r="F748">
            <v>83.325354330709843</v>
          </cell>
          <cell r="G748">
            <v>53.404094488188896</v>
          </cell>
          <cell r="H748">
            <v>53.404094488188896</v>
          </cell>
          <cell r="I748" t="e">
            <v>#N/A</v>
          </cell>
          <cell r="J748" t="e">
            <v>#N/A</v>
          </cell>
          <cell r="K748" t="e">
            <v>#N/A</v>
          </cell>
          <cell r="L748" t="e">
            <v>#N/A</v>
          </cell>
          <cell r="M748" t="e">
            <v>#N/A</v>
          </cell>
          <cell r="N748" t="e">
            <v>#N/A</v>
          </cell>
          <cell r="O748" t="e">
            <v>#N/A</v>
          </cell>
          <cell r="P748">
            <v>63.51</v>
          </cell>
          <cell r="Q748" t="str">
            <v/>
          </cell>
          <cell r="R748" t="e">
            <v>#N/A</v>
          </cell>
        </row>
        <row r="749">
          <cell r="A749">
            <v>40553</v>
          </cell>
          <cell r="B749">
            <v>40553</v>
          </cell>
          <cell r="C749" t="str">
            <v>Future</v>
          </cell>
          <cell r="D749" t="e">
            <v>#N/A</v>
          </cell>
          <cell r="E749">
            <v>15.752480314960954</v>
          </cell>
          <cell r="F749">
            <v>83.429645669292526</v>
          </cell>
          <cell r="G749">
            <v>53.350905511810943</v>
          </cell>
          <cell r="H749">
            <v>53.350905511810943</v>
          </cell>
          <cell r="I749" t="e">
            <v>#N/A</v>
          </cell>
          <cell r="J749" t="e">
            <v>#N/A</v>
          </cell>
          <cell r="K749" t="e">
            <v>#N/A</v>
          </cell>
          <cell r="L749" t="e">
            <v>#N/A</v>
          </cell>
          <cell r="M749" t="e">
            <v>#N/A</v>
          </cell>
          <cell r="N749" t="e">
            <v>#N/A</v>
          </cell>
          <cell r="O749" t="e">
            <v>#N/A</v>
          </cell>
          <cell r="P749">
            <v>63.51</v>
          </cell>
          <cell r="Q749" t="str">
            <v/>
          </cell>
          <cell r="R749" t="e">
            <v>#N/A</v>
          </cell>
        </row>
        <row r="750">
          <cell r="A750">
            <v>40554</v>
          </cell>
          <cell r="B750">
            <v>40554</v>
          </cell>
          <cell r="C750" t="str">
            <v>Future</v>
          </cell>
          <cell r="D750" t="e">
            <v>#N/A</v>
          </cell>
          <cell r="E750">
            <v>15.502440944882213</v>
          </cell>
          <cell r="F750">
            <v>83.53393700787521</v>
          </cell>
          <cell r="G750">
            <v>53.29771653543299</v>
          </cell>
          <cell r="H750">
            <v>53.29771653543299</v>
          </cell>
          <cell r="I750" t="e">
            <v>#N/A</v>
          </cell>
          <cell r="J750" t="e">
            <v>#N/A</v>
          </cell>
          <cell r="K750" t="e">
            <v>#N/A</v>
          </cell>
          <cell r="L750" t="e">
            <v>#N/A</v>
          </cell>
          <cell r="M750" t="e">
            <v>#N/A</v>
          </cell>
          <cell r="N750" t="e">
            <v>#N/A</v>
          </cell>
          <cell r="O750" t="e">
            <v>#N/A</v>
          </cell>
          <cell r="P750">
            <v>63.51</v>
          </cell>
          <cell r="Q750" t="str">
            <v/>
          </cell>
          <cell r="R750" t="e">
            <v>#N/A</v>
          </cell>
        </row>
        <row r="751">
          <cell r="A751">
            <v>40555</v>
          </cell>
          <cell r="B751">
            <v>40555</v>
          </cell>
          <cell r="C751" t="str">
            <v>Future</v>
          </cell>
          <cell r="D751" t="e">
            <v>#N/A</v>
          </cell>
          <cell r="E751">
            <v>15.252401574803473</v>
          </cell>
          <cell r="F751">
            <v>83.638228346457893</v>
          </cell>
          <cell r="G751">
            <v>53.244527559055037</v>
          </cell>
          <cell r="H751">
            <v>53.244527559055037</v>
          </cell>
          <cell r="I751" t="e">
            <v>#N/A</v>
          </cell>
          <cell r="J751" t="e">
            <v>#N/A</v>
          </cell>
          <cell r="K751" t="e">
            <v>#N/A</v>
          </cell>
          <cell r="L751" t="e">
            <v>#N/A</v>
          </cell>
          <cell r="M751" t="e">
            <v>#N/A</v>
          </cell>
          <cell r="N751" t="e">
            <v>#N/A</v>
          </cell>
          <cell r="O751" t="e">
            <v>#N/A</v>
          </cell>
          <cell r="P751">
            <v>63.51</v>
          </cell>
          <cell r="Q751" t="str">
            <v/>
          </cell>
          <cell r="R751" t="e">
            <v>#N/A</v>
          </cell>
        </row>
        <row r="752">
          <cell r="A752">
            <v>40556</v>
          </cell>
          <cell r="B752">
            <v>40556</v>
          </cell>
          <cell r="C752" t="str">
            <v>Future</v>
          </cell>
          <cell r="D752" t="e">
            <v>#N/A</v>
          </cell>
          <cell r="E752">
            <v>15.002362204724733</v>
          </cell>
          <cell r="F752">
            <v>83.742519685040577</v>
          </cell>
          <cell r="G752">
            <v>53.191338582677083</v>
          </cell>
          <cell r="H752">
            <v>53.191338582677083</v>
          </cell>
          <cell r="I752" t="e">
            <v>#N/A</v>
          </cell>
          <cell r="J752" t="e">
            <v>#N/A</v>
          </cell>
          <cell r="K752" t="e">
            <v>#N/A</v>
          </cell>
          <cell r="L752" t="e">
            <v>#N/A</v>
          </cell>
          <cell r="M752" t="e">
            <v>#N/A</v>
          </cell>
          <cell r="N752" t="e">
            <v>#N/A</v>
          </cell>
          <cell r="O752" t="e">
            <v>#N/A</v>
          </cell>
          <cell r="P752">
            <v>63.51</v>
          </cell>
          <cell r="Q752" t="str">
            <v/>
          </cell>
          <cell r="R752" t="e">
            <v>#N/A</v>
          </cell>
        </row>
        <row r="753">
          <cell r="A753">
            <v>40557</v>
          </cell>
          <cell r="B753">
            <v>40557</v>
          </cell>
          <cell r="C753" t="str">
            <v>Future</v>
          </cell>
          <cell r="D753" t="e">
            <v>#N/A</v>
          </cell>
          <cell r="E753">
            <v>14.752322834645993</v>
          </cell>
          <cell r="F753">
            <v>83.84681102362326</v>
          </cell>
          <cell r="G753">
            <v>53.13814960629913</v>
          </cell>
          <cell r="H753">
            <v>53.13814960629913</v>
          </cell>
          <cell r="I753" t="e">
            <v>#N/A</v>
          </cell>
          <cell r="J753" t="e">
            <v>#N/A</v>
          </cell>
          <cell r="K753" t="e">
            <v>#N/A</v>
          </cell>
          <cell r="L753" t="e">
            <v>#N/A</v>
          </cell>
          <cell r="M753" t="e">
            <v>#N/A</v>
          </cell>
          <cell r="N753" t="e">
            <v>#N/A</v>
          </cell>
          <cell r="O753" t="e">
            <v>#N/A</v>
          </cell>
          <cell r="P753">
            <v>63.51</v>
          </cell>
          <cell r="Q753" t="str">
            <v/>
          </cell>
          <cell r="R753" t="e">
            <v>#N/A</v>
          </cell>
        </row>
        <row r="754">
          <cell r="A754">
            <v>40561</v>
          </cell>
          <cell r="B754">
            <v>40561</v>
          </cell>
          <cell r="C754" t="str">
            <v>Future</v>
          </cell>
          <cell r="D754" t="e">
            <v>#N/A</v>
          </cell>
          <cell r="E754">
            <v>14.502283464567252</v>
          </cell>
          <cell r="F754">
            <v>83.951102362205944</v>
          </cell>
          <cell r="G754">
            <v>53.084960629921177</v>
          </cell>
          <cell r="H754">
            <v>53.084960629921177</v>
          </cell>
          <cell r="I754" t="e">
            <v>#N/A</v>
          </cell>
          <cell r="J754" t="e">
            <v>#N/A</v>
          </cell>
          <cell r="K754" t="e">
            <v>#N/A</v>
          </cell>
          <cell r="L754" t="e">
            <v>#N/A</v>
          </cell>
          <cell r="M754" t="e">
            <v>#N/A</v>
          </cell>
          <cell r="N754" t="e">
            <v>#N/A</v>
          </cell>
          <cell r="O754" t="e">
            <v>#N/A</v>
          </cell>
          <cell r="P754">
            <v>63.51</v>
          </cell>
          <cell r="Q754" t="str">
            <v/>
          </cell>
          <cell r="R754" t="e">
            <v>#N/A</v>
          </cell>
        </row>
        <row r="755">
          <cell r="A755">
            <v>40562</v>
          </cell>
          <cell r="B755">
            <v>40562</v>
          </cell>
          <cell r="C755" t="str">
            <v>Future</v>
          </cell>
          <cell r="D755" t="e">
            <v>#N/A</v>
          </cell>
          <cell r="E755">
            <v>14.252244094488512</v>
          </cell>
          <cell r="F755">
            <v>84.055393700788628</v>
          </cell>
          <cell r="G755">
            <v>53.031771653543224</v>
          </cell>
          <cell r="H755">
            <v>53.031771653543224</v>
          </cell>
          <cell r="I755" t="e">
            <v>#N/A</v>
          </cell>
          <cell r="J755" t="e">
            <v>#N/A</v>
          </cell>
          <cell r="K755" t="e">
            <v>#N/A</v>
          </cell>
          <cell r="L755" t="e">
            <v>#N/A</v>
          </cell>
          <cell r="M755" t="e">
            <v>#N/A</v>
          </cell>
          <cell r="N755" t="e">
            <v>#N/A</v>
          </cell>
          <cell r="O755" t="e">
            <v>#N/A</v>
          </cell>
          <cell r="P755">
            <v>63.51</v>
          </cell>
          <cell r="Q755" t="str">
            <v/>
          </cell>
          <cell r="R755" t="e">
            <v>#N/A</v>
          </cell>
        </row>
        <row r="756">
          <cell r="A756">
            <v>40563</v>
          </cell>
          <cell r="B756">
            <v>40563</v>
          </cell>
          <cell r="C756" t="str">
            <v>Future</v>
          </cell>
          <cell r="D756" t="e">
            <v>#N/A</v>
          </cell>
          <cell r="E756">
            <v>14.002204724409772</v>
          </cell>
          <cell r="F756">
            <v>84.159685039371311</v>
          </cell>
          <cell r="G756">
            <v>52.978582677165271</v>
          </cell>
          <cell r="H756">
            <v>52.978582677165271</v>
          </cell>
          <cell r="I756" t="e">
            <v>#N/A</v>
          </cell>
          <cell r="J756" t="e">
            <v>#N/A</v>
          </cell>
          <cell r="K756" t="e">
            <v>#N/A</v>
          </cell>
          <cell r="L756" t="e">
            <v>#N/A</v>
          </cell>
          <cell r="M756" t="e">
            <v>#N/A</v>
          </cell>
          <cell r="N756" t="e">
            <v>#N/A</v>
          </cell>
          <cell r="O756" t="e">
            <v>#N/A</v>
          </cell>
          <cell r="P756">
            <v>63.51</v>
          </cell>
          <cell r="Q756" t="str">
            <v/>
          </cell>
          <cell r="R756" t="e">
            <v>#N/A</v>
          </cell>
        </row>
        <row r="757">
          <cell r="A757">
            <v>40564</v>
          </cell>
          <cell r="B757">
            <v>40564</v>
          </cell>
          <cell r="C757" t="str">
            <v>Future</v>
          </cell>
          <cell r="D757" t="e">
            <v>#N/A</v>
          </cell>
          <cell r="E757">
            <v>13.752165354331032</v>
          </cell>
          <cell r="F757">
            <v>84.263976377953995</v>
          </cell>
          <cell r="G757">
            <v>52.925393700787318</v>
          </cell>
          <cell r="H757">
            <v>52.925393700787318</v>
          </cell>
          <cell r="I757" t="e">
            <v>#N/A</v>
          </cell>
          <cell r="J757" t="e">
            <v>#N/A</v>
          </cell>
          <cell r="K757" t="e">
            <v>#N/A</v>
          </cell>
          <cell r="L757" t="e">
            <v>#N/A</v>
          </cell>
          <cell r="M757" t="e">
            <v>#N/A</v>
          </cell>
          <cell r="N757" t="e">
            <v>#N/A</v>
          </cell>
          <cell r="O757" t="e">
            <v>#N/A</v>
          </cell>
          <cell r="P757">
            <v>63.51</v>
          </cell>
          <cell r="Q757" t="str">
            <v/>
          </cell>
          <cell r="R757" t="e">
            <v>#N/A</v>
          </cell>
        </row>
        <row r="758">
          <cell r="A758">
            <v>40567</v>
          </cell>
          <cell r="B758">
            <v>40567</v>
          </cell>
          <cell r="C758" t="str">
            <v>Future</v>
          </cell>
          <cell r="D758" t="e">
            <v>#N/A</v>
          </cell>
          <cell r="E758">
            <v>13.502125984252292</v>
          </cell>
          <cell r="F758">
            <v>84.368267716536678</v>
          </cell>
          <cell r="G758">
            <v>52.872204724409364</v>
          </cell>
          <cell r="H758">
            <v>52.872204724409364</v>
          </cell>
          <cell r="I758" t="e">
            <v>#N/A</v>
          </cell>
          <cell r="J758" t="e">
            <v>#N/A</v>
          </cell>
          <cell r="K758" t="e">
            <v>#N/A</v>
          </cell>
          <cell r="L758" t="e">
            <v>#N/A</v>
          </cell>
          <cell r="M758" t="e">
            <v>#N/A</v>
          </cell>
          <cell r="N758" t="e">
            <v>#N/A</v>
          </cell>
          <cell r="O758" t="e">
            <v>#N/A</v>
          </cell>
          <cell r="P758">
            <v>63.51</v>
          </cell>
          <cell r="Q758" t="str">
            <v/>
          </cell>
          <cell r="R758" t="e">
            <v>#N/A</v>
          </cell>
        </row>
        <row r="759">
          <cell r="A759">
            <v>40568</v>
          </cell>
          <cell r="B759">
            <v>40568</v>
          </cell>
          <cell r="C759" t="str">
            <v>Future</v>
          </cell>
          <cell r="D759" t="e">
            <v>#N/A</v>
          </cell>
          <cell r="E759">
            <v>13.252086614173551</v>
          </cell>
          <cell r="F759">
            <v>84.472559055119362</v>
          </cell>
          <cell r="G759">
            <v>52.819015748031411</v>
          </cell>
          <cell r="H759">
            <v>52.819015748031411</v>
          </cell>
          <cell r="I759" t="e">
            <v>#N/A</v>
          </cell>
          <cell r="J759" t="e">
            <v>#N/A</v>
          </cell>
          <cell r="K759" t="e">
            <v>#N/A</v>
          </cell>
          <cell r="L759" t="e">
            <v>#N/A</v>
          </cell>
          <cell r="M759" t="e">
            <v>#N/A</v>
          </cell>
          <cell r="N759" t="e">
            <v>#N/A</v>
          </cell>
          <cell r="O759" t="e">
            <v>#N/A</v>
          </cell>
          <cell r="P759">
            <v>63.51</v>
          </cell>
          <cell r="Q759" t="str">
            <v/>
          </cell>
          <cell r="R759" t="e">
            <v>#N/A</v>
          </cell>
        </row>
        <row r="760">
          <cell r="A760">
            <v>40569</v>
          </cell>
          <cell r="B760">
            <v>40569</v>
          </cell>
          <cell r="C760" t="str">
            <v>Future</v>
          </cell>
          <cell r="D760" t="e">
            <v>#N/A</v>
          </cell>
          <cell r="E760">
            <v>13.002047244094811</v>
          </cell>
          <cell r="F760">
            <v>84.576850393702045</v>
          </cell>
          <cell r="G760">
            <v>52.765826771653458</v>
          </cell>
          <cell r="H760">
            <v>52.765826771653458</v>
          </cell>
          <cell r="I760" t="e">
            <v>#N/A</v>
          </cell>
          <cell r="J760" t="e">
            <v>#N/A</v>
          </cell>
          <cell r="K760" t="e">
            <v>#N/A</v>
          </cell>
          <cell r="L760" t="e">
            <v>#N/A</v>
          </cell>
          <cell r="M760" t="e">
            <v>#N/A</v>
          </cell>
          <cell r="N760" t="e">
            <v>#N/A</v>
          </cell>
          <cell r="O760" t="e">
            <v>#N/A</v>
          </cell>
          <cell r="P760">
            <v>63.51</v>
          </cell>
          <cell r="Q760" t="str">
            <v/>
          </cell>
          <cell r="R760" t="e">
            <v>#N/A</v>
          </cell>
        </row>
        <row r="761">
          <cell r="A761">
            <v>40570</v>
          </cell>
          <cell r="B761">
            <v>40570</v>
          </cell>
          <cell r="C761" t="str">
            <v>Future</v>
          </cell>
          <cell r="D761" t="e">
            <v>#N/A</v>
          </cell>
          <cell r="E761">
            <v>12.752007874016071</v>
          </cell>
          <cell r="F761">
            <v>84.681141732284729</v>
          </cell>
          <cell r="G761">
            <v>52.712637795275505</v>
          </cell>
          <cell r="H761">
            <v>52.712637795275505</v>
          </cell>
          <cell r="I761" t="e">
            <v>#N/A</v>
          </cell>
          <cell r="J761" t="e">
            <v>#N/A</v>
          </cell>
          <cell r="K761" t="e">
            <v>#N/A</v>
          </cell>
          <cell r="L761" t="e">
            <v>#N/A</v>
          </cell>
          <cell r="M761" t="e">
            <v>#N/A</v>
          </cell>
          <cell r="N761" t="e">
            <v>#N/A</v>
          </cell>
          <cell r="O761" t="e">
            <v>#N/A</v>
          </cell>
          <cell r="P761">
            <v>63.51</v>
          </cell>
          <cell r="Q761" t="str">
            <v/>
          </cell>
          <cell r="R761" t="e">
            <v>#N/A</v>
          </cell>
        </row>
        <row r="762">
          <cell r="A762">
            <v>40571</v>
          </cell>
          <cell r="B762">
            <v>40571</v>
          </cell>
          <cell r="C762" t="str">
            <v>Future</v>
          </cell>
          <cell r="D762" t="e">
            <v>#N/A</v>
          </cell>
          <cell r="E762">
            <v>12.501968503937331</v>
          </cell>
          <cell r="F762">
            <v>84.785433070867413</v>
          </cell>
          <cell r="G762">
            <v>52.659448818897552</v>
          </cell>
          <cell r="H762">
            <v>52.659448818897552</v>
          </cell>
          <cell r="I762" t="e">
            <v>#N/A</v>
          </cell>
          <cell r="J762" t="e">
            <v>#N/A</v>
          </cell>
          <cell r="K762" t="e">
            <v>#N/A</v>
          </cell>
          <cell r="L762" t="e">
            <v>#N/A</v>
          </cell>
          <cell r="M762" t="e">
            <v>#N/A</v>
          </cell>
          <cell r="N762" t="e">
            <v>#N/A</v>
          </cell>
          <cell r="O762" t="e">
            <v>#N/A</v>
          </cell>
          <cell r="P762">
            <v>63.51</v>
          </cell>
          <cell r="Q762" t="str">
            <v/>
          </cell>
          <cell r="R762" t="e">
            <v>#N/A</v>
          </cell>
        </row>
        <row r="763">
          <cell r="A763">
            <v>40574</v>
          </cell>
          <cell r="B763">
            <v>40574</v>
          </cell>
          <cell r="C763" t="str">
            <v>Future</v>
          </cell>
          <cell r="D763" t="e">
            <v>#N/A</v>
          </cell>
          <cell r="E763">
            <v>12.251929133858591</v>
          </cell>
          <cell r="F763">
            <v>84.889724409450096</v>
          </cell>
          <cell r="G763">
            <v>52.606259842519599</v>
          </cell>
          <cell r="H763">
            <v>52.606259842519599</v>
          </cell>
          <cell r="I763" t="e">
            <v>#N/A</v>
          </cell>
          <cell r="J763" t="e">
            <v>#N/A</v>
          </cell>
          <cell r="K763" t="e">
            <v>#N/A</v>
          </cell>
          <cell r="L763" t="e">
            <v>#N/A</v>
          </cell>
          <cell r="M763" t="e">
            <v>#N/A</v>
          </cell>
          <cell r="N763" t="e">
            <v>#N/A</v>
          </cell>
          <cell r="O763" t="e">
            <v>#N/A</v>
          </cell>
          <cell r="P763">
            <v>63.51</v>
          </cell>
          <cell r="Q763" t="str">
            <v/>
          </cell>
          <cell r="R763" t="e">
            <v>#N/A</v>
          </cell>
        </row>
        <row r="764">
          <cell r="A764">
            <v>40575</v>
          </cell>
          <cell r="B764">
            <v>40575</v>
          </cell>
          <cell r="C764" t="str">
            <v>Future</v>
          </cell>
          <cell r="D764" t="e">
            <v>#N/A</v>
          </cell>
          <cell r="E764">
            <v>12.00188976377985</v>
          </cell>
          <cell r="F764">
            <v>84.99401574803278</v>
          </cell>
          <cell r="G764">
            <v>52.553070866141645</v>
          </cell>
          <cell r="H764">
            <v>52.553070866141645</v>
          </cell>
          <cell r="I764" t="e">
            <v>#N/A</v>
          </cell>
          <cell r="J764" t="e">
            <v>#N/A</v>
          </cell>
          <cell r="K764" t="e">
            <v>#N/A</v>
          </cell>
          <cell r="L764" t="e">
            <v>#N/A</v>
          </cell>
          <cell r="M764" t="e">
            <v>#N/A</v>
          </cell>
          <cell r="N764" t="e">
            <v>#N/A</v>
          </cell>
          <cell r="O764" t="e">
            <v>#N/A</v>
          </cell>
          <cell r="P764">
            <v>63.51</v>
          </cell>
          <cell r="Q764" t="str">
            <v/>
          </cell>
          <cell r="R764" t="e">
            <v>#N/A</v>
          </cell>
        </row>
        <row r="765">
          <cell r="A765">
            <v>40576</v>
          </cell>
          <cell r="B765">
            <v>40576</v>
          </cell>
          <cell r="C765" t="str">
            <v>Future</v>
          </cell>
          <cell r="D765" t="e">
            <v>#N/A</v>
          </cell>
          <cell r="E765">
            <v>11.75185039370111</v>
          </cell>
          <cell r="F765">
            <v>85.098307086615463</v>
          </cell>
          <cell r="G765">
            <v>52.499881889763692</v>
          </cell>
          <cell r="H765">
            <v>52.499881889763692</v>
          </cell>
          <cell r="I765" t="e">
            <v>#N/A</v>
          </cell>
          <cell r="J765" t="e">
            <v>#N/A</v>
          </cell>
          <cell r="K765" t="e">
            <v>#N/A</v>
          </cell>
          <cell r="L765" t="e">
            <v>#N/A</v>
          </cell>
          <cell r="M765" t="e">
            <v>#N/A</v>
          </cell>
          <cell r="N765" t="e">
            <v>#N/A</v>
          </cell>
          <cell r="O765" t="e">
            <v>#N/A</v>
          </cell>
          <cell r="P765">
            <v>63.51</v>
          </cell>
          <cell r="Q765" t="str">
            <v/>
          </cell>
          <cell r="R765" t="e">
            <v>#N/A</v>
          </cell>
        </row>
        <row r="766">
          <cell r="A766">
            <v>40577</v>
          </cell>
          <cell r="B766">
            <v>40577</v>
          </cell>
          <cell r="C766" t="str">
            <v>Future</v>
          </cell>
          <cell r="D766" t="e">
            <v>#N/A</v>
          </cell>
          <cell r="E766">
            <v>11.50181102362237</v>
          </cell>
          <cell r="F766">
            <v>85.202598425198147</v>
          </cell>
          <cell r="G766">
            <v>52.446692913385739</v>
          </cell>
          <cell r="H766">
            <v>52.446692913385739</v>
          </cell>
          <cell r="I766" t="e">
            <v>#N/A</v>
          </cell>
          <cell r="J766" t="e">
            <v>#N/A</v>
          </cell>
          <cell r="K766" t="e">
            <v>#N/A</v>
          </cell>
          <cell r="L766" t="e">
            <v>#N/A</v>
          </cell>
          <cell r="M766" t="e">
            <v>#N/A</v>
          </cell>
          <cell r="N766" t="e">
            <v>#N/A</v>
          </cell>
          <cell r="O766" t="e">
            <v>#N/A</v>
          </cell>
          <cell r="P766">
            <v>63.51</v>
          </cell>
          <cell r="Q766" t="str">
            <v/>
          </cell>
          <cell r="R766" t="e">
            <v>#N/A</v>
          </cell>
        </row>
        <row r="767">
          <cell r="A767">
            <v>40578</v>
          </cell>
          <cell r="B767">
            <v>40578</v>
          </cell>
          <cell r="C767" t="str">
            <v>Future</v>
          </cell>
          <cell r="D767" t="e">
            <v>#N/A</v>
          </cell>
          <cell r="E767">
            <v>11.25177165354363</v>
          </cell>
          <cell r="F767">
            <v>85.306889763780831</v>
          </cell>
          <cell r="G767">
            <v>52.393503937007786</v>
          </cell>
          <cell r="H767">
            <v>52.393503937007786</v>
          </cell>
          <cell r="I767" t="e">
            <v>#N/A</v>
          </cell>
          <cell r="J767" t="e">
            <v>#N/A</v>
          </cell>
          <cell r="K767" t="e">
            <v>#N/A</v>
          </cell>
          <cell r="L767" t="e">
            <v>#N/A</v>
          </cell>
          <cell r="M767" t="e">
            <v>#N/A</v>
          </cell>
          <cell r="N767" t="e">
            <v>#N/A</v>
          </cell>
          <cell r="O767" t="e">
            <v>#N/A</v>
          </cell>
          <cell r="P767">
            <v>63.51</v>
          </cell>
          <cell r="Q767" t="str">
            <v/>
          </cell>
          <cell r="R767" t="e">
            <v>#N/A</v>
          </cell>
        </row>
        <row r="768">
          <cell r="A768">
            <v>40581</v>
          </cell>
          <cell r="B768">
            <v>40581</v>
          </cell>
          <cell r="C768" t="str">
            <v>Future</v>
          </cell>
          <cell r="D768" t="e">
            <v>#N/A</v>
          </cell>
          <cell r="E768">
            <v>11.001732283464889</v>
          </cell>
          <cell r="F768">
            <v>85.411181102363514</v>
          </cell>
          <cell r="G768">
            <v>52.340314960629833</v>
          </cell>
          <cell r="H768">
            <v>52.340314960629833</v>
          </cell>
          <cell r="I768" t="e">
            <v>#N/A</v>
          </cell>
          <cell r="J768" t="e">
            <v>#N/A</v>
          </cell>
          <cell r="K768" t="e">
            <v>#N/A</v>
          </cell>
          <cell r="L768" t="e">
            <v>#N/A</v>
          </cell>
          <cell r="M768" t="e">
            <v>#N/A</v>
          </cell>
          <cell r="N768" t="e">
            <v>#N/A</v>
          </cell>
          <cell r="O768" t="e">
            <v>#N/A</v>
          </cell>
          <cell r="P768">
            <v>63.51</v>
          </cell>
          <cell r="Q768" t="str">
            <v/>
          </cell>
          <cell r="R768" t="e">
            <v>#N/A</v>
          </cell>
        </row>
        <row r="769">
          <cell r="A769">
            <v>40582</v>
          </cell>
          <cell r="B769">
            <v>40582</v>
          </cell>
          <cell r="C769" t="str">
            <v>Future</v>
          </cell>
          <cell r="D769" t="e">
            <v>#N/A</v>
          </cell>
          <cell r="E769">
            <v>10.751692913386149</v>
          </cell>
          <cell r="F769">
            <v>85.515472440946198</v>
          </cell>
          <cell r="G769">
            <v>52.28712598425188</v>
          </cell>
          <cell r="H769">
            <v>52.28712598425188</v>
          </cell>
          <cell r="I769" t="e">
            <v>#N/A</v>
          </cell>
          <cell r="J769" t="e">
            <v>#N/A</v>
          </cell>
          <cell r="K769" t="e">
            <v>#N/A</v>
          </cell>
          <cell r="L769" t="e">
            <v>#N/A</v>
          </cell>
          <cell r="M769" t="e">
            <v>#N/A</v>
          </cell>
          <cell r="N769" t="e">
            <v>#N/A</v>
          </cell>
          <cell r="O769" t="e">
            <v>#N/A</v>
          </cell>
          <cell r="P769">
            <v>63.51</v>
          </cell>
          <cell r="Q769" t="str">
            <v/>
          </cell>
          <cell r="R769" t="e">
            <v>#N/A</v>
          </cell>
        </row>
        <row r="770">
          <cell r="A770">
            <v>40583</v>
          </cell>
          <cell r="B770">
            <v>40583</v>
          </cell>
          <cell r="C770" t="str">
            <v>Future</v>
          </cell>
          <cell r="D770" t="e">
            <v>#N/A</v>
          </cell>
          <cell r="E770">
            <v>10.501653543307409</v>
          </cell>
          <cell r="F770">
            <v>85.619763779528881</v>
          </cell>
          <cell r="G770">
            <v>52.233937007873926</v>
          </cell>
          <cell r="H770">
            <v>52.233937007873926</v>
          </cell>
          <cell r="I770" t="e">
            <v>#N/A</v>
          </cell>
          <cell r="J770" t="e">
            <v>#N/A</v>
          </cell>
          <cell r="K770" t="e">
            <v>#N/A</v>
          </cell>
          <cell r="L770" t="e">
            <v>#N/A</v>
          </cell>
          <cell r="M770" t="e">
            <v>#N/A</v>
          </cell>
          <cell r="N770" t="e">
            <v>#N/A</v>
          </cell>
          <cell r="O770" t="e">
            <v>#N/A</v>
          </cell>
          <cell r="P770">
            <v>63.51</v>
          </cell>
          <cell r="Q770" t="str">
            <v/>
          </cell>
          <cell r="R770" t="e">
            <v>#N/A</v>
          </cell>
        </row>
        <row r="771">
          <cell r="A771">
            <v>40584</v>
          </cell>
          <cell r="B771">
            <v>40584</v>
          </cell>
          <cell r="C771" t="str">
            <v>Future</v>
          </cell>
          <cell r="D771" t="e">
            <v>#N/A</v>
          </cell>
          <cell r="E771">
            <v>10.251614173228669</v>
          </cell>
          <cell r="F771">
            <v>85.724055118111565</v>
          </cell>
          <cell r="G771">
            <v>52.180748031495973</v>
          </cell>
          <cell r="H771">
            <v>52.180748031495973</v>
          </cell>
          <cell r="I771" t="e">
            <v>#N/A</v>
          </cell>
          <cell r="J771" t="e">
            <v>#N/A</v>
          </cell>
          <cell r="K771" t="e">
            <v>#N/A</v>
          </cell>
          <cell r="L771" t="e">
            <v>#N/A</v>
          </cell>
          <cell r="M771" t="e">
            <v>#N/A</v>
          </cell>
          <cell r="N771" t="e">
            <v>#N/A</v>
          </cell>
          <cell r="O771" t="e">
            <v>#N/A</v>
          </cell>
          <cell r="P771">
            <v>63.51</v>
          </cell>
          <cell r="Q771" t="str">
            <v/>
          </cell>
          <cell r="R771" t="e">
            <v>#N/A</v>
          </cell>
        </row>
        <row r="772">
          <cell r="A772">
            <v>40585</v>
          </cell>
          <cell r="B772">
            <v>40585</v>
          </cell>
          <cell r="C772" t="str">
            <v>Future</v>
          </cell>
          <cell r="D772" t="e">
            <v>#N/A</v>
          </cell>
          <cell r="E772">
            <v>10.001574803149929</v>
          </cell>
          <cell r="F772">
            <v>85.828346456694248</v>
          </cell>
          <cell r="G772">
            <v>52.12755905511802</v>
          </cell>
          <cell r="H772">
            <v>52.12755905511802</v>
          </cell>
          <cell r="I772" t="e">
            <v>#N/A</v>
          </cell>
          <cell r="J772" t="e">
            <v>#N/A</v>
          </cell>
          <cell r="K772" t="e">
            <v>#N/A</v>
          </cell>
          <cell r="L772" t="e">
            <v>#N/A</v>
          </cell>
          <cell r="M772" t="e">
            <v>#N/A</v>
          </cell>
          <cell r="N772" t="e">
            <v>#N/A</v>
          </cell>
          <cell r="O772" t="e">
            <v>#N/A</v>
          </cell>
          <cell r="P772">
            <v>63.51</v>
          </cell>
          <cell r="Q772" t="str">
            <v/>
          </cell>
          <cell r="R772" t="e">
            <v>#N/A</v>
          </cell>
        </row>
        <row r="773">
          <cell r="A773">
            <v>40588</v>
          </cell>
          <cell r="B773">
            <v>40588</v>
          </cell>
          <cell r="C773" t="str">
            <v>Future</v>
          </cell>
          <cell r="D773" t="e">
            <v>#N/A</v>
          </cell>
          <cell r="E773">
            <v>9.7515354330711883</v>
          </cell>
          <cell r="F773">
            <v>85.932637795276932</v>
          </cell>
          <cell r="G773">
            <v>52.074370078740067</v>
          </cell>
          <cell r="H773">
            <v>52.074370078740067</v>
          </cell>
          <cell r="I773" t="e">
            <v>#N/A</v>
          </cell>
          <cell r="J773" t="e">
            <v>#N/A</v>
          </cell>
          <cell r="K773" t="e">
            <v>#N/A</v>
          </cell>
          <cell r="L773" t="e">
            <v>#N/A</v>
          </cell>
          <cell r="M773" t="e">
            <v>#N/A</v>
          </cell>
          <cell r="N773" t="e">
            <v>#N/A</v>
          </cell>
          <cell r="O773" t="e">
            <v>#N/A</v>
          </cell>
          <cell r="P773">
            <v>63.51</v>
          </cell>
          <cell r="Q773" t="str">
            <v/>
          </cell>
          <cell r="R773" t="e">
            <v>#N/A</v>
          </cell>
        </row>
        <row r="774">
          <cell r="A774">
            <v>40589</v>
          </cell>
          <cell r="B774">
            <v>40589</v>
          </cell>
          <cell r="C774" t="str">
            <v>Future</v>
          </cell>
          <cell r="D774" t="e">
            <v>#N/A</v>
          </cell>
          <cell r="E774">
            <v>9.5014960629924481</v>
          </cell>
          <cell r="F774">
            <v>86.036929133859616</v>
          </cell>
          <cell r="G774">
            <v>52.021181102362114</v>
          </cell>
          <cell r="H774">
            <v>52.021181102362114</v>
          </cell>
          <cell r="I774" t="e">
            <v>#N/A</v>
          </cell>
          <cell r="J774" t="e">
            <v>#N/A</v>
          </cell>
          <cell r="K774" t="e">
            <v>#N/A</v>
          </cell>
          <cell r="L774" t="e">
            <v>#N/A</v>
          </cell>
          <cell r="M774" t="e">
            <v>#N/A</v>
          </cell>
          <cell r="N774" t="e">
            <v>#N/A</v>
          </cell>
          <cell r="O774" t="e">
            <v>#N/A</v>
          </cell>
          <cell r="P774">
            <v>63.51</v>
          </cell>
          <cell r="Q774" t="str">
            <v/>
          </cell>
          <cell r="R774" t="e">
            <v>#N/A</v>
          </cell>
        </row>
        <row r="775">
          <cell r="A775">
            <v>40590</v>
          </cell>
          <cell r="B775">
            <v>40590</v>
          </cell>
          <cell r="C775" t="str">
            <v>Future</v>
          </cell>
          <cell r="D775" t="e">
            <v>#N/A</v>
          </cell>
          <cell r="E775">
            <v>9.2514566929137079</v>
          </cell>
          <cell r="F775">
            <v>86.141220472442299</v>
          </cell>
          <cell r="G775">
            <v>51.967992125984161</v>
          </cell>
          <cell r="H775">
            <v>51.967992125984161</v>
          </cell>
          <cell r="I775" t="e">
            <v>#N/A</v>
          </cell>
          <cell r="J775" t="e">
            <v>#N/A</v>
          </cell>
          <cell r="K775" t="e">
            <v>#N/A</v>
          </cell>
          <cell r="L775" t="e">
            <v>#N/A</v>
          </cell>
          <cell r="M775" t="e">
            <v>#N/A</v>
          </cell>
          <cell r="N775" t="e">
            <v>#N/A</v>
          </cell>
          <cell r="O775" t="e">
            <v>#N/A</v>
          </cell>
          <cell r="P775">
            <v>63.51</v>
          </cell>
          <cell r="Q775" t="str">
            <v/>
          </cell>
          <cell r="R775" t="e">
            <v>#N/A</v>
          </cell>
        </row>
        <row r="776">
          <cell r="A776">
            <v>40591</v>
          </cell>
          <cell r="B776">
            <v>40591</v>
          </cell>
          <cell r="C776" t="str">
            <v>Future</v>
          </cell>
          <cell r="D776" t="e">
            <v>#N/A</v>
          </cell>
          <cell r="E776">
            <v>9.0014173228349676</v>
          </cell>
          <cell r="F776">
            <v>86.245511811024983</v>
          </cell>
          <cell r="G776">
            <v>51.914803149606207</v>
          </cell>
          <cell r="H776">
            <v>51.914803149606207</v>
          </cell>
          <cell r="I776" t="e">
            <v>#N/A</v>
          </cell>
          <cell r="J776" t="e">
            <v>#N/A</v>
          </cell>
          <cell r="K776" t="e">
            <v>#N/A</v>
          </cell>
          <cell r="L776" t="e">
            <v>#N/A</v>
          </cell>
          <cell r="M776" t="e">
            <v>#N/A</v>
          </cell>
          <cell r="N776" t="e">
            <v>#N/A</v>
          </cell>
          <cell r="O776" t="e">
            <v>#N/A</v>
          </cell>
          <cell r="P776">
            <v>63.51</v>
          </cell>
          <cell r="Q776" t="str">
            <v/>
          </cell>
          <cell r="R776" t="e">
            <v>#N/A</v>
          </cell>
        </row>
        <row r="777">
          <cell r="A777">
            <v>40592</v>
          </cell>
          <cell r="B777">
            <v>40592</v>
          </cell>
          <cell r="C777" t="str">
            <v>Future</v>
          </cell>
          <cell r="D777" t="e">
            <v>#N/A</v>
          </cell>
          <cell r="E777">
            <v>8.7513779527562274</v>
          </cell>
          <cell r="F777">
            <v>86.349803149607666</v>
          </cell>
          <cell r="G777">
            <v>51.861614173228254</v>
          </cell>
          <cell r="H777">
            <v>51.861614173228254</v>
          </cell>
          <cell r="I777" t="e">
            <v>#N/A</v>
          </cell>
          <cell r="J777" t="e">
            <v>#N/A</v>
          </cell>
          <cell r="K777" t="e">
            <v>#N/A</v>
          </cell>
          <cell r="L777" t="e">
            <v>#N/A</v>
          </cell>
          <cell r="M777" t="e">
            <v>#N/A</v>
          </cell>
          <cell r="N777" t="e">
            <v>#N/A</v>
          </cell>
          <cell r="O777" t="e">
            <v>#N/A</v>
          </cell>
          <cell r="P777">
            <v>63.51</v>
          </cell>
          <cell r="Q777" t="str">
            <v/>
          </cell>
          <cell r="R777" t="e">
            <v>#N/A</v>
          </cell>
        </row>
        <row r="778">
          <cell r="A778">
            <v>40596</v>
          </cell>
          <cell r="B778">
            <v>40596</v>
          </cell>
          <cell r="C778" t="str">
            <v>Future</v>
          </cell>
          <cell r="D778" t="e">
            <v>#N/A</v>
          </cell>
          <cell r="E778">
            <v>8.5013385826774872</v>
          </cell>
          <cell r="F778">
            <v>86.45409448819035</v>
          </cell>
          <cell r="G778">
            <v>51.808425196850301</v>
          </cell>
          <cell r="H778">
            <v>51.808425196850301</v>
          </cell>
          <cell r="I778" t="e">
            <v>#N/A</v>
          </cell>
          <cell r="J778" t="e">
            <v>#N/A</v>
          </cell>
          <cell r="K778" t="e">
            <v>#N/A</v>
          </cell>
          <cell r="L778" t="e">
            <v>#N/A</v>
          </cell>
          <cell r="M778" t="e">
            <v>#N/A</v>
          </cell>
          <cell r="N778" t="e">
            <v>#N/A</v>
          </cell>
          <cell r="O778" t="e">
            <v>#N/A</v>
          </cell>
          <cell r="P778">
            <v>63.51</v>
          </cell>
          <cell r="Q778" t="str">
            <v/>
          </cell>
          <cell r="R778" t="e">
            <v>#N/A</v>
          </cell>
        </row>
        <row r="779">
          <cell r="A779">
            <v>40597</v>
          </cell>
          <cell r="B779">
            <v>40597</v>
          </cell>
          <cell r="C779" t="str">
            <v>Future</v>
          </cell>
          <cell r="D779" t="e">
            <v>#N/A</v>
          </cell>
          <cell r="E779">
            <v>8.251299212598747</v>
          </cell>
          <cell r="F779">
            <v>86.558385826773034</v>
          </cell>
          <cell r="G779">
            <v>51.755236220472348</v>
          </cell>
          <cell r="H779">
            <v>51.755236220472348</v>
          </cell>
          <cell r="I779" t="e">
            <v>#N/A</v>
          </cell>
          <cell r="J779" t="e">
            <v>#N/A</v>
          </cell>
          <cell r="K779" t="e">
            <v>#N/A</v>
          </cell>
          <cell r="L779" t="e">
            <v>#N/A</v>
          </cell>
          <cell r="M779" t="e">
            <v>#N/A</v>
          </cell>
          <cell r="N779" t="e">
            <v>#N/A</v>
          </cell>
          <cell r="O779" t="e">
            <v>#N/A</v>
          </cell>
          <cell r="P779">
            <v>63.51</v>
          </cell>
          <cell r="Q779" t="str">
            <v/>
          </cell>
          <cell r="R779" t="e">
            <v>#N/A</v>
          </cell>
        </row>
        <row r="780">
          <cell r="A780">
            <v>40598</v>
          </cell>
          <cell r="B780">
            <v>40598</v>
          </cell>
          <cell r="C780" t="str">
            <v>Future</v>
          </cell>
          <cell r="D780" t="e">
            <v>#N/A</v>
          </cell>
          <cell r="E780">
            <v>8.0012598425200068</v>
          </cell>
          <cell r="F780">
            <v>86.662677165355717</v>
          </cell>
          <cell r="G780">
            <v>51.702047244094395</v>
          </cell>
          <cell r="H780">
            <v>51.702047244094395</v>
          </cell>
          <cell r="I780" t="e">
            <v>#N/A</v>
          </cell>
          <cell r="J780" t="e">
            <v>#N/A</v>
          </cell>
          <cell r="K780" t="e">
            <v>#N/A</v>
          </cell>
          <cell r="L780" t="e">
            <v>#N/A</v>
          </cell>
          <cell r="M780" t="e">
            <v>#N/A</v>
          </cell>
          <cell r="N780" t="e">
            <v>#N/A</v>
          </cell>
          <cell r="O780" t="e">
            <v>#N/A</v>
          </cell>
          <cell r="P780">
            <v>63.51</v>
          </cell>
          <cell r="Q780" t="str">
            <v/>
          </cell>
          <cell r="R780" t="e">
            <v>#N/A</v>
          </cell>
        </row>
        <row r="781">
          <cell r="A781">
            <v>40599</v>
          </cell>
          <cell r="B781">
            <v>40599</v>
          </cell>
          <cell r="C781" t="str">
            <v>Future</v>
          </cell>
          <cell r="D781" t="e">
            <v>#N/A</v>
          </cell>
          <cell r="E781">
            <v>7.7512204724412666</v>
          </cell>
          <cell r="F781">
            <v>86.766968503938401</v>
          </cell>
          <cell r="G781">
            <v>51.648858267716442</v>
          </cell>
          <cell r="H781">
            <v>51.648858267716442</v>
          </cell>
          <cell r="I781" t="e">
            <v>#N/A</v>
          </cell>
          <cell r="J781" t="e">
            <v>#N/A</v>
          </cell>
          <cell r="K781" t="e">
            <v>#N/A</v>
          </cell>
          <cell r="L781" t="e">
            <v>#N/A</v>
          </cell>
          <cell r="M781" t="e">
            <v>#N/A</v>
          </cell>
          <cell r="N781" t="e">
            <v>#N/A</v>
          </cell>
          <cell r="O781" t="e">
            <v>#N/A</v>
          </cell>
          <cell r="P781">
            <v>63.51</v>
          </cell>
          <cell r="Q781" t="str">
            <v/>
          </cell>
          <cell r="R781" t="e">
            <v>#N/A</v>
          </cell>
        </row>
        <row r="782">
          <cell r="A782">
            <v>40602</v>
          </cell>
          <cell r="B782">
            <v>40602</v>
          </cell>
          <cell r="C782" t="str">
            <v>Future</v>
          </cell>
          <cell r="D782" t="e">
            <v>#N/A</v>
          </cell>
          <cell r="E782">
            <v>7.5011811023625263</v>
          </cell>
          <cell r="F782">
            <v>86.871259842521084</v>
          </cell>
          <cell r="G782">
            <v>51.595669291338488</v>
          </cell>
          <cell r="H782">
            <v>51.595669291338488</v>
          </cell>
          <cell r="I782" t="e">
            <v>#N/A</v>
          </cell>
          <cell r="J782" t="e">
            <v>#N/A</v>
          </cell>
          <cell r="K782" t="e">
            <v>#N/A</v>
          </cell>
          <cell r="L782" t="e">
            <v>#N/A</v>
          </cell>
          <cell r="M782" t="e">
            <v>#N/A</v>
          </cell>
          <cell r="N782" t="e">
            <v>#N/A</v>
          </cell>
          <cell r="O782" t="e">
            <v>#N/A</v>
          </cell>
          <cell r="P782">
            <v>63.51</v>
          </cell>
          <cell r="Q782" t="str">
            <v/>
          </cell>
          <cell r="R782" t="e">
            <v>#N/A</v>
          </cell>
        </row>
        <row r="783">
          <cell r="A783">
            <v>40603</v>
          </cell>
          <cell r="B783">
            <v>40603</v>
          </cell>
          <cell r="C783" t="str">
            <v>Future</v>
          </cell>
          <cell r="D783" t="e">
            <v>#N/A</v>
          </cell>
          <cell r="E783">
            <v>7.2511417322837861</v>
          </cell>
          <cell r="F783">
            <v>86.975551181103768</v>
          </cell>
          <cell r="G783">
            <v>51.542480314960535</v>
          </cell>
          <cell r="H783">
            <v>51.542480314960535</v>
          </cell>
          <cell r="I783" t="e">
            <v>#N/A</v>
          </cell>
          <cell r="J783" t="e">
            <v>#N/A</v>
          </cell>
          <cell r="K783" t="e">
            <v>#N/A</v>
          </cell>
          <cell r="L783" t="e">
            <v>#N/A</v>
          </cell>
          <cell r="M783" t="e">
            <v>#N/A</v>
          </cell>
          <cell r="N783" t="e">
            <v>#N/A</v>
          </cell>
          <cell r="O783" t="e">
            <v>#N/A</v>
          </cell>
          <cell r="P783">
            <v>63.51</v>
          </cell>
          <cell r="Q783" t="str">
            <v/>
          </cell>
          <cell r="R783" t="e">
            <v>#N/A</v>
          </cell>
        </row>
        <row r="784">
          <cell r="A784">
            <v>40604</v>
          </cell>
          <cell r="B784">
            <v>40604</v>
          </cell>
          <cell r="C784" t="str">
            <v>Future</v>
          </cell>
          <cell r="D784" t="e">
            <v>#N/A</v>
          </cell>
          <cell r="E784">
            <v>7.0011023622050459</v>
          </cell>
          <cell r="F784">
            <v>87.079842519686451</v>
          </cell>
          <cell r="G784">
            <v>51.489291338582582</v>
          </cell>
          <cell r="H784">
            <v>51.489291338582582</v>
          </cell>
          <cell r="I784" t="e">
            <v>#N/A</v>
          </cell>
          <cell r="J784" t="e">
            <v>#N/A</v>
          </cell>
          <cell r="K784" t="e">
            <v>#N/A</v>
          </cell>
          <cell r="L784" t="e">
            <v>#N/A</v>
          </cell>
          <cell r="M784" t="e">
            <v>#N/A</v>
          </cell>
          <cell r="N784" t="e">
            <v>#N/A</v>
          </cell>
          <cell r="O784" t="e">
            <v>#N/A</v>
          </cell>
          <cell r="P784">
            <v>63.51</v>
          </cell>
          <cell r="Q784" t="str">
            <v/>
          </cell>
          <cell r="R784" t="e">
            <v>#N/A</v>
          </cell>
        </row>
        <row r="785">
          <cell r="A785">
            <v>40605</v>
          </cell>
          <cell r="B785">
            <v>40605</v>
          </cell>
          <cell r="C785" t="str">
            <v>Future</v>
          </cell>
          <cell r="D785" t="e">
            <v>#N/A</v>
          </cell>
          <cell r="E785">
            <v>6.7510629921263057</v>
          </cell>
          <cell r="F785">
            <v>87.184133858269135</v>
          </cell>
          <cell r="G785">
            <v>51.436102362204629</v>
          </cell>
          <cell r="H785">
            <v>51.436102362204629</v>
          </cell>
          <cell r="I785" t="e">
            <v>#N/A</v>
          </cell>
          <cell r="J785" t="e">
            <v>#N/A</v>
          </cell>
          <cell r="K785" t="e">
            <v>#N/A</v>
          </cell>
          <cell r="L785" t="e">
            <v>#N/A</v>
          </cell>
          <cell r="M785" t="e">
            <v>#N/A</v>
          </cell>
          <cell r="N785" t="e">
            <v>#N/A</v>
          </cell>
          <cell r="O785" t="e">
            <v>#N/A</v>
          </cell>
          <cell r="P785">
            <v>63.51</v>
          </cell>
          <cell r="Q785" t="str">
            <v/>
          </cell>
          <cell r="R785" t="e">
            <v>#N/A</v>
          </cell>
        </row>
        <row r="786">
          <cell r="A786">
            <v>40606</v>
          </cell>
          <cell r="B786">
            <v>40606</v>
          </cell>
          <cell r="C786" t="str">
            <v>Future</v>
          </cell>
          <cell r="D786" t="e">
            <v>#N/A</v>
          </cell>
          <cell r="E786">
            <v>6.5010236220475655</v>
          </cell>
          <cell r="F786">
            <v>87.288425196851819</v>
          </cell>
          <cell r="G786">
            <v>51.382913385826676</v>
          </cell>
          <cell r="H786">
            <v>51.382913385826676</v>
          </cell>
          <cell r="I786" t="e">
            <v>#N/A</v>
          </cell>
          <cell r="J786" t="e">
            <v>#N/A</v>
          </cell>
          <cell r="K786" t="e">
            <v>#N/A</v>
          </cell>
          <cell r="L786" t="e">
            <v>#N/A</v>
          </cell>
          <cell r="M786" t="e">
            <v>#N/A</v>
          </cell>
          <cell r="N786" t="e">
            <v>#N/A</v>
          </cell>
          <cell r="O786" t="e">
            <v>#N/A</v>
          </cell>
          <cell r="P786">
            <v>63.51</v>
          </cell>
          <cell r="Q786" t="str">
            <v/>
          </cell>
          <cell r="R786" t="e">
            <v>#N/A</v>
          </cell>
        </row>
        <row r="787">
          <cell r="A787">
            <v>40609</v>
          </cell>
          <cell r="B787">
            <v>40609</v>
          </cell>
          <cell r="C787" t="str">
            <v>Future</v>
          </cell>
          <cell r="D787" t="e">
            <v>#N/A</v>
          </cell>
          <cell r="E787">
            <v>6.2509842519688252</v>
          </cell>
          <cell r="F787">
            <v>87.392716535434502</v>
          </cell>
          <cell r="G787">
            <v>51.329724409448723</v>
          </cell>
          <cell r="H787">
            <v>51.329724409448723</v>
          </cell>
          <cell r="I787" t="e">
            <v>#N/A</v>
          </cell>
          <cell r="J787" t="e">
            <v>#N/A</v>
          </cell>
          <cell r="K787" t="e">
            <v>#N/A</v>
          </cell>
          <cell r="L787" t="e">
            <v>#N/A</v>
          </cell>
          <cell r="M787" t="e">
            <v>#N/A</v>
          </cell>
          <cell r="N787" t="e">
            <v>#N/A</v>
          </cell>
          <cell r="O787" t="e">
            <v>#N/A</v>
          </cell>
          <cell r="P787">
            <v>63.51</v>
          </cell>
          <cell r="Q787" t="str">
            <v/>
          </cell>
          <cell r="R787" t="e">
            <v>#N/A</v>
          </cell>
        </row>
        <row r="788">
          <cell r="A788">
            <v>40610</v>
          </cell>
          <cell r="B788">
            <v>40610</v>
          </cell>
          <cell r="C788" t="str">
            <v>Future</v>
          </cell>
          <cell r="D788" t="e">
            <v>#N/A</v>
          </cell>
          <cell r="E788">
            <v>6.000944881890085</v>
          </cell>
          <cell r="F788">
            <v>87.497007874017186</v>
          </cell>
          <cell r="G788">
            <v>51.276535433070769</v>
          </cell>
          <cell r="H788">
            <v>51.276535433070769</v>
          </cell>
          <cell r="I788" t="e">
            <v>#N/A</v>
          </cell>
          <cell r="J788" t="e">
            <v>#N/A</v>
          </cell>
          <cell r="K788" t="e">
            <v>#N/A</v>
          </cell>
          <cell r="L788" t="e">
            <v>#N/A</v>
          </cell>
          <cell r="M788" t="e">
            <v>#N/A</v>
          </cell>
          <cell r="N788" t="e">
            <v>#N/A</v>
          </cell>
          <cell r="O788" t="e">
            <v>#N/A</v>
          </cell>
          <cell r="P788">
            <v>63.51</v>
          </cell>
          <cell r="Q788" t="str">
            <v/>
          </cell>
          <cell r="R788" t="e">
            <v>#N/A</v>
          </cell>
        </row>
        <row r="789">
          <cell r="A789">
            <v>40611</v>
          </cell>
          <cell r="B789">
            <v>40611</v>
          </cell>
          <cell r="C789" t="str">
            <v>Future</v>
          </cell>
          <cell r="D789" t="e">
            <v>#N/A</v>
          </cell>
          <cell r="E789">
            <v>5.7509055118113448</v>
          </cell>
          <cell r="F789">
            <v>87.601299212599869</v>
          </cell>
          <cell r="G789">
            <v>51.223346456692816</v>
          </cell>
          <cell r="H789">
            <v>51.223346456692816</v>
          </cell>
          <cell r="I789" t="e">
            <v>#N/A</v>
          </cell>
          <cell r="J789" t="e">
            <v>#N/A</v>
          </cell>
          <cell r="K789" t="e">
            <v>#N/A</v>
          </cell>
          <cell r="L789" t="e">
            <v>#N/A</v>
          </cell>
          <cell r="M789" t="e">
            <v>#N/A</v>
          </cell>
          <cell r="N789" t="e">
            <v>#N/A</v>
          </cell>
          <cell r="O789" t="e">
            <v>#N/A</v>
          </cell>
          <cell r="P789">
            <v>63.51</v>
          </cell>
          <cell r="Q789" t="str">
            <v/>
          </cell>
          <cell r="R789" t="e">
            <v>#N/A</v>
          </cell>
        </row>
        <row r="790">
          <cell r="A790">
            <v>40612</v>
          </cell>
          <cell r="B790">
            <v>40612</v>
          </cell>
          <cell r="C790" t="str">
            <v>Future</v>
          </cell>
          <cell r="D790" t="e">
            <v>#N/A</v>
          </cell>
          <cell r="E790">
            <v>5.5008661417326046</v>
          </cell>
          <cell r="F790">
            <v>87.705590551182553</v>
          </cell>
          <cell r="G790">
            <v>51.170157480314863</v>
          </cell>
          <cell r="H790">
            <v>51.170157480314863</v>
          </cell>
          <cell r="I790" t="e">
            <v>#N/A</v>
          </cell>
          <cell r="J790" t="e">
            <v>#N/A</v>
          </cell>
          <cell r="K790" t="e">
            <v>#N/A</v>
          </cell>
          <cell r="L790" t="e">
            <v>#N/A</v>
          </cell>
          <cell r="M790" t="e">
            <v>#N/A</v>
          </cell>
          <cell r="N790" t="e">
            <v>#N/A</v>
          </cell>
          <cell r="O790" t="e">
            <v>#N/A</v>
          </cell>
          <cell r="P790">
            <v>63.51</v>
          </cell>
          <cell r="Q790" t="str">
            <v/>
          </cell>
          <cell r="R790" t="e">
            <v>#N/A</v>
          </cell>
        </row>
        <row r="791">
          <cell r="A791">
            <v>40613</v>
          </cell>
          <cell r="B791">
            <v>40613</v>
          </cell>
          <cell r="C791" t="str">
            <v>Future</v>
          </cell>
          <cell r="D791" t="e">
            <v>#N/A</v>
          </cell>
          <cell r="E791">
            <v>5.2508267716538644</v>
          </cell>
          <cell r="F791">
            <v>87.809881889765236</v>
          </cell>
          <cell r="G791">
            <v>51.11696850393691</v>
          </cell>
          <cell r="H791">
            <v>51.11696850393691</v>
          </cell>
          <cell r="I791" t="e">
            <v>#N/A</v>
          </cell>
          <cell r="J791" t="e">
            <v>#N/A</v>
          </cell>
          <cell r="K791" t="e">
            <v>#N/A</v>
          </cell>
          <cell r="L791" t="e">
            <v>#N/A</v>
          </cell>
          <cell r="M791" t="e">
            <v>#N/A</v>
          </cell>
          <cell r="N791" t="e">
            <v>#N/A</v>
          </cell>
          <cell r="O791" t="e">
            <v>#N/A</v>
          </cell>
          <cell r="P791">
            <v>63.51</v>
          </cell>
          <cell r="Q791" t="str">
            <v/>
          </cell>
          <cell r="R791" t="e">
            <v>#N/A</v>
          </cell>
        </row>
        <row r="792">
          <cell r="A792">
            <v>40616</v>
          </cell>
          <cell r="B792">
            <v>40616</v>
          </cell>
          <cell r="C792" t="str">
            <v>Future</v>
          </cell>
          <cell r="D792" t="e">
            <v>#N/A</v>
          </cell>
          <cell r="E792">
            <v>5.0007874015751241</v>
          </cell>
          <cell r="F792">
            <v>87.91417322834792</v>
          </cell>
          <cell r="G792">
            <v>51.063779527558957</v>
          </cell>
          <cell r="H792">
            <v>51.063779527558957</v>
          </cell>
          <cell r="I792" t="e">
            <v>#N/A</v>
          </cell>
          <cell r="J792" t="e">
            <v>#N/A</v>
          </cell>
          <cell r="K792" t="e">
            <v>#N/A</v>
          </cell>
          <cell r="L792" t="e">
            <v>#N/A</v>
          </cell>
          <cell r="M792" t="e">
            <v>#N/A</v>
          </cell>
          <cell r="N792" t="e">
            <v>#N/A</v>
          </cell>
          <cell r="O792" t="e">
            <v>#N/A</v>
          </cell>
          <cell r="P792">
            <v>63.51</v>
          </cell>
          <cell r="Q792" t="str">
            <v/>
          </cell>
          <cell r="R792" t="e">
            <v>#N/A</v>
          </cell>
        </row>
        <row r="793">
          <cell r="A793">
            <v>40617</v>
          </cell>
          <cell r="B793">
            <v>40617</v>
          </cell>
          <cell r="C793" t="str">
            <v>Future</v>
          </cell>
          <cell r="D793" t="e">
            <v>#N/A</v>
          </cell>
          <cell r="E793">
            <v>4.7507480314963839</v>
          </cell>
          <cell r="F793">
            <v>88.018464566930604</v>
          </cell>
          <cell r="G793">
            <v>51.010590551181004</v>
          </cell>
          <cell r="H793">
            <v>51.010590551181004</v>
          </cell>
          <cell r="I793" t="e">
            <v>#N/A</v>
          </cell>
          <cell r="J793" t="e">
            <v>#N/A</v>
          </cell>
          <cell r="K793" t="e">
            <v>#N/A</v>
          </cell>
          <cell r="L793" t="e">
            <v>#N/A</v>
          </cell>
          <cell r="M793" t="e">
            <v>#N/A</v>
          </cell>
          <cell r="N793" t="e">
            <v>#N/A</v>
          </cell>
          <cell r="O793" t="e">
            <v>#N/A</v>
          </cell>
          <cell r="P793">
            <v>63.51</v>
          </cell>
          <cell r="Q793" t="str">
            <v/>
          </cell>
          <cell r="R793" t="e">
            <v>#N/A</v>
          </cell>
        </row>
        <row r="794">
          <cell r="A794">
            <v>40618</v>
          </cell>
          <cell r="B794">
            <v>40618</v>
          </cell>
          <cell r="C794" t="str">
            <v>Future</v>
          </cell>
          <cell r="D794" t="e">
            <v>#N/A</v>
          </cell>
          <cell r="E794">
            <v>4.5007086614176437</v>
          </cell>
          <cell r="F794">
            <v>88.122755905513287</v>
          </cell>
          <cell r="G794">
            <v>50.95740157480305</v>
          </cell>
          <cell r="H794">
            <v>50.95740157480305</v>
          </cell>
          <cell r="I794" t="e">
            <v>#N/A</v>
          </cell>
          <cell r="J794" t="e">
            <v>#N/A</v>
          </cell>
          <cell r="K794" t="e">
            <v>#N/A</v>
          </cell>
          <cell r="L794" t="e">
            <v>#N/A</v>
          </cell>
          <cell r="M794" t="e">
            <v>#N/A</v>
          </cell>
          <cell r="N794" t="e">
            <v>#N/A</v>
          </cell>
          <cell r="O794" t="e">
            <v>#N/A</v>
          </cell>
          <cell r="P794">
            <v>63.51</v>
          </cell>
          <cell r="Q794" t="str">
            <v/>
          </cell>
          <cell r="R794" t="e">
            <v>#N/A</v>
          </cell>
        </row>
        <row r="795">
          <cell r="A795">
            <v>40619</v>
          </cell>
          <cell r="B795">
            <v>40619</v>
          </cell>
          <cell r="C795" t="str">
            <v>Future</v>
          </cell>
          <cell r="D795" t="e">
            <v>#N/A</v>
          </cell>
          <cell r="E795">
            <v>4.2506692913389035</v>
          </cell>
          <cell r="F795">
            <v>88.227047244095971</v>
          </cell>
          <cell r="G795">
            <v>50.904212598425097</v>
          </cell>
          <cell r="H795">
            <v>50.904212598425097</v>
          </cell>
          <cell r="I795" t="e">
            <v>#N/A</v>
          </cell>
          <cell r="J795" t="e">
            <v>#N/A</v>
          </cell>
          <cell r="K795" t="e">
            <v>#N/A</v>
          </cell>
          <cell r="L795" t="e">
            <v>#N/A</v>
          </cell>
          <cell r="M795" t="e">
            <v>#N/A</v>
          </cell>
          <cell r="N795" t="e">
            <v>#N/A</v>
          </cell>
          <cell r="O795" t="e">
            <v>#N/A</v>
          </cell>
          <cell r="P795">
            <v>63.51</v>
          </cell>
          <cell r="Q795" t="str">
            <v/>
          </cell>
          <cell r="R795" t="e">
            <v>#N/A</v>
          </cell>
        </row>
        <row r="796">
          <cell r="A796">
            <v>40620</v>
          </cell>
          <cell r="B796">
            <v>40620</v>
          </cell>
          <cell r="C796" t="str">
            <v>Future</v>
          </cell>
          <cell r="D796" t="e">
            <v>#N/A</v>
          </cell>
          <cell r="E796">
            <v>4.0006299212601633</v>
          </cell>
          <cell r="F796">
            <v>88.331338582678654</v>
          </cell>
          <cell r="G796">
            <v>50.851023622047144</v>
          </cell>
          <cell r="H796">
            <v>50.851023622047144</v>
          </cell>
          <cell r="I796" t="e">
            <v>#N/A</v>
          </cell>
          <cell r="J796" t="e">
            <v>#N/A</v>
          </cell>
          <cell r="K796" t="e">
            <v>#N/A</v>
          </cell>
          <cell r="L796" t="e">
            <v>#N/A</v>
          </cell>
          <cell r="M796" t="e">
            <v>#N/A</v>
          </cell>
          <cell r="N796" t="e">
            <v>#N/A</v>
          </cell>
          <cell r="O796" t="e">
            <v>#N/A</v>
          </cell>
          <cell r="P796">
            <v>63.51</v>
          </cell>
          <cell r="Q796" t="str">
            <v/>
          </cell>
          <cell r="R796" t="e">
            <v>#N/A</v>
          </cell>
        </row>
        <row r="797">
          <cell r="A797">
            <v>40623</v>
          </cell>
          <cell r="B797">
            <v>40623</v>
          </cell>
          <cell r="C797" t="str">
            <v>Future</v>
          </cell>
          <cell r="D797" t="e">
            <v>#N/A</v>
          </cell>
          <cell r="E797">
            <v>3.750590551181423</v>
          </cell>
          <cell r="F797">
            <v>88.435629921261338</v>
          </cell>
          <cell r="G797">
            <v>50.797834645669191</v>
          </cell>
          <cell r="H797">
            <v>50.797834645669191</v>
          </cell>
          <cell r="I797" t="e">
            <v>#N/A</v>
          </cell>
          <cell r="J797" t="e">
            <v>#N/A</v>
          </cell>
          <cell r="K797" t="e">
            <v>#N/A</v>
          </cell>
          <cell r="L797" t="e">
            <v>#N/A</v>
          </cell>
          <cell r="M797" t="e">
            <v>#N/A</v>
          </cell>
          <cell r="N797" t="e">
            <v>#N/A</v>
          </cell>
          <cell r="O797" t="e">
            <v>#N/A</v>
          </cell>
          <cell r="P797">
            <v>63.51</v>
          </cell>
          <cell r="Q797" t="str">
            <v/>
          </cell>
          <cell r="R797" t="e">
            <v>#N/A</v>
          </cell>
        </row>
        <row r="798">
          <cell r="A798">
            <v>40624</v>
          </cell>
          <cell r="B798">
            <v>40624</v>
          </cell>
          <cell r="C798" t="str">
            <v>Future</v>
          </cell>
          <cell r="D798" t="e">
            <v>#N/A</v>
          </cell>
          <cell r="E798">
            <v>3.5005511811026828</v>
          </cell>
          <cell r="F798">
            <v>88.539921259844022</v>
          </cell>
          <cell r="G798">
            <v>50.744645669291238</v>
          </cell>
          <cell r="H798">
            <v>50.744645669291238</v>
          </cell>
          <cell r="I798" t="e">
            <v>#N/A</v>
          </cell>
          <cell r="J798" t="e">
            <v>#N/A</v>
          </cell>
          <cell r="K798" t="e">
            <v>#N/A</v>
          </cell>
          <cell r="L798" t="e">
            <v>#N/A</v>
          </cell>
          <cell r="M798" t="e">
            <v>#N/A</v>
          </cell>
          <cell r="N798" t="e">
            <v>#N/A</v>
          </cell>
          <cell r="O798" t="e">
            <v>#N/A</v>
          </cell>
          <cell r="P798">
            <v>63.51</v>
          </cell>
          <cell r="Q798" t="str">
            <v/>
          </cell>
          <cell r="R798" t="e">
            <v>#N/A</v>
          </cell>
        </row>
        <row r="799">
          <cell r="A799">
            <v>40625</v>
          </cell>
          <cell r="B799">
            <v>40625</v>
          </cell>
          <cell r="C799" t="str">
            <v>Future</v>
          </cell>
          <cell r="D799" t="e">
            <v>#N/A</v>
          </cell>
          <cell r="E799">
            <v>3.2505118110239426</v>
          </cell>
          <cell r="F799">
            <v>88.644212598426705</v>
          </cell>
          <cell r="G799">
            <v>50.691456692913285</v>
          </cell>
          <cell r="H799">
            <v>50.691456692913285</v>
          </cell>
          <cell r="I799" t="e">
            <v>#N/A</v>
          </cell>
          <cell r="J799" t="e">
            <v>#N/A</v>
          </cell>
          <cell r="K799" t="e">
            <v>#N/A</v>
          </cell>
          <cell r="L799" t="e">
            <v>#N/A</v>
          </cell>
          <cell r="M799" t="e">
            <v>#N/A</v>
          </cell>
          <cell r="N799" t="e">
            <v>#N/A</v>
          </cell>
          <cell r="O799" t="e">
            <v>#N/A</v>
          </cell>
          <cell r="P799">
            <v>63.51</v>
          </cell>
          <cell r="Q799" t="str">
            <v/>
          </cell>
          <cell r="R799" t="e">
            <v>#N/A</v>
          </cell>
        </row>
        <row r="800">
          <cell r="A800">
            <v>40626</v>
          </cell>
          <cell r="B800">
            <v>40626</v>
          </cell>
          <cell r="C800" t="str">
            <v>Future</v>
          </cell>
          <cell r="D800" t="e">
            <v>#N/A</v>
          </cell>
          <cell r="E800">
            <v>3.0004724409452024</v>
          </cell>
          <cell r="F800">
            <v>88.748503937009389</v>
          </cell>
          <cell r="G800">
            <v>50.638267716535331</v>
          </cell>
          <cell r="H800">
            <v>50.638267716535331</v>
          </cell>
          <cell r="I800" t="e">
            <v>#N/A</v>
          </cell>
          <cell r="J800" t="e">
            <v>#N/A</v>
          </cell>
          <cell r="K800" t="e">
            <v>#N/A</v>
          </cell>
          <cell r="L800" t="e">
            <v>#N/A</v>
          </cell>
          <cell r="M800" t="e">
            <v>#N/A</v>
          </cell>
          <cell r="N800" t="e">
            <v>#N/A</v>
          </cell>
          <cell r="O800" t="e">
            <v>#N/A</v>
          </cell>
          <cell r="P800">
            <v>63.51</v>
          </cell>
          <cell r="Q800" t="str">
            <v/>
          </cell>
          <cell r="R800" t="e">
            <v>#N/A</v>
          </cell>
        </row>
        <row r="801">
          <cell r="A801">
            <v>40627</v>
          </cell>
          <cell r="B801">
            <v>40627</v>
          </cell>
          <cell r="C801" t="str">
            <v>Future</v>
          </cell>
          <cell r="D801" t="e">
            <v>#N/A</v>
          </cell>
          <cell r="E801">
            <v>2.7504330708664622</v>
          </cell>
          <cell r="F801">
            <v>88.852795275592072</v>
          </cell>
          <cell r="G801">
            <v>50.585078740157378</v>
          </cell>
          <cell r="H801">
            <v>50.585078740157378</v>
          </cell>
          <cell r="I801" t="e">
            <v>#N/A</v>
          </cell>
          <cell r="J801" t="e">
            <v>#N/A</v>
          </cell>
          <cell r="K801" t="e">
            <v>#N/A</v>
          </cell>
          <cell r="L801" t="e">
            <v>#N/A</v>
          </cell>
          <cell r="M801" t="e">
            <v>#N/A</v>
          </cell>
          <cell r="N801" t="e">
            <v>#N/A</v>
          </cell>
          <cell r="O801" t="e">
            <v>#N/A</v>
          </cell>
          <cell r="P801">
            <v>63.51</v>
          </cell>
          <cell r="Q801" t="str">
            <v/>
          </cell>
          <cell r="R801" t="e">
            <v>#N/A</v>
          </cell>
        </row>
        <row r="802">
          <cell r="A802">
            <v>40630</v>
          </cell>
          <cell r="B802">
            <v>40630</v>
          </cell>
          <cell r="C802" t="str">
            <v>Future</v>
          </cell>
          <cell r="D802" t="e">
            <v>#N/A</v>
          </cell>
          <cell r="E802">
            <v>2.5003937007877219</v>
          </cell>
          <cell r="F802">
            <v>88.957086614174756</v>
          </cell>
          <cell r="G802">
            <v>50.531889763779425</v>
          </cell>
          <cell r="H802">
            <v>50.531889763779425</v>
          </cell>
          <cell r="I802" t="e">
            <v>#N/A</v>
          </cell>
          <cell r="J802" t="e">
            <v>#N/A</v>
          </cell>
          <cell r="K802" t="e">
            <v>#N/A</v>
          </cell>
          <cell r="L802" t="e">
            <v>#N/A</v>
          </cell>
          <cell r="M802" t="e">
            <v>#N/A</v>
          </cell>
          <cell r="N802" t="e">
            <v>#N/A</v>
          </cell>
          <cell r="O802" t="e">
            <v>#N/A</v>
          </cell>
          <cell r="P802">
            <v>63.51</v>
          </cell>
          <cell r="Q802" t="str">
            <v/>
          </cell>
          <cell r="R802" t="e">
            <v>#N/A</v>
          </cell>
        </row>
        <row r="803">
          <cell r="A803">
            <v>40631</v>
          </cell>
          <cell r="B803">
            <v>40631</v>
          </cell>
          <cell r="C803" t="str">
            <v>Future</v>
          </cell>
          <cell r="D803" t="e">
            <v>#N/A</v>
          </cell>
          <cell r="E803">
            <v>2.2503543307089817</v>
          </cell>
          <cell r="F803">
            <v>89.061377952757439</v>
          </cell>
          <cell r="G803">
            <v>50.478700787401472</v>
          </cell>
          <cell r="H803">
            <v>50.478700787401472</v>
          </cell>
          <cell r="I803" t="e">
            <v>#N/A</v>
          </cell>
          <cell r="J803" t="e">
            <v>#N/A</v>
          </cell>
          <cell r="K803" t="e">
            <v>#N/A</v>
          </cell>
          <cell r="L803" t="e">
            <v>#N/A</v>
          </cell>
          <cell r="M803" t="e">
            <v>#N/A</v>
          </cell>
          <cell r="N803" t="e">
            <v>#N/A</v>
          </cell>
          <cell r="O803" t="e">
            <v>#N/A</v>
          </cell>
          <cell r="P803">
            <v>63.51</v>
          </cell>
          <cell r="Q803" t="str">
            <v/>
          </cell>
          <cell r="R803" t="e">
            <v>#N/A</v>
          </cell>
        </row>
        <row r="804">
          <cell r="A804">
            <v>40632</v>
          </cell>
          <cell r="B804">
            <v>40632</v>
          </cell>
          <cell r="C804" t="str">
            <v>Future</v>
          </cell>
          <cell r="D804" t="e">
            <v>#N/A</v>
          </cell>
          <cell r="E804">
            <v>2.0003149606302415</v>
          </cell>
          <cell r="F804">
            <v>89.165669291340123</v>
          </cell>
          <cell r="G804">
            <v>50.425511811023519</v>
          </cell>
          <cell r="H804">
            <v>50.425511811023519</v>
          </cell>
          <cell r="I804" t="e">
            <v>#N/A</v>
          </cell>
          <cell r="J804" t="e">
            <v>#N/A</v>
          </cell>
          <cell r="K804" t="e">
            <v>#N/A</v>
          </cell>
          <cell r="L804" t="e">
            <v>#N/A</v>
          </cell>
          <cell r="M804" t="e">
            <v>#N/A</v>
          </cell>
          <cell r="N804" t="e">
            <v>#N/A</v>
          </cell>
          <cell r="O804" t="e">
            <v>#N/A</v>
          </cell>
          <cell r="P804">
            <v>63.51</v>
          </cell>
          <cell r="Q804" t="str">
            <v/>
          </cell>
          <cell r="R804" t="e">
            <v>#N/A</v>
          </cell>
        </row>
        <row r="805">
          <cell r="A805">
            <v>40633</v>
          </cell>
          <cell r="B805">
            <v>40633</v>
          </cell>
          <cell r="C805" t="str">
            <v>Future</v>
          </cell>
          <cell r="D805" t="e">
            <v>#N/A</v>
          </cell>
          <cell r="E805">
            <v>1.7502755905515013</v>
          </cell>
          <cell r="F805">
            <v>89.269960629922807</v>
          </cell>
          <cell r="G805">
            <v>50.372322834645566</v>
          </cell>
          <cell r="H805">
            <v>50.372322834645566</v>
          </cell>
          <cell r="I805" t="e">
            <v>#N/A</v>
          </cell>
          <cell r="J805" t="e">
            <v>#N/A</v>
          </cell>
          <cell r="K805" t="e">
            <v>#N/A</v>
          </cell>
          <cell r="L805" t="e">
            <v>#N/A</v>
          </cell>
          <cell r="M805" t="e">
            <v>#N/A</v>
          </cell>
          <cell r="N805" t="e">
            <v>#N/A</v>
          </cell>
          <cell r="O805" t="e">
            <v>#N/A</v>
          </cell>
          <cell r="P805">
            <v>63.51</v>
          </cell>
          <cell r="Q805" t="str">
            <v/>
          </cell>
          <cell r="R805" t="e">
            <v>#N/A</v>
          </cell>
        </row>
        <row r="806">
          <cell r="A806">
            <v>40634</v>
          </cell>
          <cell r="B806">
            <v>40634</v>
          </cell>
          <cell r="C806" t="str">
            <v>Future</v>
          </cell>
          <cell r="D806" t="e">
            <v>#N/A</v>
          </cell>
          <cell r="E806">
            <v>1.5002362204727611</v>
          </cell>
          <cell r="F806">
            <v>89.37425196850549</v>
          </cell>
          <cell r="G806">
            <v>50.319133858267612</v>
          </cell>
          <cell r="H806">
            <v>50.319133858267612</v>
          </cell>
          <cell r="I806" t="e">
            <v>#N/A</v>
          </cell>
          <cell r="J806" t="e">
            <v>#N/A</v>
          </cell>
          <cell r="K806" t="e">
            <v>#N/A</v>
          </cell>
          <cell r="L806" t="e">
            <v>#N/A</v>
          </cell>
          <cell r="M806" t="e">
            <v>#N/A</v>
          </cell>
          <cell r="N806" t="e">
            <v>#N/A</v>
          </cell>
          <cell r="O806" t="e">
            <v>#N/A</v>
          </cell>
          <cell r="P806">
            <v>63.51</v>
          </cell>
          <cell r="Q806" t="str">
            <v/>
          </cell>
          <cell r="R806" t="e">
            <v>#N/A</v>
          </cell>
        </row>
        <row r="807">
          <cell r="A807">
            <v>40637</v>
          </cell>
          <cell r="B807">
            <v>40637</v>
          </cell>
          <cell r="C807" t="str">
            <v>Future</v>
          </cell>
          <cell r="D807" t="e">
            <v>#N/A</v>
          </cell>
          <cell r="E807">
            <v>1.2501968503940208</v>
          </cell>
          <cell r="F807">
            <v>89.478543307088174</v>
          </cell>
          <cell r="G807">
            <v>50.265944881889659</v>
          </cell>
          <cell r="H807">
            <v>50.265944881889659</v>
          </cell>
          <cell r="I807" t="e">
            <v>#N/A</v>
          </cell>
          <cell r="J807" t="e">
            <v>#N/A</v>
          </cell>
          <cell r="K807" t="e">
            <v>#N/A</v>
          </cell>
          <cell r="L807" t="e">
            <v>#N/A</v>
          </cell>
          <cell r="M807" t="e">
            <v>#N/A</v>
          </cell>
          <cell r="N807" t="e">
            <v>#N/A</v>
          </cell>
          <cell r="O807" t="e">
            <v>#N/A</v>
          </cell>
          <cell r="P807">
            <v>63.51</v>
          </cell>
          <cell r="Q807" t="str">
            <v/>
          </cell>
          <cell r="R807" t="e">
            <v>#N/A</v>
          </cell>
        </row>
        <row r="808">
          <cell r="A808">
            <v>40638</v>
          </cell>
          <cell r="B808">
            <v>40638</v>
          </cell>
          <cell r="C808" t="str">
            <v>Future</v>
          </cell>
          <cell r="D808" t="e">
            <v>#N/A</v>
          </cell>
          <cell r="E808">
            <v>1.0001574803152806</v>
          </cell>
          <cell r="F808">
            <v>89.582834645670857</v>
          </cell>
          <cell r="G808">
            <v>50.212755905511706</v>
          </cell>
          <cell r="H808">
            <v>50.212755905511706</v>
          </cell>
          <cell r="I808" t="e">
            <v>#N/A</v>
          </cell>
          <cell r="J808" t="e">
            <v>#N/A</v>
          </cell>
          <cell r="K808" t="e">
            <v>#N/A</v>
          </cell>
          <cell r="L808" t="e">
            <v>#N/A</v>
          </cell>
          <cell r="M808" t="e">
            <v>#N/A</v>
          </cell>
          <cell r="N808" t="e">
            <v>#N/A</v>
          </cell>
          <cell r="O808" t="e">
            <v>#N/A</v>
          </cell>
          <cell r="P808">
            <v>63.51</v>
          </cell>
          <cell r="Q808" t="str">
            <v/>
          </cell>
          <cell r="R808" t="e">
            <v>#N/A</v>
          </cell>
        </row>
        <row r="809">
          <cell r="A809">
            <v>40639</v>
          </cell>
          <cell r="B809">
            <v>40639</v>
          </cell>
          <cell r="C809" t="str">
            <v>Future</v>
          </cell>
          <cell r="D809" t="e">
            <v>#N/A</v>
          </cell>
          <cell r="E809">
            <v>0.7501181102365404</v>
          </cell>
          <cell r="F809">
            <v>89.687125984253541</v>
          </cell>
          <cell r="G809">
            <v>50.159566929133753</v>
          </cell>
          <cell r="H809">
            <v>50.159566929133753</v>
          </cell>
          <cell r="I809" t="e">
            <v>#N/A</v>
          </cell>
          <cell r="J809" t="e">
            <v>#N/A</v>
          </cell>
          <cell r="K809" t="e">
            <v>#N/A</v>
          </cell>
          <cell r="L809" t="e">
            <v>#N/A</v>
          </cell>
          <cell r="M809" t="e">
            <v>#N/A</v>
          </cell>
          <cell r="N809" t="e">
            <v>#N/A</v>
          </cell>
          <cell r="O809" t="e">
            <v>#N/A</v>
          </cell>
          <cell r="P809">
            <v>63.51</v>
          </cell>
          <cell r="Q809" t="str">
            <v/>
          </cell>
          <cell r="R809" t="e">
            <v>#N/A</v>
          </cell>
        </row>
        <row r="810">
          <cell r="A810">
            <v>40640</v>
          </cell>
          <cell r="B810">
            <v>40640</v>
          </cell>
          <cell r="C810" t="str">
            <v>Future</v>
          </cell>
          <cell r="D810" t="e">
            <v>#N/A</v>
          </cell>
          <cell r="E810">
            <v>0.50007874015780018</v>
          </cell>
          <cell r="F810">
            <v>89.791417322836224</v>
          </cell>
          <cell r="G810">
            <v>50.1063779527558</v>
          </cell>
          <cell r="H810">
            <v>50.1063779527558</v>
          </cell>
          <cell r="I810" t="e">
            <v>#N/A</v>
          </cell>
          <cell r="J810" t="e">
            <v>#N/A</v>
          </cell>
          <cell r="K810" t="e">
            <v>#N/A</v>
          </cell>
          <cell r="L810" t="e">
            <v>#N/A</v>
          </cell>
          <cell r="M810" t="e">
            <v>#N/A</v>
          </cell>
          <cell r="N810" t="e">
            <v>#N/A</v>
          </cell>
          <cell r="O810" t="e">
            <v>#N/A</v>
          </cell>
          <cell r="P810">
            <v>63.51</v>
          </cell>
          <cell r="Q810" t="str">
            <v/>
          </cell>
          <cell r="R810" t="e">
            <v>#N/A</v>
          </cell>
        </row>
        <row r="811">
          <cell r="A811">
            <v>40641</v>
          </cell>
          <cell r="B811">
            <v>40641</v>
          </cell>
          <cell r="C811" t="str">
            <v>Future</v>
          </cell>
          <cell r="D811" t="e">
            <v>#N/A</v>
          </cell>
          <cell r="E811">
            <v>0.25003937007906002</v>
          </cell>
          <cell r="F811">
            <v>89.895708661418908</v>
          </cell>
          <cell r="G811">
            <v>50.053188976377847</v>
          </cell>
          <cell r="H811">
            <v>50.053188976377847</v>
          </cell>
          <cell r="I811" t="e">
            <v>#N/A</v>
          </cell>
          <cell r="J811" t="e">
            <v>#N/A</v>
          </cell>
          <cell r="K811">
            <v>90</v>
          </cell>
          <cell r="L811">
            <v>50</v>
          </cell>
          <cell r="M811" t="e">
            <v>#N/A</v>
          </cell>
          <cell r="N811">
            <v>80</v>
          </cell>
          <cell r="O811" t="e">
            <v>#N/A</v>
          </cell>
          <cell r="P811">
            <v>63.51</v>
          </cell>
          <cell r="Q811" t="str">
            <v/>
          </cell>
          <cell r="R811" t="e">
            <v>#N/A</v>
          </cell>
        </row>
        <row r="812">
          <cell r="A812" t="str">
            <v/>
          </cell>
          <cell r="B812" t="str">
            <v/>
          </cell>
          <cell r="C812" t="str">
            <v>Future</v>
          </cell>
          <cell r="D812" t="e">
            <v>#N/A</v>
          </cell>
          <cell r="E812">
            <v>3.198552533945076E-13</v>
          </cell>
          <cell r="F812">
            <v>90.000000000001592</v>
          </cell>
          <cell r="G812">
            <v>49.999999999999893</v>
          </cell>
          <cell r="H812">
            <v>49.999999999999893</v>
          </cell>
          <cell r="I812" t="e">
            <v>#N/A</v>
          </cell>
          <cell r="J812" t="e">
            <v>#N/A</v>
          </cell>
          <cell r="K812">
            <v>90</v>
          </cell>
          <cell r="L812">
            <v>50</v>
          </cell>
          <cell r="M812" t="e">
            <v>#N/A</v>
          </cell>
          <cell r="N812">
            <v>80</v>
          </cell>
          <cell r="O812" t="e">
            <v>#N/A</v>
          </cell>
          <cell r="P812" t="str">
            <v/>
          </cell>
          <cell r="Q812" t="str">
            <v/>
          </cell>
          <cell r="R812" t="e">
            <v>#N/A</v>
          </cell>
        </row>
        <row r="813">
          <cell r="A813" t="str">
            <v/>
          </cell>
          <cell r="B813" t="str">
            <v/>
          </cell>
          <cell r="C813" t="str">
            <v>Future</v>
          </cell>
          <cell r="D813" t="e">
            <v>#N/A</v>
          </cell>
          <cell r="E813">
            <v>-0.25003937007842031</v>
          </cell>
          <cell r="F813">
            <v>90.104291338584275</v>
          </cell>
          <cell r="G813">
            <v>49.94681102362194</v>
          </cell>
          <cell r="H813">
            <v>49.94681102362194</v>
          </cell>
          <cell r="I813" t="e">
            <v>#N/A</v>
          </cell>
          <cell r="J813" t="e">
            <v>#N/A</v>
          </cell>
          <cell r="K813">
            <v>90</v>
          </cell>
          <cell r="L813">
            <v>50</v>
          </cell>
          <cell r="M813" t="e">
            <v>#N/A</v>
          </cell>
          <cell r="N813">
            <v>80</v>
          </cell>
          <cell r="O813" t="e">
            <v>#N/A</v>
          </cell>
          <cell r="P813" t="str">
            <v/>
          </cell>
          <cell r="Q813" t="str">
            <v/>
          </cell>
          <cell r="R813" t="e">
            <v>#N/A</v>
          </cell>
        </row>
        <row r="814">
          <cell r="A814" t="str">
            <v/>
          </cell>
          <cell r="B814" t="str">
            <v/>
          </cell>
          <cell r="C814" t="str">
            <v>Future</v>
          </cell>
          <cell r="D814" t="e">
            <v>#N/A</v>
          </cell>
          <cell r="E814">
            <v>-0.50007874015716047</v>
          </cell>
          <cell r="F814">
            <v>90.208582677166959</v>
          </cell>
          <cell r="G814">
            <v>49.893622047243987</v>
          </cell>
          <cell r="H814">
            <v>49.893622047243987</v>
          </cell>
          <cell r="I814" t="e">
            <v>#N/A</v>
          </cell>
          <cell r="J814" t="e">
            <v>#N/A</v>
          </cell>
          <cell r="K814">
            <v>90</v>
          </cell>
          <cell r="L814">
            <v>50</v>
          </cell>
          <cell r="M814" t="e">
            <v>#N/A</v>
          </cell>
          <cell r="N814">
            <v>80</v>
          </cell>
          <cell r="O814" t="e">
            <v>#N/A</v>
          </cell>
          <cell r="P814" t="str">
            <v/>
          </cell>
          <cell r="Q814" t="str">
            <v/>
          </cell>
          <cell r="R814" t="e">
            <v>#N/A</v>
          </cell>
        </row>
        <row r="815">
          <cell r="A815" t="str">
            <v/>
          </cell>
          <cell r="B815" t="str">
            <v/>
          </cell>
          <cell r="C815" t="str">
            <v>Future</v>
          </cell>
          <cell r="D815" t="e">
            <v>#N/A</v>
          </cell>
          <cell r="E815">
            <v>-0.75011811023590069</v>
          </cell>
          <cell r="F815">
            <v>90.312874015749642</v>
          </cell>
          <cell r="G815">
            <v>49.840433070866034</v>
          </cell>
          <cell r="H815">
            <v>49.840433070866034</v>
          </cell>
          <cell r="I815" t="e">
            <v>#N/A</v>
          </cell>
          <cell r="J815" t="e">
            <v>#N/A</v>
          </cell>
          <cell r="K815">
            <v>90</v>
          </cell>
          <cell r="L815">
            <v>50</v>
          </cell>
          <cell r="M815" t="e">
            <v>#N/A</v>
          </cell>
          <cell r="N815">
            <v>80</v>
          </cell>
          <cell r="O815" t="e">
            <v>#N/A</v>
          </cell>
          <cell r="P815" t="str">
            <v/>
          </cell>
          <cell r="Q815" t="str">
            <v/>
          </cell>
          <cell r="R815" t="e">
            <v>#N/A</v>
          </cell>
        </row>
        <row r="816">
          <cell r="A816" t="str">
            <v/>
          </cell>
          <cell r="B816" t="str">
            <v/>
          </cell>
          <cell r="C816" t="str">
            <v>Future</v>
          </cell>
          <cell r="D816" t="e">
            <v>#N/A</v>
          </cell>
          <cell r="E816">
            <v>-1.0001574803146409</v>
          </cell>
          <cell r="F816">
            <v>90.417165354332326</v>
          </cell>
          <cell r="G816">
            <v>49.787244094488081</v>
          </cell>
          <cell r="H816">
            <v>49.787244094488081</v>
          </cell>
          <cell r="I816" t="e">
            <v>#N/A</v>
          </cell>
          <cell r="J816" t="e">
            <v>#N/A</v>
          </cell>
          <cell r="K816">
            <v>90</v>
          </cell>
          <cell r="L816">
            <v>50</v>
          </cell>
          <cell r="M816" t="e">
            <v>#N/A</v>
          </cell>
          <cell r="N816">
            <v>80</v>
          </cell>
          <cell r="O816" t="e">
            <v>#N/A</v>
          </cell>
          <cell r="P816" t="str">
            <v/>
          </cell>
          <cell r="Q816" t="str">
            <v/>
          </cell>
          <cell r="R816" t="e">
            <v>#N/A</v>
          </cell>
        </row>
        <row r="817">
          <cell r="A817" t="str">
            <v/>
          </cell>
          <cell r="B817" t="str">
            <v/>
          </cell>
          <cell r="C817" t="str">
            <v>Future</v>
          </cell>
          <cell r="D817" t="e">
            <v>#N/A</v>
          </cell>
          <cell r="E817">
            <v>-1.2501968503933811</v>
          </cell>
          <cell r="F817">
            <v>90.52145669291501</v>
          </cell>
          <cell r="G817">
            <v>49.734055118110128</v>
          </cell>
          <cell r="H817">
            <v>49.734055118110128</v>
          </cell>
          <cell r="I817" t="e">
            <v>#N/A</v>
          </cell>
          <cell r="J817" t="e">
            <v>#N/A</v>
          </cell>
          <cell r="K817">
            <v>90</v>
          </cell>
          <cell r="L817">
            <v>50</v>
          </cell>
          <cell r="M817" t="e">
            <v>#N/A</v>
          </cell>
          <cell r="N817">
            <v>80</v>
          </cell>
          <cell r="O817" t="e">
            <v>#N/A</v>
          </cell>
          <cell r="P817" t="str">
            <v/>
          </cell>
          <cell r="Q817" t="str">
            <v/>
          </cell>
          <cell r="R817" t="e">
            <v>#N/A</v>
          </cell>
        </row>
        <row r="818">
          <cell r="A818" t="str">
            <v/>
          </cell>
          <cell r="B818" t="str">
            <v/>
          </cell>
          <cell r="C818" t="str">
            <v>Future</v>
          </cell>
          <cell r="D818" t="e">
            <v>#N/A</v>
          </cell>
          <cell r="E818">
            <v>-1.5002362204721214</v>
          </cell>
          <cell r="F818">
            <v>90.625748031497693</v>
          </cell>
          <cell r="G818">
            <v>49.680866141732174</v>
          </cell>
          <cell r="H818">
            <v>49.680866141732174</v>
          </cell>
          <cell r="I818" t="e">
            <v>#N/A</v>
          </cell>
          <cell r="J818" t="e">
            <v>#N/A</v>
          </cell>
          <cell r="K818">
            <v>90</v>
          </cell>
          <cell r="L818">
            <v>50</v>
          </cell>
          <cell r="M818" t="e">
            <v>#N/A</v>
          </cell>
          <cell r="N818">
            <v>80</v>
          </cell>
          <cell r="O818" t="e">
            <v>#N/A</v>
          </cell>
          <cell r="P818" t="str">
            <v/>
          </cell>
          <cell r="Q818" t="str">
            <v/>
          </cell>
          <cell r="R818" t="e">
            <v>#N/A</v>
          </cell>
        </row>
        <row r="819">
          <cell r="A819" t="str">
            <v/>
          </cell>
          <cell r="B819" t="str">
            <v/>
          </cell>
          <cell r="C819" t="str">
            <v>Future</v>
          </cell>
          <cell r="D819" t="e">
            <v>#N/A</v>
          </cell>
          <cell r="E819">
            <v>-1.7502755905508616</v>
          </cell>
          <cell r="F819">
            <v>90.730039370080377</v>
          </cell>
          <cell r="G819">
            <v>49.627677165354221</v>
          </cell>
          <cell r="H819">
            <v>49.627677165354221</v>
          </cell>
          <cell r="I819" t="e">
            <v>#N/A</v>
          </cell>
          <cell r="J819" t="e">
            <v>#N/A</v>
          </cell>
          <cell r="K819">
            <v>90</v>
          </cell>
          <cell r="L819">
            <v>50</v>
          </cell>
          <cell r="M819" t="e">
            <v>#N/A</v>
          </cell>
          <cell r="N819">
            <v>80</v>
          </cell>
          <cell r="O819" t="e">
            <v>#N/A</v>
          </cell>
          <cell r="P819" t="str">
            <v/>
          </cell>
          <cell r="Q819" t="str">
            <v/>
          </cell>
          <cell r="R819" t="e">
            <v>#N/A</v>
          </cell>
        </row>
        <row r="820">
          <cell r="A820" t="str">
            <v/>
          </cell>
          <cell r="B820" t="str">
            <v/>
          </cell>
          <cell r="C820" t="str">
            <v>Future</v>
          </cell>
          <cell r="D820" t="e">
            <v>#N/A</v>
          </cell>
          <cell r="E820">
            <v>-2.0003149606296016</v>
          </cell>
          <cell r="F820">
            <v>90.83433070866306</v>
          </cell>
          <cell r="G820">
            <v>49.574488188976268</v>
          </cell>
          <cell r="H820">
            <v>49.574488188976268</v>
          </cell>
          <cell r="I820" t="e">
            <v>#N/A</v>
          </cell>
          <cell r="J820" t="e">
            <v>#N/A</v>
          </cell>
          <cell r="K820">
            <v>90</v>
          </cell>
          <cell r="L820">
            <v>50</v>
          </cell>
          <cell r="M820" t="e">
            <v>#N/A</v>
          </cell>
          <cell r="N820">
            <v>80</v>
          </cell>
          <cell r="O820" t="e">
            <v>#N/A</v>
          </cell>
          <cell r="P820" t="str">
            <v/>
          </cell>
          <cell r="Q820" t="str">
            <v/>
          </cell>
          <cell r="R820" t="e">
            <v>#N/A</v>
          </cell>
        </row>
        <row r="821">
          <cell r="A821" t="str">
            <v/>
          </cell>
          <cell r="B821" t="str">
            <v/>
          </cell>
          <cell r="C821" t="str">
            <v>Future</v>
          </cell>
          <cell r="D821" t="e">
            <v>#N/A</v>
          </cell>
          <cell r="E821">
            <v>-2.2503543307083418</v>
          </cell>
          <cell r="F821">
            <v>90.938622047245744</v>
          </cell>
          <cell r="G821">
            <v>49.521299212598315</v>
          </cell>
          <cell r="H821">
            <v>49.521299212598315</v>
          </cell>
          <cell r="I821" t="e">
            <v>#N/A</v>
          </cell>
          <cell r="J821" t="e">
            <v>#N/A</v>
          </cell>
          <cell r="K821">
            <v>90</v>
          </cell>
          <cell r="L821">
            <v>50</v>
          </cell>
          <cell r="M821" t="e">
            <v>#N/A</v>
          </cell>
          <cell r="N821">
            <v>80</v>
          </cell>
          <cell r="O821" t="e">
            <v>#N/A</v>
          </cell>
          <cell r="P821" t="str">
            <v/>
          </cell>
          <cell r="Q821" t="str">
            <v/>
          </cell>
          <cell r="R821" t="e">
            <v>#N/A</v>
          </cell>
        </row>
        <row r="822">
          <cell r="A822" t="str">
            <v/>
          </cell>
          <cell r="B822" t="str">
            <v/>
          </cell>
          <cell r="C822" t="str">
            <v>Future</v>
          </cell>
          <cell r="D822" t="e">
            <v>#N/A</v>
          </cell>
          <cell r="E822">
            <v>-2.500393700787082</v>
          </cell>
          <cell r="F822">
            <v>91.042913385828427</v>
          </cell>
          <cell r="G822">
            <v>49.468110236220362</v>
          </cell>
          <cell r="H822">
            <v>49.468110236220362</v>
          </cell>
          <cell r="I822" t="e">
            <v>#N/A</v>
          </cell>
          <cell r="J822" t="e">
            <v>#N/A</v>
          </cell>
          <cell r="K822">
            <v>90</v>
          </cell>
          <cell r="L822">
            <v>50</v>
          </cell>
          <cell r="M822" t="e">
            <v>#N/A</v>
          </cell>
          <cell r="N822">
            <v>80</v>
          </cell>
          <cell r="O822" t="e">
            <v>#N/A</v>
          </cell>
          <cell r="P822" t="str">
            <v/>
          </cell>
          <cell r="Q822" t="str">
            <v/>
          </cell>
          <cell r="R822" t="e">
            <v>#N/A</v>
          </cell>
        </row>
        <row r="823">
          <cell r="A823" t="str">
            <v/>
          </cell>
          <cell r="B823" t="str">
            <v/>
          </cell>
          <cell r="C823" t="str">
            <v>Future</v>
          </cell>
          <cell r="D823" t="e">
            <v>#N/A</v>
          </cell>
          <cell r="E823">
            <v>-2.7504330708658222</v>
          </cell>
          <cell r="F823">
            <v>91.147204724411111</v>
          </cell>
          <cell r="G823">
            <v>49.414921259842409</v>
          </cell>
          <cell r="H823">
            <v>49.414921259842409</v>
          </cell>
          <cell r="I823" t="e">
            <v>#N/A</v>
          </cell>
          <cell r="J823" t="e">
            <v>#N/A</v>
          </cell>
          <cell r="K823">
            <v>90</v>
          </cell>
          <cell r="L823">
            <v>50</v>
          </cell>
          <cell r="M823" t="e">
            <v>#N/A</v>
          </cell>
          <cell r="N823">
            <v>80</v>
          </cell>
          <cell r="O823" t="e">
            <v>#N/A</v>
          </cell>
          <cell r="P823" t="str">
            <v/>
          </cell>
          <cell r="Q823" t="str">
            <v/>
          </cell>
          <cell r="R823" t="e">
            <v>#N/A</v>
          </cell>
        </row>
        <row r="824">
          <cell r="A824" t="str">
            <v/>
          </cell>
          <cell r="B824" t="str">
            <v/>
          </cell>
          <cell r="C824" t="str">
            <v>Future</v>
          </cell>
          <cell r="D824" t="e">
            <v>#N/A</v>
          </cell>
          <cell r="E824">
            <v>-3.0004724409445624</v>
          </cell>
          <cell r="F824">
            <v>91.251496062993795</v>
          </cell>
          <cell r="G824">
            <v>49.361732283464455</v>
          </cell>
          <cell r="H824">
            <v>49.361732283464455</v>
          </cell>
          <cell r="I824" t="e">
            <v>#N/A</v>
          </cell>
          <cell r="J824" t="e">
            <v>#N/A</v>
          </cell>
          <cell r="K824">
            <v>90</v>
          </cell>
          <cell r="L824">
            <v>50</v>
          </cell>
          <cell r="M824" t="e">
            <v>#N/A</v>
          </cell>
          <cell r="N824">
            <v>80</v>
          </cell>
          <cell r="O824" t="e">
            <v>#N/A</v>
          </cell>
          <cell r="P824" t="str">
            <v/>
          </cell>
          <cell r="Q824" t="str">
            <v/>
          </cell>
          <cell r="R824" t="e">
            <v>#N/A</v>
          </cell>
        </row>
        <row r="825">
          <cell r="A825" t="str">
            <v/>
          </cell>
          <cell r="B825" t="str">
            <v/>
          </cell>
          <cell r="C825" t="str">
            <v>Future</v>
          </cell>
          <cell r="D825" t="e">
            <v>#N/A</v>
          </cell>
          <cell r="E825">
            <v>-3.2505118110233027</v>
          </cell>
          <cell r="F825">
            <v>91.355787401576478</v>
          </cell>
          <cell r="G825">
            <v>49.308543307086502</v>
          </cell>
          <cell r="H825">
            <v>49.308543307086502</v>
          </cell>
          <cell r="I825" t="e">
            <v>#N/A</v>
          </cell>
          <cell r="J825" t="e">
            <v>#N/A</v>
          </cell>
          <cell r="K825">
            <v>90</v>
          </cell>
          <cell r="L825">
            <v>50</v>
          </cell>
          <cell r="M825" t="e">
            <v>#N/A</v>
          </cell>
          <cell r="N825">
            <v>80</v>
          </cell>
          <cell r="O825" t="e">
            <v>#N/A</v>
          </cell>
          <cell r="P825" t="str">
            <v/>
          </cell>
          <cell r="Q825" t="str">
            <v/>
          </cell>
          <cell r="R825" t="e">
            <v>#N/A</v>
          </cell>
        </row>
        <row r="826">
          <cell r="A826" t="str">
            <v/>
          </cell>
          <cell r="B826" t="str">
            <v/>
          </cell>
          <cell r="C826" t="str">
            <v>Future</v>
          </cell>
          <cell r="D826" t="e">
            <v>#N/A</v>
          </cell>
          <cell r="E826">
            <v>-3.5005511811020429</v>
          </cell>
          <cell r="F826">
            <v>91.460078740159162</v>
          </cell>
          <cell r="G826">
            <v>49.255354330708549</v>
          </cell>
          <cell r="H826">
            <v>49.255354330708549</v>
          </cell>
          <cell r="I826" t="e">
            <v>#N/A</v>
          </cell>
          <cell r="J826" t="e">
            <v>#N/A</v>
          </cell>
          <cell r="K826">
            <v>90</v>
          </cell>
          <cell r="L826">
            <v>50</v>
          </cell>
          <cell r="M826" t="e">
            <v>#N/A</v>
          </cell>
          <cell r="N826">
            <v>80</v>
          </cell>
          <cell r="O826" t="e">
            <v>#N/A</v>
          </cell>
          <cell r="P826" t="str">
            <v/>
          </cell>
          <cell r="Q826" t="str">
            <v/>
          </cell>
          <cell r="R826" t="e">
            <v>#N/A</v>
          </cell>
        </row>
        <row r="827">
          <cell r="A827" t="str">
            <v/>
          </cell>
          <cell r="B827" t="str">
            <v/>
          </cell>
          <cell r="C827" t="str">
            <v>Future</v>
          </cell>
          <cell r="D827" t="e">
            <v>#N/A</v>
          </cell>
          <cell r="E827">
            <v>-3.7505905511807831</v>
          </cell>
          <cell r="F827">
            <v>91.564370078741845</v>
          </cell>
          <cell r="G827">
            <v>49.202165354330596</v>
          </cell>
          <cell r="H827">
            <v>49.202165354330596</v>
          </cell>
          <cell r="I827" t="e">
            <v>#N/A</v>
          </cell>
          <cell r="J827" t="e">
            <v>#N/A</v>
          </cell>
          <cell r="K827">
            <v>90</v>
          </cell>
          <cell r="L827">
            <v>50</v>
          </cell>
          <cell r="M827" t="e">
            <v>#N/A</v>
          </cell>
          <cell r="N827">
            <v>80</v>
          </cell>
          <cell r="O827" t="e">
            <v>#N/A</v>
          </cell>
          <cell r="P827" t="str">
            <v/>
          </cell>
          <cell r="Q827" t="str">
            <v/>
          </cell>
          <cell r="R827" t="e">
            <v>#N/A</v>
          </cell>
        </row>
        <row r="828">
          <cell r="A828" t="str">
            <v/>
          </cell>
          <cell r="B828" t="str">
            <v/>
          </cell>
          <cell r="C828" t="str">
            <v>Future</v>
          </cell>
          <cell r="D828" t="e">
            <v>#N/A</v>
          </cell>
          <cell r="E828">
            <v>-4.0006299212595229</v>
          </cell>
          <cell r="F828">
            <v>91.668661417324529</v>
          </cell>
          <cell r="G828">
            <v>49.148976377952643</v>
          </cell>
          <cell r="H828">
            <v>49.148976377952643</v>
          </cell>
          <cell r="I828" t="e">
            <v>#N/A</v>
          </cell>
          <cell r="J828" t="e">
            <v>#N/A</v>
          </cell>
          <cell r="K828">
            <v>90</v>
          </cell>
          <cell r="L828">
            <v>50</v>
          </cell>
          <cell r="M828" t="e">
            <v>#N/A</v>
          </cell>
          <cell r="N828">
            <v>80</v>
          </cell>
          <cell r="O828" t="e">
            <v>#N/A</v>
          </cell>
          <cell r="P828" t="str">
            <v/>
          </cell>
          <cell r="Q828" t="str">
            <v/>
          </cell>
          <cell r="R828" t="e">
            <v>#N/A</v>
          </cell>
        </row>
        <row r="829">
          <cell r="A829" t="str">
            <v/>
          </cell>
          <cell r="B829" t="str">
            <v/>
          </cell>
          <cell r="C829" t="str">
            <v>Future</v>
          </cell>
          <cell r="D829" t="e">
            <v>#N/A</v>
          </cell>
          <cell r="E829">
            <v>-4.2506692913382631</v>
          </cell>
          <cell r="F829">
            <v>91.772952755907212</v>
          </cell>
          <cell r="G829">
            <v>49.09578740157469</v>
          </cell>
          <cell r="H829">
            <v>49.09578740157469</v>
          </cell>
          <cell r="I829" t="e">
            <v>#N/A</v>
          </cell>
          <cell r="J829" t="e">
            <v>#N/A</v>
          </cell>
          <cell r="K829">
            <v>90</v>
          </cell>
          <cell r="L829">
            <v>50</v>
          </cell>
          <cell r="M829" t="e">
            <v>#N/A</v>
          </cell>
          <cell r="N829">
            <v>80</v>
          </cell>
          <cell r="O829" t="e">
            <v>#N/A</v>
          </cell>
          <cell r="P829" t="str">
            <v/>
          </cell>
          <cell r="Q829" t="str">
            <v/>
          </cell>
          <cell r="R829" t="e">
            <v>#N/A</v>
          </cell>
        </row>
        <row r="830">
          <cell r="A830" t="str">
            <v/>
          </cell>
          <cell r="B830" t="str">
            <v/>
          </cell>
          <cell r="C830" t="str">
            <v>Future</v>
          </cell>
          <cell r="D830" t="e">
            <v>#N/A</v>
          </cell>
          <cell r="E830">
            <v>-4.5007086614170033</v>
          </cell>
          <cell r="F830">
            <v>91.877244094489896</v>
          </cell>
          <cell r="G830">
            <v>49.042598425196736</v>
          </cell>
          <cell r="H830">
            <v>49.042598425196736</v>
          </cell>
          <cell r="I830" t="e">
            <v>#N/A</v>
          </cell>
          <cell r="J830" t="e">
            <v>#N/A</v>
          </cell>
          <cell r="K830">
            <v>90</v>
          </cell>
          <cell r="L830">
            <v>50</v>
          </cell>
          <cell r="M830" t="e">
            <v>#N/A</v>
          </cell>
          <cell r="N830">
            <v>80</v>
          </cell>
          <cell r="O830" t="e">
            <v>#N/A</v>
          </cell>
          <cell r="P830" t="str">
            <v/>
          </cell>
          <cell r="Q830" t="str">
            <v/>
          </cell>
          <cell r="R830" t="e">
            <v>#N/A</v>
          </cell>
        </row>
        <row r="831">
          <cell r="A831" t="str">
            <v/>
          </cell>
          <cell r="B831" t="str">
            <v/>
          </cell>
          <cell r="C831" t="str">
            <v>Future</v>
          </cell>
          <cell r="D831" t="e">
            <v>#N/A</v>
          </cell>
          <cell r="E831">
            <v>-4.7507480314957435</v>
          </cell>
          <cell r="F831">
            <v>91.98153543307258</v>
          </cell>
          <cell r="G831">
            <v>48.989409448818783</v>
          </cell>
          <cell r="H831">
            <v>48.989409448818783</v>
          </cell>
          <cell r="I831" t="e">
            <v>#N/A</v>
          </cell>
          <cell r="J831" t="e">
            <v>#N/A</v>
          </cell>
          <cell r="K831">
            <v>90</v>
          </cell>
          <cell r="L831">
            <v>50</v>
          </cell>
          <cell r="M831" t="e">
            <v>#N/A</v>
          </cell>
          <cell r="N831">
            <v>80</v>
          </cell>
          <cell r="O831" t="e">
            <v>#N/A</v>
          </cell>
          <cell r="P831" t="str">
            <v/>
          </cell>
          <cell r="Q831" t="str">
            <v/>
          </cell>
          <cell r="R831" t="e">
            <v>#N/A</v>
          </cell>
        </row>
        <row r="832">
          <cell r="A832" t="str">
            <v/>
          </cell>
          <cell r="B832" t="str">
            <v/>
          </cell>
          <cell r="C832" t="str">
            <v>Future</v>
          </cell>
          <cell r="D832" t="e">
            <v>#N/A</v>
          </cell>
          <cell r="E832">
            <v>-5.0007874015744838</v>
          </cell>
          <cell r="F832">
            <v>92.085826771655263</v>
          </cell>
          <cell r="G832">
            <v>48.93622047244083</v>
          </cell>
          <cell r="H832">
            <v>48.93622047244083</v>
          </cell>
          <cell r="I832" t="e">
            <v>#N/A</v>
          </cell>
          <cell r="J832" t="e">
            <v>#N/A</v>
          </cell>
          <cell r="K832">
            <v>90</v>
          </cell>
          <cell r="L832">
            <v>50</v>
          </cell>
          <cell r="M832" t="e">
            <v>#N/A</v>
          </cell>
          <cell r="N832">
            <v>80</v>
          </cell>
          <cell r="O832" t="e">
            <v>#N/A</v>
          </cell>
          <cell r="P832" t="str">
            <v/>
          </cell>
          <cell r="Q832" t="str">
            <v/>
          </cell>
          <cell r="R832" t="e">
            <v>#N/A</v>
          </cell>
        </row>
        <row r="833">
          <cell r="A833" t="str">
            <v/>
          </cell>
          <cell r="B833" t="str">
            <v/>
          </cell>
          <cell r="C833" t="str">
            <v>Future</v>
          </cell>
          <cell r="D833" t="e">
            <v>#N/A</v>
          </cell>
          <cell r="E833">
            <v>-5.250826771653224</v>
          </cell>
          <cell r="F833">
            <v>92.190118110237947</v>
          </cell>
          <cell r="G833">
            <v>48.883031496062877</v>
          </cell>
          <cell r="H833">
            <v>48.883031496062877</v>
          </cell>
          <cell r="I833" t="e">
            <v>#N/A</v>
          </cell>
          <cell r="J833" t="e">
            <v>#N/A</v>
          </cell>
          <cell r="K833">
            <v>90</v>
          </cell>
          <cell r="L833">
            <v>50</v>
          </cell>
          <cell r="M833" t="e">
            <v>#N/A</v>
          </cell>
          <cell r="N833">
            <v>80</v>
          </cell>
          <cell r="O833" t="e">
            <v>#N/A</v>
          </cell>
          <cell r="P833" t="str">
            <v/>
          </cell>
          <cell r="Q833" t="str">
            <v/>
          </cell>
          <cell r="R833" t="e">
            <v>#N/A</v>
          </cell>
        </row>
        <row r="834">
          <cell r="A834" t="str">
            <v/>
          </cell>
          <cell r="B834" t="str">
            <v/>
          </cell>
          <cell r="C834" t="str">
            <v>Future</v>
          </cell>
          <cell r="D834" t="e">
            <v>#N/A</v>
          </cell>
          <cell r="E834">
            <v>-5.5008661417319642</v>
          </cell>
          <cell r="F834">
            <v>92.29440944882063</v>
          </cell>
          <cell r="G834">
            <v>48.829842519684924</v>
          </cell>
          <cell r="H834">
            <v>48.829842519684924</v>
          </cell>
          <cell r="I834" t="e">
            <v>#N/A</v>
          </cell>
          <cell r="J834" t="e">
            <v>#N/A</v>
          </cell>
          <cell r="K834">
            <v>90</v>
          </cell>
          <cell r="L834">
            <v>50</v>
          </cell>
          <cell r="M834" t="e">
            <v>#N/A</v>
          </cell>
          <cell r="N834">
            <v>80</v>
          </cell>
          <cell r="O834" t="e">
            <v>#N/A</v>
          </cell>
          <cell r="P834" t="str">
            <v/>
          </cell>
          <cell r="Q834" t="str">
            <v/>
          </cell>
          <cell r="R834" t="e">
            <v>#N/A</v>
          </cell>
        </row>
        <row r="835">
          <cell r="A835" t="str">
            <v/>
          </cell>
          <cell r="B835" t="str">
            <v/>
          </cell>
          <cell r="C835" t="str">
            <v>Future</v>
          </cell>
          <cell r="D835" t="e">
            <v>#N/A</v>
          </cell>
          <cell r="E835">
            <v>-5.7509055118107044</v>
          </cell>
          <cell r="F835">
            <v>92.398700787403314</v>
          </cell>
          <cell r="G835">
            <v>48.776653543306971</v>
          </cell>
          <cell r="H835">
            <v>48.776653543306971</v>
          </cell>
          <cell r="I835" t="e">
            <v>#N/A</v>
          </cell>
          <cell r="J835" t="e">
            <v>#N/A</v>
          </cell>
          <cell r="K835">
            <v>90</v>
          </cell>
          <cell r="L835">
            <v>50</v>
          </cell>
          <cell r="M835" t="e">
            <v>#N/A</v>
          </cell>
          <cell r="N835">
            <v>80</v>
          </cell>
          <cell r="O835" t="e">
            <v>#N/A</v>
          </cell>
          <cell r="P835" t="str">
            <v/>
          </cell>
          <cell r="Q835" t="str">
            <v/>
          </cell>
          <cell r="R835" t="e">
            <v>#N/A</v>
          </cell>
        </row>
        <row r="836">
          <cell r="A836" t="str">
            <v/>
          </cell>
          <cell r="B836" t="str">
            <v/>
          </cell>
          <cell r="C836" t="str">
            <v>Future</v>
          </cell>
          <cell r="D836" t="e">
            <v>#N/A</v>
          </cell>
          <cell r="E836">
            <v>-6.0009448818894446</v>
          </cell>
          <cell r="F836">
            <v>92.502992125985998</v>
          </cell>
          <cell r="G836">
            <v>48.723464566929017</v>
          </cell>
          <cell r="H836">
            <v>48.723464566929017</v>
          </cell>
          <cell r="I836" t="e">
            <v>#N/A</v>
          </cell>
          <cell r="J836" t="e">
            <v>#N/A</v>
          </cell>
          <cell r="K836">
            <v>90</v>
          </cell>
          <cell r="L836">
            <v>50</v>
          </cell>
          <cell r="M836" t="e">
            <v>#N/A</v>
          </cell>
          <cell r="N836">
            <v>80</v>
          </cell>
          <cell r="O836" t="e">
            <v>#N/A</v>
          </cell>
          <cell r="P836" t="str">
            <v/>
          </cell>
          <cell r="Q836" t="str">
            <v/>
          </cell>
          <cell r="R836" t="e">
            <v>#N/A</v>
          </cell>
        </row>
        <row r="837">
          <cell r="A837" t="str">
            <v/>
          </cell>
          <cell r="B837" t="str">
            <v/>
          </cell>
          <cell r="C837" t="str">
            <v>Future</v>
          </cell>
          <cell r="D837" t="e">
            <v>#N/A</v>
          </cell>
          <cell r="E837">
            <v>-6.2509842519681849</v>
          </cell>
          <cell r="F837">
            <v>92.607283464568681</v>
          </cell>
          <cell r="G837">
            <v>48.670275590551064</v>
          </cell>
          <cell r="H837">
            <v>48.670275590551064</v>
          </cell>
          <cell r="I837" t="e">
            <v>#N/A</v>
          </cell>
          <cell r="J837" t="e">
            <v>#N/A</v>
          </cell>
          <cell r="K837">
            <v>90</v>
          </cell>
          <cell r="L837">
            <v>50</v>
          </cell>
          <cell r="M837" t="e">
            <v>#N/A</v>
          </cell>
          <cell r="N837">
            <v>80</v>
          </cell>
          <cell r="O837" t="e">
            <v>#N/A</v>
          </cell>
          <cell r="P837" t="str">
            <v/>
          </cell>
          <cell r="Q837" t="str">
            <v/>
          </cell>
          <cell r="R837" t="e">
            <v>#N/A</v>
          </cell>
        </row>
        <row r="838">
          <cell r="A838" t="str">
            <v/>
          </cell>
          <cell r="B838" t="str">
            <v/>
          </cell>
          <cell r="C838" t="str">
            <v>Future</v>
          </cell>
          <cell r="D838" t="e">
            <v>#N/A</v>
          </cell>
          <cell r="E838">
            <v>-6.5010236220469251</v>
          </cell>
          <cell r="F838">
            <v>92.711574803151365</v>
          </cell>
          <cell r="G838">
            <v>48.617086614173111</v>
          </cell>
          <cell r="H838">
            <v>48.617086614173111</v>
          </cell>
          <cell r="I838" t="e">
            <v>#N/A</v>
          </cell>
          <cell r="J838" t="e">
            <v>#N/A</v>
          </cell>
          <cell r="K838">
            <v>90</v>
          </cell>
          <cell r="L838">
            <v>50</v>
          </cell>
          <cell r="M838" t="e">
            <v>#N/A</v>
          </cell>
          <cell r="N838">
            <v>80</v>
          </cell>
          <cell r="O838" t="e">
            <v>#N/A</v>
          </cell>
          <cell r="P838" t="str">
            <v/>
          </cell>
          <cell r="Q838" t="str">
            <v/>
          </cell>
          <cell r="R838" t="e">
            <v>#N/A</v>
          </cell>
        </row>
        <row r="839">
          <cell r="A839" t="str">
            <v/>
          </cell>
          <cell r="B839" t="str">
            <v/>
          </cell>
          <cell r="C839" t="str">
            <v>Future</v>
          </cell>
          <cell r="D839" t="e">
            <v>#N/A</v>
          </cell>
          <cell r="E839">
            <v>-6.7510629921256653</v>
          </cell>
          <cell r="F839">
            <v>92.815866141734048</v>
          </cell>
          <cell r="G839">
            <v>48.563897637795158</v>
          </cell>
          <cell r="H839">
            <v>48.563897637795158</v>
          </cell>
          <cell r="I839" t="e">
            <v>#N/A</v>
          </cell>
          <cell r="J839" t="e">
            <v>#N/A</v>
          </cell>
          <cell r="K839">
            <v>90</v>
          </cell>
          <cell r="L839">
            <v>50</v>
          </cell>
          <cell r="M839" t="e">
            <v>#N/A</v>
          </cell>
          <cell r="N839">
            <v>80</v>
          </cell>
          <cell r="O839" t="e">
            <v>#N/A</v>
          </cell>
          <cell r="P839" t="str">
            <v/>
          </cell>
          <cell r="Q839" t="str">
            <v/>
          </cell>
          <cell r="R839" t="e">
            <v>#N/A</v>
          </cell>
        </row>
        <row r="840">
          <cell r="A840" t="str">
            <v/>
          </cell>
          <cell r="B840" t="str">
            <v/>
          </cell>
          <cell r="C840" t="str">
            <v>Future</v>
          </cell>
          <cell r="D840" t="e">
            <v>#N/A</v>
          </cell>
          <cell r="E840">
            <v>-7.0011023622044055</v>
          </cell>
          <cell r="F840">
            <v>92.920157480316732</v>
          </cell>
          <cell r="G840">
            <v>48.510708661417205</v>
          </cell>
          <cell r="H840">
            <v>48.510708661417205</v>
          </cell>
          <cell r="I840" t="e">
            <v>#N/A</v>
          </cell>
          <cell r="J840" t="e">
            <v>#N/A</v>
          </cell>
          <cell r="K840">
            <v>90</v>
          </cell>
          <cell r="L840">
            <v>50</v>
          </cell>
          <cell r="M840" t="e">
            <v>#N/A</v>
          </cell>
          <cell r="N840">
            <v>80</v>
          </cell>
          <cell r="O840" t="e">
            <v>#N/A</v>
          </cell>
          <cell r="P840" t="str">
            <v/>
          </cell>
          <cell r="Q840" t="str">
            <v/>
          </cell>
          <cell r="R840" t="e">
            <v>#N/A</v>
          </cell>
        </row>
        <row r="841">
          <cell r="A841" t="str">
            <v/>
          </cell>
          <cell r="B841" t="str">
            <v/>
          </cell>
          <cell r="C841" t="str">
            <v>Future</v>
          </cell>
          <cell r="D841" t="e">
            <v>#N/A</v>
          </cell>
          <cell r="E841">
            <v>-7.2511417322831457</v>
          </cell>
          <cell r="F841">
            <v>93.024448818899415</v>
          </cell>
          <cell r="G841">
            <v>48.457519685039252</v>
          </cell>
          <cell r="H841">
            <v>48.457519685039252</v>
          </cell>
          <cell r="I841" t="e">
            <v>#N/A</v>
          </cell>
          <cell r="J841" t="e">
            <v>#N/A</v>
          </cell>
          <cell r="K841">
            <v>90</v>
          </cell>
          <cell r="L841">
            <v>50</v>
          </cell>
          <cell r="M841" t="e">
            <v>#N/A</v>
          </cell>
          <cell r="N841">
            <v>80</v>
          </cell>
          <cell r="O841" t="e">
            <v>#N/A</v>
          </cell>
          <cell r="P841" t="str">
            <v/>
          </cell>
          <cell r="Q841" t="str">
            <v/>
          </cell>
          <cell r="R841" t="e">
            <v>#N/A</v>
          </cell>
        </row>
        <row r="842">
          <cell r="A842" t="str">
            <v/>
          </cell>
          <cell r="B842" t="str">
            <v/>
          </cell>
          <cell r="C842" t="str">
            <v>Future</v>
          </cell>
          <cell r="D842" t="e">
            <v>#N/A</v>
          </cell>
          <cell r="E842">
            <v>-7.501181102361886</v>
          </cell>
          <cell r="F842">
            <v>93.128740157482099</v>
          </cell>
          <cell r="G842">
            <v>48.404330708661298</v>
          </cell>
          <cell r="H842">
            <v>48.404330708661298</v>
          </cell>
          <cell r="I842" t="e">
            <v>#N/A</v>
          </cell>
          <cell r="J842" t="e">
            <v>#N/A</v>
          </cell>
          <cell r="K842">
            <v>90</v>
          </cell>
          <cell r="L842">
            <v>50</v>
          </cell>
          <cell r="M842" t="e">
            <v>#N/A</v>
          </cell>
          <cell r="N842">
            <v>80</v>
          </cell>
          <cell r="O842" t="e">
            <v>#N/A</v>
          </cell>
          <cell r="P842" t="str">
            <v/>
          </cell>
          <cell r="Q842" t="str">
            <v/>
          </cell>
          <cell r="R842" t="e">
            <v>#N/A</v>
          </cell>
        </row>
        <row r="843">
          <cell r="A843" t="str">
            <v/>
          </cell>
          <cell r="B843" t="str">
            <v/>
          </cell>
          <cell r="C843" t="str">
            <v>Future</v>
          </cell>
          <cell r="D843" t="e">
            <v>#N/A</v>
          </cell>
          <cell r="E843">
            <v>-7.7512204724406262</v>
          </cell>
          <cell r="F843">
            <v>93.233031496064783</v>
          </cell>
          <cell r="G843">
            <v>48.351141732283345</v>
          </cell>
          <cell r="H843">
            <v>48.351141732283345</v>
          </cell>
          <cell r="I843" t="e">
            <v>#N/A</v>
          </cell>
          <cell r="J843" t="e">
            <v>#N/A</v>
          </cell>
          <cell r="K843">
            <v>90</v>
          </cell>
          <cell r="L843">
            <v>50</v>
          </cell>
          <cell r="M843" t="e">
            <v>#N/A</v>
          </cell>
          <cell r="N843">
            <v>80</v>
          </cell>
          <cell r="O843" t="e">
            <v>#N/A</v>
          </cell>
          <cell r="P843" t="str">
            <v/>
          </cell>
          <cell r="Q843" t="str">
            <v/>
          </cell>
          <cell r="R843" t="e">
            <v>#N/A</v>
          </cell>
        </row>
        <row r="844">
          <cell r="A844" t="str">
            <v/>
          </cell>
          <cell r="B844" t="str">
            <v/>
          </cell>
          <cell r="C844" t="str">
            <v>Future</v>
          </cell>
          <cell r="D844" t="e">
            <v>#N/A</v>
          </cell>
          <cell r="E844">
            <v>-8.0012598425193655</v>
          </cell>
          <cell r="F844">
            <v>93.337322834647466</v>
          </cell>
          <cell r="G844">
            <v>48.297952755905392</v>
          </cell>
          <cell r="H844">
            <v>48.297952755905392</v>
          </cell>
          <cell r="I844" t="e">
            <v>#N/A</v>
          </cell>
          <cell r="J844" t="e">
            <v>#N/A</v>
          </cell>
          <cell r="K844">
            <v>90</v>
          </cell>
          <cell r="L844">
            <v>50</v>
          </cell>
          <cell r="M844" t="e">
            <v>#N/A</v>
          </cell>
          <cell r="N844">
            <v>80</v>
          </cell>
          <cell r="O844" t="e">
            <v>#N/A</v>
          </cell>
          <cell r="P844" t="str">
            <v/>
          </cell>
          <cell r="Q844" t="str">
            <v/>
          </cell>
          <cell r="R844" t="e">
            <v>#N/A</v>
          </cell>
        </row>
        <row r="845">
          <cell r="A845" t="str">
            <v/>
          </cell>
          <cell r="B845" t="str">
            <v/>
          </cell>
          <cell r="C845" t="str">
            <v>Future</v>
          </cell>
          <cell r="D845" t="e">
            <v>#N/A</v>
          </cell>
          <cell r="E845">
            <v>-8.2512992125981057</v>
          </cell>
          <cell r="F845">
            <v>93.44161417323015</v>
          </cell>
          <cell r="G845">
            <v>48.244763779527439</v>
          </cell>
          <cell r="H845">
            <v>48.244763779527439</v>
          </cell>
          <cell r="I845" t="e">
            <v>#N/A</v>
          </cell>
          <cell r="J845" t="e">
            <v>#N/A</v>
          </cell>
          <cell r="K845">
            <v>90</v>
          </cell>
          <cell r="L845">
            <v>50</v>
          </cell>
          <cell r="M845" t="e">
            <v>#N/A</v>
          </cell>
          <cell r="N845">
            <v>80</v>
          </cell>
          <cell r="O845" t="e">
            <v>#N/A</v>
          </cell>
          <cell r="P845" t="str">
            <v/>
          </cell>
          <cell r="Q845" t="str">
            <v/>
          </cell>
          <cell r="R845" t="e">
            <v>#N/A</v>
          </cell>
        </row>
        <row r="846">
          <cell r="A846" t="str">
            <v/>
          </cell>
          <cell r="B846" t="str">
            <v/>
          </cell>
          <cell r="C846" t="str">
            <v>Future</v>
          </cell>
          <cell r="D846" t="e">
            <v>#N/A</v>
          </cell>
          <cell r="E846">
            <v>-8.5013385826768459</v>
          </cell>
          <cell r="F846">
            <v>93.545905511812833</v>
          </cell>
          <cell r="G846">
            <v>48.191574803149486</v>
          </cell>
          <cell r="H846">
            <v>48.191574803149486</v>
          </cell>
          <cell r="I846" t="e">
            <v>#N/A</v>
          </cell>
          <cell r="J846" t="e">
            <v>#N/A</v>
          </cell>
          <cell r="K846">
            <v>90</v>
          </cell>
          <cell r="L846">
            <v>50</v>
          </cell>
          <cell r="M846" t="e">
            <v>#N/A</v>
          </cell>
          <cell r="N846">
            <v>80</v>
          </cell>
          <cell r="O846" t="e">
            <v>#N/A</v>
          </cell>
          <cell r="P846" t="str">
            <v/>
          </cell>
          <cell r="Q846" t="str">
            <v/>
          </cell>
          <cell r="R846" t="e">
            <v>#N/A</v>
          </cell>
        </row>
        <row r="847">
          <cell r="A847" t="str">
            <v/>
          </cell>
          <cell r="B847" t="str">
            <v/>
          </cell>
          <cell r="C847" t="str">
            <v>Future</v>
          </cell>
          <cell r="D847" t="e">
            <v>#N/A</v>
          </cell>
          <cell r="E847">
            <v>-8.7513779527555862</v>
          </cell>
          <cell r="F847">
            <v>93.650196850395517</v>
          </cell>
          <cell r="G847">
            <v>48.138385826771533</v>
          </cell>
          <cell r="H847">
            <v>48.138385826771533</v>
          </cell>
          <cell r="I847" t="e">
            <v>#N/A</v>
          </cell>
          <cell r="J847" t="e">
            <v>#N/A</v>
          </cell>
          <cell r="K847">
            <v>90</v>
          </cell>
          <cell r="L847">
            <v>50</v>
          </cell>
          <cell r="M847" t="e">
            <v>#N/A</v>
          </cell>
          <cell r="N847">
            <v>80</v>
          </cell>
          <cell r="O847" t="e">
            <v>#N/A</v>
          </cell>
          <cell r="P847" t="str">
            <v/>
          </cell>
          <cell r="Q847" t="str">
            <v/>
          </cell>
          <cell r="R847" t="e">
            <v>#N/A</v>
          </cell>
        </row>
        <row r="848">
          <cell r="A848" t="str">
            <v/>
          </cell>
          <cell r="B848" t="str">
            <v/>
          </cell>
          <cell r="C848" t="str">
            <v>Future</v>
          </cell>
          <cell r="D848" t="e">
            <v>#N/A</v>
          </cell>
          <cell r="E848">
            <v>-9.0014173228343264</v>
          </cell>
          <cell r="F848">
            <v>93.7544881889782</v>
          </cell>
          <cell r="G848">
            <v>48.085196850393579</v>
          </cell>
          <cell r="H848">
            <v>48.085196850393579</v>
          </cell>
          <cell r="I848" t="e">
            <v>#N/A</v>
          </cell>
          <cell r="J848" t="e">
            <v>#N/A</v>
          </cell>
          <cell r="K848">
            <v>90</v>
          </cell>
          <cell r="L848">
            <v>50</v>
          </cell>
          <cell r="M848" t="e">
            <v>#N/A</v>
          </cell>
          <cell r="N848">
            <v>80</v>
          </cell>
          <cell r="O848" t="e">
            <v>#N/A</v>
          </cell>
          <cell r="P848" t="str">
            <v/>
          </cell>
          <cell r="Q848" t="str">
            <v/>
          </cell>
          <cell r="R848" t="e">
            <v>#N/A</v>
          </cell>
        </row>
        <row r="849">
          <cell r="A849" t="str">
            <v/>
          </cell>
          <cell r="B849" t="str">
            <v/>
          </cell>
          <cell r="C849" t="str">
            <v>Future</v>
          </cell>
          <cell r="D849" t="e">
            <v>#N/A</v>
          </cell>
          <cell r="E849">
            <v>-9.2514566929130666</v>
          </cell>
          <cell r="F849">
            <v>93.858779527560884</v>
          </cell>
          <cell r="G849">
            <v>48.032007874015626</v>
          </cell>
          <cell r="H849">
            <v>48.032007874015626</v>
          </cell>
          <cell r="I849" t="e">
            <v>#N/A</v>
          </cell>
          <cell r="J849" t="e">
            <v>#N/A</v>
          </cell>
          <cell r="K849">
            <v>90</v>
          </cell>
          <cell r="L849">
            <v>50</v>
          </cell>
          <cell r="M849" t="e">
            <v>#N/A</v>
          </cell>
          <cell r="N849">
            <v>80</v>
          </cell>
          <cell r="O849" t="e">
            <v>#N/A</v>
          </cell>
          <cell r="P849" t="str">
            <v/>
          </cell>
          <cell r="Q849" t="str">
            <v/>
          </cell>
          <cell r="R849" t="e">
            <v>#N/A</v>
          </cell>
        </row>
        <row r="850">
          <cell r="A850" t="str">
            <v/>
          </cell>
          <cell r="B850" t="str">
            <v/>
          </cell>
          <cell r="C850" t="str">
            <v>Future</v>
          </cell>
          <cell r="D850" t="e">
            <v>#N/A</v>
          </cell>
          <cell r="E850">
            <v>-9.5014960629918068</v>
          </cell>
          <cell r="F850">
            <v>93.963070866143568</v>
          </cell>
          <cell r="G850">
            <v>47.978818897637673</v>
          </cell>
          <cell r="H850">
            <v>47.978818897637673</v>
          </cell>
          <cell r="I850" t="e">
            <v>#N/A</v>
          </cell>
          <cell r="J850" t="e">
            <v>#N/A</v>
          </cell>
          <cell r="K850">
            <v>90</v>
          </cell>
          <cell r="L850">
            <v>50</v>
          </cell>
          <cell r="M850" t="e">
            <v>#N/A</v>
          </cell>
          <cell r="N850">
            <v>80</v>
          </cell>
          <cell r="O850" t="e">
            <v>#N/A</v>
          </cell>
          <cell r="P850" t="str">
            <v/>
          </cell>
          <cell r="Q850" t="str">
            <v/>
          </cell>
          <cell r="R850" t="e">
            <v>#N/A</v>
          </cell>
        </row>
        <row r="851">
          <cell r="A851" t="str">
            <v/>
          </cell>
          <cell r="B851" t="str">
            <v/>
          </cell>
          <cell r="C851" t="str">
            <v>Future</v>
          </cell>
          <cell r="D851" t="e">
            <v>#N/A</v>
          </cell>
          <cell r="E851">
            <v>-9.751535433070547</v>
          </cell>
          <cell r="F851">
            <v>94.067362204726251</v>
          </cell>
          <cell r="G851">
            <v>47.92562992125972</v>
          </cell>
          <cell r="H851">
            <v>47.92562992125972</v>
          </cell>
          <cell r="I851" t="e">
            <v>#N/A</v>
          </cell>
          <cell r="J851" t="e">
            <v>#N/A</v>
          </cell>
          <cell r="K851">
            <v>90</v>
          </cell>
          <cell r="L851">
            <v>50</v>
          </cell>
          <cell r="M851" t="e">
            <v>#N/A</v>
          </cell>
          <cell r="N851">
            <v>80</v>
          </cell>
          <cell r="O851" t="e">
            <v>#N/A</v>
          </cell>
          <cell r="P851" t="str">
            <v/>
          </cell>
          <cell r="Q851" t="str">
            <v/>
          </cell>
          <cell r="R851" t="e">
            <v>#N/A</v>
          </cell>
        </row>
        <row r="852">
          <cell r="A852" t="str">
            <v/>
          </cell>
          <cell r="B852" t="str">
            <v/>
          </cell>
          <cell r="C852" t="str">
            <v>Future</v>
          </cell>
          <cell r="D852" t="e">
            <v>#N/A</v>
          </cell>
          <cell r="E852">
            <v>-10.001574803149287</v>
          </cell>
          <cell r="F852">
            <v>94.171653543308935</v>
          </cell>
          <cell r="G852">
            <v>47.872440944881767</v>
          </cell>
          <cell r="H852">
            <v>47.872440944881767</v>
          </cell>
          <cell r="I852" t="e">
            <v>#N/A</v>
          </cell>
          <cell r="J852" t="e">
            <v>#N/A</v>
          </cell>
          <cell r="K852">
            <v>90</v>
          </cell>
          <cell r="L852">
            <v>50</v>
          </cell>
          <cell r="M852" t="e">
            <v>#N/A</v>
          </cell>
          <cell r="N852">
            <v>80</v>
          </cell>
          <cell r="O852" t="e">
            <v>#N/A</v>
          </cell>
          <cell r="P852" t="str">
            <v/>
          </cell>
          <cell r="Q852" t="str">
            <v/>
          </cell>
          <cell r="R852" t="e">
            <v>#N/A</v>
          </cell>
        </row>
        <row r="853">
          <cell r="A853" t="str">
            <v/>
          </cell>
          <cell r="B853" t="str">
            <v/>
          </cell>
          <cell r="C853" t="str">
            <v>Future</v>
          </cell>
          <cell r="D853" t="e">
            <v>#N/A</v>
          </cell>
          <cell r="E853">
            <v>-10.251614173228027</v>
          </cell>
          <cell r="F853">
            <v>94.275944881891618</v>
          </cell>
          <cell r="G853">
            <v>47.819251968503814</v>
          </cell>
          <cell r="H853">
            <v>47.819251968503814</v>
          </cell>
          <cell r="I853" t="e">
            <v>#N/A</v>
          </cell>
          <cell r="J853" t="e">
            <v>#N/A</v>
          </cell>
          <cell r="K853">
            <v>90</v>
          </cell>
          <cell r="L853">
            <v>50</v>
          </cell>
          <cell r="M853" t="e">
            <v>#N/A</v>
          </cell>
          <cell r="N853">
            <v>80</v>
          </cell>
          <cell r="O853" t="e">
            <v>#N/A</v>
          </cell>
          <cell r="P853" t="str">
            <v/>
          </cell>
          <cell r="Q853" t="str">
            <v/>
          </cell>
          <cell r="R853" t="e">
            <v>#N/A</v>
          </cell>
        </row>
        <row r="854">
          <cell r="A854" t="str">
            <v/>
          </cell>
          <cell r="B854" t="str">
            <v/>
          </cell>
          <cell r="C854" t="str">
            <v>Future</v>
          </cell>
          <cell r="D854" t="e">
            <v>#N/A</v>
          </cell>
          <cell r="E854">
            <v>-10.501653543306768</v>
          </cell>
          <cell r="F854">
            <v>94.380236220474302</v>
          </cell>
          <cell r="G854">
            <v>47.76606299212586</v>
          </cell>
          <cell r="H854">
            <v>47.76606299212586</v>
          </cell>
          <cell r="I854" t="e">
            <v>#N/A</v>
          </cell>
          <cell r="J854" t="e">
            <v>#N/A</v>
          </cell>
          <cell r="K854">
            <v>90</v>
          </cell>
          <cell r="L854">
            <v>50</v>
          </cell>
          <cell r="M854" t="e">
            <v>#N/A</v>
          </cell>
          <cell r="N854">
            <v>80</v>
          </cell>
          <cell r="O854" t="e">
            <v>#N/A</v>
          </cell>
          <cell r="P854" t="str">
            <v/>
          </cell>
          <cell r="Q854" t="str">
            <v/>
          </cell>
          <cell r="R854" t="e">
            <v>#N/A</v>
          </cell>
        </row>
        <row r="855">
          <cell r="A855" t="str">
            <v/>
          </cell>
          <cell r="B855" t="str">
            <v/>
          </cell>
          <cell r="C855" t="str">
            <v>Future</v>
          </cell>
          <cell r="D855" t="e">
            <v>#N/A</v>
          </cell>
          <cell r="E855">
            <v>-10.751692913385508</v>
          </cell>
          <cell r="F855">
            <v>94.484527559056986</v>
          </cell>
          <cell r="G855">
            <v>47.712874015747907</v>
          </cell>
          <cell r="H855">
            <v>47.712874015747907</v>
          </cell>
          <cell r="I855" t="e">
            <v>#N/A</v>
          </cell>
          <cell r="J855" t="e">
            <v>#N/A</v>
          </cell>
          <cell r="K855">
            <v>90</v>
          </cell>
          <cell r="L855">
            <v>50</v>
          </cell>
          <cell r="M855" t="e">
            <v>#N/A</v>
          </cell>
          <cell r="N855">
            <v>80</v>
          </cell>
          <cell r="O855" t="e">
            <v>#N/A</v>
          </cell>
          <cell r="P855" t="str">
            <v/>
          </cell>
          <cell r="Q855" t="str">
            <v/>
          </cell>
          <cell r="R855" t="e">
            <v>#N/A</v>
          </cell>
        </row>
        <row r="856">
          <cell r="A856" t="str">
            <v/>
          </cell>
          <cell r="B856" t="str">
            <v/>
          </cell>
          <cell r="C856" t="str">
            <v>Future</v>
          </cell>
          <cell r="D856" t="e">
            <v>#N/A</v>
          </cell>
          <cell r="E856">
            <v>-11.001732283464248</v>
          </cell>
          <cell r="F856">
            <v>94.588818897639669</v>
          </cell>
          <cell r="G856">
            <v>47.659685039369954</v>
          </cell>
          <cell r="H856">
            <v>47.659685039369954</v>
          </cell>
          <cell r="I856" t="e">
            <v>#N/A</v>
          </cell>
          <cell r="J856" t="e">
            <v>#N/A</v>
          </cell>
          <cell r="K856">
            <v>90</v>
          </cell>
          <cell r="L856">
            <v>50</v>
          </cell>
          <cell r="M856" t="e">
            <v>#N/A</v>
          </cell>
          <cell r="N856">
            <v>80</v>
          </cell>
          <cell r="O856" t="e">
            <v>#N/A</v>
          </cell>
          <cell r="P856" t="str">
            <v/>
          </cell>
          <cell r="Q856" t="str">
            <v/>
          </cell>
          <cell r="R856" t="e">
            <v>#N/A</v>
          </cell>
        </row>
        <row r="857">
          <cell r="A857" t="str">
            <v/>
          </cell>
          <cell r="B857" t="str">
            <v/>
          </cell>
          <cell r="C857" t="str">
            <v>Future</v>
          </cell>
          <cell r="D857" t="e">
            <v>#N/A</v>
          </cell>
          <cell r="E857">
            <v>-11.251771653542988</v>
          </cell>
          <cell r="F857">
            <v>94.693110236222353</v>
          </cell>
          <cell r="G857">
            <v>47.606496062992001</v>
          </cell>
          <cell r="H857">
            <v>47.606496062992001</v>
          </cell>
          <cell r="I857" t="e">
            <v>#N/A</v>
          </cell>
          <cell r="J857" t="e">
            <v>#N/A</v>
          </cell>
          <cell r="K857">
            <v>90</v>
          </cell>
          <cell r="L857">
            <v>50</v>
          </cell>
          <cell r="M857" t="e">
            <v>#N/A</v>
          </cell>
          <cell r="N857">
            <v>80</v>
          </cell>
          <cell r="O857" t="e">
            <v>#N/A</v>
          </cell>
          <cell r="P857" t="str">
            <v/>
          </cell>
          <cell r="Q857" t="str">
            <v/>
          </cell>
          <cell r="R857" t="e">
            <v>#N/A</v>
          </cell>
        </row>
        <row r="858">
          <cell r="A858" t="str">
            <v/>
          </cell>
          <cell r="B858" t="str">
            <v/>
          </cell>
          <cell r="C858" t="str">
            <v>Future</v>
          </cell>
          <cell r="D858" t="e">
            <v>#N/A</v>
          </cell>
          <cell r="E858">
            <v>-11.501811023621729</v>
          </cell>
          <cell r="F858">
            <v>94.797401574805036</v>
          </cell>
          <cell r="G858">
            <v>47.553307086614048</v>
          </cell>
          <cell r="H858">
            <v>47.553307086614048</v>
          </cell>
          <cell r="I858" t="e">
            <v>#N/A</v>
          </cell>
          <cell r="J858" t="e">
            <v>#N/A</v>
          </cell>
          <cell r="K858">
            <v>90</v>
          </cell>
          <cell r="L858">
            <v>50</v>
          </cell>
          <cell r="M858" t="e">
            <v>#N/A</v>
          </cell>
          <cell r="N858">
            <v>80</v>
          </cell>
          <cell r="O858" t="e">
            <v>#N/A</v>
          </cell>
          <cell r="P858" t="str">
            <v/>
          </cell>
          <cell r="Q858" t="str">
            <v/>
          </cell>
          <cell r="R858" t="e">
            <v>#N/A</v>
          </cell>
        </row>
        <row r="859">
          <cell r="A859" t="str">
            <v/>
          </cell>
          <cell r="B859" t="str">
            <v/>
          </cell>
          <cell r="C859" t="str">
            <v>Future</v>
          </cell>
          <cell r="D859" t="e">
            <v>#N/A</v>
          </cell>
          <cell r="E859">
            <v>-11.751850393700469</v>
          </cell>
          <cell r="F859">
            <v>94.90169291338772</v>
          </cell>
          <cell r="G859">
            <v>47.500118110236095</v>
          </cell>
          <cell r="H859">
            <v>47.500118110236095</v>
          </cell>
          <cell r="I859" t="e">
            <v>#N/A</v>
          </cell>
          <cell r="J859" t="e">
            <v>#N/A</v>
          </cell>
          <cell r="K859">
            <v>90</v>
          </cell>
          <cell r="L859">
            <v>50</v>
          </cell>
          <cell r="M859" t="e">
            <v>#N/A</v>
          </cell>
          <cell r="N859">
            <v>80</v>
          </cell>
          <cell r="O859" t="e">
            <v>#N/A</v>
          </cell>
          <cell r="P859" t="str">
            <v/>
          </cell>
          <cell r="Q859" t="str">
            <v/>
          </cell>
          <cell r="R859" t="e">
            <v>#N/A</v>
          </cell>
        </row>
        <row r="860">
          <cell r="A860" t="str">
            <v/>
          </cell>
          <cell r="B860" t="str">
            <v/>
          </cell>
          <cell r="C860" t="str">
            <v>Future</v>
          </cell>
          <cell r="D860" t="e">
            <v>#N/A</v>
          </cell>
          <cell r="E860">
            <v>-12.001889763779209</v>
          </cell>
          <cell r="F860">
            <v>95.005984251970403</v>
          </cell>
          <cell r="G860">
            <v>47.446929133858141</v>
          </cell>
          <cell r="H860">
            <v>47.446929133858141</v>
          </cell>
          <cell r="I860" t="e">
            <v>#N/A</v>
          </cell>
          <cell r="J860" t="e">
            <v>#N/A</v>
          </cell>
          <cell r="K860">
            <v>90</v>
          </cell>
          <cell r="L860">
            <v>50</v>
          </cell>
          <cell r="M860" t="e">
            <v>#N/A</v>
          </cell>
          <cell r="N860">
            <v>80</v>
          </cell>
          <cell r="O860" t="e">
            <v>#N/A</v>
          </cell>
          <cell r="P860" t="str">
            <v/>
          </cell>
          <cell r="Q860" t="str">
            <v/>
          </cell>
          <cell r="R860" t="e">
            <v>#N/A</v>
          </cell>
        </row>
        <row r="861">
          <cell r="A861" t="str">
            <v/>
          </cell>
          <cell r="B861" t="str">
            <v/>
          </cell>
          <cell r="C861" t="str">
            <v>Future</v>
          </cell>
          <cell r="D861" t="e">
            <v>#N/A</v>
          </cell>
          <cell r="E861">
            <v>-12.251929133857949</v>
          </cell>
          <cell r="F861">
            <v>95.110275590553087</v>
          </cell>
          <cell r="G861">
            <v>47.393740157480188</v>
          </cell>
          <cell r="H861">
            <v>47.393740157480188</v>
          </cell>
          <cell r="I861" t="e">
            <v>#N/A</v>
          </cell>
          <cell r="J861" t="e">
            <v>#N/A</v>
          </cell>
          <cell r="K861">
            <v>90</v>
          </cell>
          <cell r="L861">
            <v>50</v>
          </cell>
          <cell r="M861" t="e">
            <v>#N/A</v>
          </cell>
          <cell r="N861">
            <v>80</v>
          </cell>
          <cell r="O861" t="e">
            <v>#N/A</v>
          </cell>
          <cell r="P861" t="str">
            <v/>
          </cell>
          <cell r="Q861" t="str">
            <v/>
          </cell>
          <cell r="R861" t="e">
            <v>#N/A</v>
          </cell>
        </row>
        <row r="862">
          <cell r="A862" t="str">
            <v/>
          </cell>
          <cell r="B862" t="str">
            <v/>
          </cell>
          <cell r="C862" t="str">
            <v>Future</v>
          </cell>
          <cell r="D862" t="e">
            <v>#N/A</v>
          </cell>
          <cell r="E862">
            <v>-12.501968503936689</v>
          </cell>
          <cell r="F862">
            <v>95.214566929135771</v>
          </cell>
          <cell r="G862">
            <v>47.340551181102235</v>
          </cell>
          <cell r="H862">
            <v>47.340551181102235</v>
          </cell>
          <cell r="I862" t="e">
            <v>#N/A</v>
          </cell>
          <cell r="J862" t="e">
            <v>#N/A</v>
          </cell>
          <cell r="K862">
            <v>90</v>
          </cell>
          <cell r="L862">
            <v>50</v>
          </cell>
          <cell r="M862" t="e">
            <v>#N/A</v>
          </cell>
          <cell r="N862">
            <v>80</v>
          </cell>
          <cell r="O862" t="e">
            <v>#N/A</v>
          </cell>
          <cell r="P862" t="str">
            <v/>
          </cell>
          <cell r="Q862" t="str">
            <v/>
          </cell>
          <cell r="R862" t="e">
            <v>#N/A</v>
          </cell>
        </row>
        <row r="863">
          <cell r="A863" t="str">
            <v/>
          </cell>
          <cell r="B863" t="str">
            <v/>
          </cell>
          <cell r="C863" t="str">
            <v>Future</v>
          </cell>
          <cell r="D863" t="e">
            <v>#N/A</v>
          </cell>
          <cell r="E863">
            <v>-12.75200787401543</v>
          </cell>
          <cell r="F863">
            <v>95.318858267718454</v>
          </cell>
          <cell r="G863">
            <v>47.287362204724282</v>
          </cell>
          <cell r="H863">
            <v>47.287362204724282</v>
          </cell>
          <cell r="I863" t="e">
            <v>#N/A</v>
          </cell>
          <cell r="J863" t="e">
            <v>#N/A</v>
          </cell>
          <cell r="K863">
            <v>90</v>
          </cell>
          <cell r="L863">
            <v>50</v>
          </cell>
          <cell r="M863" t="e">
            <v>#N/A</v>
          </cell>
          <cell r="N863">
            <v>80</v>
          </cell>
          <cell r="O863" t="e">
            <v>#N/A</v>
          </cell>
          <cell r="P863" t="str">
            <v/>
          </cell>
          <cell r="Q863" t="str">
            <v/>
          </cell>
          <cell r="R863" t="e">
            <v>#N/A</v>
          </cell>
        </row>
        <row r="864">
          <cell r="A864" t="str">
            <v/>
          </cell>
          <cell r="B864" t="str">
            <v/>
          </cell>
          <cell r="C864" t="str">
            <v>Future</v>
          </cell>
          <cell r="D864" t="e">
            <v>#N/A</v>
          </cell>
          <cell r="E864">
            <v>-13.00204724409417</v>
          </cell>
          <cell r="F864">
            <v>95.423149606301138</v>
          </cell>
          <cell r="G864">
            <v>47.234173228346329</v>
          </cell>
          <cell r="H864">
            <v>47.234173228346329</v>
          </cell>
          <cell r="I864" t="e">
            <v>#N/A</v>
          </cell>
          <cell r="J864" t="e">
            <v>#N/A</v>
          </cell>
          <cell r="K864">
            <v>90</v>
          </cell>
          <cell r="L864">
            <v>50</v>
          </cell>
          <cell r="M864" t="e">
            <v>#N/A</v>
          </cell>
          <cell r="N864">
            <v>80</v>
          </cell>
          <cell r="O864" t="e">
            <v>#N/A</v>
          </cell>
          <cell r="P864" t="str">
            <v/>
          </cell>
          <cell r="Q864" t="str">
            <v/>
          </cell>
          <cell r="R864" t="e">
            <v>#N/A</v>
          </cell>
        </row>
        <row r="865">
          <cell r="A865" t="str">
            <v/>
          </cell>
          <cell r="B865" t="str">
            <v/>
          </cell>
          <cell r="C865" t="str">
            <v>Future</v>
          </cell>
          <cell r="D865" t="e">
            <v>#N/A</v>
          </cell>
          <cell r="E865">
            <v>-13.25208661417291</v>
          </cell>
          <cell r="F865">
            <v>95.527440944883821</v>
          </cell>
          <cell r="G865">
            <v>47.180984251968376</v>
          </cell>
          <cell r="H865">
            <v>47.180984251968376</v>
          </cell>
          <cell r="I865" t="e">
            <v>#N/A</v>
          </cell>
          <cell r="J865" t="e">
            <v>#N/A</v>
          </cell>
          <cell r="K865">
            <v>90</v>
          </cell>
          <cell r="L865">
            <v>50</v>
          </cell>
          <cell r="M865" t="e">
            <v>#N/A</v>
          </cell>
          <cell r="N865">
            <v>80</v>
          </cell>
          <cell r="O865" t="e">
            <v>#N/A</v>
          </cell>
          <cell r="P865" t="str">
            <v/>
          </cell>
          <cell r="Q865" t="str">
            <v/>
          </cell>
          <cell r="R865" t="e">
            <v>#N/A</v>
          </cell>
        </row>
        <row r="866">
          <cell r="A866" t="str">
            <v/>
          </cell>
          <cell r="B866" t="str">
            <v/>
          </cell>
          <cell r="C866" t="str">
            <v>Future</v>
          </cell>
          <cell r="D866" t="e">
            <v>#N/A</v>
          </cell>
          <cell r="E866">
            <v>-13.50212598425165</v>
          </cell>
          <cell r="F866">
            <v>95.631732283466505</v>
          </cell>
          <cell r="G866">
            <v>47.127795275590422</v>
          </cell>
          <cell r="H866">
            <v>47.127795275590422</v>
          </cell>
          <cell r="I866" t="e">
            <v>#N/A</v>
          </cell>
          <cell r="J866" t="e">
            <v>#N/A</v>
          </cell>
          <cell r="K866">
            <v>90</v>
          </cell>
          <cell r="L866">
            <v>50</v>
          </cell>
          <cell r="M866" t="e">
            <v>#N/A</v>
          </cell>
          <cell r="N866">
            <v>80</v>
          </cell>
          <cell r="O866" t="e">
            <v>#N/A</v>
          </cell>
          <cell r="P866" t="str">
            <v/>
          </cell>
          <cell r="Q866" t="str">
            <v/>
          </cell>
          <cell r="R866" t="e">
            <v>#N/A</v>
          </cell>
        </row>
        <row r="867">
          <cell r="A867" t="str">
            <v/>
          </cell>
          <cell r="B867" t="str">
            <v/>
          </cell>
          <cell r="C867" t="str">
            <v>Future</v>
          </cell>
          <cell r="D867" t="e">
            <v>#N/A</v>
          </cell>
          <cell r="E867">
            <v>-13.752165354330391</v>
          </cell>
          <cell r="F867">
            <v>95.736023622049188</v>
          </cell>
          <cell r="G867">
            <v>47.074606299212469</v>
          </cell>
          <cell r="H867">
            <v>47.074606299212469</v>
          </cell>
          <cell r="I867" t="e">
            <v>#N/A</v>
          </cell>
          <cell r="J867" t="e">
            <v>#N/A</v>
          </cell>
          <cell r="K867">
            <v>90</v>
          </cell>
          <cell r="L867">
            <v>50</v>
          </cell>
          <cell r="M867" t="e">
            <v>#N/A</v>
          </cell>
          <cell r="N867">
            <v>80</v>
          </cell>
          <cell r="O867" t="e">
            <v>#N/A</v>
          </cell>
          <cell r="P867" t="str">
            <v/>
          </cell>
          <cell r="Q867" t="str">
            <v/>
          </cell>
          <cell r="R867" t="e">
            <v>#N/A</v>
          </cell>
        </row>
        <row r="868">
          <cell r="A868" t="str">
            <v/>
          </cell>
          <cell r="B868" t="str">
            <v/>
          </cell>
          <cell r="C868" t="str">
            <v>Future</v>
          </cell>
          <cell r="D868" t="e">
            <v>#N/A</v>
          </cell>
          <cell r="E868">
            <v>-14.002204724409131</v>
          </cell>
          <cell r="F868">
            <v>95.840314960631872</v>
          </cell>
          <cell r="G868">
            <v>47.021417322834516</v>
          </cell>
          <cell r="H868">
            <v>47.021417322834516</v>
          </cell>
          <cell r="I868" t="e">
            <v>#N/A</v>
          </cell>
          <cell r="J868" t="e">
            <v>#N/A</v>
          </cell>
          <cell r="K868">
            <v>90</v>
          </cell>
          <cell r="L868">
            <v>50</v>
          </cell>
          <cell r="M868" t="e">
            <v>#N/A</v>
          </cell>
          <cell r="N868">
            <v>80</v>
          </cell>
          <cell r="O868" t="e">
            <v>#N/A</v>
          </cell>
          <cell r="P868" t="str">
            <v/>
          </cell>
          <cell r="Q868" t="str">
            <v/>
          </cell>
          <cell r="R868" t="e">
            <v>#N/A</v>
          </cell>
        </row>
        <row r="869">
          <cell r="A869" t="str">
            <v/>
          </cell>
          <cell r="B869" t="str">
            <v/>
          </cell>
          <cell r="C869" t="str">
            <v>Future</v>
          </cell>
          <cell r="D869" t="e">
            <v>#N/A</v>
          </cell>
          <cell r="E869">
            <v>-14.252244094487871</v>
          </cell>
          <cell r="F869">
            <v>95.944606299214556</v>
          </cell>
          <cell r="G869">
            <v>46.968228346456563</v>
          </cell>
          <cell r="H869">
            <v>46.968228346456563</v>
          </cell>
          <cell r="I869" t="e">
            <v>#N/A</v>
          </cell>
          <cell r="J869" t="e">
            <v>#N/A</v>
          </cell>
          <cell r="K869">
            <v>90</v>
          </cell>
          <cell r="L869">
            <v>50</v>
          </cell>
          <cell r="M869" t="e">
            <v>#N/A</v>
          </cell>
          <cell r="N869">
            <v>80</v>
          </cell>
          <cell r="O869" t="e">
            <v>#N/A</v>
          </cell>
          <cell r="P869" t="str">
            <v/>
          </cell>
          <cell r="Q869" t="str">
            <v/>
          </cell>
          <cell r="R869" t="e">
            <v>#N/A</v>
          </cell>
        </row>
        <row r="870">
          <cell r="A870" t="str">
            <v/>
          </cell>
          <cell r="B870" t="str">
            <v/>
          </cell>
          <cell r="C870" t="str">
            <v>Future</v>
          </cell>
          <cell r="D870" t="e">
            <v>#N/A</v>
          </cell>
          <cell r="E870">
            <v>-14.502283464566611</v>
          </cell>
          <cell r="F870">
            <v>96.048897637797239</v>
          </cell>
          <cell r="G870">
            <v>46.91503937007861</v>
          </cell>
          <cell r="H870">
            <v>46.91503937007861</v>
          </cell>
          <cell r="I870" t="e">
            <v>#N/A</v>
          </cell>
          <cell r="J870" t="e">
            <v>#N/A</v>
          </cell>
          <cell r="K870">
            <v>90</v>
          </cell>
          <cell r="L870">
            <v>50</v>
          </cell>
          <cell r="M870" t="e">
            <v>#N/A</v>
          </cell>
          <cell r="N870">
            <v>80</v>
          </cell>
          <cell r="O870" t="e">
            <v>#N/A</v>
          </cell>
          <cell r="P870" t="str">
            <v/>
          </cell>
          <cell r="Q870" t="str">
            <v/>
          </cell>
          <cell r="R870" t="e">
            <v>#N/A</v>
          </cell>
        </row>
        <row r="871">
          <cell r="A871" t="str">
            <v/>
          </cell>
          <cell r="B871" t="str">
            <v/>
          </cell>
          <cell r="C871" t="str">
            <v>Future</v>
          </cell>
          <cell r="D871" t="e">
            <v>#N/A</v>
          </cell>
          <cell r="E871">
            <v>-14.752322834645351</v>
          </cell>
          <cell r="F871">
            <v>96.153188976379923</v>
          </cell>
          <cell r="G871">
            <v>46.861850393700657</v>
          </cell>
          <cell r="H871">
            <v>46.861850393700657</v>
          </cell>
          <cell r="I871" t="e">
            <v>#N/A</v>
          </cell>
          <cell r="J871" t="e">
            <v>#N/A</v>
          </cell>
          <cell r="K871">
            <v>90</v>
          </cell>
          <cell r="L871">
            <v>50</v>
          </cell>
          <cell r="M871" t="e">
            <v>#N/A</v>
          </cell>
          <cell r="N871">
            <v>80</v>
          </cell>
          <cell r="O871" t="e">
            <v>#N/A</v>
          </cell>
          <cell r="P871" t="str">
            <v/>
          </cell>
          <cell r="Q871" t="str">
            <v/>
          </cell>
          <cell r="R871" t="e">
            <v>#N/A</v>
          </cell>
        </row>
        <row r="872">
          <cell r="A872" t="str">
            <v/>
          </cell>
          <cell r="B872" t="str">
            <v/>
          </cell>
          <cell r="C872" t="str">
            <v>Future</v>
          </cell>
          <cell r="D872" t="e">
            <v>#N/A</v>
          </cell>
          <cell r="E872">
            <v>-15.002362204724092</v>
          </cell>
          <cell r="F872">
            <v>96.257480314962606</v>
          </cell>
          <cell r="G872">
            <v>46.808661417322703</v>
          </cell>
          <cell r="H872">
            <v>46.808661417322703</v>
          </cell>
          <cell r="I872" t="e">
            <v>#N/A</v>
          </cell>
          <cell r="J872" t="e">
            <v>#N/A</v>
          </cell>
          <cell r="K872">
            <v>90</v>
          </cell>
          <cell r="L872">
            <v>50</v>
          </cell>
          <cell r="M872" t="e">
            <v>#N/A</v>
          </cell>
          <cell r="N872">
            <v>80</v>
          </cell>
          <cell r="O872" t="e">
            <v>#N/A</v>
          </cell>
          <cell r="P872" t="str">
            <v/>
          </cell>
          <cell r="Q872" t="str">
            <v/>
          </cell>
          <cell r="R872" t="e">
            <v>#N/A</v>
          </cell>
        </row>
        <row r="873">
          <cell r="A873" t="str">
            <v/>
          </cell>
          <cell r="B873" t="str">
            <v/>
          </cell>
          <cell r="C873" t="str">
            <v>Future</v>
          </cell>
          <cell r="D873" t="e">
            <v>#N/A</v>
          </cell>
          <cell r="E873">
            <v>-15.252401574802832</v>
          </cell>
          <cell r="F873">
            <v>96.36177165354529</v>
          </cell>
          <cell r="G873">
            <v>46.75547244094475</v>
          </cell>
          <cell r="H873">
            <v>46.75547244094475</v>
          </cell>
          <cell r="I873" t="e">
            <v>#N/A</v>
          </cell>
          <cell r="J873" t="e">
            <v>#N/A</v>
          </cell>
          <cell r="K873">
            <v>90</v>
          </cell>
          <cell r="L873">
            <v>50</v>
          </cell>
          <cell r="M873" t="e">
            <v>#N/A</v>
          </cell>
          <cell r="N873">
            <v>80</v>
          </cell>
          <cell r="O873" t="e">
            <v>#N/A</v>
          </cell>
          <cell r="P873" t="str">
            <v/>
          </cell>
          <cell r="Q873" t="str">
            <v/>
          </cell>
          <cell r="R873" t="e">
            <v>#N/A</v>
          </cell>
        </row>
        <row r="874">
          <cell r="A874" t="str">
            <v/>
          </cell>
          <cell r="B874" t="str">
            <v/>
          </cell>
          <cell r="C874" t="str">
            <v>Future</v>
          </cell>
          <cell r="D874" t="e">
            <v>#N/A</v>
          </cell>
          <cell r="E874">
            <v>-15.502440944881572</v>
          </cell>
          <cell r="F874">
            <v>96.466062992127974</v>
          </cell>
          <cell r="G874">
            <v>46.702283464566797</v>
          </cell>
          <cell r="H874">
            <v>46.702283464566797</v>
          </cell>
          <cell r="I874" t="e">
            <v>#N/A</v>
          </cell>
          <cell r="J874" t="e">
            <v>#N/A</v>
          </cell>
          <cell r="K874">
            <v>90</v>
          </cell>
          <cell r="L874">
            <v>50</v>
          </cell>
          <cell r="M874" t="e">
            <v>#N/A</v>
          </cell>
          <cell r="N874">
            <v>80</v>
          </cell>
          <cell r="O874" t="e">
            <v>#N/A</v>
          </cell>
          <cell r="P874" t="str">
            <v/>
          </cell>
          <cell r="Q874" t="str">
            <v/>
          </cell>
          <cell r="R874" t="e">
            <v>#N/A</v>
          </cell>
        </row>
        <row r="875">
          <cell r="A875" t="str">
            <v/>
          </cell>
          <cell r="B875" t="str">
            <v/>
          </cell>
          <cell r="C875" t="str">
            <v>Future</v>
          </cell>
          <cell r="D875" t="e">
            <v>#N/A</v>
          </cell>
          <cell r="E875">
            <v>-15.752480314960312</v>
          </cell>
          <cell r="F875">
            <v>96.570354330710657</v>
          </cell>
          <cell r="G875">
            <v>46.649094488188844</v>
          </cell>
          <cell r="H875">
            <v>46.649094488188844</v>
          </cell>
          <cell r="I875" t="e">
            <v>#N/A</v>
          </cell>
          <cell r="J875" t="e">
            <v>#N/A</v>
          </cell>
          <cell r="K875">
            <v>90</v>
          </cell>
          <cell r="L875">
            <v>50</v>
          </cell>
          <cell r="M875" t="e">
            <v>#N/A</v>
          </cell>
          <cell r="N875">
            <v>80</v>
          </cell>
          <cell r="O875" t="e">
            <v>#N/A</v>
          </cell>
          <cell r="P875" t="str">
            <v/>
          </cell>
          <cell r="Q875" t="str">
            <v/>
          </cell>
          <cell r="R875" t="e">
            <v>#N/A</v>
          </cell>
        </row>
        <row r="876">
          <cell r="A876" t="str">
            <v/>
          </cell>
          <cell r="B876" t="str">
            <v/>
          </cell>
          <cell r="C876" t="str">
            <v>Future</v>
          </cell>
          <cell r="D876" t="e">
            <v>#N/A</v>
          </cell>
          <cell r="E876">
            <v>-16.002519685039051</v>
          </cell>
          <cell r="F876">
            <v>96.674645669293341</v>
          </cell>
          <cell r="G876">
            <v>46.595905511810891</v>
          </cell>
          <cell r="H876">
            <v>46.595905511810891</v>
          </cell>
          <cell r="I876" t="e">
            <v>#N/A</v>
          </cell>
          <cell r="J876" t="e">
            <v>#N/A</v>
          </cell>
          <cell r="K876">
            <v>90</v>
          </cell>
          <cell r="L876">
            <v>50</v>
          </cell>
          <cell r="M876" t="e">
            <v>#N/A</v>
          </cell>
          <cell r="N876">
            <v>80</v>
          </cell>
          <cell r="O876" t="e">
            <v>#N/A</v>
          </cell>
          <cell r="P876" t="str">
            <v/>
          </cell>
          <cell r="Q876" t="str">
            <v/>
          </cell>
          <cell r="R876" t="e">
            <v>#N/A</v>
          </cell>
        </row>
        <row r="877">
          <cell r="A877" t="str">
            <v/>
          </cell>
          <cell r="B877" t="str">
            <v/>
          </cell>
          <cell r="C877" t="str">
            <v>Future</v>
          </cell>
          <cell r="D877" t="e">
            <v>#N/A</v>
          </cell>
          <cell r="E877">
            <v>-16.252559055117789</v>
          </cell>
          <cell r="F877">
            <v>96.778937007876024</v>
          </cell>
          <cell r="G877">
            <v>46.542716535432938</v>
          </cell>
          <cell r="H877">
            <v>46.542716535432938</v>
          </cell>
          <cell r="I877" t="e">
            <v>#N/A</v>
          </cell>
          <cell r="J877" t="e">
            <v>#N/A</v>
          </cell>
          <cell r="K877">
            <v>90</v>
          </cell>
          <cell r="L877">
            <v>50</v>
          </cell>
          <cell r="M877" t="e">
            <v>#N/A</v>
          </cell>
          <cell r="N877">
            <v>80</v>
          </cell>
          <cell r="O877" t="e">
            <v>#N/A</v>
          </cell>
          <cell r="P877" t="str">
            <v/>
          </cell>
          <cell r="Q877" t="str">
            <v/>
          </cell>
          <cell r="R877" t="e">
            <v>#N/A</v>
          </cell>
        </row>
        <row r="878">
          <cell r="A878" t="str">
            <v/>
          </cell>
          <cell r="B878" t="str">
            <v/>
          </cell>
          <cell r="C878" t="str">
            <v>Future</v>
          </cell>
          <cell r="D878" t="e">
            <v>#N/A</v>
          </cell>
          <cell r="E878">
            <v>-16.502598425196528</v>
          </cell>
          <cell r="F878">
            <v>96.883228346458708</v>
          </cell>
          <cell r="G878">
            <v>46.489527559054984</v>
          </cell>
          <cell r="H878">
            <v>46.489527559054984</v>
          </cell>
          <cell r="I878" t="e">
            <v>#N/A</v>
          </cell>
          <cell r="J878" t="e">
            <v>#N/A</v>
          </cell>
          <cell r="K878">
            <v>90</v>
          </cell>
          <cell r="L878">
            <v>50</v>
          </cell>
          <cell r="M878" t="e">
            <v>#N/A</v>
          </cell>
          <cell r="N878">
            <v>80</v>
          </cell>
          <cell r="O878" t="e">
            <v>#N/A</v>
          </cell>
          <cell r="P878" t="str">
            <v/>
          </cell>
          <cell r="Q878" t="str">
            <v/>
          </cell>
          <cell r="R878" t="e">
            <v>#N/A</v>
          </cell>
        </row>
        <row r="879">
          <cell r="A879" t="str">
            <v/>
          </cell>
          <cell r="B879" t="str">
            <v/>
          </cell>
          <cell r="C879" t="str">
            <v>Future</v>
          </cell>
          <cell r="D879" t="e">
            <v>#N/A</v>
          </cell>
          <cell r="E879">
            <v>-16.752637795275266</v>
          </cell>
          <cell r="F879">
            <v>96.987519685041391</v>
          </cell>
          <cell r="G879">
            <v>46.436338582677031</v>
          </cell>
          <cell r="H879">
            <v>46.436338582677031</v>
          </cell>
          <cell r="I879" t="e">
            <v>#N/A</v>
          </cell>
          <cell r="J879" t="e">
            <v>#N/A</v>
          </cell>
          <cell r="K879">
            <v>90</v>
          </cell>
          <cell r="L879">
            <v>50</v>
          </cell>
          <cell r="M879" t="e">
            <v>#N/A</v>
          </cell>
          <cell r="N879">
            <v>80</v>
          </cell>
          <cell r="O879" t="e">
            <v>#N/A</v>
          </cell>
          <cell r="P879" t="str">
            <v/>
          </cell>
          <cell r="Q879" t="str">
            <v/>
          </cell>
          <cell r="R879" t="e">
            <v>#N/A</v>
          </cell>
        </row>
        <row r="880">
          <cell r="A880" t="str">
            <v/>
          </cell>
          <cell r="B880" t="str">
            <v/>
          </cell>
          <cell r="C880" t="str">
            <v>Future</v>
          </cell>
          <cell r="D880" t="e">
            <v>#N/A</v>
          </cell>
          <cell r="E880">
            <v>-17.002677165354005</v>
          </cell>
          <cell r="F880">
            <v>97.091811023624075</v>
          </cell>
          <cell r="G880">
            <v>46.383149606299078</v>
          </cell>
          <cell r="H880">
            <v>46.383149606299078</v>
          </cell>
          <cell r="I880" t="e">
            <v>#N/A</v>
          </cell>
          <cell r="J880" t="e">
            <v>#N/A</v>
          </cell>
          <cell r="K880">
            <v>90</v>
          </cell>
          <cell r="L880">
            <v>50</v>
          </cell>
          <cell r="M880" t="e">
            <v>#N/A</v>
          </cell>
          <cell r="N880">
            <v>80</v>
          </cell>
          <cell r="O880" t="e">
            <v>#N/A</v>
          </cell>
          <cell r="P880" t="str">
            <v/>
          </cell>
          <cell r="Q880" t="str">
            <v/>
          </cell>
          <cell r="R880" t="e">
            <v>#N/A</v>
          </cell>
        </row>
        <row r="881">
          <cell r="A881" t="str">
            <v/>
          </cell>
          <cell r="B881" t="str">
            <v/>
          </cell>
          <cell r="C881" t="str">
            <v>Future</v>
          </cell>
          <cell r="D881" t="e">
            <v>#N/A</v>
          </cell>
          <cell r="E881">
            <v>-17.252716535432743</v>
          </cell>
          <cell r="F881">
            <v>97.196102362206759</v>
          </cell>
          <cell r="G881">
            <v>46.329960629921125</v>
          </cell>
          <cell r="H881">
            <v>46.329960629921125</v>
          </cell>
          <cell r="I881" t="e">
            <v>#N/A</v>
          </cell>
          <cell r="J881" t="e">
            <v>#N/A</v>
          </cell>
          <cell r="K881">
            <v>90</v>
          </cell>
          <cell r="L881">
            <v>50</v>
          </cell>
          <cell r="M881" t="e">
            <v>#N/A</v>
          </cell>
          <cell r="N881">
            <v>80</v>
          </cell>
          <cell r="O881" t="e">
            <v>#N/A</v>
          </cell>
          <cell r="P881" t="str">
            <v/>
          </cell>
          <cell r="Q881" t="str">
            <v/>
          </cell>
          <cell r="R881" t="e">
            <v>#N/A</v>
          </cell>
        </row>
        <row r="882">
          <cell r="A882" t="str">
            <v/>
          </cell>
          <cell r="B882" t="str">
            <v/>
          </cell>
          <cell r="C882" t="str">
            <v>Future</v>
          </cell>
          <cell r="D882" t="e">
            <v>#N/A</v>
          </cell>
          <cell r="E882">
            <v>-17.502755905511481</v>
          </cell>
          <cell r="F882">
            <v>97.300393700789442</v>
          </cell>
          <cell r="G882">
            <v>46.276771653543172</v>
          </cell>
          <cell r="H882">
            <v>46.276771653543172</v>
          </cell>
          <cell r="I882" t="e">
            <v>#N/A</v>
          </cell>
          <cell r="J882" t="e">
            <v>#N/A</v>
          </cell>
          <cell r="K882">
            <v>90</v>
          </cell>
          <cell r="L882">
            <v>50</v>
          </cell>
          <cell r="M882" t="e">
            <v>#N/A</v>
          </cell>
          <cell r="N882">
            <v>80</v>
          </cell>
          <cell r="O882" t="e">
            <v>#N/A</v>
          </cell>
          <cell r="P882" t="str">
            <v/>
          </cell>
          <cell r="Q882" t="str">
            <v/>
          </cell>
          <cell r="R882" t="e">
            <v>#N/A</v>
          </cell>
        </row>
        <row r="883">
          <cell r="A883" t="str">
            <v/>
          </cell>
          <cell r="B883" t="str">
            <v/>
          </cell>
          <cell r="C883" t="str">
            <v>Future</v>
          </cell>
          <cell r="D883" t="e">
            <v>#N/A</v>
          </cell>
          <cell r="E883">
            <v>-17.75279527559022</v>
          </cell>
          <cell r="F883">
            <v>97.404685039372126</v>
          </cell>
          <cell r="G883">
            <v>46.223582677165219</v>
          </cell>
          <cell r="H883">
            <v>46.223582677165219</v>
          </cell>
          <cell r="I883" t="e">
            <v>#N/A</v>
          </cell>
          <cell r="J883" t="e">
            <v>#N/A</v>
          </cell>
          <cell r="K883">
            <v>90</v>
          </cell>
          <cell r="L883">
            <v>50</v>
          </cell>
          <cell r="M883" t="e">
            <v>#N/A</v>
          </cell>
          <cell r="N883">
            <v>80</v>
          </cell>
          <cell r="O883" t="e">
            <v>#N/A</v>
          </cell>
          <cell r="P883" t="str">
            <v/>
          </cell>
          <cell r="Q883" t="str">
            <v/>
          </cell>
          <cell r="R883" t="e">
            <v>#N/A</v>
          </cell>
        </row>
        <row r="884">
          <cell r="A884" t="str">
            <v/>
          </cell>
          <cell r="B884" t="str">
            <v/>
          </cell>
          <cell r="C884" t="str">
            <v>Future</v>
          </cell>
          <cell r="D884" t="e">
            <v>#N/A</v>
          </cell>
          <cell r="E884">
            <v>-18.002834645668958</v>
          </cell>
          <cell r="F884">
            <v>97.508976377954809</v>
          </cell>
          <cell r="G884">
            <v>46.170393700787265</v>
          </cell>
          <cell r="H884">
            <v>46.170393700787265</v>
          </cell>
          <cell r="I884" t="e">
            <v>#N/A</v>
          </cell>
          <cell r="J884" t="e">
            <v>#N/A</v>
          </cell>
          <cell r="K884">
            <v>90</v>
          </cell>
          <cell r="L884">
            <v>50</v>
          </cell>
          <cell r="M884" t="e">
            <v>#N/A</v>
          </cell>
          <cell r="N884">
            <v>80</v>
          </cell>
          <cell r="O884" t="e">
            <v>#N/A</v>
          </cell>
          <cell r="P884" t="str">
            <v/>
          </cell>
          <cell r="Q884" t="str">
            <v/>
          </cell>
          <cell r="R884" t="e">
            <v>#N/A</v>
          </cell>
        </row>
        <row r="885">
          <cell r="A885" t="str">
            <v/>
          </cell>
          <cell r="B885" t="str">
            <v/>
          </cell>
          <cell r="C885" t="str">
            <v>Future</v>
          </cell>
          <cell r="D885" t="e">
            <v>#N/A</v>
          </cell>
          <cell r="E885">
            <v>-18.252874015747697</v>
          </cell>
          <cell r="F885">
            <v>97.613267716537493</v>
          </cell>
          <cell r="G885">
            <v>46.117204724409312</v>
          </cell>
          <cell r="H885">
            <v>46.117204724409312</v>
          </cell>
          <cell r="I885" t="e">
            <v>#N/A</v>
          </cell>
          <cell r="J885" t="e">
            <v>#N/A</v>
          </cell>
          <cell r="K885">
            <v>90</v>
          </cell>
          <cell r="L885">
            <v>50</v>
          </cell>
          <cell r="M885" t="e">
            <v>#N/A</v>
          </cell>
          <cell r="N885">
            <v>80</v>
          </cell>
          <cell r="O885" t="e">
            <v>#N/A</v>
          </cell>
          <cell r="P885" t="str">
            <v/>
          </cell>
          <cell r="Q885" t="str">
            <v/>
          </cell>
          <cell r="R885" t="e">
            <v>#N/A</v>
          </cell>
        </row>
        <row r="886">
          <cell r="A886" t="str">
            <v/>
          </cell>
          <cell r="B886" t="str">
            <v/>
          </cell>
          <cell r="C886" t="str">
            <v>Future</v>
          </cell>
          <cell r="D886" t="e">
            <v>#N/A</v>
          </cell>
          <cell r="E886">
            <v>-18.502913385826435</v>
          </cell>
          <cell r="F886">
            <v>97.717559055120176</v>
          </cell>
          <cell r="G886">
            <v>46.064015748031359</v>
          </cell>
          <cell r="H886">
            <v>46.064015748031359</v>
          </cell>
          <cell r="I886" t="e">
            <v>#N/A</v>
          </cell>
          <cell r="J886" t="e">
            <v>#N/A</v>
          </cell>
          <cell r="K886">
            <v>90</v>
          </cell>
          <cell r="L886">
            <v>50</v>
          </cell>
          <cell r="M886" t="e">
            <v>#N/A</v>
          </cell>
          <cell r="N886">
            <v>80</v>
          </cell>
          <cell r="O886" t="e">
            <v>#N/A</v>
          </cell>
          <cell r="P886" t="str">
            <v/>
          </cell>
          <cell r="Q886" t="str">
            <v/>
          </cell>
          <cell r="R886" t="e">
            <v>#N/A</v>
          </cell>
        </row>
        <row r="887">
          <cell r="A887" t="str">
            <v/>
          </cell>
          <cell r="B887" t="str">
            <v/>
          </cell>
          <cell r="C887" t="str">
            <v>Future</v>
          </cell>
          <cell r="D887" t="e">
            <v>#N/A</v>
          </cell>
          <cell r="E887">
            <v>-18.752952755905174</v>
          </cell>
          <cell r="F887">
            <v>97.82185039370286</v>
          </cell>
          <cell r="G887">
            <v>46.010826771653406</v>
          </cell>
          <cell r="H887">
            <v>46.010826771653406</v>
          </cell>
          <cell r="I887" t="e">
            <v>#N/A</v>
          </cell>
          <cell r="J887" t="e">
            <v>#N/A</v>
          </cell>
          <cell r="K887">
            <v>90</v>
          </cell>
          <cell r="L887">
            <v>50</v>
          </cell>
          <cell r="M887" t="e">
            <v>#N/A</v>
          </cell>
          <cell r="N887">
            <v>80</v>
          </cell>
          <cell r="O887" t="e">
            <v>#N/A</v>
          </cell>
          <cell r="P887" t="str">
            <v/>
          </cell>
          <cell r="Q887" t="str">
            <v/>
          </cell>
          <cell r="R887" t="e">
            <v>#N/A</v>
          </cell>
        </row>
        <row r="888">
          <cell r="A888" t="str">
            <v/>
          </cell>
          <cell r="B888" t="str">
            <v/>
          </cell>
          <cell r="C888" t="str">
            <v>Future</v>
          </cell>
          <cell r="D888" t="e">
            <v>#N/A</v>
          </cell>
          <cell r="E888">
            <v>-19.002992125983912</v>
          </cell>
          <cell r="F888">
            <v>97.926141732285544</v>
          </cell>
          <cell r="G888">
            <v>45.957637795275453</v>
          </cell>
          <cell r="H888">
            <v>45.957637795275453</v>
          </cell>
          <cell r="I888" t="e">
            <v>#N/A</v>
          </cell>
          <cell r="J888" t="e">
            <v>#N/A</v>
          </cell>
          <cell r="K888">
            <v>90</v>
          </cell>
          <cell r="L888">
            <v>50</v>
          </cell>
          <cell r="M888" t="e">
            <v>#N/A</v>
          </cell>
          <cell r="N888">
            <v>80</v>
          </cell>
          <cell r="O888" t="e">
            <v>#N/A</v>
          </cell>
          <cell r="P888" t="str">
            <v/>
          </cell>
          <cell r="Q888" t="str">
            <v/>
          </cell>
          <cell r="R888" t="e">
            <v>#N/A</v>
          </cell>
        </row>
        <row r="889">
          <cell r="A889" t="str">
            <v/>
          </cell>
          <cell r="B889" t="str">
            <v/>
          </cell>
          <cell r="C889" t="str">
            <v>Future</v>
          </cell>
          <cell r="D889" t="e">
            <v>#N/A</v>
          </cell>
          <cell r="E889">
            <v>-19.253031496062651</v>
          </cell>
          <cell r="F889">
            <v>98.030433070868227</v>
          </cell>
          <cell r="G889">
            <v>45.9044488188975</v>
          </cell>
          <cell r="H889">
            <v>45.9044488188975</v>
          </cell>
          <cell r="I889" t="e">
            <v>#N/A</v>
          </cell>
          <cell r="J889" t="e">
            <v>#N/A</v>
          </cell>
          <cell r="K889">
            <v>90</v>
          </cell>
          <cell r="L889">
            <v>50</v>
          </cell>
          <cell r="M889" t="e">
            <v>#N/A</v>
          </cell>
          <cell r="N889">
            <v>80</v>
          </cell>
          <cell r="O889" t="e">
            <v>#N/A</v>
          </cell>
          <cell r="P889" t="str">
            <v/>
          </cell>
          <cell r="Q889" t="str">
            <v/>
          </cell>
          <cell r="R889" t="e">
            <v>#N/A</v>
          </cell>
        </row>
        <row r="890">
          <cell r="A890" t="str">
            <v/>
          </cell>
          <cell r="B890" t="str">
            <v/>
          </cell>
          <cell r="C890" t="str">
            <v>Future</v>
          </cell>
          <cell r="D890" t="e">
            <v>#N/A</v>
          </cell>
          <cell r="E890">
            <v>-19.503070866141389</v>
          </cell>
          <cell r="F890">
            <v>98.134724409450911</v>
          </cell>
          <cell r="G890">
            <v>45.851259842519546</v>
          </cell>
          <cell r="H890">
            <v>45.851259842519546</v>
          </cell>
          <cell r="I890" t="e">
            <v>#N/A</v>
          </cell>
          <cell r="J890" t="e">
            <v>#N/A</v>
          </cell>
          <cell r="K890">
            <v>90</v>
          </cell>
          <cell r="L890">
            <v>50</v>
          </cell>
          <cell r="M890" t="e">
            <v>#N/A</v>
          </cell>
          <cell r="N890">
            <v>80</v>
          </cell>
          <cell r="O890" t="e">
            <v>#N/A</v>
          </cell>
          <cell r="P890" t="str">
            <v/>
          </cell>
          <cell r="Q890" t="str">
            <v/>
          </cell>
          <cell r="R890" t="e">
            <v>#N/A</v>
          </cell>
        </row>
        <row r="891">
          <cell r="A891" t="str">
            <v/>
          </cell>
          <cell r="B891" t="str">
            <v/>
          </cell>
          <cell r="C891" t="str">
            <v>Future</v>
          </cell>
          <cell r="D891" t="e">
            <v>#N/A</v>
          </cell>
          <cell r="E891">
            <v>-19.753110236220127</v>
          </cell>
          <cell r="F891">
            <v>98.239015748033594</v>
          </cell>
          <cell r="G891">
            <v>45.798070866141593</v>
          </cell>
          <cell r="H891">
            <v>45.798070866141593</v>
          </cell>
          <cell r="I891" t="e">
            <v>#N/A</v>
          </cell>
          <cell r="J891" t="e">
            <v>#N/A</v>
          </cell>
          <cell r="K891">
            <v>90</v>
          </cell>
          <cell r="L891">
            <v>50</v>
          </cell>
          <cell r="M891" t="e">
            <v>#N/A</v>
          </cell>
          <cell r="N891">
            <v>80</v>
          </cell>
          <cell r="O891" t="e">
            <v>#N/A</v>
          </cell>
          <cell r="P891" t="str">
            <v/>
          </cell>
          <cell r="Q891" t="str">
            <v/>
          </cell>
          <cell r="R891" t="e">
            <v>#N/A</v>
          </cell>
        </row>
        <row r="892">
          <cell r="A892" t="str">
            <v/>
          </cell>
          <cell r="B892" t="str">
            <v/>
          </cell>
          <cell r="C892" t="str">
            <v>Future</v>
          </cell>
          <cell r="D892" t="e">
            <v>#N/A</v>
          </cell>
          <cell r="E892">
            <v>-20.003149606298866</v>
          </cell>
          <cell r="F892">
            <v>98.343307086616278</v>
          </cell>
          <cell r="G892">
            <v>45.74488188976364</v>
          </cell>
          <cell r="H892">
            <v>45.74488188976364</v>
          </cell>
          <cell r="I892" t="e">
            <v>#N/A</v>
          </cell>
          <cell r="J892" t="e">
            <v>#N/A</v>
          </cell>
          <cell r="K892">
            <v>90</v>
          </cell>
          <cell r="L892">
            <v>50</v>
          </cell>
          <cell r="M892" t="e">
            <v>#N/A</v>
          </cell>
          <cell r="N892">
            <v>80</v>
          </cell>
          <cell r="O892" t="e">
            <v>#N/A</v>
          </cell>
          <cell r="P892" t="str">
            <v/>
          </cell>
          <cell r="Q892" t="str">
            <v/>
          </cell>
          <cell r="R892" t="e">
            <v>#N/A</v>
          </cell>
        </row>
        <row r="893">
          <cell r="A893" t="str">
            <v/>
          </cell>
          <cell r="B893" t="str">
            <v/>
          </cell>
          <cell r="C893" t="str">
            <v>Future</v>
          </cell>
          <cell r="D893" t="e">
            <v>#N/A</v>
          </cell>
          <cell r="E893">
            <v>-20.253188976377604</v>
          </cell>
          <cell r="F893">
            <v>98.447598425198962</v>
          </cell>
          <cell r="G893">
            <v>45.691692913385687</v>
          </cell>
          <cell r="H893">
            <v>45.691692913385687</v>
          </cell>
          <cell r="I893" t="e">
            <v>#N/A</v>
          </cell>
          <cell r="J893" t="e">
            <v>#N/A</v>
          </cell>
          <cell r="K893">
            <v>90</v>
          </cell>
          <cell r="L893">
            <v>50</v>
          </cell>
          <cell r="M893" t="e">
            <v>#N/A</v>
          </cell>
          <cell r="N893">
            <v>80</v>
          </cell>
          <cell r="O893" t="e">
            <v>#N/A</v>
          </cell>
          <cell r="P893" t="str">
            <v/>
          </cell>
          <cell r="Q893" t="str">
            <v/>
          </cell>
          <cell r="R893" t="e">
            <v>#N/A</v>
          </cell>
        </row>
        <row r="894">
          <cell r="A894" t="str">
            <v/>
          </cell>
          <cell r="B894" t="str">
            <v/>
          </cell>
          <cell r="C894" t="str">
            <v>Future</v>
          </cell>
          <cell r="D894" t="e">
            <v>#N/A</v>
          </cell>
          <cell r="E894">
            <v>-20.503228346456343</v>
          </cell>
          <cell r="F894">
            <v>98.551889763781645</v>
          </cell>
          <cell r="G894">
            <v>45.638503937007734</v>
          </cell>
          <cell r="H894">
            <v>45.638503937007734</v>
          </cell>
          <cell r="I894" t="e">
            <v>#N/A</v>
          </cell>
          <cell r="J894" t="e">
            <v>#N/A</v>
          </cell>
          <cell r="K894">
            <v>90</v>
          </cell>
          <cell r="L894">
            <v>50</v>
          </cell>
          <cell r="M894" t="e">
            <v>#N/A</v>
          </cell>
          <cell r="N894">
            <v>80</v>
          </cell>
          <cell r="O894" t="e">
            <v>#N/A</v>
          </cell>
          <cell r="P894" t="str">
            <v/>
          </cell>
          <cell r="Q894" t="str">
            <v/>
          </cell>
          <cell r="R894" t="e">
            <v>#N/A</v>
          </cell>
        </row>
        <row r="895">
          <cell r="A895" t="str">
            <v/>
          </cell>
          <cell r="B895" t="str">
            <v/>
          </cell>
          <cell r="C895" t="str">
            <v>Future</v>
          </cell>
          <cell r="D895" t="e">
            <v>#N/A</v>
          </cell>
          <cell r="E895">
            <v>-20.753267716535081</v>
          </cell>
          <cell r="F895">
            <v>98.656181102364329</v>
          </cell>
          <cell r="G895">
            <v>45.585314960629781</v>
          </cell>
          <cell r="H895">
            <v>45.585314960629781</v>
          </cell>
          <cell r="I895" t="e">
            <v>#N/A</v>
          </cell>
          <cell r="J895" t="e">
            <v>#N/A</v>
          </cell>
          <cell r="K895">
            <v>90</v>
          </cell>
          <cell r="L895">
            <v>50</v>
          </cell>
          <cell r="M895" t="e">
            <v>#N/A</v>
          </cell>
          <cell r="N895">
            <v>80</v>
          </cell>
          <cell r="O895" t="e">
            <v>#N/A</v>
          </cell>
          <cell r="P895" t="str">
            <v/>
          </cell>
          <cell r="Q895" t="str">
            <v/>
          </cell>
          <cell r="R895" t="e">
            <v>#N/A</v>
          </cell>
        </row>
        <row r="896">
          <cell r="A896" t="str">
            <v/>
          </cell>
          <cell r="B896" t="str">
            <v/>
          </cell>
          <cell r="C896" t="str">
            <v>Future</v>
          </cell>
          <cell r="D896" t="e">
            <v>#N/A</v>
          </cell>
          <cell r="E896">
            <v>-21.00330708661382</v>
          </cell>
          <cell r="F896">
            <v>98.760472440947012</v>
          </cell>
          <cell r="G896">
            <v>45.532125984251827</v>
          </cell>
          <cell r="H896">
            <v>45.532125984251827</v>
          </cell>
          <cell r="I896" t="e">
            <v>#N/A</v>
          </cell>
          <cell r="J896" t="e">
            <v>#N/A</v>
          </cell>
          <cell r="K896">
            <v>90</v>
          </cell>
          <cell r="L896">
            <v>50</v>
          </cell>
          <cell r="M896" t="e">
            <v>#N/A</v>
          </cell>
          <cell r="N896">
            <v>80</v>
          </cell>
          <cell r="O896" t="e">
            <v>#N/A</v>
          </cell>
          <cell r="P896" t="str">
            <v/>
          </cell>
          <cell r="Q896" t="str">
            <v/>
          </cell>
          <cell r="R896" t="e">
            <v>#N/A</v>
          </cell>
        </row>
        <row r="897">
          <cell r="A897" t="str">
            <v/>
          </cell>
          <cell r="B897" t="str">
            <v/>
          </cell>
          <cell r="C897" t="str">
            <v>Future</v>
          </cell>
          <cell r="D897" t="e">
            <v>#N/A</v>
          </cell>
          <cell r="E897">
            <v>-21.253346456692558</v>
          </cell>
          <cell r="F897">
            <v>98.864763779529696</v>
          </cell>
          <cell r="G897">
            <v>45.478937007873874</v>
          </cell>
          <cell r="H897">
            <v>45.478937007873874</v>
          </cell>
          <cell r="I897" t="e">
            <v>#N/A</v>
          </cell>
          <cell r="J897" t="e">
            <v>#N/A</v>
          </cell>
          <cell r="K897">
            <v>90</v>
          </cell>
          <cell r="L897">
            <v>50</v>
          </cell>
          <cell r="M897" t="e">
            <v>#N/A</v>
          </cell>
          <cell r="N897">
            <v>80</v>
          </cell>
          <cell r="O897" t="e">
            <v>#N/A</v>
          </cell>
          <cell r="P897" t="str">
            <v/>
          </cell>
          <cell r="Q897" t="str">
            <v/>
          </cell>
          <cell r="R897" t="e">
            <v>#N/A</v>
          </cell>
        </row>
        <row r="898">
          <cell r="A898" t="str">
            <v/>
          </cell>
          <cell r="B898" t="str">
            <v/>
          </cell>
          <cell r="C898" t="str">
            <v>Future</v>
          </cell>
          <cell r="D898" t="e">
            <v>#N/A</v>
          </cell>
          <cell r="E898">
            <v>-21.503385826771297</v>
          </cell>
          <cell r="F898">
            <v>98.969055118112379</v>
          </cell>
          <cell r="G898">
            <v>45.425748031495921</v>
          </cell>
          <cell r="H898">
            <v>45.425748031495921</v>
          </cell>
          <cell r="I898" t="e">
            <v>#N/A</v>
          </cell>
          <cell r="J898" t="e">
            <v>#N/A</v>
          </cell>
          <cell r="K898">
            <v>90</v>
          </cell>
          <cell r="L898">
            <v>50</v>
          </cell>
          <cell r="M898" t="e">
            <v>#N/A</v>
          </cell>
          <cell r="N898">
            <v>80</v>
          </cell>
          <cell r="O898" t="e">
            <v>#N/A</v>
          </cell>
          <cell r="P898" t="str">
            <v/>
          </cell>
          <cell r="Q898" t="str">
            <v/>
          </cell>
          <cell r="R898" t="e">
            <v>#N/A</v>
          </cell>
        </row>
        <row r="899">
          <cell r="A899" t="str">
            <v/>
          </cell>
          <cell r="B899" t="str">
            <v/>
          </cell>
          <cell r="C899" t="str">
            <v>Future</v>
          </cell>
          <cell r="D899" t="e">
            <v>#N/A</v>
          </cell>
          <cell r="E899">
            <v>-21.753425196850035</v>
          </cell>
          <cell r="F899">
            <v>99.073346456695063</v>
          </cell>
          <cell r="G899">
            <v>45.372559055117968</v>
          </cell>
          <cell r="H899">
            <v>45.372559055117968</v>
          </cell>
          <cell r="I899" t="e">
            <v>#N/A</v>
          </cell>
          <cell r="J899" t="e">
            <v>#N/A</v>
          </cell>
          <cell r="K899">
            <v>90</v>
          </cell>
          <cell r="L899">
            <v>50</v>
          </cell>
          <cell r="M899" t="e">
            <v>#N/A</v>
          </cell>
          <cell r="N899">
            <v>80</v>
          </cell>
          <cell r="O899" t="e">
            <v>#N/A</v>
          </cell>
          <cell r="P899" t="str">
            <v/>
          </cell>
          <cell r="Q899" t="str">
            <v/>
          </cell>
          <cell r="R899" t="e">
            <v>#N/A</v>
          </cell>
        </row>
        <row r="900">
          <cell r="A900" t="str">
            <v/>
          </cell>
          <cell r="B900" t="str">
            <v/>
          </cell>
          <cell r="C900" t="str">
            <v>Future</v>
          </cell>
          <cell r="D900" t="e">
            <v>#N/A</v>
          </cell>
          <cell r="E900">
            <v>-22.003464566928773</v>
          </cell>
          <cell r="F900">
            <v>99.177637795277747</v>
          </cell>
          <cell r="G900">
            <v>45.319370078740015</v>
          </cell>
          <cell r="H900">
            <v>45.319370078740015</v>
          </cell>
          <cell r="I900" t="e">
            <v>#N/A</v>
          </cell>
          <cell r="J900" t="e">
            <v>#N/A</v>
          </cell>
          <cell r="K900">
            <v>90</v>
          </cell>
          <cell r="L900">
            <v>50</v>
          </cell>
          <cell r="M900" t="e">
            <v>#N/A</v>
          </cell>
          <cell r="N900">
            <v>80</v>
          </cell>
          <cell r="O900" t="e">
            <v>#N/A</v>
          </cell>
          <cell r="P900" t="str">
            <v/>
          </cell>
          <cell r="Q900" t="str">
            <v/>
          </cell>
          <cell r="R900" t="e">
            <v>#N/A</v>
          </cell>
        </row>
        <row r="901">
          <cell r="A901" t="str">
            <v/>
          </cell>
          <cell r="B901" t="str">
            <v/>
          </cell>
          <cell r="C901" t="str">
            <v>Future</v>
          </cell>
          <cell r="D901" t="e">
            <v>#N/A</v>
          </cell>
          <cell r="E901">
            <v>-22.253503937007512</v>
          </cell>
          <cell r="F901">
            <v>99.28192913386043</v>
          </cell>
          <cell r="G901">
            <v>45.266181102362061</v>
          </cell>
          <cell r="H901">
            <v>45.266181102362061</v>
          </cell>
          <cell r="I901" t="e">
            <v>#N/A</v>
          </cell>
          <cell r="J901" t="e">
            <v>#N/A</v>
          </cell>
          <cell r="K901">
            <v>90</v>
          </cell>
          <cell r="L901">
            <v>50</v>
          </cell>
          <cell r="M901" t="e">
            <v>#N/A</v>
          </cell>
          <cell r="N901">
            <v>80</v>
          </cell>
          <cell r="O901" t="e">
            <v>#N/A</v>
          </cell>
          <cell r="P901" t="str">
            <v/>
          </cell>
          <cell r="Q901" t="str">
            <v/>
          </cell>
          <cell r="R901" t="e">
            <v>#N/A</v>
          </cell>
        </row>
        <row r="902">
          <cell r="A902" t="str">
            <v/>
          </cell>
          <cell r="B902" t="str">
            <v/>
          </cell>
          <cell r="C902" t="str">
            <v>Future</v>
          </cell>
          <cell r="D902" t="e">
            <v>#N/A</v>
          </cell>
          <cell r="E902">
            <v>-22.50354330708625</v>
          </cell>
          <cell r="F902">
            <v>99.386220472443114</v>
          </cell>
          <cell r="G902">
            <v>45.212992125984108</v>
          </cell>
          <cell r="H902">
            <v>45.212992125984108</v>
          </cell>
          <cell r="I902" t="e">
            <v>#N/A</v>
          </cell>
          <cell r="J902" t="e">
            <v>#N/A</v>
          </cell>
          <cell r="K902">
            <v>90</v>
          </cell>
          <cell r="L902">
            <v>50</v>
          </cell>
          <cell r="M902" t="e">
            <v>#N/A</v>
          </cell>
          <cell r="N902">
            <v>80</v>
          </cell>
          <cell r="O902" t="e">
            <v>#N/A</v>
          </cell>
          <cell r="P902" t="str">
            <v/>
          </cell>
          <cell r="Q902" t="str">
            <v/>
          </cell>
          <cell r="R902" t="e">
            <v>#N/A</v>
          </cell>
        </row>
        <row r="903">
          <cell r="A903" t="str">
            <v/>
          </cell>
          <cell r="B903" t="str">
            <v/>
          </cell>
          <cell r="C903" t="str">
            <v>Future</v>
          </cell>
          <cell r="D903" t="e">
            <v>#N/A</v>
          </cell>
          <cell r="E903">
            <v>-22.753582677164989</v>
          </cell>
          <cell r="F903">
            <v>99.490511811025797</v>
          </cell>
          <cell r="G903">
            <v>45.159803149606155</v>
          </cell>
          <cell r="H903">
            <v>45.159803149606155</v>
          </cell>
          <cell r="I903" t="e">
            <v>#N/A</v>
          </cell>
          <cell r="J903" t="e">
            <v>#N/A</v>
          </cell>
          <cell r="K903">
            <v>90</v>
          </cell>
          <cell r="L903">
            <v>50</v>
          </cell>
          <cell r="M903" t="e">
            <v>#N/A</v>
          </cell>
          <cell r="N903">
            <v>80</v>
          </cell>
          <cell r="O903" t="e">
            <v>#N/A</v>
          </cell>
          <cell r="P903" t="str">
            <v/>
          </cell>
          <cell r="Q903" t="str">
            <v/>
          </cell>
          <cell r="R903" t="e">
            <v>#N/A</v>
          </cell>
        </row>
        <row r="904">
          <cell r="A904" t="str">
            <v/>
          </cell>
          <cell r="B904" t="str">
            <v/>
          </cell>
          <cell r="C904" t="str">
            <v>Future</v>
          </cell>
          <cell r="D904" t="e">
            <v>#N/A</v>
          </cell>
          <cell r="E904">
            <v>-23.003622047243727</v>
          </cell>
          <cell r="F904">
            <v>99.594803149608481</v>
          </cell>
          <cell r="G904">
            <v>45.106614173228202</v>
          </cell>
          <cell r="H904">
            <v>45.106614173228202</v>
          </cell>
          <cell r="I904" t="e">
            <v>#N/A</v>
          </cell>
          <cell r="J904" t="e">
            <v>#N/A</v>
          </cell>
          <cell r="K904">
            <v>90</v>
          </cell>
          <cell r="L904">
            <v>50</v>
          </cell>
          <cell r="M904" t="e">
            <v>#N/A</v>
          </cell>
          <cell r="N904">
            <v>80</v>
          </cell>
          <cell r="O904" t="e">
            <v>#N/A</v>
          </cell>
          <cell r="P904" t="str">
            <v/>
          </cell>
          <cell r="Q904" t="str">
            <v/>
          </cell>
          <cell r="R904" t="e">
            <v>#N/A</v>
          </cell>
        </row>
        <row r="905">
          <cell r="A905" t="str">
            <v/>
          </cell>
          <cell r="B905" t="str">
            <v/>
          </cell>
          <cell r="C905" t="str">
            <v>Future</v>
          </cell>
          <cell r="D905" t="e">
            <v>#N/A</v>
          </cell>
          <cell r="E905">
            <v>-23.253661417322466</v>
          </cell>
          <cell r="F905">
            <v>99.699094488191164</v>
          </cell>
          <cell r="G905">
            <v>45.053425196850249</v>
          </cell>
          <cell r="H905">
            <v>45.053425196850249</v>
          </cell>
          <cell r="I905" t="e">
            <v>#N/A</v>
          </cell>
          <cell r="J905" t="e">
            <v>#N/A</v>
          </cell>
          <cell r="K905">
            <v>90</v>
          </cell>
          <cell r="L905">
            <v>50</v>
          </cell>
          <cell r="M905" t="e">
            <v>#N/A</v>
          </cell>
          <cell r="N905">
            <v>80</v>
          </cell>
          <cell r="O905" t="e">
            <v>#N/A</v>
          </cell>
          <cell r="P905" t="str">
            <v/>
          </cell>
          <cell r="Q905" t="str">
            <v/>
          </cell>
          <cell r="R905" t="e">
            <v>#N/A</v>
          </cell>
        </row>
        <row r="906">
          <cell r="A906" t="str">
            <v/>
          </cell>
          <cell r="B906" t="str">
            <v/>
          </cell>
          <cell r="C906" t="str">
            <v>Future</v>
          </cell>
          <cell r="D906" t="e">
            <v>#N/A</v>
          </cell>
          <cell r="E906">
            <v>-23.503700787401204</v>
          </cell>
          <cell r="F906">
            <v>99.803385826773848</v>
          </cell>
          <cell r="G906">
            <v>45.000236220472296</v>
          </cell>
          <cell r="H906">
            <v>45.000236220472296</v>
          </cell>
          <cell r="I906" t="e">
            <v>#N/A</v>
          </cell>
          <cell r="J906" t="e">
            <v>#N/A</v>
          </cell>
          <cell r="K906">
            <v>90</v>
          </cell>
          <cell r="L906">
            <v>50</v>
          </cell>
          <cell r="M906" t="e">
            <v>#N/A</v>
          </cell>
          <cell r="N906">
            <v>80</v>
          </cell>
          <cell r="O906" t="e">
            <v>#N/A</v>
          </cell>
          <cell r="P906" t="str">
            <v/>
          </cell>
          <cell r="Q906" t="str">
            <v/>
          </cell>
          <cell r="R906" t="e">
            <v>#N/A</v>
          </cell>
        </row>
        <row r="907">
          <cell r="A907" t="str">
            <v/>
          </cell>
          <cell r="B907" t="str">
            <v/>
          </cell>
          <cell r="C907" t="str">
            <v>Future</v>
          </cell>
          <cell r="D907" t="e">
            <v>#N/A</v>
          </cell>
          <cell r="E907">
            <v>-23.753740157479942</v>
          </cell>
          <cell r="F907">
            <v>99.907677165356532</v>
          </cell>
          <cell r="G907">
            <v>44.947047244094342</v>
          </cell>
          <cell r="H907">
            <v>44.947047244094342</v>
          </cell>
          <cell r="I907" t="e">
            <v>#N/A</v>
          </cell>
          <cell r="J907" t="e">
            <v>#N/A</v>
          </cell>
          <cell r="K907">
            <v>90</v>
          </cell>
          <cell r="L907">
            <v>50</v>
          </cell>
          <cell r="M907" t="e">
            <v>#N/A</v>
          </cell>
          <cell r="N907">
            <v>80</v>
          </cell>
          <cell r="O907" t="e">
            <v>#N/A</v>
          </cell>
          <cell r="P907" t="str">
            <v/>
          </cell>
          <cell r="Q907" t="str">
            <v/>
          </cell>
          <cell r="R907" t="e">
            <v>#N/A</v>
          </cell>
        </row>
        <row r="908">
          <cell r="A908" t="str">
            <v/>
          </cell>
          <cell r="B908" t="str">
            <v/>
          </cell>
          <cell r="C908" t="str">
            <v>Future</v>
          </cell>
          <cell r="D908" t="e">
            <v>#N/A</v>
          </cell>
          <cell r="E908">
            <v>-24.003779527558681</v>
          </cell>
          <cell r="F908">
            <v>100.01196850393922</v>
          </cell>
          <cell r="G908">
            <v>44.893858267716389</v>
          </cell>
          <cell r="H908">
            <v>44.893858267716389</v>
          </cell>
          <cell r="I908" t="e">
            <v>#N/A</v>
          </cell>
          <cell r="J908" t="e">
            <v>#N/A</v>
          </cell>
          <cell r="K908">
            <v>90</v>
          </cell>
          <cell r="L908">
            <v>50</v>
          </cell>
          <cell r="M908" t="e">
            <v>#N/A</v>
          </cell>
          <cell r="N908">
            <v>80</v>
          </cell>
          <cell r="O908" t="e">
            <v>#N/A</v>
          </cell>
          <cell r="P908" t="str">
            <v/>
          </cell>
          <cell r="Q908" t="str">
            <v/>
          </cell>
          <cell r="R908" t="e">
            <v>#N/A</v>
          </cell>
        </row>
        <row r="909">
          <cell r="A909" t="str">
            <v/>
          </cell>
          <cell r="B909" t="str">
            <v/>
          </cell>
          <cell r="C909" t="str">
            <v>Future</v>
          </cell>
          <cell r="D909" t="e">
            <v>#N/A</v>
          </cell>
          <cell r="E909">
            <v>-24.253818897637419</v>
          </cell>
          <cell r="F909">
            <v>100.1162598425219</v>
          </cell>
          <cell r="G909">
            <v>44.840669291338436</v>
          </cell>
          <cell r="H909">
            <v>44.840669291338436</v>
          </cell>
          <cell r="I909" t="e">
            <v>#N/A</v>
          </cell>
          <cell r="J909" t="e">
            <v>#N/A</v>
          </cell>
          <cell r="K909">
            <v>90</v>
          </cell>
          <cell r="L909">
            <v>50</v>
          </cell>
          <cell r="M909" t="e">
            <v>#N/A</v>
          </cell>
          <cell r="N909">
            <v>80</v>
          </cell>
          <cell r="O909" t="e">
            <v>#N/A</v>
          </cell>
          <cell r="P909" t="str">
            <v/>
          </cell>
          <cell r="Q909" t="str">
            <v/>
          </cell>
          <cell r="R909" t="e">
            <v>#N/A</v>
          </cell>
        </row>
        <row r="910">
          <cell r="A910" t="str">
            <v/>
          </cell>
          <cell r="B910" t="str">
            <v/>
          </cell>
          <cell r="C910" t="str">
            <v>Future</v>
          </cell>
          <cell r="D910" t="e">
            <v>#N/A</v>
          </cell>
          <cell r="E910">
            <v>-24.503858267716158</v>
          </cell>
          <cell r="F910">
            <v>100.22055118110458</v>
          </cell>
          <cell r="G910">
            <v>44.787480314960483</v>
          </cell>
          <cell r="H910">
            <v>44.787480314960483</v>
          </cell>
          <cell r="I910" t="e">
            <v>#N/A</v>
          </cell>
          <cell r="J910" t="e">
            <v>#N/A</v>
          </cell>
          <cell r="K910">
            <v>90</v>
          </cell>
          <cell r="L910">
            <v>50</v>
          </cell>
          <cell r="M910" t="e">
            <v>#N/A</v>
          </cell>
          <cell r="N910">
            <v>80</v>
          </cell>
          <cell r="O910" t="e">
            <v>#N/A</v>
          </cell>
          <cell r="P910" t="str">
            <v/>
          </cell>
          <cell r="Q910" t="str">
            <v/>
          </cell>
          <cell r="R910" t="e">
            <v>#N/A</v>
          </cell>
        </row>
        <row r="911">
          <cell r="A911" t="str">
            <v/>
          </cell>
          <cell r="B911" t="str">
            <v/>
          </cell>
          <cell r="C911" t="str">
            <v>Future</v>
          </cell>
          <cell r="D911" t="e">
            <v>#N/A</v>
          </cell>
          <cell r="E911">
            <v>-24.753897637794896</v>
          </cell>
          <cell r="F911">
            <v>100.32484251968727</v>
          </cell>
          <cell r="G911">
            <v>44.73429133858253</v>
          </cell>
          <cell r="H911">
            <v>44.73429133858253</v>
          </cell>
          <cell r="I911" t="e">
            <v>#N/A</v>
          </cell>
          <cell r="J911" t="e">
            <v>#N/A</v>
          </cell>
          <cell r="K911">
            <v>90</v>
          </cell>
          <cell r="L911">
            <v>50</v>
          </cell>
          <cell r="M911" t="e">
            <v>#N/A</v>
          </cell>
          <cell r="N911">
            <v>80</v>
          </cell>
          <cell r="O911" t="e">
            <v>#N/A</v>
          </cell>
          <cell r="P911" t="str">
            <v/>
          </cell>
          <cell r="Q911" t="str">
            <v/>
          </cell>
          <cell r="R911" t="e">
            <v>#N/A</v>
          </cell>
        </row>
        <row r="912">
          <cell r="A912" t="str">
            <v/>
          </cell>
          <cell r="B912" t="str">
            <v/>
          </cell>
          <cell r="C912" t="str">
            <v>Future</v>
          </cell>
          <cell r="D912" t="e">
            <v>#N/A</v>
          </cell>
          <cell r="E912">
            <v>-25.003937007873635</v>
          </cell>
          <cell r="F912">
            <v>100.42913385826995</v>
          </cell>
          <cell r="G912">
            <v>44.681102362204577</v>
          </cell>
          <cell r="H912">
            <v>44.681102362204577</v>
          </cell>
          <cell r="I912" t="e">
            <v>#N/A</v>
          </cell>
          <cell r="J912" t="e">
            <v>#N/A</v>
          </cell>
          <cell r="K912">
            <v>90</v>
          </cell>
          <cell r="L912">
            <v>50</v>
          </cell>
          <cell r="M912" t="e">
            <v>#N/A</v>
          </cell>
          <cell r="N912">
            <v>80</v>
          </cell>
          <cell r="O912" t="e">
            <v>#N/A</v>
          </cell>
          <cell r="P912" t="str">
            <v/>
          </cell>
          <cell r="Q912" t="str">
            <v/>
          </cell>
          <cell r="R912" t="e">
            <v>#N/A</v>
          </cell>
        </row>
        <row r="913">
          <cell r="A913" t="str">
            <v/>
          </cell>
          <cell r="B913" t="str">
            <v/>
          </cell>
          <cell r="C913" t="str">
            <v>Future</v>
          </cell>
          <cell r="D913" t="e">
            <v>#N/A</v>
          </cell>
          <cell r="E913">
            <v>-25.253976377952373</v>
          </cell>
          <cell r="F913">
            <v>100.53342519685263</v>
          </cell>
          <cell r="G913">
            <v>44.627913385826623</v>
          </cell>
          <cell r="H913">
            <v>44.627913385826623</v>
          </cell>
          <cell r="I913" t="e">
            <v>#N/A</v>
          </cell>
          <cell r="J913" t="e">
            <v>#N/A</v>
          </cell>
          <cell r="K913">
            <v>90</v>
          </cell>
          <cell r="L913">
            <v>50</v>
          </cell>
          <cell r="M913" t="e">
            <v>#N/A</v>
          </cell>
          <cell r="N913">
            <v>80</v>
          </cell>
          <cell r="O913" t="e">
            <v>#N/A</v>
          </cell>
          <cell r="P913" t="str">
            <v/>
          </cell>
          <cell r="Q913" t="str">
            <v/>
          </cell>
          <cell r="R913" t="e">
            <v>#N/A</v>
          </cell>
        </row>
        <row r="914">
          <cell r="A914" t="str">
            <v/>
          </cell>
          <cell r="B914" t="str">
            <v/>
          </cell>
          <cell r="C914" t="str">
            <v>Future</v>
          </cell>
          <cell r="D914" t="e">
            <v>#N/A</v>
          </cell>
          <cell r="E914">
            <v>-25.504015748031112</v>
          </cell>
          <cell r="F914">
            <v>100.63771653543532</v>
          </cell>
          <cell r="G914">
            <v>44.57472440944867</v>
          </cell>
          <cell r="H914">
            <v>44.57472440944867</v>
          </cell>
          <cell r="I914" t="e">
            <v>#N/A</v>
          </cell>
          <cell r="J914" t="e">
            <v>#N/A</v>
          </cell>
          <cell r="K914">
            <v>90</v>
          </cell>
          <cell r="L914">
            <v>50</v>
          </cell>
          <cell r="M914" t="e">
            <v>#N/A</v>
          </cell>
          <cell r="N914">
            <v>80</v>
          </cell>
          <cell r="O914" t="e">
            <v>#N/A</v>
          </cell>
          <cell r="P914" t="str">
            <v/>
          </cell>
          <cell r="Q914" t="str">
            <v/>
          </cell>
          <cell r="R914" t="e">
            <v>#N/A</v>
          </cell>
        </row>
        <row r="915">
          <cell r="A915" t="str">
            <v/>
          </cell>
          <cell r="B915" t="str">
            <v/>
          </cell>
          <cell r="C915" t="str">
            <v>Future</v>
          </cell>
          <cell r="D915" t="e">
            <v>#N/A</v>
          </cell>
          <cell r="E915">
            <v>-25.75405511810985</v>
          </cell>
          <cell r="F915">
            <v>100.742007874018</v>
          </cell>
          <cell r="G915">
            <v>44.521535433070717</v>
          </cell>
          <cell r="H915">
            <v>44.521535433070717</v>
          </cell>
          <cell r="I915" t="e">
            <v>#N/A</v>
          </cell>
          <cell r="J915" t="e">
            <v>#N/A</v>
          </cell>
          <cell r="K915">
            <v>90</v>
          </cell>
          <cell r="L915">
            <v>50</v>
          </cell>
          <cell r="M915" t="e">
            <v>#N/A</v>
          </cell>
          <cell r="N915">
            <v>80</v>
          </cell>
          <cell r="O915" t="e">
            <v>#N/A</v>
          </cell>
          <cell r="P915" t="str">
            <v/>
          </cell>
          <cell r="Q915" t="str">
            <v/>
          </cell>
          <cell r="R915" t="e">
            <v>#N/A</v>
          </cell>
        </row>
        <row r="916">
          <cell r="A916" t="str">
            <v/>
          </cell>
          <cell r="B916" t="str">
            <v/>
          </cell>
          <cell r="C916" t="str">
            <v>Future</v>
          </cell>
          <cell r="D916" t="e">
            <v>#N/A</v>
          </cell>
          <cell r="E916">
            <v>-26.004094488188588</v>
          </cell>
          <cell r="F916">
            <v>100.84629921260068</v>
          </cell>
          <cell r="G916">
            <v>44.468346456692764</v>
          </cell>
          <cell r="H916">
            <v>44.468346456692764</v>
          </cell>
          <cell r="I916" t="e">
            <v>#N/A</v>
          </cell>
          <cell r="J916" t="e">
            <v>#N/A</v>
          </cell>
          <cell r="K916">
            <v>90</v>
          </cell>
          <cell r="L916">
            <v>50</v>
          </cell>
          <cell r="M916" t="e">
            <v>#N/A</v>
          </cell>
          <cell r="N916">
            <v>80</v>
          </cell>
          <cell r="O916" t="e">
            <v>#N/A</v>
          </cell>
          <cell r="P916" t="str">
            <v/>
          </cell>
          <cell r="Q916" t="str">
            <v/>
          </cell>
          <cell r="R916" t="e">
            <v>#N/A</v>
          </cell>
        </row>
        <row r="917">
          <cell r="A917" t="str">
            <v/>
          </cell>
          <cell r="B917" t="str">
            <v/>
          </cell>
          <cell r="C917" t="str">
            <v>Future</v>
          </cell>
          <cell r="D917" t="e">
            <v>#N/A</v>
          </cell>
          <cell r="E917">
            <v>-26.254133858267327</v>
          </cell>
          <cell r="F917">
            <v>100.95059055118337</v>
          </cell>
          <cell r="G917">
            <v>44.415157480314811</v>
          </cell>
          <cell r="H917">
            <v>44.415157480314811</v>
          </cell>
          <cell r="I917" t="e">
            <v>#N/A</v>
          </cell>
          <cell r="J917" t="e">
            <v>#N/A</v>
          </cell>
          <cell r="K917">
            <v>90</v>
          </cell>
          <cell r="L917">
            <v>50</v>
          </cell>
          <cell r="M917" t="e">
            <v>#N/A</v>
          </cell>
          <cell r="N917">
            <v>80</v>
          </cell>
          <cell r="O917" t="e">
            <v>#N/A</v>
          </cell>
          <cell r="P917" t="str">
            <v/>
          </cell>
          <cell r="Q917" t="str">
            <v/>
          </cell>
          <cell r="R917" t="e">
            <v>#N/A</v>
          </cell>
        </row>
        <row r="918">
          <cell r="A918" t="str">
            <v/>
          </cell>
          <cell r="B918" t="str">
            <v/>
          </cell>
          <cell r="C918" t="str">
            <v>Future</v>
          </cell>
          <cell r="D918" t="e">
            <v>#N/A</v>
          </cell>
          <cell r="E918">
            <v>-26.504173228346065</v>
          </cell>
          <cell r="F918">
            <v>101.05488188976605</v>
          </cell>
          <cell r="G918">
            <v>44.361968503936858</v>
          </cell>
          <cell r="H918">
            <v>44.361968503936858</v>
          </cell>
          <cell r="I918" t="e">
            <v>#N/A</v>
          </cell>
          <cell r="J918" t="e">
            <v>#N/A</v>
          </cell>
          <cell r="K918">
            <v>90</v>
          </cell>
          <cell r="L918">
            <v>50</v>
          </cell>
          <cell r="M918" t="e">
            <v>#N/A</v>
          </cell>
          <cell r="N918">
            <v>80</v>
          </cell>
          <cell r="O918" t="e">
            <v>#N/A</v>
          </cell>
          <cell r="P918" t="str">
            <v/>
          </cell>
          <cell r="Q918" t="str">
            <v/>
          </cell>
          <cell r="R918" t="e">
            <v>#N/A</v>
          </cell>
        </row>
        <row r="919">
          <cell r="A919" t="str">
            <v/>
          </cell>
          <cell r="B919" t="str">
            <v/>
          </cell>
          <cell r="C919" t="str">
            <v>Future</v>
          </cell>
          <cell r="D919" t="e">
            <v>#N/A</v>
          </cell>
          <cell r="E919">
            <v>-26.754212598424804</v>
          </cell>
          <cell r="F919">
            <v>101.15917322834873</v>
          </cell>
          <cell r="G919">
            <v>44.308779527558904</v>
          </cell>
          <cell r="H919">
            <v>44.308779527558904</v>
          </cell>
          <cell r="I919" t="e">
            <v>#N/A</v>
          </cell>
          <cell r="J919" t="e">
            <v>#N/A</v>
          </cell>
          <cell r="K919">
            <v>90</v>
          </cell>
          <cell r="L919">
            <v>50</v>
          </cell>
          <cell r="M919" t="e">
            <v>#N/A</v>
          </cell>
          <cell r="N919">
            <v>80</v>
          </cell>
          <cell r="O919" t="e">
            <v>#N/A</v>
          </cell>
          <cell r="P919" t="str">
            <v/>
          </cell>
          <cell r="Q919" t="str">
            <v/>
          </cell>
          <cell r="R919" t="e">
            <v>#N/A</v>
          </cell>
        </row>
        <row r="920">
          <cell r="A920" t="str">
            <v/>
          </cell>
          <cell r="B920" t="str">
            <v/>
          </cell>
          <cell r="C920" t="str">
            <v>Future</v>
          </cell>
          <cell r="D920" t="e">
            <v>#N/A</v>
          </cell>
          <cell r="E920">
            <v>-27.004251968503542</v>
          </cell>
          <cell r="F920">
            <v>101.26346456693142</v>
          </cell>
          <cell r="G920">
            <v>44.255590551180951</v>
          </cell>
          <cell r="H920">
            <v>44.255590551180951</v>
          </cell>
          <cell r="I920" t="e">
            <v>#N/A</v>
          </cell>
          <cell r="J920" t="e">
            <v>#N/A</v>
          </cell>
          <cell r="K920">
            <v>90</v>
          </cell>
          <cell r="L920">
            <v>50</v>
          </cell>
          <cell r="M920" t="e">
            <v>#N/A</v>
          </cell>
          <cell r="N920">
            <v>80</v>
          </cell>
          <cell r="O920" t="e">
            <v>#N/A</v>
          </cell>
          <cell r="P920" t="str">
            <v/>
          </cell>
          <cell r="Q920" t="str">
            <v/>
          </cell>
          <cell r="R920" t="e">
            <v>#N/A</v>
          </cell>
        </row>
        <row r="921">
          <cell r="A921" t="str">
            <v/>
          </cell>
          <cell r="B921" t="str">
            <v/>
          </cell>
          <cell r="C921" t="str">
            <v>Future</v>
          </cell>
          <cell r="D921" t="e">
            <v>#N/A</v>
          </cell>
          <cell r="E921">
            <v>-27.254291338582281</v>
          </cell>
          <cell r="F921">
            <v>101.3677559055141</v>
          </cell>
          <cell r="G921">
            <v>44.202401574802998</v>
          </cell>
          <cell r="H921">
            <v>44.202401574802998</v>
          </cell>
          <cell r="I921" t="e">
            <v>#N/A</v>
          </cell>
          <cell r="J921" t="e">
            <v>#N/A</v>
          </cell>
          <cell r="K921">
            <v>90</v>
          </cell>
          <cell r="L921">
            <v>50</v>
          </cell>
          <cell r="M921" t="e">
            <v>#N/A</v>
          </cell>
          <cell r="N921">
            <v>80</v>
          </cell>
          <cell r="O921" t="e">
            <v>#N/A</v>
          </cell>
          <cell r="P921" t="str">
            <v/>
          </cell>
          <cell r="Q921" t="str">
            <v/>
          </cell>
          <cell r="R921" t="e">
            <v>#N/A</v>
          </cell>
        </row>
        <row r="922">
          <cell r="A922" t="str">
            <v/>
          </cell>
          <cell r="B922" t="str">
            <v/>
          </cell>
          <cell r="C922" t="str">
            <v>Future</v>
          </cell>
          <cell r="D922" t="e">
            <v>#N/A</v>
          </cell>
          <cell r="E922">
            <v>-27.504330708661019</v>
          </cell>
          <cell r="F922">
            <v>101.47204724409679</v>
          </cell>
          <cell r="G922">
            <v>44.149212598425045</v>
          </cell>
          <cell r="H922">
            <v>44.149212598425045</v>
          </cell>
          <cell r="I922" t="e">
            <v>#N/A</v>
          </cell>
          <cell r="J922" t="e">
            <v>#N/A</v>
          </cell>
          <cell r="K922">
            <v>90</v>
          </cell>
          <cell r="L922">
            <v>50</v>
          </cell>
          <cell r="M922" t="e">
            <v>#N/A</v>
          </cell>
          <cell r="N922">
            <v>80</v>
          </cell>
          <cell r="O922" t="e">
            <v>#N/A</v>
          </cell>
          <cell r="P922" t="str">
            <v/>
          </cell>
          <cell r="Q922" t="str">
            <v/>
          </cell>
          <cell r="R922" t="e">
            <v>#N/A</v>
          </cell>
        </row>
        <row r="923">
          <cell r="A923" t="str">
            <v/>
          </cell>
          <cell r="B923" t="str">
            <v/>
          </cell>
          <cell r="C923" t="str">
            <v>Future</v>
          </cell>
          <cell r="D923" t="e">
            <v>#N/A</v>
          </cell>
          <cell r="E923">
            <v>-27.754370078739758</v>
          </cell>
          <cell r="F923">
            <v>101.57633858267947</v>
          </cell>
          <cell r="G923">
            <v>44.096023622047092</v>
          </cell>
          <cell r="H923">
            <v>44.096023622047092</v>
          </cell>
          <cell r="I923" t="e">
            <v>#N/A</v>
          </cell>
          <cell r="J923" t="e">
            <v>#N/A</v>
          </cell>
          <cell r="K923">
            <v>90</v>
          </cell>
          <cell r="L923">
            <v>50</v>
          </cell>
          <cell r="M923" t="e">
            <v>#N/A</v>
          </cell>
          <cell r="N923">
            <v>80</v>
          </cell>
          <cell r="O923" t="e">
            <v>#N/A</v>
          </cell>
          <cell r="P923" t="str">
            <v/>
          </cell>
          <cell r="Q923" t="str">
            <v/>
          </cell>
          <cell r="R923" t="e">
            <v>#N/A</v>
          </cell>
        </row>
        <row r="924">
          <cell r="A924" t="str">
            <v/>
          </cell>
          <cell r="B924" t="str">
            <v/>
          </cell>
          <cell r="C924" t="str">
            <v>Future</v>
          </cell>
          <cell r="D924" t="e">
            <v>#N/A</v>
          </cell>
          <cell r="E924">
            <v>-28.004409448818496</v>
          </cell>
          <cell r="F924">
            <v>101.68062992126215</v>
          </cell>
          <cell r="G924">
            <v>44.042834645669139</v>
          </cell>
          <cell r="H924">
            <v>44.042834645669139</v>
          </cell>
          <cell r="I924" t="e">
            <v>#N/A</v>
          </cell>
          <cell r="J924" t="e">
            <v>#N/A</v>
          </cell>
          <cell r="K924">
            <v>90</v>
          </cell>
          <cell r="L924">
            <v>50</v>
          </cell>
          <cell r="M924" t="e">
            <v>#N/A</v>
          </cell>
          <cell r="N924">
            <v>80</v>
          </cell>
          <cell r="O924" t="e">
            <v>#N/A</v>
          </cell>
          <cell r="P924" t="str">
            <v/>
          </cell>
          <cell r="Q924" t="str">
            <v/>
          </cell>
          <cell r="R924" t="e">
            <v>#N/A</v>
          </cell>
        </row>
        <row r="925">
          <cell r="A925" t="str">
            <v/>
          </cell>
          <cell r="B925" t="str">
            <v/>
          </cell>
          <cell r="C925" t="str">
            <v>Future</v>
          </cell>
          <cell r="D925" t="e">
            <v>#N/A</v>
          </cell>
          <cell r="E925">
            <v>-28.254448818897234</v>
          </cell>
          <cell r="F925">
            <v>101.78492125984484</v>
          </cell>
          <cell r="G925">
            <v>43.989645669291185</v>
          </cell>
          <cell r="H925">
            <v>43.989645669291185</v>
          </cell>
          <cell r="I925" t="e">
            <v>#N/A</v>
          </cell>
          <cell r="J925" t="e">
            <v>#N/A</v>
          </cell>
          <cell r="K925">
            <v>90</v>
          </cell>
          <cell r="L925">
            <v>50</v>
          </cell>
          <cell r="M925" t="e">
            <v>#N/A</v>
          </cell>
          <cell r="N925">
            <v>80</v>
          </cell>
          <cell r="O925" t="e">
            <v>#N/A</v>
          </cell>
          <cell r="P925" t="str">
            <v/>
          </cell>
          <cell r="Q925" t="str">
            <v/>
          </cell>
          <cell r="R925" t="e">
            <v>#N/A</v>
          </cell>
        </row>
        <row r="926">
          <cell r="A926" t="str">
            <v/>
          </cell>
          <cell r="B926" t="str">
            <v/>
          </cell>
          <cell r="C926" t="str">
            <v>Future</v>
          </cell>
          <cell r="D926" t="e">
            <v>#N/A</v>
          </cell>
          <cell r="E926">
            <v>-28.504488188975973</v>
          </cell>
          <cell r="F926">
            <v>101.88921259842752</v>
          </cell>
          <cell r="G926">
            <v>43.936456692913232</v>
          </cell>
          <cell r="H926">
            <v>43.936456692913232</v>
          </cell>
          <cell r="I926" t="e">
            <v>#N/A</v>
          </cell>
          <cell r="J926" t="e">
            <v>#N/A</v>
          </cell>
          <cell r="K926">
            <v>90</v>
          </cell>
          <cell r="L926">
            <v>50</v>
          </cell>
          <cell r="M926" t="e">
            <v>#N/A</v>
          </cell>
          <cell r="N926">
            <v>80</v>
          </cell>
          <cell r="O926" t="e">
            <v>#N/A</v>
          </cell>
          <cell r="P926" t="str">
            <v/>
          </cell>
          <cell r="Q926" t="str">
            <v/>
          </cell>
          <cell r="R926" t="e">
            <v>#N/A</v>
          </cell>
        </row>
        <row r="927">
          <cell r="A927" t="str">
            <v/>
          </cell>
          <cell r="B927" t="str">
            <v/>
          </cell>
          <cell r="C927" t="str">
            <v>Future</v>
          </cell>
          <cell r="D927" t="e">
            <v>#N/A</v>
          </cell>
          <cell r="E927">
            <v>-28.754527559054711</v>
          </cell>
          <cell r="F927">
            <v>101.9935039370102</v>
          </cell>
          <cell r="G927">
            <v>43.883267716535279</v>
          </cell>
          <cell r="H927">
            <v>43.883267716535279</v>
          </cell>
          <cell r="I927" t="e">
            <v>#N/A</v>
          </cell>
          <cell r="J927" t="e">
            <v>#N/A</v>
          </cell>
          <cell r="K927">
            <v>90</v>
          </cell>
          <cell r="L927">
            <v>50</v>
          </cell>
          <cell r="M927" t="e">
            <v>#N/A</v>
          </cell>
          <cell r="N927">
            <v>80</v>
          </cell>
          <cell r="O927" t="e">
            <v>#N/A</v>
          </cell>
          <cell r="P927" t="str">
            <v/>
          </cell>
          <cell r="Q927" t="str">
            <v/>
          </cell>
          <cell r="R927" t="e">
            <v>#N/A</v>
          </cell>
        </row>
        <row r="928">
          <cell r="A928" t="str">
            <v/>
          </cell>
          <cell r="B928" t="str">
            <v/>
          </cell>
          <cell r="C928" t="str">
            <v>Future</v>
          </cell>
          <cell r="D928" t="e">
            <v>#N/A</v>
          </cell>
          <cell r="E928">
            <v>-29.00456692913345</v>
          </cell>
          <cell r="F928">
            <v>102.09779527559289</v>
          </cell>
          <cell r="G928">
            <v>43.830078740157326</v>
          </cell>
          <cell r="H928">
            <v>43.830078740157326</v>
          </cell>
          <cell r="I928" t="e">
            <v>#N/A</v>
          </cell>
          <cell r="J928" t="e">
            <v>#N/A</v>
          </cell>
          <cell r="K928">
            <v>90</v>
          </cell>
          <cell r="L928">
            <v>50</v>
          </cell>
          <cell r="M928" t="e">
            <v>#N/A</v>
          </cell>
          <cell r="N928">
            <v>80</v>
          </cell>
          <cell r="O928" t="e">
            <v>#N/A</v>
          </cell>
          <cell r="P928" t="str">
            <v/>
          </cell>
          <cell r="Q928" t="str">
            <v/>
          </cell>
          <cell r="R928" t="e">
            <v>#N/A</v>
          </cell>
        </row>
        <row r="929">
          <cell r="A929" t="str">
            <v/>
          </cell>
          <cell r="B929" t="str">
            <v/>
          </cell>
          <cell r="C929" t="str">
            <v>Future</v>
          </cell>
          <cell r="D929" t="e">
            <v>#N/A</v>
          </cell>
          <cell r="E929">
            <v>-29.254606299212188</v>
          </cell>
          <cell r="F929">
            <v>102.20208661417557</v>
          </cell>
          <cell r="G929">
            <v>43.776889763779373</v>
          </cell>
          <cell r="H929">
            <v>43.776889763779373</v>
          </cell>
          <cell r="I929" t="e">
            <v>#N/A</v>
          </cell>
          <cell r="J929" t="e">
            <v>#N/A</v>
          </cell>
          <cell r="K929">
            <v>90</v>
          </cell>
          <cell r="L929">
            <v>50</v>
          </cell>
          <cell r="M929" t="e">
            <v>#N/A</v>
          </cell>
          <cell r="N929">
            <v>80</v>
          </cell>
          <cell r="O929" t="e">
            <v>#N/A</v>
          </cell>
          <cell r="P929" t="str">
            <v/>
          </cell>
          <cell r="Q929" t="str">
            <v/>
          </cell>
          <cell r="R929" t="e">
            <v>#N/A</v>
          </cell>
        </row>
        <row r="930">
          <cell r="A930" t="str">
            <v/>
          </cell>
          <cell r="B930" t="str">
            <v/>
          </cell>
          <cell r="C930" t="str">
            <v>Future</v>
          </cell>
          <cell r="D930" t="e">
            <v>#N/A</v>
          </cell>
          <cell r="E930">
            <v>-29.504645669290927</v>
          </cell>
          <cell r="F930">
            <v>102.30637795275825</v>
          </cell>
          <cell r="G930">
            <v>43.72370078740142</v>
          </cell>
          <cell r="H930">
            <v>43.72370078740142</v>
          </cell>
          <cell r="I930" t="e">
            <v>#N/A</v>
          </cell>
          <cell r="J930" t="e">
            <v>#N/A</v>
          </cell>
          <cell r="K930">
            <v>90</v>
          </cell>
          <cell r="L930">
            <v>50</v>
          </cell>
          <cell r="M930" t="e">
            <v>#N/A</v>
          </cell>
          <cell r="N930">
            <v>80</v>
          </cell>
          <cell r="O930" t="e">
            <v>#N/A</v>
          </cell>
          <cell r="P930" t="str">
            <v/>
          </cell>
          <cell r="Q930" t="str">
            <v/>
          </cell>
          <cell r="R930" t="e">
            <v>#N/A</v>
          </cell>
        </row>
        <row r="931">
          <cell r="A931" t="str">
            <v/>
          </cell>
          <cell r="B931" t="str">
            <v/>
          </cell>
          <cell r="C931" t="str">
            <v>Future</v>
          </cell>
          <cell r="D931" t="e">
            <v>#N/A</v>
          </cell>
          <cell r="E931">
            <v>-29.754685039369665</v>
          </cell>
          <cell r="F931">
            <v>102.41066929134094</v>
          </cell>
          <cell r="G931">
            <v>43.670511811023466</v>
          </cell>
          <cell r="H931">
            <v>43.670511811023466</v>
          </cell>
          <cell r="I931" t="e">
            <v>#N/A</v>
          </cell>
          <cell r="J931" t="e">
            <v>#N/A</v>
          </cell>
          <cell r="K931">
            <v>90</v>
          </cell>
          <cell r="L931">
            <v>50</v>
          </cell>
          <cell r="M931" t="e">
            <v>#N/A</v>
          </cell>
          <cell r="N931">
            <v>80</v>
          </cell>
          <cell r="O931" t="e">
            <v>#N/A</v>
          </cell>
          <cell r="P931" t="str">
            <v/>
          </cell>
          <cell r="Q931" t="str">
            <v/>
          </cell>
          <cell r="R931" t="e">
            <v>#N/A</v>
          </cell>
        </row>
        <row r="932">
          <cell r="A932" t="str">
            <v/>
          </cell>
          <cell r="B932" t="str">
            <v/>
          </cell>
          <cell r="C932" t="str">
            <v>Future</v>
          </cell>
          <cell r="D932" t="e">
            <v>#N/A</v>
          </cell>
          <cell r="E932">
            <v>-30.004724409448404</v>
          </cell>
          <cell r="F932">
            <v>102.51496062992362</v>
          </cell>
          <cell r="G932">
            <v>43.617322834645513</v>
          </cell>
          <cell r="H932">
            <v>43.617322834645513</v>
          </cell>
          <cell r="I932" t="e">
            <v>#N/A</v>
          </cell>
          <cell r="J932" t="e">
            <v>#N/A</v>
          </cell>
          <cell r="K932">
            <v>90</v>
          </cell>
          <cell r="L932">
            <v>50</v>
          </cell>
          <cell r="M932" t="e">
            <v>#N/A</v>
          </cell>
          <cell r="N932">
            <v>80</v>
          </cell>
          <cell r="O932" t="e">
            <v>#N/A</v>
          </cell>
          <cell r="P932" t="str">
            <v/>
          </cell>
          <cell r="Q932" t="str">
            <v/>
          </cell>
          <cell r="R932" t="e">
            <v>#N/A</v>
          </cell>
        </row>
        <row r="933">
          <cell r="A933" t="str">
            <v/>
          </cell>
          <cell r="B933" t="str">
            <v/>
          </cell>
          <cell r="C933" t="str">
            <v>Future</v>
          </cell>
          <cell r="D933" t="e">
            <v>#N/A</v>
          </cell>
          <cell r="E933">
            <v>-30.254763779527142</v>
          </cell>
          <cell r="F933">
            <v>102.6192519685063</v>
          </cell>
          <cell r="G933">
            <v>43.56413385826756</v>
          </cell>
          <cell r="H933">
            <v>43.56413385826756</v>
          </cell>
          <cell r="I933" t="e">
            <v>#N/A</v>
          </cell>
          <cell r="J933" t="e">
            <v>#N/A</v>
          </cell>
          <cell r="K933">
            <v>90</v>
          </cell>
          <cell r="L933">
            <v>50</v>
          </cell>
          <cell r="M933" t="e">
            <v>#N/A</v>
          </cell>
          <cell r="N933">
            <v>80</v>
          </cell>
          <cell r="O933" t="e">
            <v>#N/A</v>
          </cell>
          <cell r="P933" t="str">
            <v/>
          </cell>
          <cell r="Q933" t="str">
            <v/>
          </cell>
          <cell r="R933" t="e">
            <v>#N/A</v>
          </cell>
        </row>
        <row r="934">
          <cell r="A934" t="str">
            <v/>
          </cell>
          <cell r="B934" t="str">
            <v/>
          </cell>
          <cell r="C934" t="str">
            <v>Future</v>
          </cell>
          <cell r="D934" t="e">
            <v>#N/A</v>
          </cell>
          <cell r="E934">
            <v>-30.50480314960588</v>
          </cell>
          <cell r="F934">
            <v>102.72354330708899</v>
          </cell>
          <cell r="G934">
            <v>43.510944881889607</v>
          </cell>
          <cell r="H934">
            <v>43.510944881889607</v>
          </cell>
          <cell r="I934" t="e">
            <v>#N/A</v>
          </cell>
          <cell r="J934" t="e">
            <v>#N/A</v>
          </cell>
          <cell r="K934">
            <v>90</v>
          </cell>
          <cell r="L934">
            <v>50</v>
          </cell>
          <cell r="M934" t="e">
            <v>#N/A</v>
          </cell>
          <cell r="N934">
            <v>80</v>
          </cell>
          <cell r="O934" t="e">
            <v>#N/A</v>
          </cell>
          <cell r="P934" t="str">
            <v/>
          </cell>
          <cell r="Q934" t="str">
            <v/>
          </cell>
          <cell r="R934" t="e">
            <v>#N/A</v>
          </cell>
        </row>
        <row r="935">
          <cell r="A935" t="str">
            <v/>
          </cell>
          <cell r="B935" t="str">
            <v/>
          </cell>
          <cell r="C935" t="str">
            <v>Future</v>
          </cell>
          <cell r="D935" t="e">
            <v>#N/A</v>
          </cell>
          <cell r="E935">
            <v>-30.754842519684619</v>
          </cell>
          <cell r="F935">
            <v>102.82783464567167</v>
          </cell>
          <cell r="G935">
            <v>43.457755905511654</v>
          </cell>
          <cell r="H935">
            <v>43.457755905511654</v>
          </cell>
          <cell r="I935" t="e">
            <v>#N/A</v>
          </cell>
          <cell r="J935" t="e">
            <v>#N/A</v>
          </cell>
          <cell r="K935">
            <v>90</v>
          </cell>
          <cell r="L935">
            <v>50</v>
          </cell>
          <cell r="M935" t="e">
            <v>#N/A</v>
          </cell>
          <cell r="N935">
            <v>80</v>
          </cell>
          <cell r="O935" t="e">
            <v>#N/A</v>
          </cell>
          <cell r="P935" t="str">
            <v/>
          </cell>
          <cell r="Q935" t="str">
            <v/>
          </cell>
          <cell r="R935" t="e">
            <v>#N/A</v>
          </cell>
        </row>
        <row r="936">
          <cell r="A936" t="str">
            <v/>
          </cell>
          <cell r="B936" t="str">
            <v/>
          </cell>
          <cell r="C936" t="str">
            <v>Future</v>
          </cell>
          <cell r="D936" t="e">
            <v>#N/A</v>
          </cell>
          <cell r="E936">
            <v>-31.004881889763357</v>
          </cell>
          <cell r="F936">
            <v>102.93212598425436</v>
          </cell>
          <cell r="G936">
            <v>43.404566929133701</v>
          </cell>
          <cell r="H936">
            <v>43.404566929133701</v>
          </cell>
          <cell r="I936" t="e">
            <v>#N/A</v>
          </cell>
          <cell r="J936" t="e">
            <v>#N/A</v>
          </cell>
          <cell r="K936">
            <v>90</v>
          </cell>
          <cell r="L936">
            <v>50</v>
          </cell>
          <cell r="M936" t="e">
            <v>#N/A</v>
          </cell>
          <cell r="N936">
            <v>80</v>
          </cell>
          <cell r="O936" t="e">
            <v>#N/A</v>
          </cell>
          <cell r="P936" t="str">
            <v/>
          </cell>
          <cell r="Q936" t="str">
            <v/>
          </cell>
          <cell r="R936" t="e">
            <v>#N/A</v>
          </cell>
        </row>
        <row r="937">
          <cell r="A937" t="str">
            <v/>
          </cell>
          <cell r="B937" t="str">
            <v/>
          </cell>
          <cell r="C937" t="str">
            <v>Future</v>
          </cell>
          <cell r="D937" t="e">
            <v>#N/A</v>
          </cell>
          <cell r="E937">
            <v>-31.254921259842096</v>
          </cell>
          <cell r="F937">
            <v>103.03641732283704</v>
          </cell>
          <cell r="G937">
            <v>43.351377952755747</v>
          </cell>
          <cell r="H937">
            <v>43.351377952755747</v>
          </cell>
          <cell r="I937" t="e">
            <v>#N/A</v>
          </cell>
          <cell r="J937" t="e">
            <v>#N/A</v>
          </cell>
          <cell r="K937">
            <v>90</v>
          </cell>
          <cell r="L937">
            <v>50</v>
          </cell>
          <cell r="M937" t="e">
            <v>#N/A</v>
          </cell>
          <cell r="N937">
            <v>80</v>
          </cell>
          <cell r="O937" t="e">
            <v>#N/A</v>
          </cell>
          <cell r="P937" t="str">
            <v/>
          </cell>
          <cell r="Q937" t="str">
            <v/>
          </cell>
          <cell r="R937" t="e">
            <v>#N/A</v>
          </cell>
        </row>
        <row r="938">
          <cell r="A938" t="str">
            <v/>
          </cell>
          <cell r="B938" t="str">
            <v/>
          </cell>
          <cell r="C938" t="str">
            <v>Future</v>
          </cell>
          <cell r="D938" t="e">
            <v>#N/A</v>
          </cell>
          <cell r="E938">
            <v>-31.504960629920834</v>
          </cell>
          <cell r="F938">
            <v>103.14070866141972</v>
          </cell>
          <cell r="G938">
            <v>43.298188976377794</v>
          </cell>
          <cell r="H938">
            <v>43.298188976377794</v>
          </cell>
          <cell r="I938" t="e">
            <v>#N/A</v>
          </cell>
          <cell r="J938" t="e">
            <v>#N/A</v>
          </cell>
          <cell r="K938">
            <v>90</v>
          </cell>
          <cell r="L938">
            <v>50</v>
          </cell>
          <cell r="M938" t="e">
            <v>#N/A</v>
          </cell>
          <cell r="N938">
            <v>80</v>
          </cell>
          <cell r="O938" t="e">
            <v>#N/A</v>
          </cell>
          <cell r="P938" t="str">
            <v/>
          </cell>
          <cell r="Q938" t="str">
            <v/>
          </cell>
          <cell r="R938" t="e">
            <v>#N/A</v>
          </cell>
        </row>
        <row r="939">
          <cell r="A939" t="str">
            <v/>
          </cell>
          <cell r="B939" t="str">
            <v/>
          </cell>
          <cell r="C939" t="str">
            <v>Future</v>
          </cell>
          <cell r="D939" t="e">
            <v>#N/A</v>
          </cell>
          <cell r="E939">
            <v>-31.754999999999573</v>
          </cell>
          <cell r="F939">
            <v>103.24500000000241</v>
          </cell>
          <cell r="G939">
            <v>43.244999999999841</v>
          </cell>
          <cell r="H939">
            <v>43.244999999999841</v>
          </cell>
          <cell r="I939" t="e">
            <v>#N/A</v>
          </cell>
          <cell r="J939" t="e">
            <v>#N/A</v>
          </cell>
          <cell r="K939">
            <v>90</v>
          </cell>
          <cell r="L939">
            <v>50</v>
          </cell>
          <cell r="M939" t="e">
            <v>#N/A</v>
          </cell>
          <cell r="N939">
            <v>80</v>
          </cell>
          <cell r="O939" t="e">
            <v>#N/A</v>
          </cell>
          <cell r="P939" t="str">
            <v/>
          </cell>
          <cell r="Q939" t="str">
            <v/>
          </cell>
          <cell r="R939" t="e">
            <v>#N/A</v>
          </cell>
        </row>
        <row r="940">
          <cell r="A940" t="str">
            <v/>
          </cell>
          <cell r="B940" t="str">
            <v/>
          </cell>
          <cell r="C940" t="str">
            <v>Future</v>
          </cell>
          <cell r="D940" t="e">
            <v>#N/A</v>
          </cell>
          <cell r="E940">
            <v>-32.005039370078315</v>
          </cell>
          <cell r="F940">
            <v>103.34929133858509</v>
          </cell>
          <cell r="G940">
            <v>43.191811023621888</v>
          </cell>
          <cell r="H940">
            <v>43.191811023621888</v>
          </cell>
          <cell r="I940" t="e">
            <v>#N/A</v>
          </cell>
          <cell r="J940" t="e">
            <v>#N/A</v>
          </cell>
          <cell r="K940">
            <v>90</v>
          </cell>
          <cell r="L940">
            <v>50</v>
          </cell>
          <cell r="M940" t="e">
            <v>#N/A</v>
          </cell>
          <cell r="N940">
            <v>80</v>
          </cell>
          <cell r="O940" t="e">
            <v>#N/A</v>
          </cell>
          <cell r="P940" t="str">
            <v/>
          </cell>
          <cell r="Q940" t="str">
            <v/>
          </cell>
          <cell r="R940" t="e">
            <v>#N/A</v>
          </cell>
        </row>
        <row r="941">
          <cell r="A941" t="str">
            <v/>
          </cell>
          <cell r="B941" t="str">
            <v/>
          </cell>
          <cell r="C941" t="str">
            <v>Future</v>
          </cell>
          <cell r="D941" t="e">
            <v>#N/A</v>
          </cell>
          <cell r="E941">
            <v>-32.255078740157053</v>
          </cell>
          <cell r="F941">
            <v>103.45358267716777</v>
          </cell>
          <cell r="G941">
            <v>43.138622047243935</v>
          </cell>
          <cell r="H941">
            <v>43.138622047243935</v>
          </cell>
          <cell r="I941" t="e">
            <v>#N/A</v>
          </cell>
          <cell r="J941" t="e">
            <v>#N/A</v>
          </cell>
          <cell r="K941">
            <v>90</v>
          </cell>
          <cell r="L941">
            <v>50</v>
          </cell>
          <cell r="M941" t="e">
            <v>#N/A</v>
          </cell>
          <cell r="N941">
            <v>80</v>
          </cell>
          <cell r="O941" t="e">
            <v>#N/A</v>
          </cell>
          <cell r="P941" t="str">
            <v/>
          </cell>
          <cell r="Q941" t="str">
            <v/>
          </cell>
          <cell r="R941" t="e">
            <v>#N/A</v>
          </cell>
        </row>
        <row r="942">
          <cell r="A942" t="str">
            <v/>
          </cell>
          <cell r="B942" t="str">
            <v/>
          </cell>
          <cell r="C942" t="str">
            <v>Future</v>
          </cell>
          <cell r="D942" t="e">
            <v>#N/A</v>
          </cell>
          <cell r="E942">
            <v>-32.505118110235792</v>
          </cell>
          <cell r="F942">
            <v>103.55787401575046</v>
          </cell>
          <cell r="G942">
            <v>43.085433070865982</v>
          </cell>
          <cell r="H942">
            <v>43.085433070865982</v>
          </cell>
          <cell r="I942" t="e">
            <v>#N/A</v>
          </cell>
          <cell r="J942" t="e">
            <v>#N/A</v>
          </cell>
          <cell r="K942">
            <v>90</v>
          </cell>
          <cell r="L942">
            <v>50</v>
          </cell>
          <cell r="M942" t="e">
            <v>#N/A</v>
          </cell>
          <cell r="N942">
            <v>80</v>
          </cell>
          <cell r="O942" t="e">
            <v>#N/A</v>
          </cell>
          <cell r="P942" t="str">
            <v/>
          </cell>
          <cell r="Q942" t="str">
            <v/>
          </cell>
          <cell r="R942" t="e">
            <v>#N/A</v>
          </cell>
        </row>
        <row r="943">
          <cell r="A943" t="str">
            <v/>
          </cell>
          <cell r="B943" t="str">
            <v/>
          </cell>
          <cell r="C943" t="str">
            <v>Future</v>
          </cell>
          <cell r="D943" t="e">
            <v>#N/A</v>
          </cell>
          <cell r="E943">
            <v>-32.75515748031453</v>
          </cell>
          <cell r="F943">
            <v>103.66216535433314</v>
          </cell>
          <cell r="G943">
            <v>43.032244094488028</v>
          </cell>
          <cell r="H943">
            <v>43.032244094488028</v>
          </cell>
          <cell r="I943" t="e">
            <v>#N/A</v>
          </cell>
          <cell r="J943" t="e">
            <v>#N/A</v>
          </cell>
          <cell r="K943">
            <v>90</v>
          </cell>
          <cell r="L943">
            <v>50</v>
          </cell>
          <cell r="M943" t="e">
            <v>#N/A</v>
          </cell>
          <cell r="N943">
            <v>80</v>
          </cell>
          <cell r="O943" t="e">
            <v>#N/A</v>
          </cell>
          <cell r="P943" t="str">
            <v/>
          </cell>
          <cell r="Q943" t="str">
            <v/>
          </cell>
          <cell r="R943" t="e">
            <v>#N/A</v>
          </cell>
        </row>
        <row r="944">
          <cell r="A944" t="str">
            <v/>
          </cell>
          <cell r="B944" t="str">
            <v/>
          </cell>
          <cell r="C944" t="str">
            <v>Future</v>
          </cell>
          <cell r="D944" t="e">
            <v>#N/A</v>
          </cell>
          <cell r="E944">
            <v>-33.005196850393268</v>
          </cell>
          <cell r="F944">
            <v>103.76645669291582</v>
          </cell>
          <cell r="G944">
            <v>42.979055118110075</v>
          </cell>
          <cell r="H944">
            <v>42.979055118110075</v>
          </cell>
          <cell r="I944" t="e">
            <v>#N/A</v>
          </cell>
          <cell r="J944" t="e">
            <v>#N/A</v>
          </cell>
          <cell r="K944">
            <v>90</v>
          </cell>
          <cell r="L944">
            <v>50</v>
          </cell>
          <cell r="M944" t="e">
            <v>#N/A</v>
          </cell>
          <cell r="N944">
            <v>80</v>
          </cell>
          <cell r="O944" t="e">
            <v>#N/A</v>
          </cell>
          <cell r="P944" t="str">
            <v/>
          </cell>
          <cell r="Q944" t="str">
            <v/>
          </cell>
          <cell r="R944" t="e">
            <v>#N/A</v>
          </cell>
        </row>
        <row r="945">
          <cell r="A945" t="str">
            <v/>
          </cell>
          <cell r="B945" t="str">
            <v/>
          </cell>
          <cell r="C945" t="str">
            <v>Future</v>
          </cell>
          <cell r="D945" t="e">
            <v>#N/A</v>
          </cell>
          <cell r="E945">
            <v>-33.255236220472007</v>
          </cell>
          <cell r="F945">
            <v>103.87074803149851</v>
          </cell>
          <cell r="G945">
            <v>42.925866141732122</v>
          </cell>
          <cell r="H945">
            <v>42.925866141732122</v>
          </cell>
          <cell r="I945" t="e">
            <v>#N/A</v>
          </cell>
          <cell r="J945" t="e">
            <v>#N/A</v>
          </cell>
          <cell r="K945">
            <v>90</v>
          </cell>
          <cell r="L945">
            <v>50</v>
          </cell>
          <cell r="M945" t="e">
            <v>#N/A</v>
          </cell>
          <cell r="N945">
            <v>80</v>
          </cell>
          <cell r="O945" t="e">
            <v>#N/A</v>
          </cell>
          <cell r="P945" t="str">
            <v/>
          </cell>
          <cell r="Q945" t="str">
            <v/>
          </cell>
          <cell r="R945" t="e">
            <v>#N/A</v>
          </cell>
        </row>
        <row r="946">
          <cell r="A946" t="str">
            <v/>
          </cell>
          <cell r="B946" t="str">
            <v/>
          </cell>
          <cell r="C946" t="str">
            <v>Future</v>
          </cell>
          <cell r="D946" t="e">
            <v>#N/A</v>
          </cell>
          <cell r="E946">
            <v>-33.505275590550745</v>
          </cell>
          <cell r="F946">
            <v>103.97503937008119</v>
          </cell>
          <cell r="G946">
            <v>42.872677165354169</v>
          </cell>
          <cell r="H946">
            <v>42.872677165354169</v>
          </cell>
          <cell r="I946" t="e">
            <v>#N/A</v>
          </cell>
          <cell r="J946" t="e">
            <v>#N/A</v>
          </cell>
          <cell r="K946">
            <v>90</v>
          </cell>
          <cell r="L946">
            <v>50</v>
          </cell>
          <cell r="M946" t="e">
            <v>#N/A</v>
          </cell>
          <cell r="N946">
            <v>80</v>
          </cell>
          <cell r="O946" t="e">
            <v>#N/A</v>
          </cell>
          <cell r="P946" t="str">
            <v/>
          </cell>
          <cell r="Q946" t="str">
            <v/>
          </cell>
          <cell r="R946" t="e">
            <v>#N/A</v>
          </cell>
        </row>
        <row r="947">
          <cell r="A947" t="str">
            <v/>
          </cell>
          <cell r="B947" t="str">
            <v/>
          </cell>
          <cell r="C947" t="str">
            <v>Future</v>
          </cell>
          <cell r="D947" t="e">
            <v>#N/A</v>
          </cell>
          <cell r="E947">
            <v>-33.755314960629484</v>
          </cell>
          <cell r="F947">
            <v>104.07933070866387</v>
          </cell>
          <cell r="G947">
            <v>42.819488188976216</v>
          </cell>
          <cell r="H947">
            <v>42.819488188976216</v>
          </cell>
          <cell r="I947" t="e">
            <v>#N/A</v>
          </cell>
          <cell r="J947" t="e">
            <v>#N/A</v>
          </cell>
          <cell r="K947">
            <v>90</v>
          </cell>
          <cell r="L947">
            <v>50</v>
          </cell>
          <cell r="M947" t="e">
            <v>#N/A</v>
          </cell>
          <cell r="N947">
            <v>80</v>
          </cell>
          <cell r="O947" t="e">
            <v>#N/A</v>
          </cell>
          <cell r="P947" t="str">
            <v/>
          </cell>
          <cell r="Q947" t="str">
            <v/>
          </cell>
          <cell r="R947" t="e">
            <v>#N/A</v>
          </cell>
        </row>
        <row r="948">
          <cell r="A948" t="str">
            <v/>
          </cell>
          <cell r="B948" t="str">
            <v/>
          </cell>
          <cell r="C948" t="str">
            <v>Future</v>
          </cell>
          <cell r="D948" t="e">
            <v>#N/A</v>
          </cell>
          <cell r="E948">
            <v>-34.005354330708222</v>
          </cell>
          <cell r="F948">
            <v>104.18362204724656</v>
          </cell>
          <cell r="G948">
            <v>42.766299212598263</v>
          </cell>
          <cell r="H948">
            <v>42.766299212598263</v>
          </cell>
          <cell r="I948" t="e">
            <v>#N/A</v>
          </cell>
          <cell r="J948" t="e">
            <v>#N/A</v>
          </cell>
          <cell r="K948">
            <v>90</v>
          </cell>
          <cell r="L948">
            <v>50</v>
          </cell>
          <cell r="M948" t="e">
            <v>#N/A</v>
          </cell>
          <cell r="N948">
            <v>80</v>
          </cell>
          <cell r="O948" t="e">
            <v>#N/A</v>
          </cell>
          <cell r="P948" t="str">
            <v/>
          </cell>
          <cell r="Q948" t="str">
            <v/>
          </cell>
          <cell r="R948" t="e">
            <v>#N/A</v>
          </cell>
        </row>
        <row r="949">
          <cell r="A949" t="str">
            <v/>
          </cell>
          <cell r="B949" t="str">
            <v/>
          </cell>
          <cell r="C949" t="str">
            <v>Future</v>
          </cell>
          <cell r="D949" t="e">
            <v>#N/A</v>
          </cell>
          <cell r="E949">
            <v>-34.255393700786961</v>
          </cell>
          <cell r="F949">
            <v>104.28791338582924</v>
          </cell>
          <cell r="G949">
            <v>42.713110236220309</v>
          </cell>
          <cell r="H949">
            <v>42.713110236220309</v>
          </cell>
          <cell r="I949" t="e">
            <v>#N/A</v>
          </cell>
          <cell r="J949" t="e">
            <v>#N/A</v>
          </cell>
          <cell r="K949">
            <v>90</v>
          </cell>
          <cell r="L949">
            <v>50</v>
          </cell>
          <cell r="M949" t="e">
            <v>#N/A</v>
          </cell>
          <cell r="N949">
            <v>80</v>
          </cell>
          <cell r="O949" t="e">
            <v>#N/A</v>
          </cell>
          <cell r="P949" t="str">
            <v/>
          </cell>
          <cell r="Q949" t="str">
            <v/>
          </cell>
          <cell r="R949" t="e">
            <v>#N/A</v>
          </cell>
        </row>
        <row r="950">
          <cell r="A950" t="str">
            <v/>
          </cell>
          <cell r="B950" t="str">
            <v/>
          </cell>
          <cell r="C950" t="str">
            <v>Future</v>
          </cell>
          <cell r="D950" t="e">
            <v>#N/A</v>
          </cell>
          <cell r="E950">
            <v>-34.505433070865699</v>
          </cell>
          <cell r="F950">
            <v>104.39220472441193</v>
          </cell>
          <cell r="G950">
            <v>42.659921259842356</v>
          </cell>
          <cell r="H950">
            <v>42.659921259842356</v>
          </cell>
          <cell r="I950" t="e">
            <v>#N/A</v>
          </cell>
          <cell r="J950" t="e">
            <v>#N/A</v>
          </cell>
          <cell r="K950">
            <v>90</v>
          </cell>
          <cell r="L950">
            <v>50</v>
          </cell>
          <cell r="M950" t="e">
            <v>#N/A</v>
          </cell>
          <cell r="N950">
            <v>80</v>
          </cell>
          <cell r="O950" t="e">
            <v>#N/A</v>
          </cell>
          <cell r="P950" t="str">
            <v/>
          </cell>
          <cell r="Q950" t="str">
            <v/>
          </cell>
          <cell r="R950" t="e">
            <v>#N/A</v>
          </cell>
        </row>
        <row r="951">
          <cell r="A951" t="str">
            <v/>
          </cell>
          <cell r="B951" t="str">
            <v/>
          </cell>
          <cell r="C951" t="str">
            <v>Future</v>
          </cell>
          <cell r="D951" t="e">
            <v>#N/A</v>
          </cell>
          <cell r="E951">
            <v>-34.755472440944438</v>
          </cell>
          <cell r="F951">
            <v>104.49649606299461</v>
          </cell>
          <cell r="G951">
            <v>42.606732283464403</v>
          </cell>
          <cell r="H951">
            <v>42.606732283464403</v>
          </cell>
          <cell r="I951" t="e">
            <v>#N/A</v>
          </cell>
          <cell r="J951" t="e">
            <v>#N/A</v>
          </cell>
          <cell r="K951">
            <v>90</v>
          </cell>
          <cell r="L951">
            <v>50</v>
          </cell>
          <cell r="M951" t="e">
            <v>#N/A</v>
          </cell>
          <cell r="N951">
            <v>80</v>
          </cell>
          <cell r="O951" t="e">
            <v>#N/A</v>
          </cell>
          <cell r="P951" t="str">
            <v/>
          </cell>
          <cell r="Q951" t="str">
            <v/>
          </cell>
          <cell r="R951" t="e">
            <v>#N/A</v>
          </cell>
        </row>
        <row r="952">
          <cell r="A952" t="str">
            <v/>
          </cell>
          <cell r="B952" t="str">
            <v/>
          </cell>
          <cell r="C952" t="str">
            <v>Future</v>
          </cell>
          <cell r="D952" t="e">
            <v>#N/A</v>
          </cell>
          <cell r="E952">
            <v>-35.005511811023176</v>
          </cell>
          <cell r="F952">
            <v>104.60078740157729</v>
          </cell>
          <cell r="G952">
            <v>42.55354330708645</v>
          </cell>
          <cell r="H952">
            <v>42.55354330708645</v>
          </cell>
          <cell r="I952" t="e">
            <v>#N/A</v>
          </cell>
          <cell r="J952" t="e">
            <v>#N/A</v>
          </cell>
          <cell r="K952">
            <v>90</v>
          </cell>
          <cell r="L952">
            <v>50</v>
          </cell>
          <cell r="M952" t="e">
            <v>#N/A</v>
          </cell>
          <cell r="N952">
            <v>80</v>
          </cell>
          <cell r="O952" t="e">
            <v>#N/A</v>
          </cell>
          <cell r="P952" t="str">
            <v/>
          </cell>
          <cell r="Q952" t="str">
            <v/>
          </cell>
          <cell r="R952" t="e">
            <v>#N/A</v>
          </cell>
        </row>
        <row r="953">
          <cell r="A953" t="str">
            <v/>
          </cell>
          <cell r="B953" t="str">
            <v/>
          </cell>
          <cell r="C953" t="str">
            <v>Future</v>
          </cell>
          <cell r="D953" t="e">
            <v>#N/A</v>
          </cell>
          <cell r="E953">
            <v>-35.255551181101914</v>
          </cell>
          <cell r="F953">
            <v>104.70507874015998</v>
          </cell>
          <cell r="G953">
            <v>42.500354330708497</v>
          </cell>
          <cell r="H953">
            <v>42.500354330708497</v>
          </cell>
          <cell r="I953" t="e">
            <v>#N/A</v>
          </cell>
          <cell r="J953" t="e">
            <v>#N/A</v>
          </cell>
          <cell r="K953">
            <v>90</v>
          </cell>
          <cell r="L953">
            <v>50</v>
          </cell>
          <cell r="M953" t="e">
            <v>#N/A</v>
          </cell>
          <cell r="N953">
            <v>80</v>
          </cell>
          <cell r="O953" t="e">
            <v>#N/A</v>
          </cell>
          <cell r="P953" t="str">
            <v/>
          </cell>
          <cell r="Q953" t="str">
            <v/>
          </cell>
          <cell r="R953" t="e">
            <v>#N/A</v>
          </cell>
        </row>
        <row r="954">
          <cell r="A954" t="str">
            <v/>
          </cell>
          <cell r="B954" t="str">
            <v/>
          </cell>
          <cell r="C954" t="str">
            <v>Future</v>
          </cell>
          <cell r="D954" t="e">
            <v>#N/A</v>
          </cell>
          <cell r="E954">
            <v>-35.505590551180653</v>
          </cell>
          <cell r="F954">
            <v>104.80937007874266</v>
          </cell>
          <cell r="G954">
            <v>42.447165354330544</v>
          </cell>
          <cell r="H954">
            <v>42.447165354330544</v>
          </cell>
          <cell r="I954" t="e">
            <v>#N/A</v>
          </cell>
          <cell r="J954" t="e">
            <v>#N/A</v>
          </cell>
          <cell r="K954">
            <v>90</v>
          </cell>
          <cell r="L954">
            <v>50</v>
          </cell>
          <cell r="M954" t="e">
            <v>#N/A</v>
          </cell>
          <cell r="N954">
            <v>80</v>
          </cell>
          <cell r="O954" t="e">
            <v>#N/A</v>
          </cell>
          <cell r="P954" t="str">
            <v/>
          </cell>
          <cell r="Q954" t="str">
            <v/>
          </cell>
          <cell r="R954" t="e">
            <v>#N/A</v>
          </cell>
        </row>
        <row r="955">
          <cell r="A955" t="str">
            <v/>
          </cell>
          <cell r="B955" t="str">
            <v/>
          </cell>
          <cell r="C955" t="str">
            <v>Future</v>
          </cell>
          <cell r="D955" t="e">
            <v>#N/A</v>
          </cell>
          <cell r="E955">
            <v>-35.755629921259391</v>
          </cell>
          <cell r="F955">
            <v>104.91366141732534</v>
          </cell>
          <cell r="G955">
            <v>42.39397637795259</v>
          </cell>
          <cell r="H955">
            <v>42.39397637795259</v>
          </cell>
          <cell r="I955" t="e">
            <v>#N/A</v>
          </cell>
          <cell r="J955" t="e">
            <v>#N/A</v>
          </cell>
          <cell r="K955">
            <v>90</v>
          </cell>
          <cell r="L955">
            <v>50</v>
          </cell>
          <cell r="M955" t="e">
            <v>#N/A</v>
          </cell>
          <cell r="N955">
            <v>80</v>
          </cell>
          <cell r="O955" t="e">
            <v>#N/A</v>
          </cell>
          <cell r="P955" t="str">
            <v/>
          </cell>
          <cell r="Q955" t="str">
            <v/>
          </cell>
          <cell r="R955" t="e">
            <v>#N/A</v>
          </cell>
        </row>
        <row r="956">
          <cell r="A956" t="str">
            <v/>
          </cell>
          <cell r="B956" t="str">
            <v/>
          </cell>
          <cell r="C956" t="str">
            <v>Future</v>
          </cell>
          <cell r="D956" t="e">
            <v>#N/A</v>
          </cell>
          <cell r="E956">
            <v>-36.00566929133813</v>
          </cell>
          <cell r="F956">
            <v>105.01795275590803</v>
          </cell>
          <cell r="G956">
            <v>42.340787401574637</v>
          </cell>
          <cell r="H956">
            <v>42.340787401574637</v>
          </cell>
          <cell r="I956" t="e">
            <v>#N/A</v>
          </cell>
          <cell r="J956" t="e">
            <v>#N/A</v>
          </cell>
          <cell r="K956">
            <v>90</v>
          </cell>
          <cell r="L956">
            <v>50</v>
          </cell>
          <cell r="M956" t="e">
            <v>#N/A</v>
          </cell>
          <cell r="N956">
            <v>80</v>
          </cell>
          <cell r="O956" t="e">
            <v>#N/A</v>
          </cell>
          <cell r="P956" t="str">
            <v/>
          </cell>
          <cell r="Q956" t="str">
            <v/>
          </cell>
          <cell r="R956" t="e">
            <v>#N/A</v>
          </cell>
        </row>
        <row r="957">
          <cell r="A957" t="str">
            <v/>
          </cell>
          <cell r="B957" t="str">
            <v/>
          </cell>
          <cell r="C957" t="str">
            <v>Future</v>
          </cell>
          <cell r="D957" t="e">
            <v>#N/A</v>
          </cell>
          <cell r="E957">
            <v>-36.255708661416868</v>
          </cell>
          <cell r="F957">
            <v>105.12224409449071</v>
          </cell>
          <cell r="G957">
            <v>42.287598425196684</v>
          </cell>
          <cell r="H957">
            <v>42.287598425196684</v>
          </cell>
          <cell r="I957" t="e">
            <v>#N/A</v>
          </cell>
          <cell r="J957" t="e">
            <v>#N/A</v>
          </cell>
          <cell r="K957">
            <v>90</v>
          </cell>
          <cell r="L957">
            <v>50</v>
          </cell>
          <cell r="M957" t="e">
            <v>#N/A</v>
          </cell>
          <cell r="N957">
            <v>80</v>
          </cell>
          <cell r="O957" t="e">
            <v>#N/A</v>
          </cell>
          <cell r="P957" t="str">
            <v/>
          </cell>
          <cell r="Q957" t="str">
            <v/>
          </cell>
          <cell r="R957" t="e">
            <v>#N/A</v>
          </cell>
        </row>
        <row r="958">
          <cell r="A958" t="str">
            <v/>
          </cell>
          <cell r="B958" t="str">
            <v/>
          </cell>
          <cell r="C958" t="str">
            <v>Future</v>
          </cell>
          <cell r="D958" t="e">
            <v>#N/A</v>
          </cell>
          <cell r="E958">
            <v>-36.505748031495607</v>
          </cell>
          <cell r="F958">
            <v>105.22653543307339</v>
          </cell>
          <cell r="G958">
            <v>42.234409448818731</v>
          </cell>
          <cell r="H958">
            <v>42.234409448818731</v>
          </cell>
          <cell r="I958" t="e">
            <v>#N/A</v>
          </cell>
          <cell r="J958" t="e">
            <v>#N/A</v>
          </cell>
          <cell r="K958">
            <v>90</v>
          </cell>
          <cell r="L958">
            <v>50</v>
          </cell>
          <cell r="M958" t="e">
            <v>#N/A</v>
          </cell>
          <cell r="N958">
            <v>80</v>
          </cell>
          <cell r="O958" t="e">
            <v>#N/A</v>
          </cell>
          <cell r="P958" t="str">
            <v/>
          </cell>
          <cell r="Q958" t="str">
            <v/>
          </cell>
          <cell r="R958" t="e">
            <v>#N/A</v>
          </cell>
        </row>
        <row r="959">
          <cell r="A959" t="str">
            <v/>
          </cell>
          <cell r="B959" t="str">
            <v/>
          </cell>
          <cell r="C959" t="str">
            <v>Future</v>
          </cell>
          <cell r="D959" t="e">
            <v>#N/A</v>
          </cell>
          <cell r="E959">
            <v>-36.755787401574345</v>
          </cell>
          <cell r="F959">
            <v>105.33082677165608</v>
          </cell>
          <cell r="G959">
            <v>42.181220472440778</v>
          </cell>
          <cell r="H959">
            <v>42.181220472440778</v>
          </cell>
          <cell r="I959" t="e">
            <v>#N/A</v>
          </cell>
          <cell r="J959" t="e">
            <v>#N/A</v>
          </cell>
          <cell r="K959">
            <v>90</v>
          </cell>
          <cell r="L959">
            <v>50</v>
          </cell>
          <cell r="M959" t="e">
            <v>#N/A</v>
          </cell>
          <cell r="N959">
            <v>80</v>
          </cell>
          <cell r="O959" t="e">
            <v>#N/A</v>
          </cell>
          <cell r="P959" t="str">
            <v/>
          </cell>
          <cell r="Q959" t="str">
            <v/>
          </cell>
          <cell r="R959" t="e">
            <v>#N/A</v>
          </cell>
        </row>
        <row r="960">
          <cell r="A960" t="str">
            <v/>
          </cell>
          <cell r="B960" t="str">
            <v/>
          </cell>
          <cell r="C960" t="str">
            <v>Future</v>
          </cell>
          <cell r="D960" t="e">
            <v>#N/A</v>
          </cell>
          <cell r="E960">
            <v>-37.005826771653084</v>
          </cell>
          <cell r="F960">
            <v>105.43511811023876</v>
          </cell>
          <cell r="G960">
            <v>42.128031496062825</v>
          </cell>
          <cell r="H960">
            <v>42.128031496062825</v>
          </cell>
          <cell r="I960" t="e">
            <v>#N/A</v>
          </cell>
          <cell r="J960" t="e">
            <v>#N/A</v>
          </cell>
          <cell r="K960">
            <v>90</v>
          </cell>
          <cell r="L960">
            <v>50</v>
          </cell>
          <cell r="M960" t="e">
            <v>#N/A</v>
          </cell>
          <cell r="N960">
            <v>80</v>
          </cell>
          <cell r="O960" t="e">
            <v>#N/A</v>
          </cell>
          <cell r="P960" t="str">
            <v/>
          </cell>
          <cell r="Q960" t="str">
            <v/>
          </cell>
          <cell r="R960" t="e">
            <v>#N/A</v>
          </cell>
        </row>
        <row r="961">
          <cell r="A961" t="str">
            <v/>
          </cell>
          <cell r="B961" t="str">
            <v/>
          </cell>
          <cell r="C961" t="str">
            <v>Future</v>
          </cell>
          <cell r="D961" t="e">
            <v>#N/A</v>
          </cell>
          <cell r="E961">
            <v>-37.255866141731822</v>
          </cell>
          <cell r="F961">
            <v>105.53940944882144</v>
          </cell>
          <cell r="G961">
            <v>42.074842519684871</v>
          </cell>
          <cell r="H961">
            <v>42.074842519684871</v>
          </cell>
          <cell r="I961" t="e">
            <v>#N/A</v>
          </cell>
          <cell r="J961" t="e">
            <v>#N/A</v>
          </cell>
          <cell r="K961">
            <v>90</v>
          </cell>
          <cell r="L961">
            <v>50</v>
          </cell>
          <cell r="M961" t="e">
            <v>#N/A</v>
          </cell>
          <cell r="N961">
            <v>80</v>
          </cell>
          <cell r="O961" t="e">
            <v>#N/A</v>
          </cell>
          <cell r="P961" t="str">
            <v/>
          </cell>
          <cell r="Q961" t="str">
            <v/>
          </cell>
          <cell r="R961" t="e">
            <v>#N/A</v>
          </cell>
        </row>
        <row r="962">
          <cell r="A962" t="str">
            <v/>
          </cell>
          <cell r="B962" t="str">
            <v/>
          </cell>
          <cell r="C962" t="str">
            <v>Future</v>
          </cell>
          <cell r="D962" t="e">
            <v>#N/A</v>
          </cell>
          <cell r="E962">
            <v>-37.50590551181056</v>
          </cell>
          <cell r="F962">
            <v>105.64370078740413</v>
          </cell>
          <cell r="G962">
            <v>42.021653543306918</v>
          </cell>
          <cell r="H962">
            <v>42.021653543306918</v>
          </cell>
          <cell r="I962" t="e">
            <v>#N/A</v>
          </cell>
          <cell r="J962" t="e">
            <v>#N/A</v>
          </cell>
          <cell r="K962">
            <v>90</v>
          </cell>
          <cell r="L962">
            <v>50</v>
          </cell>
          <cell r="M962" t="e">
            <v>#N/A</v>
          </cell>
          <cell r="N962">
            <v>80</v>
          </cell>
          <cell r="O962" t="e">
            <v>#N/A</v>
          </cell>
          <cell r="P962" t="str">
            <v/>
          </cell>
          <cell r="Q962" t="str">
            <v/>
          </cell>
          <cell r="R962" t="e">
            <v>#N/A</v>
          </cell>
        </row>
        <row r="963">
          <cell r="A963" t="str">
            <v/>
          </cell>
          <cell r="B963" t="str">
            <v/>
          </cell>
          <cell r="C963" t="str">
            <v>Future</v>
          </cell>
          <cell r="D963" t="e">
            <v>#N/A</v>
          </cell>
          <cell r="E963">
            <v>-37.755944881889299</v>
          </cell>
          <cell r="F963">
            <v>105.74799212598681</v>
          </cell>
          <cell r="G963">
            <v>41.968464566928965</v>
          </cell>
          <cell r="H963">
            <v>41.968464566928965</v>
          </cell>
          <cell r="I963" t="e">
            <v>#N/A</v>
          </cell>
          <cell r="J963" t="e">
            <v>#N/A</v>
          </cell>
          <cell r="K963">
            <v>90</v>
          </cell>
          <cell r="L963">
            <v>50</v>
          </cell>
          <cell r="M963" t="e">
            <v>#N/A</v>
          </cell>
          <cell r="N963">
            <v>80</v>
          </cell>
          <cell r="O963" t="e">
            <v>#N/A</v>
          </cell>
          <cell r="P963" t="str">
            <v/>
          </cell>
          <cell r="Q963" t="str">
            <v/>
          </cell>
          <cell r="R963" t="e">
            <v>#N/A</v>
          </cell>
        </row>
        <row r="964">
          <cell r="A964" t="str">
            <v/>
          </cell>
          <cell r="B964" t="str">
            <v/>
          </cell>
          <cell r="C964" t="str">
            <v>Future</v>
          </cell>
          <cell r="D964" t="e">
            <v>#N/A</v>
          </cell>
          <cell r="E964">
            <v>-38.005984251968037</v>
          </cell>
          <cell r="F964">
            <v>105.8522834645695</v>
          </cell>
          <cell r="G964">
            <v>41.915275590551012</v>
          </cell>
          <cell r="H964">
            <v>41.915275590551012</v>
          </cell>
          <cell r="I964" t="e">
            <v>#N/A</v>
          </cell>
          <cell r="J964" t="e">
            <v>#N/A</v>
          </cell>
          <cell r="K964">
            <v>90</v>
          </cell>
          <cell r="L964">
            <v>50</v>
          </cell>
          <cell r="M964" t="e">
            <v>#N/A</v>
          </cell>
          <cell r="N964">
            <v>80</v>
          </cell>
          <cell r="O964" t="e">
            <v>#N/A</v>
          </cell>
          <cell r="P964" t="str">
            <v/>
          </cell>
          <cell r="Q964" t="str">
            <v/>
          </cell>
          <cell r="R964" t="e">
            <v>#N/A</v>
          </cell>
        </row>
        <row r="965">
          <cell r="A965" t="str">
            <v/>
          </cell>
          <cell r="B965" t="str">
            <v/>
          </cell>
          <cell r="C965" t="str">
            <v>Future</v>
          </cell>
          <cell r="D965" t="e">
            <v>#N/A</v>
          </cell>
          <cell r="E965">
            <v>-38.256023622046776</v>
          </cell>
          <cell r="F965">
            <v>105.95657480315218</v>
          </cell>
          <cell r="G965">
            <v>41.862086614173059</v>
          </cell>
          <cell r="H965">
            <v>41.862086614173059</v>
          </cell>
          <cell r="I965" t="e">
            <v>#N/A</v>
          </cell>
          <cell r="J965" t="e">
            <v>#N/A</v>
          </cell>
          <cell r="K965">
            <v>90</v>
          </cell>
          <cell r="L965">
            <v>50</v>
          </cell>
          <cell r="M965" t="e">
            <v>#N/A</v>
          </cell>
          <cell r="N965">
            <v>80</v>
          </cell>
          <cell r="O965" t="e">
            <v>#N/A</v>
          </cell>
          <cell r="P965" t="str">
            <v/>
          </cell>
          <cell r="Q965" t="str">
            <v/>
          </cell>
          <cell r="R965" t="e">
            <v>#N/A</v>
          </cell>
        </row>
        <row r="966">
          <cell r="A966" t="str">
            <v/>
          </cell>
          <cell r="B966" t="str">
            <v/>
          </cell>
          <cell r="C966" t="str">
            <v>Future</v>
          </cell>
          <cell r="D966" t="e">
            <v>#N/A</v>
          </cell>
          <cell r="E966">
            <v>-38.506062992125514</v>
          </cell>
          <cell r="F966">
            <v>106.06086614173486</v>
          </cell>
          <cell r="G966">
            <v>41.808897637795106</v>
          </cell>
          <cell r="H966">
            <v>41.808897637795106</v>
          </cell>
          <cell r="I966" t="e">
            <v>#N/A</v>
          </cell>
          <cell r="J966" t="e">
            <v>#N/A</v>
          </cell>
          <cell r="K966">
            <v>90</v>
          </cell>
          <cell r="L966">
            <v>50</v>
          </cell>
          <cell r="M966" t="e">
            <v>#N/A</v>
          </cell>
          <cell r="N966">
            <v>80</v>
          </cell>
          <cell r="O966" t="e">
            <v>#N/A</v>
          </cell>
          <cell r="P966" t="str">
            <v/>
          </cell>
          <cell r="Q966" t="str">
            <v/>
          </cell>
          <cell r="R966" t="e">
            <v>#N/A</v>
          </cell>
        </row>
        <row r="967">
          <cell r="A967" t="str">
            <v/>
          </cell>
          <cell r="B967" t="str">
            <v/>
          </cell>
          <cell r="C967" t="str">
            <v>Future</v>
          </cell>
          <cell r="D967" t="e">
            <v>#N/A</v>
          </cell>
          <cell r="E967">
            <v>-38.756102362204253</v>
          </cell>
          <cell r="F967">
            <v>106.16515748031755</v>
          </cell>
          <cell r="G967">
            <v>41.755708661417152</v>
          </cell>
          <cell r="H967">
            <v>41.755708661417152</v>
          </cell>
          <cell r="I967" t="e">
            <v>#N/A</v>
          </cell>
          <cell r="J967" t="e">
            <v>#N/A</v>
          </cell>
          <cell r="K967">
            <v>90</v>
          </cell>
          <cell r="L967">
            <v>50</v>
          </cell>
          <cell r="M967" t="e">
            <v>#N/A</v>
          </cell>
          <cell r="N967">
            <v>80</v>
          </cell>
          <cell r="O967" t="e">
            <v>#N/A</v>
          </cell>
          <cell r="P967" t="str">
            <v/>
          </cell>
          <cell r="Q967" t="str">
            <v/>
          </cell>
          <cell r="R967" t="e">
            <v>#N/A</v>
          </cell>
        </row>
        <row r="968">
          <cell r="A968" t="str">
            <v/>
          </cell>
          <cell r="B968" t="str">
            <v/>
          </cell>
          <cell r="C968" t="str">
            <v>Future</v>
          </cell>
          <cell r="D968" t="e">
            <v>#N/A</v>
          </cell>
          <cell r="E968">
            <v>-39.006141732282991</v>
          </cell>
          <cell r="F968">
            <v>106.26944881890023</v>
          </cell>
          <cell r="G968">
            <v>41.702519685039199</v>
          </cell>
          <cell r="H968">
            <v>41.702519685039199</v>
          </cell>
          <cell r="I968" t="e">
            <v>#N/A</v>
          </cell>
          <cell r="J968" t="e">
            <v>#N/A</v>
          </cell>
          <cell r="K968">
            <v>90</v>
          </cell>
          <cell r="L968">
            <v>50</v>
          </cell>
          <cell r="M968" t="e">
            <v>#N/A</v>
          </cell>
          <cell r="N968">
            <v>80</v>
          </cell>
          <cell r="O968" t="e">
            <v>#N/A</v>
          </cell>
          <cell r="P968" t="str">
            <v/>
          </cell>
          <cell r="Q968" t="str">
            <v/>
          </cell>
          <cell r="R968" t="e">
            <v>#N/A</v>
          </cell>
        </row>
        <row r="969">
          <cell r="A969" t="str">
            <v/>
          </cell>
          <cell r="B969" t="str">
            <v/>
          </cell>
          <cell r="C969" t="str">
            <v>Future</v>
          </cell>
          <cell r="D969" t="e">
            <v>#N/A</v>
          </cell>
          <cell r="E969">
            <v>-39.25618110236173</v>
          </cell>
          <cell r="F969">
            <v>106.37374015748291</v>
          </cell>
          <cell r="G969">
            <v>41.649330708661246</v>
          </cell>
          <cell r="H969">
            <v>41.649330708661246</v>
          </cell>
          <cell r="I969" t="e">
            <v>#N/A</v>
          </cell>
          <cell r="J969" t="e">
            <v>#N/A</v>
          </cell>
          <cell r="K969">
            <v>90</v>
          </cell>
          <cell r="L969">
            <v>50</v>
          </cell>
          <cell r="M969" t="e">
            <v>#N/A</v>
          </cell>
          <cell r="N969">
            <v>80</v>
          </cell>
          <cell r="O969" t="e">
            <v>#N/A</v>
          </cell>
          <cell r="P969" t="str">
            <v/>
          </cell>
          <cell r="Q969" t="str">
            <v/>
          </cell>
          <cell r="R969" t="e">
            <v>#N/A</v>
          </cell>
        </row>
        <row r="970">
          <cell r="A970" t="str">
            <v/>
          </cell>
          <cell r="B970" t="str">
            <v/>
          </cell>
          <cell r="C970" t="str">
            <v>Future</v>
          </cell>
          <cell r="D970" t="e">
            <v>#N/A</v>
          </cell>
          <cell r="E970">
            <v>-39.506220472440468</v>
          </cell>
          <cell r="F970">
            <v>106.4780314960656</v>
          </cell>
          <cell r="G970">
            <v>41.596141732283293</v>
          </cell>
          <cell r="H970">
            <v>41.596141732283293</v>
          </cell>
          <cell r="I970" t="e">
            <v>#N/A</v>
          </cell>
          <cell r="J970" t="e">
            <v>#N/A</v>
          </cell>
          <cell r="K970">
            <v>90</v>
          </cell>
          <cell r="L970">
            <v>50</v>
          </cell>
          <cell r="M970" t="e">
            <v>#N/A</v>
          </cell>
          <cell r="N970">
            <v>80</v>
          </cell>
          <cell r="O970" t="e">
            <v>#N/A</v>
          </cell>
          <cell r="P970" t="str">
            <v/>
          </cell>
          <cell r="Q970" t="str">
            <v/>
          </cell>
          <cell r="R970" t="e">
            <v>#N/A</v>
          </cell>
        </row>
        <row r="971">
          <cell r="A971" t="str">
            <v/>
          </cell>
          <cell r="B971" t="str">
            <v/>
          </cell>
          <cell r="C971" t="str">
            <v>Future</v>
          </cell>
          <cell r="D971" t="e">
            <v>#N/A</v>
          </cell>
          <cell r="E971">
            <v>-39.756259842519206</v>
          </cell>
          <cell r="F971">
            <v>106.58232283464828</v>
          </cell>
          <cell r="G971">
            <v>41.54295275590534</v>
          </cell>
          <cell r="H971">
            <v>41.54295275590534</v>
          </cell>
          <cell r="I971" t="e">
            <v>#N/A</v>
          </cell>
          <cell r="J971" t="e">
            <v>#N/A</v>
          </cell>
          <cell r="K971">
            <v>90</v>
          </cell>
          <cell r="L971">
            <v>50</v>
          </cell>
          <cell r="M971" t="e">
            <v>#N/A</v>
          </cell>
          <cell r="N971">
            <v>80</v>
          </cell>
          <cell r="O971" t="e">
            <v>#N/A</v>
          </cell>
          <cell r="P971" t="str">
            <v/>
          </cell>
          <cell r="Q971" t="str">
            <v/>
          </cell>
          <cell r="R971" t="e">
            <v>#N/A</v>
          </cell>
        </row>
        <row r="972">
          <cell r="A972" t="str">
            <v/>
          </cell>
          <cell r="B972" t="str">
            <v/>
          </cell>
          <cell r="C972" t="str">
            <v>Future</v>
          </cell>
          <cell r="D972" t="e">
            <v>#N/A</v>
          </cell>
          <cell r="E972">
            <v>-40.006299212597945</v>
          </cell>
          <cell r="F972">
            <v>106.68661417323096</v>
          </cell>
          <cell r="G972">
            <v>41.489763779527387</v>
          </cell>
          <cell r="H972">
            <v>41.489763779527387</v>
          </cell>
          <cell r="I972" t="e">
            <v>#N/A</v>
          </cell>
          <cell r="J972" t="e">
            <v>#N/A</v>
          </cell>
          <cell r="K972">
            <v>90</v>
          </cell>
          <cell r="L972">
            <v>50</v>
          </cell>
          <cell r="M972" t="e">
            <v>#N/A</v>
          </cell>
          <cell r="N972">
            <v>80</v>
          </cell>
          <cell r="O972" t="e">
            <v>#N/A</v>
          </cell>
          <cell r="P972" t="str">
            <v/>
          </cell>
          <cell r="Q972" t="str">
            <v/>
          </cell>
          <cell r="R972" t="e">
            <v>#N/A</v>
          </cell>
        </row>
        <row r="973">
          <cell r="A973" t="str">
            <v/>
          </cell>
          <cell r="B973" t="str">
            <v/>
          </cell>
          <cell r="C973" t="str">
            <v>Future</v>
          </cell>
          <cell r="D973" t="e">
            <v>#N/A</v>
          </cell>
          <cell r="E973">
            <v>-40.256338582676683</v>
          </cell>
          <cell r="F973">
            <v>106.79090551181365</v>
          </cell>
          <cell r="G973">
            <v>41.436574803149433</v>
          </cell>
          <cell r="H973">
            <v>41.436574803149433</v>
          </cell>
          <cell r="I973" t="e">
            <v>#N/A</v>
          </cell>
          <cell r="J973" t="e">
            <v>#N/A</v>
          </cell>
          <cell r="K973">
            <v>90</v>
          </cell>
          <cell r="L973">
            <v>50</v>
          </cell>
          <cell r="M973" t="e">
            <v>#N/A</v>
          </cell>
          <cell r="N973">
            <v>80</v>
          </cell>
          <cell r="O973" t="e">
            <v>#N/A</v>
          </cell>
          <cell r="P973" t="str">
            <v/>
          </cell>
          <cell r="Q973" t="str">
            <v/>
          </cell>
          <cell r="R973" t="e">
            <v>#N/A</v>
          </cell>
        </row>
        <row r="974">
          <cell r="A974" t="str">
            <v/>
          </cell>
          <cell r="B974" t="str">
            <v/>
          </cell>
          <cell r="C974" t="str">
            <v>Future</v>
          </cell>
          <cell r="D974" t="e">
            <v>#N/A</v>
          </cell>
          <cell r="E974">
            <v>-40.506377952755422</v>
          </cell>
          <cell r="F974">
            <v>106.89519685039633</v>
          </cell>
          <cell r="G974">
            <v>41.38338582677148</v>
          </cell>
          <cell r="H974">
            <v>41.38338582677148</v>
          </cell>
          <cell r="I974" t="e">
            <v>#N/A</v>
          </cell>
          <cell r="J974" t="e">
            <v>#N/A</v>
          </cell>
          <cell r="K974">
            <v>90</v>
          </cell>
          <cell r="L974">
            <v>50</v>
          </cell>
          <cell r="M974" t="e">
            <v>#N/A</v>
          </cell>
          <cell r="N974">
            <v>80</v>
          </cell>
          <cell r="O974" t="e">
            <v>#N/A</v>
          </cell>
          <cell r="P974" t="str">
            <v/>
          </cell>
          <cell r="Q974" t="str">
            <v/>
          </cell>
          <cell r="R974" t="e">
            <v>#N/A</v>
          </cell>
        </row>
        <row r="975">
          <cell r="A975" t="str">
            <v/>
          </cell>
          <cell r="B975" t="str">
            <v/>
          </cell>
          <cell r="C975" t="str">
            <v>Future</v>
          </cell>
          <cell r="D975" t="e">
            <v>#N/A</v>
          </cell>
          <cell r="E975">
            <v>-40.75641732283416</v>
          </cell>
          <cell r="F975">
            <v>106.99948818897902</v>
          </cell>
          <cell r="G975">
            <v>41.330196850393527</v>
          </cell>
          <cell r="H975">
            <v>41.330196850393527</v>
          </cell>
          <cell r="I975" t="e">
            <v>#N/A</v>
          </cell>
          <cell r="J975" t="e">
            <v>#N/A</v>
          </cell>
          <cell r="K975">
            <v>90</v>
          </cell>
          <cell r="L975">
            <v>50</v>
          </cell>
          <cell r="M975" t="e">
            <v>#N/A</v>
          </cell>
          <cell r="N975">
            <v>80</v>
          </cell>
          <cell r="O975" t="e">
            <v>#N/A</v>
          </cell>
          <cell r="P975" t="str">
            <v/>
          </cell>
          <cell r="Q975" t="str">
            <v/>
          </cell>
          <cell r="R975" t="e">
            <v>#N/A</v>
          </cell>
        </row>
        <row r="976">
          <cell r="A976" t="str">
            <v/>
          </cell>
          <cell r="B976" t="str">
            <v/>
          </cell>
          <cell r="C976" t="str">
            <v>Future</v>
          </cell>
          <cell r="D976" t="e">
            <v>#N/A</v>
          </cell>
          <cell r="E976">
            <v>-41.006456692912899</v>
          </cell>
          <cell r="F976">
            <v>107.1037795275617</v>
          </cell>
          <cell r="G976">
            <v>41.277007874015574</v>
          </cell>
          <cell r="H976">
            <v>41.277007874015574</v>
          </cell>
          <cell r="I976" t="e">
            <v>#N/A</v>
          </cell>
          <cell r="J976" t="e">
            <v>#N/A</v>
          </cell>
          <cell r="K976">
            <v>90</v>
          </cell>
          <cell r="L976">
            <v>50</v>
          </cell>
          <cell r="M976" t="e">
            <v>#N/A</v>
          </cell>
          <cell r="N976">
            <v>80</v>
          </cell>
          <cell r="O976" t="e">
            <v>#N/A</v>
          </cell>
          <cell r="P976" t="str">
            <v/>
          </cell>
          <cell r="Q976" t="str">
            <v/>
          </cell>
          <cell r="R976" t="e">
            <v>#N/A</v>
          </cell>
        </row>
        <row r="977">
          <cell r="A977" t="str">
            <v/>
          </cell>
          <cell r="B977" t="str">
            <v/>
          </cell>
          <cell r="C977" t="str">
            <v>Future</v>
          </cell>
          <cell r="D977" t="e">
            <v>#N/A</v>
          </cell>
          <cell r="E977">
            <v>-41.256496062991637</v>
          </cell>
          <cell r="F977">
            <v>107.20807086614438</v>
          </cell>
          <cell r="G977">
            <v>41.223818897637621</v>
          </cell>
          <cell r="H977">
            <v>41.223818897637621</v>
          </cell>
          <cell r="I977" t="e">
            <v>#N/A</v>
          </cell>
          <cell r="J977" t="e">
            <v>#N/A</v>
          </cell>
          <cell r="K977">
            <v>90</v>
          </cell>
          <cell r="L977">
            <v>50</v>
          </cell>
          <cell r="M977" t="e">
            <v>#N/A</v>
          </cell>
          <cell r="N977">
            <v>80</v>
          </cell>
          <cell r="O977" t="e">
            <v>#N/A</v>
          </cell>
          <cell r="P977" t="str">
            <v/>
          </cell>
          <cell r="Q977" t="str">
            <v/>
          </cell>
          <cell r="R977" t="e">
            <v>#N/A</v>
          </cell>
        </row>
        <row r="978">
          <cell r="A978" t="str">
            <v/>
          </cell>
          <cell r="B978" t="str">
            <v/>
          </cell>
          <cell r="C978" t="str">
            <v>Future</v>
          </cell>
          <cell r="D978" t="e">
            <v>#N/A</v>
          </cell>
          <cell r="E978">
            <v>-41.506535433070376</v>
          </cell>
          <cell r="F978">
            <v>107.31236220472707</v>
          </cell>
          <cell r="G978">
            <v>41.170629921259668</v>
          </cell>
          <cell r="H978">
            <v>41.170629921259668</v>
          </cell>
          <cell r="I978" t="e">
            <v>#N/A</v>
          </cell>
          <cell r="J978" t="e">
            <v>#N/A</v>
          </cell>
          <cell r="K978">
            <v>90</v>
          </cell>
          <cell r="L978">
            <v>50</v>
          </cell>
          <cell r="M978" t="e">
            <v>#N/A</v>
          </cell>
          <cell r="N978">
            <v>80</v>
          </cell>
          <cell r="O978" t="e">
            <v>#N/A</v>
          </cell>
          <cell r="P978" t="str">
            <v/>
          </cell>
          <cell r="Q978" t="str">
            <v/>
          </cell>
          <cell r="R978" t="e">
            <v>#N/A</v>
          </cell>
        </row>
        <row r="979">
          <cell r="A979" t="str">
            <v/>
          </cell>
          <cell r="B979" t="str">
            <v/>
          </cell>
          <cell r="C979" t="str">
            <v>Future</v>
          </cell>
          <cell r="D979" t="e">
            <v>#N/A</v>
          </cell>
          <cell r="E979">
            <v>-41.756574803149114</v>
          </cell>
          <cell r="F979">
            <v>107.41665354330975</v>
          </cell>
          <cell r="G979">
            <v>41.117440944881714</v>
          </cell>
          <cell r="H979">
            <v>41.117440944881714</v>
          </cell>
          <cell r="I979" t="e">
            <v>#N/A</v>
          </cell>
          <cell r="J979" t="e">
            <v>#N/A</v>
          </cell>
          <cell r="K979">
            <v>90</v>
          </cell>
          <cell r="L979">
            <v>50</v>
          </cell>
          <cell r="M979" t="e">
            <v>#N/A</v>
          </cell>
          <cell r="N979">
            <v>80</v>
          </cell>
          <cell r="O979" t="e">
            <v>#N/A</v>
          </cell>
          <cell r="P979" t="str">
            <v/>
          </cell>
          <cell r="Q979" t="str">
            <v/>
          </cell>
          <cell r="R979" t="e">
            <v>#N/A</v>
          </cell>
        </row>
        <row r="980">
          <cell r="A980" t="str">
            <v/>
          </cell>
          <cell r="B980" t="str">
            <v/>
          </cell>
          <cell r="C980" t="str">
            <v>Future</v>
          </cell>
          <cell r="D980" t="e">
            <v>#N/A</v>
          </cell>
          <cell r="E980">
            <v>-42.006614173227852</v>
          </cell>
          <cell r="F980">
            <v>107.52094488189243</v>
          </cell>
          <cell r="G980">
            <v>41.064251968503761</v>
          </cell>
          <cell r="H980">
            <v>41.064251968503761</v>
          </cell>
          <cell r="I980" t="e">
            <v>#N/A</v>
          </cell>
          <cell r="J980" t="e">
            <v>#N/A</v>
          </cell>
          <cell r="K980">
            <v>90</v>
          </cell>
          <cell r="L980">
            <v>50</v>
          </cell>
          <cell r="M980" t="e">
            <v>#N/A</v>
          </cell>
          <cell r="N980">
            <v>80</v>
          </cell>
          <cell r="O980" t="e">
            <v>#N/A</v>
          </cell>
          <cell r="P980" t="str">
            <v/>
          </cell>
          <cell r="Q980" t="str">
            <v/>
          </cell>
          <cell r="R980" t="e">
            <v>#N/A</v>
          </cell>
        </row>
        <row r="981">
          <cell r="A981" t="str">
            <v/>
          </cell>
          <cell r="B981" t="str">
            <v/>
          </cell>
          <cell r="C981" t="str">
            <v>Future</v>
          </cell>
          <cell r="D981" t="e">
            <v>#N/A</v>
          </cell>
          <cell r="E981">
            <v>-42.256653543306591</v>
          </cell>
          <cell r="F981">
            <v>107.62523622047512</v>
          </cell>
          <cell r="G981">
            <v>41.011062992125808</v>
          </cell>
          <cell r="H981">
            <v>41.011062992125808</v>
          </cell>
          <cell r="I981" t="e">
            <v>#N/A</v>
          </cell>
          <cell r="J981" t="e">
            <v>#N/A</v>
          </cell>
          <cell r="K981">
            <v>90</v>
          </cell>
          <cell r="L981">
            <v>50</v>
          </cell>
          <cell r="M981" t="e">
            <v>#N/A</v>
          </cell>
          <cell r="N981">
            <v>80</v>
          </cell>
          <cell r="O981" t="e">
            <v>#N/A</v>
          </cell>
          <cell r="P981" t="str">
            <v/>
          </cell>
          <cell r="Q981" t="str">
            <v/>
          </cell>
          <cell r="R981" t="e">
            <v>#N/A</v>
          </cell>
        </row>
        <row r="982">
          <cell r="A982" t="str">
            <v/>
          </cell>
          <cell r="B982" t="str">
            <v/>
          </cell>
          <cell r="C982" t="str">
            <v>Future</v>
          </cell>
          <cell r="D982" t="e">
            <v>#N/A</v>
          </cell>
          <cell r="E982">
            <v>-42.506692913385329</v>
          </cell>
          <cell r="F982">
            <v>107.7295275590578</v>
          </cell>
          <cell r="G982">
            <v>40.957874015747855</v>
          </cell>
          <cell r="H982">
            <v>40.957874015747855</v>
          </cell>
          <cell r="I982" t="e">
            <v>#N/A</v>
          </cell>
          <cell r="J982" t="e">
            <v>#N/A</v>
          </cell>
          <cell r="K982">
            <v>90</v>
          </cell>
          <cell r="L982">
            <v>50</v>
          </cell>
          <cell r="M982" t="e">
            <v>#N/A</v>
          </cell>
          <cell r="N982">
            <v>80</v>
          </cell>
          <cell r="O982" t="e">
            <v>#N/A</v>
          </cell>
          <cell r="P982" t="str">
            <v/>
          </cell>
          <cell r="Q982" t="str">
            <v/>
          </cell>
          <cell r="R982" t="e">
            <v>#N/A</v>
          </cell>
        </row>
        <row r="983">
          <cell r="A983" t="str">
            <v/>
          </cell>
          <cell r="B983" t="str">
            <v/>
          </cell>
          <cell r="C983" t="str">
            <v>Future</v>
          </cell>
          <cell r="D983" t="e">
            <v>#N/A</v>
          </cell>
          <cell r="E983">
            <v>-42.756732283464068</v>
          </cell>
          <cell r="F983">
            <v>107.83381889764048</v>
          </cell>
          <cell r="G983">
            <v>40.904685039369902</v>
          </cell>
          <cell r="H983">
            <v>40.904685039369902</v>
          </cell>
          <cell r="I983" t="e">
            <v>#N/A</v>
          </cell>
          <cell r="J983" t="e">
            <v>#N/A</v>
          </cell>
          <cell r="K983">
            <v>90</v>
          </cell>
          <cell r="L983">
            <v>50</v>
          </cell>
          <cell r="M983" t="e">
            <v>#N/A</v>
          </cell>
          <cell r="N983">
            <v>80</v>
          </cell>
          <cell r="O983" t="e">
            <v>#N/A</v>
          </cell>
          <cell r="P983" t="str">
            <v/>
          </cell>
          <cell r="Q983" t="str">
            <v/>
          </cell>
          <cell r="R983" t="e">
            <v>#N/A</v>
          </cell>
        </row>
        <row r="984">
          <cell r="A984" t="str">
            <v/>
          </cell>
          <cell r="B984" t="str">
            <v/>
          </cell>
          <cell r="C984" t="str">
            <v>Future</v>
          </cell>
          <cell r="D984" t="e">
            <v>#N/A</v>
          </cell>
          <cell r="E984">
            <v>-43.006771653542806</v>
          </cell>
          <cell r="F984">
            <v>107.93811023622317</v>
          </cell>
          <cell r="G984">
            <v>40.851496062991949</v>
          </cell>
          <cell r="H984">
            <v>40.851496062991949</v>
          </cell>
          <cell r="I984" t="e">
            <v>#N/A</v>
          </cell>
          <cell r="J984" t="e">
            <v>#N/A</v>
          </cell>
          <cell r="K984">
            <v>90</v>
          </cell>
          <cell r="L984">
            <v>50</v>
          </cell>
          <cell r="M984" t="e">
            <v>#N/A</v>
          </cell>
          <cell r="N984">
            <v>80</v>
          </cell>
          <cell r="O984" t="e">
            <v>#N/A</v>
          </cell>
          <cell r="P984" t="str">
            <v/>
          </cell>
          <cell r="Q984" t="str">
            <v/>
          </cell>
          <cell r="R984" t="e">
            <v>#N/A</v>
          </cell>
        </row>
        <row r="985">
          <cell r="A985" t="str">
            <v/>
          </cell>
          <cell r="B985" t="str">
            <v/>
          </cell>
          <cell r="C985" t="str">
            <v>Future</v>
          </cell>
          <cell r="D985" t="e">
            <v>#N/A</v>
          </cell>
          <cell r="E985">
            <v>-43.256811023621545</v>
          </cell>
          <cell r="F985">
            <v>108.04240157480585</v>
          </cell>
          <cell r="G985">
            <v>40.798307086613995</v>
          </cell>
          <cell r="H985">
            <v>40.798307086613995</v>
          </cell>
          <cell r="I985" t="e">
            <v>#N/A</v>
          </cell>
          <cell r="J985" t="e">
            <v>#N/A</v>
          </cell>
          <cell r="K985">
            <v>90</v>
          </cell>
          <cell r="L985">
            <v>50</v>
          </cell>
          <cell r="M985" t="e">
            <v>#N/A</v>
          </cell>
          <cell r="N985">
            <v>80</v>
          </cell>
          <cell r="O985" t="e">
            <v>#N/A</v>
          </cell>
          <cell r="P985" t="str">
            <v/>
          </cell>
          <cell r="Q985" t="str">
            <v/>
          </cell>
          <cell r="R985" t="e">
            <v>#N/A</v>
          </cell>
        </row>
        <row r="986">
          <cell r="A986" t="str">
            <v/>
          </cell>
          <cell r="B986" t="str">
            <v/>
          </cell>
          <cell r="C986" t="str">
            <v>Future</v>
          </cell>
          <cell r="D986" t="e">
            <v>#N/A</v>
          </cell>
          <cell r="E986">
            <v>-43.506850393700283</v>
          </cell>
          <cell r="F986">
            <v>108.14669291338853</v>
          </cell>
          <cell r="G986">
            <v>40.745118110236042</v>
          </cell>
          <cell r="H986">
            <v>40.745118110236042</v>
          </cell>
          <cell r="I986" t="e">
            <v>#N/A</v>
          </cell>
          <cell r="J986" t="e">
            <v>#N/A</v>
          </cell>
          <cell r="K986">
            <v>90</v>
          </cell>
          <cell r="L986">
            <v>50</v>
          </cell>
          <cell r="M986" t="e">
            <v>#N/A</v>
          </cell>
          <cell r="N986">
            <v>80</v>
          </cell>
          <cell r="O986" t="e">
            <v>#N/A</v>
          </cell>
          <cell r="P986" t="str">
            <v/>
          </cell>
          <cell r="Q986" t="str">
            <v/>
          </cell>
          <cell r="R986" t="e">
            <v>#N/A</v>
          </cell>
        </row>
        <row r="987">
          <cell r="A987" t="str">
            <v/>
          </cell>
          <cell r="B987" t="str">
            <v/>
          </cell>
          <cell r="C987" t="str">
            <v>Future</v>
          </cell>
          <cell r="D987" t="e">
            <v>#N/A</v>
          </cell>
          <cell r="E987">
            <v>-43.756889763779022</v>
          </cell>
          <cell r="F987">
            <v>108.25098425197122</v>
          </cell>
          <cell r="G987">
            <v>40.691929133858089</v>
          </cell>
          <cell r="H987">
            <v>40.691929133858089</v>
          </cell>
          <cell r="I987" t="e">
            <v>#N/A</v>
          </cell>
          <cell r="J987" t="e">
            <v>#N/A</v>
          </cell>
          <cell r="K987">
            <v>90</v>
          </cell>
          <cell r="L987">
            <v>50</v>
          </cell>
          <cell r="M987" t="e">
            <v>#N/A</v>
          </cell>
          <cell r="N987">
            <v>80</v>
          </cell>
          <cell r="O987" t="e">
            <v>#N/A</v>
          </cell>
          <cell r="P987" t="str">
            <v/>
          </cell>
          <cell r="Q987" t="str">
            <v/>
          </cell>
          <cell r="R987" t="e">
            <v>#N/A</v>
          </cell>
        </row>
        <row r="988">
          <cell r="A988" t="str">
            <v/>
          </cell>
          <cell r="B988" t="str">
            <v/>
          </cell>
          <cell r="C988" t="str">
            <v>Future</v>
          </cell>
          <cell r="D988" t="e">
            <v>#N/A</v>
          </cell>
          <cell r="E988">
            <v>-44.00692913385776</v>
          </cell>
          <cell r="F988">
            <v>108.3552755905539</v>
          </cell>
          <cell r="G988">
            <v>40.638740157480136</v>
          </cell>
          <cell r="H988">
            <v>40.638740157480136</v>
          </cell>
          <cell r="I988" t="e">
            <v>#N/A</v>
          </cell>
          <cell r="J988" t="e">
            <v>#N/A</v>
          </cell>
          <cell r="K988">
            <v>90</v>
          </cell>
          <cell r="L988">
            <v>50</v>
          </cell>
          <cell r="M988" t="e">
            <v>#N/A</v>
          </cell>
          <cell r="N988">
            <v>80</v>
          </cell>
          <cell r="O988" t="e">
            <v>#N/A</v>
          </cell>
          <cell r="P988" t="str">
            <v/>
          </cell>
          <cell r="Q988" t="str">
            <v/>
          </cell>
          <cell r="R988" t="e">
            <v>#N/A</v>
          </cell>
        </row>
        <row r="989">
          <cell r="A989" t="str">
            <v/>
          </cell>
          <cell r="B989" t="str">
            <v/>
          </cell>
          <cell r="C989" t="str">
            <v>Future</v>
          </cell>
          <cell r="D989" t="e">
            <v>#N/A</v>
          </cell>
          <cell r="E989">
            <v>-44.256968503936498</v>
          </cell>
          <cell r="F989">
            <v>108.45956692913659</v>
          </cell>
          <cell r="G989">
            <v>40.585551181102183</v>
          </cell>
          <cell r="H989">
            <v>40.585551181102183</v>
          </cell>
          <cell r="I989" t="e">
            <v>#N/A</v>
          </cell>
          <cell r="J989" t="e">
            <v>#N/A</v>
          </cell>
          <cell r="K989">
            <v>90</v>
          </cell>
          <cell r="L989">
            <v>50</v>
          </cell>
          <cell r="M989" t="e">
            <v>#N/A</v>
          </cell>
          <cell r="N989">
            <v>80</v>
          </cell>
          <cell r="O989" t="e">
            <v>#N/A</v>
          </cell>
          <cell r="P989" t="str">
            <v/>
          </cell>
          <cell r="Q989" t="str">
            <v/>
          </cell>
          <cell r="R989" t="e">
            <v>#N/A</v>
          </cell>
        </row>
        <row r="990">
          <cell r="A990" t="str">
            <v/>
          </cell>
          <cell r="B990" t="str">
            <v/>
          </cell>
          <cell r="C990" t="str">
            <v>Future</v>
          </cell>
          <cell r="D990" t="e">
            <v>#N/A</v>
          </cell>
          <cell r="E990">
            <v>-44.507007874015237</v>
          </cell>
          <cell r="F990">
            <v>108.56385826771927</v>
          </cell>
          <cell r="G990">
            <v>40.53236220472423</v>
          </cell>
          <cell r="H990">
            <v>40.53236220472423</v>
          </cell>
          <cell r="I990" t="e">
            <v>#N/A</v>
          </cell>
          <cell r="J990" t="e">
            <v>#N/A</v>
          </cell>
          <cell r="K990">
            <v>90</v>
          </cell>
          <cell r="L990">
            <v>50</v>
          </cell>
          <cell r="M990" t="e">
            <v>#N/A</v>
          </cell>
          <cell r="N990">
            <v>80</v>
          </cell>
          <cell r="O990" t="e">
            <v>#N/A</v>
          </cell>
          <cell r="P990" t="str">
            <v/>
          </cell>
          <cell r="Q990" t="str">
            <v/>
          </cell>
          <cell r="R990" t="e">
            <v>#N/A</v>
          </cell>
        </row>
        <row r="991">
          <cell r="A991" t="str">
            <v/>
          </cell>
          <cell r="B991" t="str">
            <v/>
          </cell>
          <cell r="C991" t="str">
            <v>Future</v>
          </cell>
          <cell r="D991" t="e">
            <v>#N/A</v>
          </cell>
          <cell r="E991">
            <v>-44.757047244093975</v>
          </cell>
          <cell r="F991">
            <v>108.66814960630195</v>
          </cell>
          <cell r="G991">
            <v>40.479173228346276</v>
          </cell>
          <cell r="H991">
            <v>40.479173228346276</v>
          </cell>
          <cell r="I991" t="e">
            <v>#N/A</v>
          </cell>
          <cell r="J991" t="e">
            <v>#N/A</v>
          </cell>
          <cell r="K991">
            <v>90</v>
          </cell>
          <cell r="L991">
            <v>50</v>
          </cell>
          <cell r="M991" t="e">
            <v>#N/A</v>
          </cell>
          <cell r="N991">
            <v>80</v>
          </cell>
          <cell r="O991" t="e">
            <v>#N/A</v>
          </cell>
          <cell r="P991" t="str">
            <v/>
          </cell>
          <cell r="Q991" t="str">
            <v/>
          </cell>
          <cell r="R991" t="e">
            <v>#N/A</v>
          </cell>
        </row>
        <row r="992">
          <cell r="A992" t="str">
            <v/>
          </cell>
          <cell r="B992" t="str">
            <v/>
          </cell>
          <cell r="C992" t="str">
            <v>Future</v>
          </cell>
          <cell r="D992" t="e">
            <v>#N/A</v>
          </cell>
          <cell r="E992">
            <v>-45.007086614172714</v>
          </cell>
          <cell r="F992">
            <v>108.77244094488464</v>
          </cell>
          <cell r="G992">
            <v>40.425984251968323</v>
          </cell>
          <cell r="H992">
            <v>40.425984251968323</v>
          </cell>
          <cell r="I992" t="e">
            <v>#N/A</v>
          </cell>
          <cell r="J992" t="e">
            <v>#N/A</v>
          </cell>
          <cell r="K992">
            <v>90</v>
          </cell>
          <cell r="L992">
            <v>50</v>
          </cell>
          <cell r="M992" t="e">
            <v>#N/A</v>
          </cell>
          <cell r="N992">
            <v>80</v>
          </cell>
          <cell r="O992" t="e">
            <v>#N/A</v>
          </cell>
          <cell r="P992" t="str">
            <v/>
          </cell>
          <cell r="Q992" t="str">
            <v/>
          </cell>
          <cell r="R992" t="e">
            <v>#N/A</v>
          </cell>
        </row>
        <row r="993">
          <cell r="A993" t="str">
            <v/>
          </cell>
          <cell r="B993" t="str">
            <v/>
          </cell>
          <cell r="C993" t="str">
            <v>Future</v>
          </cell>
          <cell r="D993" t="e">
            <v>#N/A</v>
          </cell>
          <cell r="E993">
            <v>-45.257125984251452</v>
          </cell>
          <cell r="F993">
            <v>108.87673228346732</v>
          </cell>
          <cell r="G993">
            <v>40.37279527559037</v>
          </cell>
          <cell r="H993">
            <v>40.37279527559037</v>
          </cell>
          <cell r="I993" t="e">
            <v>#N/A</v>
          </cell>
          <cell r="J993" t="e">
            <v>#N/A</v>
          </cell>
          <cell r="K993">
            <v>90</v>
          </cell>
          <cell r="L993">
            <v>50</v>
          </cell>
          <cell r="M993" t="e">
            <v>#N/A</v>
          </cell>
          <cell r="N993">
            <v>80</v>
          </cell>
          <cell r="O993" t="e">
            <v>#N/A</v>
          </cell>
          <cell r="P993" t="str">
            <v/>
          </cell>
          <cell r="Q993" t="str">
            <v/>
          </cell>
          <cell r="R993" t="e">
            <v>#N/A</v>
          </cell>
        </row>
        <row r="994">
          <cell r="A994" t="str">
            <v/>
          </cell>
          <cell r="B994" t="str">
            <v/>
          </cell>
          <cell r="C994" t="str">
            <v>Future</v>
          </cell>
          <cell r="D994" t="e">
            <v>#N/A</v>
          </cell>
          <cell r="E994">
            <v>-45.507165354330191</v>
          </cell>
          <cell r="F994">
            <v>108.98102362205</v>
          </cell>
          <cell r="G994">
            <v>40.319606299212417</v>
          </cell>
          <cell r="H994">
            <v>40.319606299212417</v>
          </cell>
          <cell r="I994" t="e">
            <v>#N/A</v>
          </cell>
          <cell r="J994" t="e">
            <v>#N/A</v>
          </cell>
          <cell r="K994">
            <v>90</v>
          </cell>
          <cell r="L994">
            <v>50</v>
          </cell>
          <cell r="M994" t="e">
            <v>#N/A</v>
          </cell>
          <cell r="N994">
            <v>80</v>
          </cell>
          <cell r="O994" t="e">
            <v>#N/A</v>
          </cell>
          <cell r="P994" t="str">
            <v/>
          </cell>
          <cell r="Q994" t="str">
            <v/>
          </cell>
          <cell r="R994" t="e">
            <v>#N/A</v>
          </cell>
        </row>
        <row r="995">
          <cell r="A995" t="str">
            <v/>
          </cell>
          <cell r="B995" t="str">
            <v/>
          </cell>
          <cell r="C995" t="str">
            <v>Future</v>
          </cell>
          <cell r="D995" t="e">
            <v>#N/A</v>
          </cell>
          <cell r="E995">
            <v>-45.757204724408929</v>
          </cell>
          <cell r="F995">
            <v>109.08531496063269</v>
          </cell>
          <cell r="G995">
            <v>40.266417322834464</v>
          </cell>
          <cell r="H995">
            <v>40.266417322834464</v>
          </cell>
          <cell r="I995" t="e">
            <v>#N/A</v>
          </cell>
          <cell r="J995" t="e">
            <v>#N/A</v>
          </cell>
          <cell r="K995">
            <v>90</v>
          </cell>
          <cell r="L995">
            <v>50</v>
          </cell>
          <cell r="M995" t="e">
            <v>#N/A</v>
          </cell>
          <cell r="N995">
            <v>80</v>
          </cell>
          <cell r="O995" t="e">
            <v>#N/A</v>
          </cell>
          <cell r="P995" t="str">
            <v/>
          </cell>
          <cell r="Q995" t="str">
            <v/>
          </cell>
          <cell r="R995" t="e">
            <v>#N/A</v>
          </cell>
        </row>
        <row r="996">
          <cell r="A996" t="str">
            <v/>
          </cell>
          <cell r="B996" t="str">
            <v/>
          </cell>
          <cell r="C996" t="str">
            <v>Future</v>
          </cell>
          <cell r="D996" t="e">
            <v>#N/A</v>
          </cell>
          <cell r="E996">
            <v>-46.007244094487667</v>
          </cell>
          <cell r="F996">
            <v>109.18960629921537</v>
          </cell>
          <cell r="G996">
            <v>40.213228346456511</v>
          </cell>
          <cell r="H996">
            <v>40.213228346456511</v>
          </cell>
          <cell r="I996" t="e">
            <v>#N/A</v>
          </cell>
          <cell r="J996" t="e">
            <v>#N/A</v>
          </cell>
          <cell r="K996">
            <v>90</v>
          </cell>
          <cell r="L996">
            <v>50</v>
          </cell>
          <cell r="M996" t="e">
            <v>#N/A</v>
          </cell>
          <cell r="N996">
            <v>80</v>
          </cell>
          <cell r="O996" t="e">
            <v>#N/A</v>
          </cell>
          <cell r="P996" t="str">
            <v/>
          </cell>
          <cell r="Q996" t="str">
            <v/>
          </cell>
          <cell r="R996" t="e">
            <v>#N/A</v>
          </cell>
        </row>
        <row r="997">
          <cell r="A997" t="str">
            <v/>
          </cell>
          <cell r="B997" t="str">
            <v/>
          </cell>
          <cell r="C997" t="str">
            <v>Future</v>
          </cell>
          <cell r="D997" t="e">
            <v>#N/A</v>
          </cell>
          <cell r="E997">
            <v>-46.257283464566406</v>
          </cell>
          <cell r="F997">
            <v>109.29389763779805</v>
          </cell>
          <cell r="G997">
            <v>40.160039370078557</v>
          </cell>
          <cell r="H997">
            <v>40.160039370078557</v>
          </cell>
          <cell r="I997" t="e">
            <v>#N/A</v>
          </cell>
          <cell r="J997" t="e">
            <v>#N/A</v>
          </cell>
          <cell r="K997">
            <v>90</v>
          </cell>
          <cell r="L997">
            <v>50</v>
          </cell>
          <cell r="M997" t="e">
            <v>#N/A</v>
          </cell>
          <cell r="N997">
            <v>80</v>
          </cell>
          <cell r="O997" t="e">
            <v>#N/A</v>
          </cell>
          <cell r="P997" t="str">
            <v/>
          </cell>
          <cell r="Q997" t="str">
            <v/>
          </cell>
          <cell r="R997" t="e">
            <v>#N/A</v>
          </cell>
        </row>
        <row r="998">
          <cell r="A998" t="str">
            <v/>
          </cell>
          <cell r="B998" t="str">
            <v/>
          </cell>
          <cell r="C998" t="str">
            <v>Future</v>
          </cell>
          <cell r="D998" t="e">
            <v>#N/A</v>
          </cell>
          <cell r="E998">
            <v>-46.507322834645144</v>
          </cell>
          <cell r="F998">
            <v>109.39818897638074</v>
          </cell>
          <cell r="G998">
            <v>40.106850393700604</v>
          </cell>
          <cell r="H998">
            <v>40.106850393700604</v>
          </cell>
          <cell r="I998" t="e">
            <v>#N/A</v>
          </cell>
          <cell r="J998" t="e">
            <v>#N/A</v>
          </cell>
          <cell r="K998">
            <v>90</v>
          </cell>
          <cell r="L998">
            <v>50</v>
          </cell>
          <cell r="M998" t="e">
            <v>#N/A</v>
          </cell>
          <cell r="N998">
            <v>80</v>
          </cell>
          <cell r="O998" t="e">
            <v>#N/A</v>
          </cell>
          <cell r="P998" t="str">
            <v/>
          </cell>
          <cell r="Q998" t="str">
            <v/>
          </cell>
          <cell r="R998" t="e">
            <v>#N/A</v>
          </cell>
        </row>
        <row r="999">
          <cell r="A999" t="str">
            <v/>
          </cell>
          <cell r="B999" t="str">
            <v/>
          </cell>
          <cell r="C999" t="str">
            <v>Future</v>
          </cell>
          <cell r="D999" t="e">
            <v>#N/A</v>
          </cell>
          <cell r="E999">
            <v>-46.757362204723883</v>
          </cell>
          <cell r="F999">
            <v>109.50248031496342</v>
          </cell>
          <cell r="G999">
            <v>40.053661417322651</v>
          </cell>
          <cell r="H999">
            <v>40.053661417322651</v>
          </cell>
          <cell r="I999" t="e">
            <v>#N/A</v>
          </cell>
          <cell r="J999" t="e">
            <v>#N/A</v>
          </cell>
          <cell r="K999">
            <v>90</v>
          </cell>
          <cell r="L999">
            <v>50</v>
          </cell>
          <cell r="M999" t="e">
            <v>#N/A</v>
          </cell>
          <cell r="N999">
            <v>80</v>
          </cell>
          <cell r="O999" t="e">
            <v>#N/A</v>
          </cell>
          <cell r="P999" t="str">
            <v/>
          </cell>
          <cell r="Q999" t="str">
            <v/>
          </cell>
          <cell r="R999" t="e">
            <v>#N/A</v>
          </cell>
        </row>
        <row r="1000">
          <cell r="A1000" t="str">
            <v/>
          </cell>
          <cell r="B1000" t="str">
            <v/>
          </cell>
          <cell r="C1000" t="str">
            <v>Future</v>
          </cell>
          <cell r="D1000" t="e">
            <v>#N/A</v>
          </cell>
          <cell r="E1000">
            <v>-47.007401574802621</v>
          </cell>
          <cell r="F1000">
            <v>109.6067716535461</v>
          </cell>
          <cell r="G1000">
            <v>40.000472440944698</v>
          </cell>
          <cell r="H1000">
            <v>40.000472440944698</v>
          </cell>
          <cell r="I1000" t="e">
            <v>#N/A</v>
          </cell>
          <cell r="J1000" t="e">
            <v>#N/A</v>
          </cell>
          <cell r="K1000">
            <v>90</v>
          </cell>
          <cell r="L1000">
            <v>50</v>
          </cell>
          <cell r="M1000" t="e">
            <v>#N/A</v>
          </cell>
          <cell r="N1000">
            <v>80</v>
          </cell>
          <cell r="O1000" t="e">
            <v>#N/A</v>
          </cell>
          <cell r="P1000" t="str">
            <v/>
          </cell>
          <cell r="Q1000" t="str">
            <v/>
          </cell>
          <cell r="R1000" t="e">
            <v>#N/A</v>
          </cell>
        </row>
        <row r="1001">
          <cell r="A1001" t="str">
            <v/>
          </cell>
          <cell r="B1001" t="str">
            <v/>
          </cell>
          <cell r="C1001" t="str">
            <v>Future</v>
          </cell>
          <cell r="D1001" t="e">
            <v>#N/A</v>
          </cell>
          <cell r="E1001">
            <v>-47.25744094488136</v>
          </cell>
          <cell r="F1001">
            <v>109.71106299212879</v>
          </cell>
          <cell r="G1001">
            <v>39.947283464566745</v>
          </cell>
          <cell r="H1001">
            <v>39.947283464566745</v>
          </cell>
          <cell r="I1001" t="e">
            <v>#N/A</v>
          </cell>
          <cell r="J1001" t="e">
            <v>#N/A</v>
          </cell>
          <cell r="K1001">
            <v>90</v>
          </cell>
          <cell r="L1001">
            <v>50</v>
          </cell>
          <cell r="M1001" t="e">
            <v>#N/A</v>
          </cell>
          <cell r="N1001">
            <v>80</v>
          </cell>
          <cell r="O1001" t="e">
            <v>#N/A</v>
          </cell>
          <cell r="P1001" t="str">
            <v/>
          </cell>
          <cell r="Q1001" t="str">
            <v/>
          </cell>
          <cell r="R1001" t="e">
            <v>#N/A</v>
          </cell>
        </row>
        <row r="1002">
          <cell r="A1002" t="str">
            <v/>
          </cell>
          <cell r="B1002" t="str">
            <v/>
          </cell>
          <cell r="C1002" t="str">
            <v>Future</v>
          </cell>
          <cell r="D1002" t="e">
            <v>#N/A</v>
          </cell>
          <cell r="E1002">
            <v>-47.507480314960098</v>
          </cell>
          <cell r="F1002">
            <v>109.81535433071147</v>
          </cell>
          <cell r="G1002">
            <v>39.894094488188792</v>
          </cell>
          <cell r="H1002">
            <v>39.894094488188792</v>
          </cell>
          <cell r="I1002" t="e">
            <v>#N/A</v>
          </cell>
          <cell r="J1002" t="e">
            <v>#N/A</v>
          </cell>
          <cell r="K1002">
            <v>90</v>
          </cell>
          <cell r="L1002">
            <v>50</v>
          </cell>
          <cell r="M1002" t="e">
            <v>#N/A</v>
          </cell>
          <cell r="N1002">
            <v>80</v>
          </cell>
          <cell r="O1002" t="e">
            <v>#N/A</v>
          </cell>
          <cell r="P1002" t="str">
            <v/>
          </cell>
          <cell r="Q1002" t="str">
            <v/>
          </cell>
          <cell r="R1002" t="e">
            <v>#N/A</v>
          </cell>
        </row>
        <row r="1003">
          <cell r="A1003" t="str">
            <v/>
          </cell>
          <cell r="B1003" t="str">
            <v/>
          </cell>
          <cell r="C1003" t="str">
            <v>Future</v>
          </cell>
          <cell r="D1003" t="e">
            <v>#N/A</v>
          </cell>
          <cell r="E1003">
            <v>-47.757519685038837</v>
          </cell>
          <cell r="F1003">
            <v>109.91964566929416</v>
          </cell>
          <cell r="G1003">
            <v>39.840905511810838</v>
          </cell>
          <cell r="H1003">
            <v>39.840905511810838</v>
          </cell>
          <cell r="I1003" t="e">
            <v>#N/A</v>
          </cell>
          <cell r="J1003" t="e">
            <v>#N/A</v>
          </cell>
          <cell r="K1003">
            <v>90</v>
          </cell>
          <cell r="L1003">
            <v>50</v>
          </cell>
          <cell r="M1003" t="e">
            <v>#N/A</v>
          </cell>
          <cell r="N1003">
            <v>80</v>
          </cell>
          <cell r="O1003" t="e">
            <v>#N/A</v>
          </cell>
          <cell r="P1003" t="str">
            <v/>
          </cell>
          <cell r="Q1003" t="str">
            <v/>
          </cell>
          <cell r="R1003" t="e">
            <v>#N/A</v>
          </cell>
        </row>
        <row r="1004">
          <cell r="A1004" t="str">
            <v/>
          </cell>
          <cell r="B1004" t="str">
            <v/>
          </cell>
          <cell r="C1004" t="str">
            <v>Future</v>
          </cell>
          <cell r="D1004" t="e">
            <v>#N/A</v>
          </cell>
          <cell r="E1004">
            <v>-48.007559055117575</v>
          </cell>
          <cell r="F1004">
            <v>110.02393700787684</v>
          </cell>
          <cell r="G1004">
            <v>39.787716535432885</v>
          </cell>
          <cell r="H1004">
            <v>39.787716535432885</v>
          </cell>
          <cell r="I1004" t="e">
            <v>#N/A</v>
          </cell>
          <cell r="J1004" t="e">
            <v>#N/A</v>
          </cell>
          <cell r="K1004">
            <v>90</v>
          </cell>
          <cell r="L1004">
            <v>50</v>
          </cell>
          <cell r="M1004" t="e">
            <v>#N/A</v>
          </cell>
          <cell r="N1004">
            <v>80</v>
          </cell>
          <cell r="O1004" t="e">
            <v>#N/A</v>
          </cell>
          <cell r="P1004" t="str">
            <v/>
          </cell>
          <cell r="Q1004" t="str">
            <v/>
          </cell>
          <cell r="R1004" t="e">
            <v>#N/A</v>
          </cell>
        </row>
        <row r="1005">
          <cell r="A1005" t="str">
            <v/>
          </cell>
          <cell r="B1005" t="str">
            <v/>
          </cell>
          <cell r="C1005" t="str">
            <v>Future</v>
          </cell>
          <cell r="D1005" t="e">
            <v>#N/A</v>
          </cell>
          <cell r="E1005">
            <v>-48.257598425196313</v>
          </cell>
          <cell r="F1005">
            <v>110.12822834645952</v>
          </cell>
          <cell r="G1005">
            <v>39.734527559054932</v>
          </cell>
          <cell r="H1005">
            <v>39.734527559054932</v>
          </cell>
          <cell r="I1005" t="e">
            <v>#N/A</v>
          </cell>
          <cell r="J1005" t="e">
            <v>#N/A</v>
          </cell>
          <cell r="K1005">
            <v>90</v>
          </cell>
          <cell r="L1005">
            <v>50</v>
          </cell>
          <cell r="M1005" t="e">
            <v>#N/A</v>
          </cell>
          <cell r="N1005">
            <v>80</v>
          </cell>
          <cell r="O1005" t="e">
            <v>#N/A</v>
          </cell>
          <cell r="P1005" t="str">
            <v/>
          </cell>
          <cell r="Q1005" t="str">
            <v/>
          </cell>
          <cell r="R1005" t="e">
            <v>#N/A</v>
          </cell>
        </row>
        <row r="1006">
          <cell r="A1006" t="str">
            <v/>
          </cell>
          <cell r="B1006" t="str">
            <v/>
          </cell>
          <cell r="C1006" t="str">
            <v>Future</v>
          </cell>
          <cell r="D1006" t="e">
            <v>#N/A</v>
          </cell>
          <cell r="E1006">
            <v>-48.507637795275052</v>
          </cell>
          <cell r="F1006">
            <v>110.23251968504221</v>
          </cell>
          <cell r="G1006">
            <v>39.681338582676979</v>
          </cell>
          <cell r="H1006">
            <v>39.681338582676979</v>
          </cell>
          <cell r="I1006" t="e">
            <v>#N/A</v>
          </cell>
          <cell r="J1006" t="e">
            <v>#N/A</v>
          </cell>
          <cell r="K1006">
            <v>90</v>
          </cell>
          <cell r="L1006">
            <v>50</v>
          </cell>
          <cell r="M1006" t="e">
            <v>#N/A</v>
          </cell>
          <cell r="N1006">
            <v>80</v>
          </cell>
          <cell r="O1006" t="e">
            <v>#N/A</v>
          </cell>
          <cell r="P1006" t="str">
            <v/>
          </cell>
          <cell r="Q1006" t="str">
            <v/>
          </cell>
          <cell r="R1006" t="e">
            <v>#N/A</v>
          </cell>
        </row>
        <row r="1007">
          <cell r="A1007" t="str">
            <v/>
          </cell>
          <cell r="B1007" t="str">
            <v/>
          </cell>
          <cell r="C1007" t="str">
            <v>Future</v>
          </cell>
          <cell r="D1007" t="e">
            <v>#N/A</v>
          </cell>
          <cell r="E1007">
            <v>-48.75767716535379</v>
          </cell>
          <cell r="F1007">
            <v>110.33681102362489</v>
          </cell>
          <cell r="G1007">
            <v>39.628149606299026</v>
          </cell>
          <cell r="H1007">
            <v>39.628149606299026</v>
          </cell>
          <cell r="I1007" t="e">
            <v>#N/A</v>
          </cell>
          <cell r="J1007" t="e">
            <v>#N/A</v>
          </cell>
          <cell r="K1007">
            <v>90</v>
          </cell>
          <cell r="L1007">
            <v>50</v>
          </cell>
          <cell r="M1007" t="e">
            <v>#N/A</v>
          </cell>
          <cell r="N1007">
            <v>80</v>
          </cell>
          <cell r="O1007" t="e">
            <v>#N/A</v>
          </cell>
          <cell r="P1007" t="str">
            <v/>
          </cell>
          <cell r="Q1007" t="str">
            <v/>
          </cell>
          <cell r="R1007" t="e">
            <v>#N/A</v>
          </cell>
        </row>
        <row r="1008">
          <cell r="A1008" t="str">
            <v/>
          </cell>
          <cell r="B1008" t="str">
            <v/>
          </cell>
          <cell r="C1008" t="str">
            <v>Future</v>
          </cell>
          <cell r="D1008" t="e">
            <v>#N/A</v>
          </cell>
          <cell r="E1008">
            <v>-49.007716535432529</v>
          </cell>
          <cell r="F1008">
            <v>110.44110236220757</v>
          </cell>
          <cell r="G1008">
            <v>39.574960629921073</v>
          </cell>
          <cell r="H1008">
            <v>39.574960629921073</v>
          </cell>
          <cell r="I1008" t="e">
            <v>#N/A</v>
          </cell>
          <cell r="J1008" t="e">
            <v>#N/A</v>
          </cell>
          <cell r="K1008">
            <v>90</v>
          </cell>
          <cell r="L1008">
            <v>50</v>
          </cell>
          <cell r="M1008" t="e">
            <v>#N/A</v>
          </cell>
          <cell r="N1008">
            <v>80</v>
          </cell>
          <cell r="O1008" t="e">
            <v>#N/A</v>
          </cell>
          <cell r="P1008" t="str">
            <v/>
          </cell>
          <cell r="Q1008" t="str">
            <v/>
          </cell>
          <cell r="R1008" t="e">
            <v>#N/A</v>
          </cell>
        </row>
        <row r="1009">
          <cell r="A1009" t="str">
            <v/>
          </cell>
          <cell r="B1009" t="str">
            <v/>
          </cell>
          <cell r="C1009" t="str">
            <v>Future</v>
          </cell>
          <cell r="D1009" t="e">
            <v>#N/A</v>
          </cell>
          <cell r="E1009">
            <v>-49.257755905511267</v>
          </cell>
          <cell r="F1009">
            <v>110.54539370079026</v>
          </cell>
          <cell r="G1009">
            <v>39.521771653543119</v>
          </cell>
          <cell r="H1009">
            <v>39.521771653543119</v>
          </cell>
          <cell r="I1009" t="e">
            <v>#N/A</v>
          </cell>
          <cell r="J1009" t="e">
            <v>#N/A</v>
          </cell>
          <cell r="K1009">
            <v>90</v>
          </cell>
          <cell r="L1009">
            <v>50</v>
          </cell>
          <cell r="M1009" t="e">
            <v>#N/A</v>
          </cell>
          <cell r="N1009">
            <v>80</v>
          </cell>
          <cell r="O1009" t="e">
            <v>#N/A</v>
          </cell>
          <cell r="P1009" t="str">
            <v/>
          </cell>
          <cell r="Q1009" t="str">
            <v/>
          </cell>
          <cell r="R1009" t="e">
            <v>#N/A</v>
          </cell>
        </row>
        <row r="1010">
          <cell r="A1010" t="str">
            <v/>
          </cell>
          <cell r="B1010" t="str">
            <v/>
          </cell>
          <cell r="C1010" t="str">
            <v>Future</v>
          </cell>
          <cell r="D1010" t="e">
            <v>#N/A</v>
          </cell>
          <cell r="E1010">
            <v>-49.507795275590006</v>
          </cell>
          <cell r="F1010">
            <v>110.64968503937294</v>
          </cell>
          <cell r="G1010">
            <v>39.468582677165166</v>
          </cell>
          <cell r="H1010">
            <v>39.468582677165166</v>
          </cell>
          <cell r="I1010" t="e">
            <v>#N/A</v>
          </cell>
          <cell r="J1010" t="e">
            <v>#N/A</v>
          </cell>
          <cell r="K1010">
            <v>90</v>
          </cell>
          <cell r="L1010">
            <v>50</v>
          </cell>
          <cell r="M1010" t="e">
            <v>#N/A</v>
          </cell>
          <cell r="N1010">
            <v>80</v>
          </cell>
          <cell r="O1010" t="e">
            <v>#N/A</v>
          </cell>
          <cell r="P1010" t="str">
            <v/>
          </cell>
          <cell r="Q1010" t="str">
            <v/>
          </cell>
          <cell r="R1010" t="e">
            <v>#N/A</v>
          </cell>
        </row>
        <row r="1011">
          <cell r="A1011" t="str">
            <v/>
          </cell>
          <cell r="B1011" t="str">
            <v/>
          </cell>
          <cell r="C1011" t="str">
            <v>Future</v>
          </cell>
          <cell r="D1011" t="e">
            <v>#N/A</v>
          </cell>
          <cell r="E1011">
            <v>-49.757834645668744</v>
          </cell>
          <cell r="F1011">
            <v>110.75397637795562</v>
          </cell>
          <cell r="G1011">
            <v>39.415393700787213</v>
          </cell>
          <cell r="H1011">
            <v>39.415393700787213</v>
          </cell>
          <cell r="I1011" t="e">
            <v>#N/A</v>
          </cell>
          <cell r="J1011" t="e">
            <v>#N/A</v>
          </cell>
          <cell r="K1011">
            <v>90</v>
          </cell>
          <cell r="L1011">
            <v>50</v>
          </cell>
          <cell r="M1011" t="e">
            <v>#N/A</v>
          </cell>
          <cell r="N1011">
            <v>80</v>
          </cell>
          <cell r="O1011" t="e">
            <v>#N/A</v>
          </cell>
          <cell r="P1011" t="str">
            <v/>
          </cell>
          <cell r="Q1011" t="str">
            <v/>
          </cell>
          <cell r="R1011" t="e">
            <v>#N/A</v>
          </cell>
        </row>
        <row r="1012">
          <cell r="A1012" t="str">
            <v/>
          </cell>
          <cell r="B1012" t="str">
            <v/>
          </cell>
          <cell r="C1012" t="str">
            <v>Future</v>
          </cell>
          <cell r="D1012" t="e">
            <v>#N/A</v>
          </cell>
          <cell r="E1012">
            <v>-50.007874015747483</v>
          </cell>
          <cell r="F1012">
            <v>110.85826771653831</v>
          </cell>
          <cell r="G1012">
            <v>39.36220472440926</v>
          </cell>
          <cell r="H1012">
            <v>39.36220472440926</v>
          </cell>
          <cell r="I1012" t="e">
            <v>#N/A</v>
          </cell>
          <cell r="J1012" t="e">
            <v>#N/A</v>
          </cell>
          <cell r="K1012">
            <v>90</v>
          </cell>
          <cell r="L1012">
            <v>50</v>
          </cell>
          <cell r="M1012" t="e">
            <v>#N/A</v>
          </cell>
          <cell r="N1012">
            <v>80</v>
          </cell>
          <cell r="O1012" t="e">
            <v>#N/A</v>
          </cell>
          <cell r="P1012" t="str">
            <v/>
          </cell>
          <cell r="Q1012" t="str">
            <v/>
          </cell>
          <cell r="R1012" t="e">
            <v>#N/A</v>
          </cell>
        </row>
        <row r="1013">
          <cell r="A1013" t="str">
            <v/>
          </cell>
          <cell r="B1013" t="str">
            <v/>
          </cell>
          <cell r="C1013" t="str">
            <v>Future</v>
          </cell>
          <cell r="D1013" t="e">
            <v>#N/A</v>
          </cell>
          <cell r="E1013">
            <v>-50.257913385826221</v>
          </cell>
          <cell r="F1013">
            <v>110.96255905512099</v>
          </cell>
          <cell r="G1013">
            <v>39.309015748031307</v>
          </cell>
          <cell r="H1013">
            <v>39.309015748031307</v>
          </cell>
          <cell r="I1013" t="e">
            <v>#N/A</v>
          </cell>
          <cell r="J1013" t="e">
            <v>#N/A</v>
          </cell>
          <cell r="K1013">
            <v>90</v>
          </cell>
          <cell r="L1013">
            <v>50</v>
          </cell>
          <cell r="M1013" t="e">
            <v>#N/A</v>
          </cell>
          <cell r="N1013">
            <v>80</v>
          </cell>
          <cell r="O1013" t="e">
            <v>#N/A</v>
          </cell>
          <cell r="P1013" t="str">
            <v/>
          </cell>
          <cell r="Q1013" t="str">
            <v/>
          </cell>
          <cell r="R1013" t="e">
            <v>#N/A</v>
          </cell>
        </row>
        <row r="1014">
          <cell r="A1014" t="str">
            <v/>
          </cell>
          <cell r="B1014" t="str">
            <v/>
          </cell>
          <cell r="C1014" t="str">
            <v>Future</v>
          </cell>
          <cell r="D1014" t="e">
            <v>#N/A</v>
          </cell>
          <cell r="E1014">
            <v>-50.507952755904959</v>
          </cell>
          <cell r="F1014">
            <v>111.06685039370367</v>
          </cell>
          <cell r="G1014">
            <v>39.255826771653354</v>
          </cell>
          <cell r="H1014">
            <v>39.255826771653354</v>
          </cell>
          <cell r="I1014" t="e">
            <v>#N/A</v>
          </cell>
          <cell r="J1014" t="e">
            <v>#N/A</v>
          </cell>
          <cell r="K1014">
            <v>90</v>
          </cell>
          <cell r="L1014">
            <v>50</v>
          </cell>
          <cell r="M1014" t="e">
            <v>#N/A</v>
          </cell>
          <cell r="N1014">
            <v>80</v>
          </cell>
          <cell r="O1014" t="e">
            <v>#N/A</v>
          </cell>
          <cell r="P1014" t="str">
            <v/>
          </cell>
          <cell r="Q1014" t="str">
            <v/>
          </cell>
          <cell r="R1014" t="e">
            <v>#N/A</v>
          </cell>
        </row>
        <row r="1015">
          <cell r="A1015" t="str">
            <v/>
          </cell>
          <cell r="B1015" t="str">
            <v/>
          </cell>
          <cell r="C1015" t="str">
            <v>Future</v>
          </cell>
          <cell r="D1015" t="e">
            <v>#N/A</v>
          </cell>
          <cell r="E1015">
            <v>-50.757992125983698</v>
          </cell>
          <cell r="F1015">
            <v>111.17114173228636</v>
          </cell>
          <cell r="G1015">
            <v>39.2026377952754</v>
          </cell>
          <cell r="H1015">
            <v>39.2026377952754</v>
          </cell>
          <cell r="I1015" t="e">
            <v>#N/A</v>
          </cell>
          <cell r="J1015" t="e">
            <v>#N/A</v>
          </cell>
          <cell r="K1015">
            <v>90</v>
          </cell>
          <cell r="L1015">
            <v>50</v>
          </cell>
          <cell r="M1015" t="e">
            <v>#N/A</v>
          </cell>
          <cell r="N1015">
            <v>80</v>
          </cell>
          <cell r="O1015" t="e">
            <v>#N/A</v>
          </cell>
          <cell r="P1015" t="str">
            <v/>
          </cell>
          <cell r="Q1015" t="str">
            <v/>
          </cell>
          <cell r="R1015" t="e">
            <v>#N/A</v>
          </cell>
        </row>
        <row r="1016">
          <cell r="A1016" t="str">
            <v/>
          </cell>
          <cell r="B1016" t="str">
            <v/>
          </cell>
          <cell r="C1016" t="str">
            <v>Future</v>
          </cell>
          <cell r="D1016" t="e">
            <v>#N/A</v>
          </cell>
          <cell r="E1016">
            <v>-51.008031496062436</v>
          </cell>
          <cell r="F1016">
            <v>111.27543307086904</v>
          </cell>
          <cell r="G1016">
            <v>39.149448818897447</v>
          </cell>
          <cell r="H1016">
            <v>39.149448818897447</v>
          </cell>
          <cell r="I1016" t="e">
            <v>#N/A</v>
          </cell>
          <cell r="J1016" t="e">
            <v>#N/A</v>
          </cell>
          <cell r="K1016">
            <v>90</v>
          </cell>
          <cell r="L1016">
            <v>50</v>
          </cell>
          <cell r="M1016" t="e">
            <v>#N/A</v>
          </cell>
          <cell r="N1016">
            <v>80</v>
          </cell>
          <cell r="O1016" t="e">
            <v>#N/A</v>
          </cell>
          <cell r="P1016" t="str">
            <v/>
          </cell>
          <cell r="Q1016" t="str">
            <v/>
          </cell>
          <cell r="R1016" t="e">
            <v>#N/A</v>
          </cell>
        </row>
        <row r="1017">
          <cell r="A1017" t="str">
            <v/>
          </cell>
          <cell r="B1017" t="str">
            <v/>
          </cell>
          <cell r="C1017" t="str">
            <v>Future</v>
          </cell>
          <cell r="D1017" t="e">
            <v>#N/A</v>
          </cell>
          <cell r="E1017">
            <v>-51.258070866141175</v>
          </cell>
          <cell r="F1017">
            <v>111.37972440945173</v>
          </cell>
          <cell r="G1017">
            <v>39.096259842519494</v>
          </cell>
          <cell r="H1017">
            <v>39.096259842519494</v>
          </cell>
          <cell r="I1017" t="e">
            <v>#N/A</v>
          </cell>
          <cell r="J1017" t="e">
            <v>#N/A</v>
          </cell>
          <cell r="K1017">
            <v>90</v>
          </cell>
          <cell r="L1017">
            <v>50</v>
          </cell>
          <cell r="M1017" t="e">
            <v>#N/A</v>
          </cell>
          <cell r="N1017">
            <v>80</v>
          </cell>
          <cell r="O1017" t="e">
            <v>#N/A</v>
          </cell>
          <cell r="P1017" t="str">
            <v/>
          </cell>
          <cell r="Q1017" t="str">
            <v/>
          </cell>
          <cell r="R1017" t="e">
            <v>#N/A</v>
          </cell>
        </row>
        <row r="1018">
          <cell r="A1018" t="str">
            <v/>
          </cell>
          <cell r="B1018" t="str">
            <v/>
          </cell>
          <cell r="C1018" t="str">
            <v>Future</v>
          </cell>
          <cell r="D1018" t="e">
            <v>#N/A</v>
          </cell>
          <cell r="E1018">
            <v>-51.508110236219913</v>
          </cell>
          <cell r="F1018">
            <v>111.48401574803441</v>
          </cell>
          <cell r="G1018">
            <v>39.043070866141541</v>
          </cell>
          <cell r="H1018">
            <v>39.043070866141541</v>
          </cell>
          <cell r="I1018" t="e">
            <v>#N/A</v>
          </cell>
          <cell r="J1018" t="e">
            <v>#N/A</v>
          </cell>
          <cell r="K1018">
            <v>90</v>
          </cell>
          <cell r="L1018">
            <v>50</v>
          </cell>
          <cell r="M1018" t="e">
            <v>#N/A</v>
          </cell>
          <cell r="N1018">
            <v>80</v>
          </cell>
          <cell r="O1018" t="e">
            <v>#N/A</v>
          </cell>
          <cell r="P1018" t="str">
            <v/>
          </cell>
          <cell r="Q1018" t="str">
            <v/>
          </cell>
          <cell r="R1018" t="e">
            <v>#N/A</v>
          </cell>
        </row>
        <row r="1019">
          <cell r="A1019" t="str">
            <v/>
          </cell>
          <cell r="B1019" t="str">
            <v/>
          </cell>
          <cell r="C1019" t="str">
            <v>Future</v>
          </cell>
          <cell r="D1019" t="e">
            <v>#N/A</v>
          </cell>
          <cell r="E1019">
            <v>-51.758149606298652</v>
          </cell>
          <cell r="F1019">
            <v>111.58830708661709</v>
          </cell>
          <cell r="G1019">
            <v>38.989881889763588</v>
          </cell>
          <cell r="H1019">
            <v>38.989881889763588</v>
          </cell>
          <cell r="I1019" t="e">
            <v>#N/A</v>
          </cell>
          <cell r="J1019" t="e">
            <v>#N/A</v>
          </cell>
          <cell r="K1019">
            <v>90</v>
          </cell>
          <cell r="L1019">
            <v>50</v>
          </cell>
          <cell r="M1019" t="e">
            <v>#N/A</v>
          </cell>
          <cell r="N1019">
            <v>80</v>
          </cell>
          <cell r="O1019" t="e">
            <v>#N/A</v>
          </cell>
          <cell r="P1019" t="str">
            <v/>
          </cell>
          <cell r="Q1019" t="str">
            <v/>
          </cell>
          <cell r="R1019" t="e">
            <v>#N/A</v>
          </cell>
        </row>
        <row r="1020">
          <cell r="A1020" t="str">
            <v/>
          </cell>
          <cell r="B1020" t="str">
            <v/>
          </cell>
          <cell r="C1020" t="str">
            <v>Future</v>
          </cell>
          <cell r="D1020" t="e">
            <v>#N/A</v>
          </cell>
          <cell r="E1020">
            <v>-52.00818897637739</v>
          </cell>
          <cell r="F1020">
            <v>111.69259842519978</v>
          </cell>
          <cell r="G1020">
            <v>38.936692913385635</v>
          </cell>
          <cell r="H1020">
            <v>38.936692913385635</v>
          </cell>
          <cell r="I1020" t="e">
            <v>#N/A</v>
          </cell>
          <cell r="J1020" t="e">
            <v>#N/A</v>
          </cell>
          <cell r="K1020">
            <v>90</v>
          </cell>
          <cell r="L1020">
            <v>50</v>
          </cell>
          <cell r="M1020" t="e">
            <v>#N/A</v>
          </cell>
          <cell r="N1020">
            <v>80</v>
          </cell>
          <cell r="O1020" t="e">
            <v>#N/A</v>
          </cell>
          <cell r="P1020" t="str">
            <v/>
          </cell>
          <cell r="Q1020" t="str">
            <v/>
          </cell>
          <cell r="R1020" t="e">
            <v>#N/A</v>
          </cell>
        </row>
        <row r="1021">
          <cell r="A1021" t="str">
            <v/>
          </cell>
          <cell r="B1021" t="str">
            <v/>
          </cell>
          <cell r="C1021" t="str">
            <v>Future</v>
          </cell>
          <cell r="D1021" t="e">
            <v>#N/A</v>
          </cell>
          <cell r="E1021">
            <v>-52.258228346456129</v>
          </cell>
          <cell r="F1021">
            <v>111.79688976378246</v>
          </cell>
          <cell r="G1021">
            <v>38.883503937007681</v>
          </cell>
          <cell r="H1021">
            <v>38.883503937007681</v>
          </cell>
          <cell r="I1021" t="e">
            <v>#N/A</v>
          </cell>
          <cell r="J1021" t="e">
            <v>#N/A</v>
          </cell>
          <cell r="K1021">
            <v>90</v>
          </cell>
          <cell r="L1021">
            <v>50</v>
          </cell>
          <cell r="M1021" t="e">
            <v>#N/A</v>
          </cell>
          <cell r="N1021">
            <v>80</v>
          </cell>
          <cell r="O1021" t="e">
            <v>#N/A</v>
          </cell>
          <cell r="P1021" t="str">
            <v/>
          </cell>
          <cell r="Q1021" t="str">
            <v/>
          </cell>
          <cell r="R1021" t="e">
            <v>#N/A</v>
          </cell>
        </row>
        <row r="1022">
          <cell r="A1022" t="str">
            <v/>
          </cell>
          <cell r="B1022" t="str">
            <v/>
          </cell>
          <cell r="C1022" t="str">
            <v>Future</v>
          </cell>
          <cell r="D1022" t="e">
            <v>#N/A</v>
          </cell>
          <cell r="E1022">
            <v>-52.508267716534867</v>
          </cell>
          <cell r="F1022">
            <v>111.90118110236514</v>
          </cell>
          <cell r="G1022">
            <v>38.830314960629728</v>
          </cell>
          <cell r="H1022">
            <v>38.830314960629728</v>
          </cell>
          <cell r="I1022" t="e">
            <v>#N/A</v>
          </cell>
          <cell r="J1022" t="e">
            <v>#N/A</v>
          </cell>
          <cell r="K1022">
            <v>90</v>
          </cell>
          <cell r="L1022">
            <v>50</v>
          </cell>
          <cell r="M1022" t="e">
            <v>#N/A</v>
          </cell>
          <cell r="N1022">
            <v>80</v>
          </cell>
          <cell r="O1022" t="e">
            <v>#N/A</v>
          </cell>
          <cell r="P1022" t="str">
            <v/>
          </cell>
          <cell r="Q1022" t="str">
            <v/>
          </cell>
          <cell r="R1022" t="e">
            <v>#N/A</v>
          </cell>
        </row>
        <row r="1023">
          <cell r="A1023" t="str">
            <v/>
          </cell>
          <cell r="B1023" t="str">
            <v/>
          </cell>
          <cell r="C1023" t="str">
            <v>Future</v>
          </cell>
          <cell r="D1023" t="e">
            <v>#N/A</v>
          </cell>
          <cell r="E1023">
            <v>-52.758307086613605</v>
          </cell>
          <cell r="F1023">
            <v>112.00547244094783</v>
          </cell>
          <cell r="G1023">
            <v>38.777125984251775</v>
          </cell>
          <cell r="H1023">
            <v>38.777125984251775</v>
          </cell>
          <cell r="I1023" t="e">
            <v>#N/A</v>
          </cell>
          <cell r="J1023" t="e">
            <v>#N/A</v>
          </cell>
          <cell r="K1023">
            <v>90</v>
          </cell>
          <cell r="L1023">
            <v>50</v>
          </cell>
          <cell r="M1023" t="e">
            <v>#N/A</v>
          </cell>
          <cell r="N1023">
            <v>80</v>
          </cell>
          <cell r="O1023" t="e">
            <v>#N/A</v>
          </cell>
          <cell r="P1023" t="str">
            <v/>
          </cell>
          <cell r="Q1023" t="str">
            <v/>
          </cell>
          <cell r="R1023" t="e">
            <v>#N/A</v>
          </cell>
        </row>
        <row r="1024">
          <cell r="A1024" t="str">
            <v/>
          </cell>
          <cell r="B1024" t="str">
            <v/>
          </cell>
          <cell r="C1024" t="str">
            <v>Future</v>
          </cell>
          <cell r="D1024" t="e">
            <v>#N/A</v>
          </cell>
          <cell r="E1024">
            <v>-53.008346456692344</v>
          </cell>
          <cell r="F1024">
            <v>112.10976377953051</v>
          </cell>
          <cell r="G1024">
            <v>38.723937007873822</v>
          </cell>
          <cell r="H1024">
            <v>38.723937007873822</v>
          </cell>
          <cell r="I1024" t="e">
            <v>#N/A</v>
          </cell>
          <cell r="J1024" t="e">
            <v>#N/A</v>
          </cell>
          <cell r="K1024">
            <v>90</v>
          </cell>
          <cell r="L1024">
            <v>50</v>
          </cell>
          <cell r="M1024" t="e">
            <v>#N/A</v>
          </cell>
          <cell r="N1024">
            <v>80</v>
          </cell>
          <cell r="O1024" t="e">
            <v>#N/A</v>
          </cell>
          <cell r="P1024" t="str">
            <v/>
          </cell>
          <cell r="Q1024" t="str">
            <v/>
          </cell>
          <cell r="R1024" t="e">
            <v>#N/A</v>
          </cell>
        </row>
        <row r="1025">
          <cell r="A1025" t="str">
            <v/>
          </cell>
          <cell r="B1025" t="str">
            <v/>
          </cell>
          <cell r="C1025" t="str">
            <v>Future</v>
          </cell>
          <cell r="D1025" t="e">
            <v>#N/A</v>
          </cell>
          <cell r="E1025">
            <v>-53.258385826771082</v>
          </cell>
          <cell r="F1025">
            <v>112.21405511811319</v>
          </cell>
          <cell r="G1025">
            <v>38.670748031495869</v>
          </cell>
          <cell r="H1025">
            <v>38.670748031495869</v>
          </cell>
          <cell r="I1025" t="e">
            <v>#N/A</v>
          </cell>
          <cell r="J1025" t="e">
            <v>#N/A</v>
          </cell>
          <cell r="K1025">
            <v>90</v>
          </cell>
          <cell r="L1025">
            <v>50</v>
          </cell>
          <cell r="M1025" t="e">
            <v>#N/A</v>
          </cell>
          <cell r="N1025">
            <v>80</v>
          </cell>
          <cell r="O1025" t="e">
            <v>#N/A</v>
          </cell>
          <cell r="P1025" t="str">
            <v/>
          </cell>
          <cell r="Q1025" t="str">
            <v/>
          </cell>
          <cell r="R1025" t="e">
            <v>#N/A</v>
          </cell>
        </row>
        <row r="1026">
          <cell r="A1026" t="str">
            <v/>
          </cell>
          <cell r="B1026" t="str">
            <v/>
          </cell>
          <cell r="C1026" t="str">
            <v>Future</v>
          </cell>
          <cell r="D1026" t="e">
            <v>#N/A</v>
          </cell>
          <cell r="E1026">
            <v>-53.508425196849821</v>
          </cell>
          <cell r="F1026">
            <v>112.31834645669588</v>
          </cell>
          <cell r="G1026">
            <v>38.617559055117916</v>
          </cell>
          <cell r="H1026">
            <v>38.617559055117916</v>
          </cell>
          <cell r="I1026" t="e">
            <v>#N/A</v>
          </cell>
          <cell r="J1026" t="e">
            <v>#N/A</v>
          </cell>
          <cell r="K1026">
            <v>90</v>
          </cell>
          <cell r="L1026">
            <v>50</v>
          </cell>
          <cell r="M1026" t="e">
            <v>#N/A</v>
          </cell>
          <cell r="N1026">
            <v>80</v>
          </cell>
          <cell r="O1026" t="e">
            <v>#N/A</v>
          </cell>
          <cell r="P1026" t="str">
            <v/>
          </cell>
          <cell r="Q1026" t="str">
            <v/>
          </cell>
          <cell r="R1026" t="e">
            <v>#N/A</v>
          </cell>
        </row>
        <row r="1027">
          <cell r="A1027" t="str">
            <v/>
          </cell>
          <cell r="B1027" t="str">
            <v/>
          </cell>
          <cell r="C1027" t="str">
            <v>Future</v>
          </cell>
          <cell r="D1027" t="e">
            <v>#N/A</v>
          </cell>
          <cell r="E1027">
            <v>-53.758464566928559</v>
          </cell>
          <cell r="F1027">
            <v>112.42263779527856</v>
          </cell>
          <cell r="G1027">
            <v>38.564370078739962</v>
          </cell>
          <cell r="H1027">
            <v>38.564370078739962</v>
          </cell>
          <cell r="I1027" t="e">
            <v>#N/A</v>
          </cell>
          <cell r="J1027" t="e">
            <v>#N/A</v>
          </cell>
          <cell r="K1027">
            <v>90</v>
          </cell>
          <cell r="L1027">
            <v>50</v>
          </cell>
          <cell r="M1027" t="e">
            <v>#N/A</v>
          </cell>
          <cell r="N1027">
            <v>80</v>
          </cell>
          <cell r="O1027" t="e">
            <v>#N/A</v>
          </cell>
          <cell r="P1027" t="str">
            <v/>
          </cell>
          <cell r="Q1027" t="str">
            <v/>
          </cell>
          <cell r="R1027" t="e">
            <v>#N/A</v>
          </cell>
        </row>
        <row r="1028">
          <cell r="A1028" t="str">
            <v/>
          </cell>
          <cell r="B1028" t="str">
            <v/>
          </cell>
          <cell r="C1028" t="str">
            <v>Future</v>
          </cell>
          <cell r="D1028" t="e">
            <v>#N/A</v>
          </cell>
          <cell r="E1028">
            <v>-54.008503937007298</v>
          </cell>
          <cell r="F1028">
            <v>112.52692913386124</v>
          </cell>
          <cell r="G1028">
            <v>38.511181102362009</v>
          </cell>
          <cell r="H1028">
            <v>38.511181102362009</v>
          </cell>
          <cell r="I1028" t="e">
            <v>#N/A</v>
          </cell>
          <cell r="J1028" t="e">
            <v>#N/A</v>
          </cell>
          <cell r="K1028">
            <v>90</v>
          </cell>
          <cell r="L1028">
            <v>50</v>
          </cell>
          <cell r="M1028" t="e">
            <v>#N/A</v>
          </cell>
          <cell r="N1028">
            <v>80</v>
          </cell>
          <cell r="O1028" t="e">
            <v>#N/A</v>
          </cell>
          <cell r="P1028" t="str">
            <v/>
          </cell>
          <cell r="Q1028" t="str">
            <v/>
          </cell>
          <cell r="R1028" t="e">
            <v>#N/A</v>
          </cell>
        </row>
        <row r="1029">
          <cell r="A1029" t="str">
            <v/>
          </cell>
          <cell r="B1029" t="str">
            <v/>
          </cell>
          <cell r="C1029" t="str">
            <v>Future</v>
          </cell>
          <cell r="D1029" t="e">
            <v>#N/A</v>
          </cell>
          <cell r="E1029">
            <v>-54.258543307086036</v>
          </cell>
          <cell r="F1029">
            <v>112.63122047244393</v>
          </cell>
          <cell r="G1029">
            <v>38.457992125984056</v>
          </cell>
          <cell r="H1029">
            <v>38.457992125984056</v>
          </cell>
          <cell r="I1029" t="e">
            <v>#N/A</v>
          </cell>
          <cell r="J1029" t="e">
            <v>#N/A</v>
          </cell>
          <cell r="K1029">
            <v>90</v>
          </cell>
          <cell r="L1029">
            <v>50</v>
          </cell>
          <cell r="M1029" t="e">
            <v>#N/A</v>
          </cell>
          <cell r="N1029">
            <v>80</v>
          </cell>
          <cell r="O1029" t="e">
            <v>#N/A</v>
          </cell>
          <cell r="P1029" t="str">
            <v/>
          </cell>
          <cell r="Q1029" t="str">
            <v/>
          </cell>
          <cell r="R1029" t="e">
            <v>#N/A</v>
          </cell>
        </row>
        <row r="1030">
          <cell r="A1030" t="str">
            <v/>
          </cell>
          <cell r="B1030" t="str">
            <v/>
          </cell>
          <cell r="C1030" t="str">
            <v>Future</v>
          </cell>
          <cell r="D1030" t="e">
            <v>#N/A</v>
          </cell>
          <cell r="E1030">
            <v>-54.508582677164775</v>
          </cell>
          <cell r="F1030">
            <v>112.73551181102661</v>
          </cell>
          <cell r="G1030">
            <v>38.404803149606103</v>
          </cell>
          <cell r="H1030">
            <v>38.404803149606103</v>
          </cell>
          <cell r="I1030" t="e">
            <v>#N/A</v>
          </cell>
          <cell r="J1030" t="e">
            <v>#N/A</v>
          </cell>
          <cell r="K1030">
            <v>90</v>
          </cell>
          <cell r="L1030">
            <v>50</v>
          </cell>
          <cell r="M1030" t="e">
            <v>#N/A</v>
          </cell>
          <cell r="N1030">
            <v>80</v>
          </cell>
          <cell r="O1030" t="e">
            <v>#N/A</v>
          </cell>
          <cell r="P1030" t="str">
            <v/>
          </cell>
          <cell r="Q1030" t="str">
            <v/>
          </cell>
          <cell r="R1030" t="e">
            <v>#N/A</v>
          </cell>
        </row>
        <row r="1031">
          <cell r="A1031" t="str">
            <v/>
          </cell>
          <cell r="B1031" t="str">
            <v/>
          </cell>
          <cell r="C1031" t="str">
            <v>Future</v>
          </cell>
          <cell r="D1031" t="e">
            <v>#N/A</v>
          </cell>
          <cell r="E1031">
            <v>-54.758622047243513</v>
          </cell>
          <cell r="F1031">
            <v>112.8398031496093</v>
          </cell>
          <cell r="G1031">
            <v>38.35161417322815</v>
          </cell>
          <cell r="H1031">
            <v>38.35161417322815</v>
          </cell>
          <cell r="I1031" t="e">
            <v>#N/A</v>
          </cell>
          <cell r="J1031" t="e">
            <v>#N/A</v>
          </cell>
          <cell r="K1031">
            <v>90</v>
          </cell>
          <cell r="L1031">
            <v>50</v>
          </cell>
          <cell r="M1031" t="e">
            <v>#N/A</v>
          </cell>
          <cell r="N1031">
            <v>80</v>
          </cell>
          <cell r="O1031" t="e">
            <v>#N/A</v>
          </cell>
          <cell r="P1031" t="str">
            <v/>
          </cell>
          <cell r="Q1031" t="str">
            <v/>
          </cell>
          <cell r="R1031" t="e">
            <v>#N/A</v>
          </cell>
        </row>
        <row r="1032">
          <cell r="A1032" t="str">
            <v/>
          </cell>
          <cell r="B1032" t="str">
            <v/>
          </cell>
          <cell r="C1032" t="str">
            <v>Future</v>
          </cell>
          <cell r="D1032" t="e">
            <v>#N/A</v>
          </cell>
          <cell r="E1032">
            <v>-55.008661417322251</v>
          </cell>
          <cell r="F1032">
            <v>112.94409448819198</v>
          </cell>
          <cell r="G1032">
            <v>38.298425196850197</v>
          </cell>
          <cell r="H1032">
            <v>38.298425196850197</v>
          </cell>
          <cell r="I1032" t="e">
            <v>#N/A</v>
          </cell>
          <cell r="J1032" t="e">
            <v>#N/A</v>
          </cell>
          <cell r="K1032">
            <v>90</v>
          </cell>
          <cell r="L1032">
            <v>50</v>
          </cell>
          <cell r="M1032" t="e">
            <v>#N/A</v>
          </cell>
          <cell r="N1032">
            <v>80</v>
          </cell>
          <cell r="O1032" t="e">
            <v>#N/A</v>
          </cell>
          <cell r="P1032" t="str">
            <v/>
          </cell>
          <cell r="Q1032" t="str">
            <v/>
          </cell>
          <cell r="R1032" t="e">
            <v>#N/A</v>
          </cell>
        </row>
        <row r="1033">
          <cell r="A1033" t="str">
            <v/>
          </cell>
          <cell r="B1033" t="str">
            <v/>
          </cell>
          <cell r="C1033" t="str">
            <v>Future</v>
          </cell>
          <cell r="D1033" t="e">
            <v>#N/A</v>
          </cell>
          <cell r="E1033">
            <v>-55.25870078740099</v>
          </cell>
          <cell r="F1033">
            <v>113.04838582677466</v>
          </cell>
          <cell r="G1033">
            <v>38.245236220472243</v>
          </cell>
          <cell r="H1033">
            <v>38.245236220472243</v>
          </cell>
          <cell r="I1033" t="e">
            <v>#N/A</v>
          </cell>
          <cell r="J1033" t="e">
            <v>#N/A</v>
          </cell>
          <cell r="K1033">
            <v>90</v>
          </cell>
          <cell r="L1033">
            <v>50</v>
          </cell>
          <cell r="M1033" t="e">
            <v>#N/A</v>
          </cell>
          <cell r="N1033">
            <v>80</v>
          </cell>
          <cell r="O1033" t="e">
            <v>#N/A</v>
          </cell>
          <cell r="P1033" t="str">
            <v/>
          </cell>
          <cell r="Q1033" t="str">
            <v/>
          </cell>
          <cell r="R1033" t="e">
            <v>#N/A</v>
          </cell>
        </row>
        <row r="1034">
          <cell r="A1034" t="str">
            <v/>
          </cell>
          <cell r="B1034" t="str">
            <v/>
          </cell>
          <cell r="C1034" t="str">
            <v>Future</v>
          </cell>
          <cell r="D1034" t="e">
            <v>#N/A</v>
          </cell>
          <cell r="E1034">
            <v>-55.508740157479728</v>
          </cell>
          <cell r="F1034">
            <v>113.15267716535735</v>
          </cell>
          <cell r="G1034">
            <v>38.19204724409429</v>
          </cell>
          <cell r="H1034">
            <v>38.19204724409429</v>
          </cell>
          <cell r="I1034" t="e">
            <v>#N/A</v>
          </cell>
          <cell r="J1034" t="e">
            <v>#N/A</v>
          </cell>
          <cell r="K1034">
            <v>90</v>
          </cell>
          <cell r="L1034">
            <v>50</v>
          </cell>
          <cell r="M1034" t="e">
            <v>#N/A</v>
          </cell>
          <cell r="N1034">
            <v>80</v>
          </cell>
          <cell r="O1034" t="e">
            <v>#N/A</v>
          </cell>
          <cell r="P1034" t="str">
            <v/>
          </cell>
          <cell r="Q1034" t="str">
            <v/>
          </cell>
          <cell r="R1034" t="e">
            <v>#N/A</v>
          </cell>
        </row>
        <row r="1035">
          <cell r="A1035" t="str">
            <v/>
          </cell>
          <cell r="B1035" t="str">
            <v/>
          </cell>
          <cell r="C1035" t="str">
            <v>Future</v>
          </cell>
          <cell r="D1035" t="e">
            <v>#N/A</v>
          </cell>
          <cell r="E1035">
            <v>-55.758779527558467</v>
          </cell>
          <cell r="F1035">
            <v>113.25696850394003</v>
          </cell>
          <cell r="G1035">
            <v>38.138858267716337</v>
          </cell>
          <cell r="H1035">
            <v>38.138858267716337</v>
          </cell>
          <cell r="I1035" t="e">
            <v>#N/A</v>
          </cell>
          <cell r="J1035" t="e">
            <v>#N/A</v>
          </cell>
          <cell r="K1035">
            <v>90</v>
          </cell>
          <cell r="L1035">
            <v>50</v>
          </cell>
          <cell r="M1035" t="e">
            <v>#N/A</v>
          </cell>
          <cell r="N1035">
            <v>80</v>
          </cell>
          <cell r="O1035" t="e">
            <v>#N/A</v>
          </cell>
          <cell r="P1035" t="str">
            <v/>
          </cell>
          <cell r="Q1035" t="str">
            <v/>
          </cell>
          <cell r="R1035" t="e">
            <v>#N/A</v>
          </cell>
        </row>
        <row r="1036">
          <cell r="A1036" t="str">
            <v/>
          </cell>
          <cell r="B1036" t="str">
            <v/>
          </cell>
          <cell r="C1036" t="str">
            <v>Future</v>
          </cell>
          <cell r="D1036" t="e">
            <v>#N/A</v>
          </cell>
          <cell r="E1036">
            <v>-56.008818897637205</v>
          </cell>
          <cell r="F1036">
            <v>113.36125984252271</v>
          </cell>
          <cell r="G1036">
            <v>38.085669291338384</v>
          </cell>
          <cell r="H1036">
            <v>38.085669291338384</v>
          </cell>
          <cell r="I1036" t="e">
            <v>#N/A</v>
          </cell>
          <cell r="J1036" t="e">
            <v>#N/A</v>
          </cell>
          <cell r="K1036">
            <v>90</v>
          </cell>
          <cell r="L1036">
            <v>50</v>
          </cell>
          <cell r="M1036" t="e">
            <v>#N/A</v>
          </cell>
          <cell r="N1036">
            <v>80</v>
          </cell>
          <cell r="O1036" t="e">
            <v>#N/A</v>
          </cell>
          <cell r="P1036" t="str">
            <v/>
          </cell>
          <cell r="Q1036" t="str">
            <v/>
          </cell>
          <cell r="R1036" t="e">
            <v>#N/A</v>
          </cell>
        </row>
        <row r="1037">
          <cell r="A1037" t="str">
            <v/>
          </cell>
          <cell r="B1037" t="str">
            <v/>
          </cell>
          <cell r="C1037" t="str">
            <v>Future</v>
          </cell>
          <cell r="D1037" t="e">
            <v>#N/A</v>
          </cell>
          <cell r="E1037">
            <v>-56.258858267715944</v>
          </cell>
          <cell r="F1037">
            <v>113.4655511811054</v>
          </cell>
          <cell r="G1037">
            <v>38.032480314960431</v>
          </cell>
          <cell r="H1037">
            <v>38.032480314960431</v>
          </cell>
          <cell r="I1037" t="e">
            <v>#N/A</v>
          </cell>
          <cell r="J1037" t="e">
            <v>#N/A</v>
          </cell>
          <cell r="K1037">
            <v>90</v>
          </cell>
          <cell r="L1037">
            <v>50</v>
          </cell>
          <cell r="M1037" t="e">
            <v>#N/A</v>
          </cell>
          <cell r="N1037">
            <v>80</v>
          </cell>
          <cell r="O1037" t="e">
            <v>#N/A</v>
          </cell>
          <cell r="P1037" t="str">
            <v/>
          </cell>
          <cell r="Q1037" t="str">
            <v/>
          </cell>
          <cell r="R1037" t="e">
            <v>#N/A</v>
          </cell>
        </row>
        <row r="1038">
          <cell r="A1038" t="str">
            <v/>
          </cell>
          <cell r="B1038" t="str">
            <v/>
          </cell>
          <cell r="C1038" t="str">
            <v>Future</v>
          </cell>
          <cell r="D1038" t="e">
            <v>#N/A</v>
          </cell>
          <cell r="E1038">
            <v>-56.508897637794682</v>
          </cell>
          <cell r="F1038">
            <v>113.56984251968808</v>
          </cell>
          <cell r="G1038">
            <v>37.979291338582478</v>
          </cell>
          <cell r="H1038">
            <v>37.979291338582478</v>
          </cell>
          <cell r="I1038" t="e">
            <v>#N/A</v>
          </cell>
          <cell r="J1038" t="e">
            <v>#N/A</v>
          </cell>
          <cell r="K1038">
            <v>90</v>
          </cell>
          <cell r="L1038">
            <v>50</v>
          </cell>
          <cell r="M1038" t="e">
            <v>#N/A</v>
          </cell>
          <cell r="N1038">
            <v>80</v>
          </cell>
          <cell r="O1038" t="e">
            <v>#N/A</v>
          </cell>
          <cell r="P1038" t="str">
            <v/>
          </cell>
          <cell r="Q1038" t="str">
            <v/>
          </cell>
          <cell r="R1038" t="e">
            <v>#N/A</v>
          </cell>
        </row>
        <row r="1039">
          <cell r="A1039" t="str">
            <v/>
          </cell>
          <cell r="B1039" t="str">
            <v/>
          </cell>
          <cell r="C1039" t="str">
            <v>Future</v>
          </cell>
          <cell r="D1039" t="e">
            <v>#N/A</v>
          </cell>
          <cell r="E1039">
            <v>-56.758937007873421</v>
          </cell>
          <cell r="F1039">
            <v>113.67413385827076</v>
          </cell>
          <cell r="G1039">
            <v>37.926102362204524</v>
          </cell>
          <cell r="H1039">
            <v>37.926102362204524</v>
          </cell>
          <cell r="I1039" t="e">
            <v>#N/A</v>
          </cell>
          <cell r="J1039" t="e">
            <v>#N/A</v>
          </cell>
          <cell r="K1039">
            <v>90</v>
          </cell>
          <cell r="L1039">
            <v>50</v>
          </cell>
          <cell r="M1039" t="e">
            <v>#N/A</v>
          </cell>
          <cell r="N1039">
            <v>80</v>
          </cell>
          <cell r="O1039" t="e">
            <v>#N/A</v>
          </cell>
          <cell r="P1039" t="str">
            <v/>
          </cell>
          <cell r="Q1039" t="str">
            <v/>
          </cell>
          <cell r="R1039" t="e">
            <v>#N/A</v>
          </cell>
        </row>
        <row r="1040">
          <cell r="A1040" t="str">
            <v/>
          </cell>
          <cell r="B1040" t="str">
            <v/>
          </cell>
          <cell r="C1040" t="str">
            <v>Future</v>
          </cell>
          <cell r="D1040" t="e">
            <v>#N/A</v>
          </cell>
          <cell r="E1040">
            <v>-57.008976377952159</v>
          </cell>
          <cell r="F1040">
            <v>113.77842519685345</v>
          </cell>
          <cell r="G1040">
            <v>37.872913385826571</v>
          </cell>
          <cell r="H1040">
            <v>37.872913385826571</v>
          </cell>
          <cell r="I1040" t="e">
            <v>#N/A</v>
          </cell>
          <cell r="J1040" t="e">
            <v>#N/A</v>
          </cell>
          <cell r="K1040">
            <v>90</v>
          </cell>
          <cell r="L1040">
            <v>50</v>
          </cell>
          <cell r="M1040" t="e">
            <v>#N/A</v>
          </cell>
          <cell r="N1040">
            <v>80</v>
          </cell>
          <cell r="O1040" t="e">
            <v>#N/A</v>
          </cell>
          <cell r="P1040" t="str">
            <v/>
          </cell>
          <cell r="Q1040" t="str">
            <v/>
          </cell>
          <cell r="R1040" t="e">
            <v>#N/A</v>
          </cell>
        </row>
        <row r="1041">
          <cell r="A1041" t="str">
            <v/>
          </cell>
          <cell r="B1041" t="str">
            <v/>
          </cell>
          <cell r="C1041" t="str">
            <v>Future</v>
          </cell>
          <cell r="D1041" t="e">
            <v>#N/A</v>
          </cell>
          <cell r="E1041">
            <v>-57.259015748030897</v>
          </cell>
          <cell r="F1041">
            <v>113.88271653543613</v>
          </cell>
          <cell r="G1041">
            <v>37.819724409448618</v>
          </cell>
          <cell r="H1041">
            <v>37.819724409448618</v>
          </cell>
          <cell r="I1041" t="e">
            <v>#N/A</v>
          </cell>
          <cell r="J1041" t="e">
            <v>#N/A</v>
          </cell>
          <cell r="K1041">
            <v>90</v>
          </cell>
          <cell r="L1041">
            <v>50</v>
          </cell>
          <cell r="M1041" t="e">
            <v>#N/A</v>
          </cell>
          <cell r="N1041">
            <v>80</v>
          </cell>
          <cell r="O1041" t="e">
            <v>#N/A</v>
          </cell>
          <cell r="P1041" t="str">
            <v/>
          </cell>
          <cell r="Q1041" t="str">
            <v/>
          </cell>
          <cell r="R1041" t="e">
            <v>#N/A</v>
          </cell>
        </row>
        <row r="1042">
          <cell r="A1042" t="str">
            <v/>
          </cell>
          <cell r="B1042" t="str">
            <v/>
          </cell>
          <cell r="C1042" t="str">
            <v>Future</v>
          </cell>
          <cell r="D1042" t="e">
            <v>#N/A</v>
          </cell>
          <cell r="E1042">
            <v>-57.509055118109636</v>
          </cell>
          <cell r="F1042">
            <v>113.98700787401881</v>
          </cell>
          <cell r="G1042">
            <v>37.766535433070665</v>
          </cell>
          <cell r="H1042">
            <v>37.766535433070665</v>
          </cell>
          <cell r="I1042" t="e">
            <v>#N/A</v>
          </cell>
          <cell r="J1042" t="e">
            <v>#N/A</v>
          </cell>
          <cell r="K1042">
            <v>90</v>
          </cell>
          <cell r="L1042">
            <v>50</v>
          </cell>
          <cell r="M1042" t="e">
            <v>#N/A</v>
          </cell>
          <cell r="N1042">
            <v>80</v>
          </cell>
          <cell r="O1042" t="e">
            <v>#N/A</v>
          </cell>
          <cell r="P1042" t="str">
            <v/>
          </cell>
          <cell r="Q1042" t="str">
            <v/>
          </cell>
          <cell r="R1042" t="e">
            <v>#N/A</v>
          </cell>
        </row>
        <row r="1043">
          <cell r="A1043" t="str">
            <v/>
          </cell>
          <cell r="B1043" t="str">
            <v/>
          </cell>
          <cell r="C1043" t="str">
            <v>Future</v>
          </cell>
          <cell r="D1043" t="e">
            <v>#N/A</v>
          </cell>
          <cell r="E1043">
            <v>-57.759094488188374</v>
          </cell>
          <cell r="F1043">
            <v>114.0912992126015</v>
          </cell>
          <cell r="G1043">
            <v>37.713346456692712</v>
          </cell>
          <cell r="H1043">
            <v>37.713346456692712</v>
          </cell>
          <cell r="I1043" t="e">
            <v>#N/A</v>
          </cell>
          <cell r="J1043" t="e">
            <v>#N/A</v>
          </cell>
          <cell r="K1043">
            <v>90</v>
          </cell>
          <cell r="L1043">
            <v>50</v>
          </cell>
          <cell r="M1043" t="e">
            <v>#N/A</v>
          </cell>
          <cell r="N1043">
            <v>80</v>
          </cell>
          <cell r="O1043" t="e">
            <v>#N/A</v>
          </cell>
          <cell r="P1043" t="str">
            <v/>
          </cell>
          <cell r="Q1043" t="str">
            <v/>
          </cell>
          <cell r="R1043" t="e">
            <v>#N/A</v>
          </cell>
        </row>
        <row r="1044">
          <cell r="A1044" t="str">
            <v/>
          </cell>
          <cell r="B1044" t="str">
            <v/>
          </cell>
          <cell r="C1044" t="str">
            <v>Future</v>
          </cell>
          <cell r="D1044" t="e">
            <v>#N/A</v>
          </cell>
          <cell r="E1044">
            <v>-58.009133858267113</v>
          </cell>
          <cell r="F1044">
            <v>114.19559055118418</v>
          </cell>
          <cell r="G1044">
            <v>37.660157480314759</v>
          </cell>
          <cell r="H1044">
            <v>37.660157480314759</v>
          </cell>
          <cell r="I1044" t="e">
            <v>#N/A</v>
          </cell>
          <cell r="J1044" t="e">
            <v>#N/A</v>
          </cell>
          <cell r="K1044">
            <v>90</v>
          </cell>
          <cell r="L1044">
            <v>50</v>
          </cell>
          <cell r="M1044" t="e">
            <v>#N/A</v>
          </cell>
          <cell r="N1044">
            <v>80</v>
          </cell>
          <cell r="O1044" t="e">
            <v>#N/A</v>
          </cell>
          <cell r="P1044" t="str">
            <v/>
          </cell>
          <cell r="Q1044" t="str">
            <v/>
          </cell>
          <cell r="R1044" t="e">
            <v>#N/A</v>
          </cell>
        </row>
        <row r="1045">
          <cell r="A1045" t="str">
            <v/>
          </cell>
          <cell r="B1045" t="str">
            <v/>
          </cell>
          <cell r="C1045" t="str">
            <v>Future</v>
          </cell>
          <cell r="D1045" t="e">
            <v>#N/A</v>
          </cell>
          <cell r="E1045">
            <v>-58.259173228345851</v>
          </cell>
          <cell r="F1045">
            <v>114.29988188976687</v>
          </cell>
          <cell r="G1045">
            <v>37.606968503936805</v>
          </cell>
          <cell r="H1045">
            <v>37.606968503936805</v>
          </cell>
          <cell r="I1045" t="e">
            <v>#N/A</v>
          </cell>
          <cell r="J1045" t="e">
            <v>#N/A</v>
          </cell>
          <cell r="K1045">
            <v>90</v>
          </cell>
          <cell r="L1045">
            <v>50</v>
          </cell>
          <cell r="M1045" t="e">
            <v>#N/A</v>
          </cell>
          <cell r="N1045">
            <v>80</v>
          </cell>
          <cell r="O1045" t="e">
            <v>#N/A</v>
          </cell>
          <cell r="P1045" t="str">
            <v/>
          </cell>
          <cell r="Q1045" t="str">
            <v/>
          </cell>
          <cell r="R1045" t="e">
            <v>#N/A</v>
          </cell>
        </row>
        <row r="1046">
          <cell r="A1046" t="str">
            <v/>
          </cell>
          <cell r="B1046" t="str">
            <v/>
          </cell>
          <cell r="C1046" t="str">
            <v>Future</v>
          </cell>
          <cell r="D1046" t="e">
            <v>#N/A</v>
          </cell>
          <cell r="E1046">
            <v>-58.50921259842459</v>
          </cell>
          <cell r="F1046">
            <v>114.40417322834955</v>
          </cell>
          <cell r="G1046">
            <v>37.553779527558852</v>
          </cell>
          <cell r="H1046">
            <v>37.553779527558852</v>
          </cell>
          <cell r="I1046" t="e">
            <v>#N/A</v>
          </cell>
          <cell r="J1046" t="e">
            <v>#N/A</v>
          </cell>
          <cell r="K1046">
            <v>90</v>
          </cell>
          <cell r="L1046">
            <v>50</v>
          </cell>
          <cell r="M1046" t="e">
            <v>#N/A</v>
          </cell>
          <cell r="N1046">
            <v>80</v>
          </cell>
          <cell r="O1046" t="e">
            <v>#N/A</v>
          </cell>
          <cell r="P1046" t="str">
            <v/>
          </cell>
          <cell r="Q1046" t="str">
            <v/>
          </cell>
          <cell r="R1046" t="e">
            <v>#N/A</v>
          </cell>
        </row>
        <row r="1047">
          <cell r="A1047" t="str">
            <v/>
          </cell>
          <cell r="B1047" t="str">
            <v/>
          </cell>
          <cell r="C1047" t="str">
            <v>Future</v>
          </cell>
          <cell r="D1047" t="e">
            <v>#N/A</v>
          </cell>
          <cell r="E1047">
            <v>-58.759251968503328</v>
          </cell>
          <cell r="F1047">
            <v>114.50846456693223</v>
          </cell>
          <cell r="G1047">
            <v>37.500590551180899</v>
          </cell>
          <cell r="H1047">
            <v>37.500590551180899</v>
          </cell>
          <cell r="I1047" t="e">
            <v>#N/A</v>
          </cell>
          <cell r="J1047" t="e">
            <v>#N/A</v>
          </cell>
          <cell r="K1047">
            <v>90</v>
          </cell>
          <cell r="L1047">
            <v>50</v>
          </cell>
          <cell r="M1047" t="e">
            <v>#N/A</v>
          </cell>
          <cell r="N1047">
            <v>80</v>
          </cell>
          <cell r="O1047" t="e">
            <v>#N/A</v>
          </cell>
          <cell r="P1047" t="str">
            <v/>
          </cell>
          <cell r="Q1047" t="str">
            <v/>
          </cell>
          <cell r="R1047" t="e">
            <v>#N/A</v>
          </cell>
        </row>
        <row r="1048">
          <cell r="A1048" t="str">
            <v/>
          </cell>
          <cell r="B1048" t="str">
            <v/>
          </cell>
          <cell r="C1048" t="str">
            <v>Future</v>
          </cell>
          <cell r="D1048" t="e">
            <v>#N/A</v>
          </cell>
          <cell r="E1048">
            <v>-59.009291338582067</v>
          </cell>
          <cell r="F1048">
            <v>114.61275590551492</v>
          </cell>
          <cell r="G1048">
            <v>37.447401574802946</v>
          </cell>
          <cell r="H1048">
            <v>37.447401574802946</v>
          </cell>
          <cell r="I1048" t="e">
            <v>#N/A</v>
          </cell>
          <cell r="J1048" t="e">
            <v>#N/A</v>
          </cell>
          <cell r="K1048">
            <v>90</v>
          </cell>
          <cell r="L1048">
            <v>50</v>
          </cell>
          <cell r="M1048" t="e">
            <v>#N/A</v>
          </cell>
          <cell r="N1048">
            <v>80</v>
          </cell>
          <cell r="O1048" t="e">
            <v>#N/A</v>
          </cell>
          <cell r="P1048" t="str">
            <v/>
          </cell>
          <cell r="Q1048" t="str">
            <v/>
          </cell>
          <cell r="R1048" t="e">
            <v>#N/A</v>
          </cell>
        </row>
        <row r="1049">
          <cell r="A1049" t="str">
            <v/>
          </cell>
          <cell r="B1049" t="str">
            <v/>
          </cell>
          <cell r="C1049" t="str">
            <v>Future</v>
          </cell>
          <cell r="D1049" t="e">
            <v>#N/A</v>
          </cell>
          <cell r="E1049">
            <v>-59.259330708660805</v>
          </cell>
          <cell r="F1049">
            <v>114.7170472440976</v>
          </cell>
          <cell r="G1049">
            <v>37.394212598424993</v>
          </cell>
          <cell r="H1049">
            <v>37.394212598424993</v>
          </cell>
          <cell r="I1049" t="e">
            <v>#N/A</v>
          </cell>
          <cell r="J1049" t="e">
            <v>#N/A</v>
          </cell>
          <cell r="K1049">
            <v>90</v>
          </cell>
          <cell r="L1049">
            <v>50</v>
          </cell>
          <cell r="M1049" t="e">
            <v>#N/A</v>
          </cell>
          <cell r="N1049">
            <v>80</v>
          </cell>
          <cell r="O1049" t="e">
            <v>#N/A</v>
          </cell>
          <cell r="P1049" t="str">
            <v/>
          </cell>
          <cell r="Q1049" t="str">
            <v/>
          </cell>
          <cell r="R1049" t="e">
            <v>#N/A</v>
          </cell>
        </row>
        <row r="1050">
          <cell r="A1050" t="str">
            <v/>
          </cell>
          <cell r="B1050" t="str">
            <v/>
          </cell>
          <cell r="C1050" t="str">
            <v>Future</v>
          </cell>
          <cell r="D1050" t="e">
            <v>#N/A</v>
          </cell>
          <cell r="E1050">
            <v>-59.509370078739543</v>
          </cell>
          <cell r="F1050">
            <v>114.82133858268028</v>
          </cell>
          <cell r="G1050">
            <v>37.34102362204704</v>
          </cell>
          <cell r="H1050">
            <v>37.34102362204704</v>
          </cell>
          <cell r="I1050" t="e">
            <v>#N/A</v>
          </cell>
          <cell r="J1050" t="e">
            <v>#N/A</v>
          </cell>
          <cell r="K1050">
            <v>90</v>
          </cell>
          <cell r="L1050">
            <v>50</v>
          </cell>
          <cell r="M1050" t="e">
            <v>#N/A</v>
          </cell>
          <cell r="N1050">
            <v>80</v>
          </cell>
          <cell r="O1050" t="e">
            <v>#N/A</v>
          </cell>
          <cell r="P1050" t="str">
            <v/>
          </cell>
          <cell r="Q1050" t="str">
            <v/>
          </cell>
          <cell r="R1050" t="e">
            <v>#N/A</v>
          </cell>
        </row>
        <row r="1051">
          <cell r="A1051" t="str">
            <v/>
          </cell>
          <cell r="B1051" t="str">
            <v/>
          </cell>
          <cell r="C1051" t="str">
            <v>Future</v>
          </cell>
          <cell r="D1051" t="e">
            <v>#N/A</v>
          </cell>
          <cell r="E1051">
            <v>-59.759409448818282</v>
          </cell>
          <cell r="F1051">
            <v>114.92562992126297</v>
          </cell>
          <cell r="G1051">
            <v>37.287834645669086</v>
          </cell>
          <cell r="H1051">
            <v>37.287834645669086</v>
          </cell>
          <cell r="I1051" t="e">
            <v>#N/A</v>
          </cell>
          <cell r="J1051" t="e">
            <v>#N/A</v>
          </cell>
          <cell r="K1051">
            <v>90</v>
          </cell>
          <cell r="L1051">
            <v>50</v>
          </cell>
          <cell r="M1051" t="e">
            <v>#N/A</v>
          </cell>
          <cell r="N1051">
            <v>80</v>
          </cell>
          <cell r="O1051" t="e">
            <v>#N/A</v>
          </cell>
          <cell r="P1051" t="str">
            <v/>
          </cell>
          <cell r="Q1051" t="str">
            <v/>
          </cell>
          <cell r="R1051" t="e">
            <v>#N/A</v>
          </cell>
        </row>
        <row r="1052">
          <cell r="A1052" t="str">
            <v/>
          </cell>
          <cell r="B1052" t="str">
            <v/>
          </cell>
          <cell r="C1052" t="str">
            <v>Future</v>
          </cell>
          <cell r="D1052" t="e">
            <v>#N/A</v>
          </cell>
          <cell r="E1052">
            <v>-60.00944881889702</v>
          </cell>
          <cell r="F1052">
            <v>115.02992125984565</v>
          </cell>
          <cell r="G1052">
            <v>37.234645669291133</v>
          </cell>
          <cell r="H1052">
            <v>37.234645669291133</v>
          </cell>
          <cell r="I1052" t="e">
            <v>#N/A</v>
          </cell>
          <cell r="J1052" t="e">
            <v>#N/A</v>
          </cell>
          <cell r="K1052">
            <v>90</v>
          </cell>
          <cell r="L1052">
            <v>50</v>
          </cell>
          <cell r="M1052" t="e">
            <v>#N/A</v>
          </cell>
          <cell r="N1052">
            <v>80</v>
          </cell>
          <cell r="O1052" t="e">
            <v>#N/A</v>
          </cell>
          <cell r="P1052" t="str">
            <v/>
          </cell>
          <cell r="Q1052" t="str">
            <v/>
          </cell>
          <cell r="R1052" t="e">
            <v>#N/A</v>
          </cell>
        </row>
        <row r="1053">
          <cell r="A1053" t="str">
            <v/>
          </cell>
          <cell r="B1053" t="str">
            <v/>
          </cell>
          <cell r="C1053" t="str">
            <v>Future</v>
          </cell>
          <cell r="D1053" t="e">
            <v>#N/A</v>
          </cell>
          <cell r="E1053">
            <v>-60.259488188975759</v>
          </cell>
          <cell r="F1053">
            <v>115.13421259842833</v>
          </cell>
          <cell r="G1053">
            <v>37.18145669291318</v>
          </cell>
          <cell r="H1053">
            <v>37.18145669291318</v>
          </cell>
          <cell r="I1053" t="e">
            <v>#N/A</v>
          </cell>
          <cell r="J1053" t="e">
            <v>#N/A</v>
          </cell>
          <cell r="K1053">
            <v>90</v>
          </cell>
          <cell r="L1053">
            <v>50</v>
          </cell>
          <cell r="M1053" t="e">
            <v>#N/A</v>
          </cell>
          <cell r="N1053">
            <v>80</v>
          </cell>
          <cell r="O1053" t="e">
            <v>#N/A</v>
          </cell>
          <cell r="P1053" t="str">
            <v/>
          </cell>
          <cell r="Q1053" t="str">
            <v/>
          </cell>
          <cell r="R1053" t="e">
            <v>#N/A</v>
          </cell>
        </row>
        <row r="1054">
          <cell r="A1054" t="str">
            <v/>
          </cell>
          <cell r="B1054" t="str">
            <v/>
          </cell>
          <cell r="C1054" t="str">
            <v>Future</v>
          </cell>
          <cell r="D1054" t="e">
            <v>#N/A</v>
          </cell>
          <cell r="E1054">
            <v>-60.509527559054497</v>
          </cell>
          <cell r="F1054">
            <v>115.23850393701102</v>
          </cell>
          <cell r="G1054">
            <v>37.128267716535227</v>
          </cell>
          <cell r="H1054">
            <v>37.128267716535227</v>
          </cell>
          <cell r="I1054" t="e">
            <v>#N/A</v>
          </cell>
          <cell r="J1054" t="e">
            <v>#N/A</v>
          </cell>
          <cell r="K1054">
            <v>90</v>
          </cell>
          <cell r="L1054">
            <v>50</v>
          </cell>
          <cell r="M1054" t="e">
            <v>#N/A</v>
          </cell>
          <cell r="N1054">
            <v>80</v>
          </cell>
          <cell r="O1054" t="e">
            <v>#N/A</v>
          </cell>
          <cell r="P1054" t="str">
            <v/>
          </cell>
          <cell r="Q1054" t="str">
            <v/>
          </cell>
          <cell r="R1054" t="e">
            <v>#N/A</v>
          </cell>
        </row>
        <row r="1055">
          <cell r="A1055" t="str">
            <v/>
          </cell>
          <cell r="B1055" t="str">
            <v/>
          </cell>
          <cell r="C1055" t="str">
            <v>Future</v>
          </cell>
          <cell r="D1055" t="e">
            <v>#N/A</v>
          </cell>
          <cell r="E1055">
            <v>-60.759566929133236</v>
          </cell>
          <cell r="F1055">
            <v>115.3427952755937</v>
          </cell>
          <cell r="G1055">
            <v>37.075078740157274</v>
          </cell>
          <cell r="H1055">
            <v>37.075078740157274</v>
          </cell>
          <cell r="I1055" t="e">
            <v>#N/A</v>
          </cell>
          <cell r="J1055" t="e">
            <v>#N/A</v>
          </cell>
          <cell r="K1055">
            <v>90</v>
          </cell>
          <cell r="L1055">
            <v>50</v>
          </cell>
          <cell r="M1055" t="e">
            <v>#N/A</v>
          </cell>
          <cell r="N1055">
            <v>80</v>
          </cell>
          <cell r="O1055" t="e">
            <v>#N/A</v>
          </cell>
          <cell r="P1055" t="str">
            <v/>
          </cell>
          <cell r="Q1055" t="str">
            <v/>
          </cell>
          <cell r="R1055" t="e">
            <v>#N/A</v>
          </cell>
        </row>
        <row r="1056">
          <cell r="A1056" t="str">
            <v/>
          </cell>
          <cell r="B1056" t="str">
            <v/>
          </cell>
          <cell r="C1056" t="str">
            <v>Future</v>
          </cell>
          <cell r="D1056" t="e">
            <v>#N/A</v>
          </cell>
          <cell r="E1056">
            <v>-61.009606299211974</v>
          </cell>
          <cell r="F1056">
            <v>115.44708661417638</v>
          </cell>
          <cell r="G1056">
            <v>37.021889763779321</v>
          </cell>
          <cell r="H1056">
            <v>37.021889763779321</v>
          </cell>
          <cell r="I1056" t="e">
            <v>#N/A</v>
          </cell>
          <cell r="J1056" t="e">
            <v>#N/A</v>
          </cell>
          <cell r="K1056">
            <v>90</v>
          </cell>
          <cell r="L1056">
            <v>50</v>
          </cell>
          <cell r="M1056" t="e">
            <v>#N/A</v>
          </cell>
          <cell r="N1056">
            <v>80</v>
          </cell>
          <cell r="O1056" t="e">
            <v>#N/A</v>
          </cell>
          <cell r="P1056" t="str">
            <v/>
          </cell>
          <cell r="Q1056" t="str">
            <v/>
          </cell>
          <cell r="R1056" t="e">
            <v>#N/A</v>
          </cell>
        </row>
        <row r="1057">
          <cell r="A1057" t="str">
            <v/>
          </cell>
          <cell r="B1057" t="str">
            <v/>
          </cell>
          <cell r="C1057" t="str">
            <v>Future</v>
          </cell>
          <cell r="D1057" t="e">
            <v>#N/A</v>
          </cell>
          <cell r="E1057">
            <v>-61.259645669290713</v>
          </cell>
          <cell r="F1057">
            <v>115.55137795275907</v>
          </cell>
          <cell r="G1057">
            <v>36.968700787401367</v>
          </cell>
          <cell r="H1057">
            <v>36.968700787401367</v>
          </cell>
          <cell r="I1057" t="e">
            <v>#N/A</v>
          </cell>
          <cell r="J1057" t="e">
            <v>#N/A</v>
          </cell>
          <cell r="K1057">
            <v>90</v>
          </cell>
          <cell r="L1057">
            <v>50</v>
          </cell>
          <cell r="M1057" t="e">
            <v>#N/A</v>
          </cell>
          <cell r="N1057">
            <v>80</v>
          </cell>
          <cell r="O1057" t="e">
            <v>#N/A</v>
          </cell>
          <cell r="P1057" t="str">
            <v/>
          </cell>
          <cell r="Q1057" t="str">
            <v/>
          </cell>
          <cell r="R1057" t="e">
            <v>#N/A</v>
          </cell>
        </row>
        <row r="1058">
          <cell r="A1058" t="str">
            <v/>
          </cell>
          <cell r="B1058" t="str">
            <v/>
          </cell>
          <cell r="C1058" t="str">
            <v>Future</v>
          </cell>
          <cell r="D1058" t="e">
            <v>#N/A</v>
          </cell>
          <cell r="E1058">
            <v>-61.509685039369451</v>
          </cell>
          <cell r="F1058">
            <v>115.65566929134175</v>
          </cell>
          <cell r="G1058">
            <v>36.915511811023414</v>
          </cell>
          <cell r="H1058">
            <v>36.915511811023414</v>
          </cell>
          <cell r="I1058" t="e">
            <v>#N/A</v>
          </cell>
          <cell r="J1058" t="e">
            <v>#N/A</v>
          </cell>
          <cell r="K1058">
            <v>90</v>
          </cell>
          <cell r="L1058">
            <v>50</v>
          </cell>
          <cell r="M1058" t="e">
            <v>#N/A</v>
          </cell>
          <cell r="N1058">
            <v>80</v>
          </cell>
          <cell r="O1058" t="e">
            <v>#N/A</v>
          </cell>
          <cell r="P1058" t="str">
            <v/>
          </cell>
          <cell r="Q1058" t="str">
            <v/>
          </cell>
          <cell r="R1058" t="e">
            <v>#N/A</v>
          </cell>
        </row>
        <row r="1059">
          <cell r="A1059" t="str">
            <v/>
          </cell>
          <cell r="B1059" t="str">
            <v/>
          </cell>
          <cell r="C1059" t="str">
            <v>Future</v>
          </cell>
          <cell r="D1059" t="e">
            <v>#N/A</v>
          </cell>
          <cell r="E1059">
            <v>-61.759724409448189</v>
          </cell>
          <cell r="F1059">
            <v>115.75996062992444</v>
          </cell>
          <cell r="G1059">
            <v>36.862322834645461</v>
          </cell>
          <cell r="H1059">
            <v>36.862322834645461</v>
          </cell>
          <cell r="I1059" t="e">
            <v>#N/A</v>
          </cell>
          <cell r="J1059" t="e">
            <v>#N/A</v>
          </cell>
          <cell r="K1059">
            <v>90</v>
          </cell>
          <cell r="L1059">
            <v>50</v>
          </cell>
          <cell r="M1059" t="e">
            <v>#N/A</v>
          </cell>
          <cell r="N1059">
            <v>80</v>
          </cell>
          <cell r="O1059" t="e">
            <v>#N/A</v>
          </cell>
          <cell r="P1059" t="str">
            <v/>
          </cell>
          <cell r="Q1059" t="str">
            <v/>
          </cell>
          <cell r="R1059" t="e">
            <v>#N/A</v>
          </cell>
        </row>
        <row r="1060">
          <cell r="A1060" t="str">
            <v/>
          </cell>
          <cell r="B1060" t="str">
            <v/>
          </cell>
          <cell r="C1060" t="str">
            <v>Future</v>
          </cell>
          <cell r="D1060" t="e">
            <v>#N/A</v>
          </cell>
          <cell r="E1060">
            <v>-62.009763779526928</v>
          </cell>
          <cell r="F1060">
            <v>115.86425196850712</v>
          </cell>
          <cell r="G1060">
            <v>36.809133858267508</v>
          </cell>
          <cell r="H1060">
            <v>36.809133858267508</v>
          </cell>
          <cell r="I1060" t="e">
            <v>#N/A</v>
          </cell>
          <cell r="J1060" t="e">
            <v>#N/A</v>
          </cell>
          <cell r="K1060">
            <v>90</v>
          </cell>
          <cell r="L1060">
            <v>50</v>
          </cell>
          <cell r="M1060" t="e">
            <v>#N/A</v>
          </cell>
          <cell r="N1060">
            <v>80</v>
          </cell>
          <cell r="O1060" t="e">
            <v>#N/A</v>
          </cell>
          <cell r="P1060" t="str">
            <v/>
          </cell>
          <cell r="Q1060" t="str">
            <v/>
          </cell>
          <cell r="R1060" t="e">
            <v>#N/A</v>
          </cell>
        </row>
        <row r="1061">
          <cell r="A1061" t="str">
            <v/>
          </cell>
          <cell r="B1061" t="str">
            <v/>
          </cell>
          <cell r="C1061" t="str">
            <v>Future</v>
          </cell>
          <cell r="D1061" t="e">
            <v>#N/A</v>
          </cell>
          <cell r="E1061">
            <v>-62.259803149605666</v>
          </cell>
          <cell r="F1061">
            <v>115.9685433070898</v>
          </cell>
          <cell r="G1061">
            <v>36.755944881889555</v>
          </cell>
          <cell r="H1061">
            <v>36.755944881889555</v>
          </cell>
          <cell r="I1061" t="e">
            <v>#N/A</v>
          </cell>
          <cell r="J1061" t="e">
            <v>#N/A</v>
          </cell>
          <cell r="K1061">
            <v>90</v>
          </cell>
          <cell r="L1061">
            <v>50</v>
          </cell>
          <cell r="M1061" t="e">
            <v>#N/A</v>
          </cell>
          <cell r="N1061">
            <v>80</v>
          </cell>
          <cell r="O1061" t="e">
            <v>#N/A</v>
          </cell>
          <cell r="P1061" t="str">
            <v/>
          </cell>
          <cell r="Q1061" t="str">
            <v/>
          </cell>
          <cell r="R1061" t="e">
            <v>#N/A</v>
          </cell>
        </row>
        <row r="1062">
          <cell r="A1062" t="str">
            <v/>
          </cell>
          <cell r="B1062" t="str">
            <v/>
          </cell>
          <cell r="C1062" t="str">
            <v>Future</v>
          </cell>
          <cell r="D1062" t="e">
            <v>#N/A</v>
          </cell>
          <cell r="E1062">
            <v>-62.509842519684405</v>
          </cell>
          <cell r="F1062">
            <v>116.07283464567249</v>
          </cell>
          <cell r="G1062">
            <v>36.702755905511601</v>
          </cell>
          <cell r="H1062">
            <v>36.702755905511601</v>
          </cell>
          <cell r="I1062" t="e">
            <v>#N/A</v>
          </cell>
          <cell r="J1062" t="e">
            <v>#N/A</v>
          </cell>
          <cell r="K1062">
            <v>90</v>
          </cell>
          <cell r="L1062">
            <v>50</v>
          </cell>
          <cell r="M1062" t="e">
            <v>#N/A</v>
          </cell>
          <cell r="N1062">
            <v>80</v>
          </cell>
          <cell r="O1062" t="e">
            <v>#N/A</v>
          </cell>
          <cell r="P1062" t="str">
            <v/>
          </cell>
          <cell r="Q1062" t="str">
            <v/>
          </cell>
          <cell r="R1062" t="e">
            <v>#N/A</v>
          </cell>
        </row>
        <row r="1063">
          <cell r="A1063" t="str">
            <v/>
          </cell>
          <cell r="B1063" t="str">
            <v/>
          </cell>
          <cell r="C1063" t="str">
            <v>Future</v>
          </cell>
          <cell r="D1063" t="e">
            <v>#N/A</v>
          </cell>
          <cell r="E1063">
            <v>-62.759881889763143</v>
          </cell>
          <cell r="F1063">
            <v>116.17712598425517</v>
          </cell>
          <cell r="G1063">
            <v>36.649566929133648</v>
          </cell>
          <cell r="H1063">
            <v>36.649566929133648</v>
          </cell>
          <cell r="I1063" t="e">
            <v>#N/A</v>
          </cell>
          <cell r="J1063" t="e">
            <v>#N/A</v>
          </cell>
          <cell r="K1063">
            <v>90</v>
          </cell>
          <cell r="L1063">
            <v>50</v>
          </cell>
          <cell r="M1063" t="e">
            <v>#N/A</v>
          </cell>
          <cell r="N1063">
            <v>80</v>
          </cell>
          <cell r="O1063" t="e">
            <v>#N/A</v>
          </cell>
          <cell r="P1063" t="str">
            <v/>
          </cell>
          <cell r="Q1063" t="str">
            <v/>
          </cell>
          <cell r="R1063" t="e">
            <v>#N/A</v>
          </cell>
        </row>
        <row r="1064">
          <cell r="A1064" t="str">
            <v/>
          </cell>
          <cell r="B1064" t="str">
            <v/>
          </cell>
          <cell r="C1064" t="str">
            <v>Future</v>
          </cell>
          <cell r="D1064" t="e">
            <v>#N/A</v>
          </cell>
          <cell r="E1064">
            <v>-63.009921259841882</v>
          </cell>
          <cell r="F1064">
            <v>116.28141732283785</v>
          </cell>
          <cell r="G1064">
            <v>36.596377952755695</v>
          </cell>
          <cell r="H1064">
            <v>36.596377952755695</v>
          </cell>
          <cell r="I1064" t="e">
            <v>#N/A</v>
          </cell>
          <cell r="J1064" t="e">
            <v>#N/A</v>
          </cell>
          <cell r="K1064">
            <v>90</v>
          </cell>
          <cell r="L1064">
            <v>50</v>
          </cell>
          <cell r="M1064" t="e">
            <v>#N/A</v>
          </cell>
          <cell r="N1064">
            <v>80</v>
          </cell>
          <cell r="O1064" t="e">
            <v>#N/A</v>
          </cell>
          <cell r="P1064" t="str">
            <v/>
          </cell>
          <cell r="Q1064" t="str">
            <v/>
          </cell>
          <cell r="R1064" t="e">
            <v>#N/A</v>
          </cell>
        </row>
        <row r="1065">
          <cell r="A1065" t="str">
            <v/>
          </cell>
          <cell r="B1065" t="str">
            <v/>
          </cell>
          <cell r="C1065" t="str">
            <v>Future</v>
          </cell>
          <cell r="D1065" t="e">
            <v>#N/A</v>
          </cell>
          <cell r="E1065">
            <v>-63.25996062992062</v>
          </cell>
          <cell r="F1065">
            <v>116.38570866142054</v>
          </cell>
          <cell r="G1065">
            <v>36.543188976377742</v>
          </cell>
          <cell r="H1065">
            <v>36.543188976377742</v>
          </cell>
          <cell r="I1065" t="e">
            <v>#N/A</v>
          </cell>
          <cell r="J1065" t="e">
            <v>#N/A</v>
          </cell>
          <cell r="K1065">
            <v>90</v>
          </cell>
          <cell r="L1065">
            <v>50</v>
          </cell>
          <cell r="M1065" t="e">
            <v>#N/A</v>
          </cell>
          <cell r="N1065">
            <v>80</v>
          </cell>
          <cell r="O1065" t="e">
            <v>#N/A</v>
          </cell>
          <cell r="P1065" t="str">
            <v/>
          </cell>
          <cell r="Q1065" t="str">
            <v/>
          </cell>
          <cell r="R1065" t="e">
            <v>#N/A</v>
          </cell>
        </row>
        <row r="1066">
          <cell r="A1066" t="str">
            <v/>
          </cell>
          <cell r="B1066" t="str">
            <v/>
          </cell>
          <cell r="C1066" t="str">
            <v>Future</v>
          </cell>
          <cell r="D1066" t="e">
            <v>#N/A</v>
          </cell>
          <cell r="E1066">
            <v>-63.509999999999359</v>
          </cell>
          <cell r="F1066">
            <v>116.49000000000322</v>
          </cell>
          <cell r="G1066">
            <v>36.489999999999789</v>
          </cell>
          <cell r="H1066">
            <v>36.489999999999789</v>
          </cell>
          <cell r="I1066" t="e">
            <v>#N/A</v>
          </cell>
          <cell r="J1066" t="e">
            <v>#N/A</v>
          </cell>
          <cell r="K1066">
            <v>90</v>
          </cell>
          <cell r="L1066">
            <v>50</v>
          </cell>
          <cell r="M1066" t="e">
            <v>#N/A</v>
          </cell>
          <cell r="N1066">
            <v>80</v>
          </cell>
          <cell r="O1066" t="e">
            <v>#N/A</v>
          </cell>
          <cell r="P1066" t="str">
            <v/>
          </cell>
          <cell r="Q1066" t="str">
            <v/>
          </cell>
          <cell r="R1066" t="e">
            <v>#N/A</v>
          </cell>
        </row>
        <row r="1067">
          <cell r="A1067" t="str">
            <v/>
          </cell>
          <cell r="B1067" t="str">
            <v/>
          </cell>
          <cell r="C1067" t="str">
            <v>Future</v>
          </cell>
          <cell r="D1067" t="e">
            <v>#N/A</v>
          </cell>
          <cell r="E1067">
            <v>-63.760039370078097</v>
          </cell>
          <cell r="F1067">
            <v>116.5942913385859</v>
          </cell>
          <cell r="G1067">
            <v>36.436811023621836</v>
          </cell>
          <cell r="H1067">
            <v>36.436811023621836</v>
          </cell>
          <cell r="I1067" t="e">
            <v>#N/A</v>
          </cell>
          <cell r="J1067" t="e">
            <v>#N/A</v>
          </cell>
          <cell r="K1067">
            <v>90</v>
          </cell>
          <cell r="L1067">
            <v>50</v>
          </cell>
          <cell r="M1067" t="e">
            <v>#N/A</v>
          </cell>
          <cell r="N1067">
            <v>80</v>
          </cell>
          <cell r="O1067" t="e">
            <v>#N/A</v>
          </cell>
          <cell r="P1067" t="str">
            <v/>
          </cell>
          <cell r="Q1067" t="str">
            <v/>
          </cell>
          <cell r="R1067" t="e">
            <v>#N/A</v>
          </cell>
        </row>
        <row r="1068">
          <cell r="A1068" t="str">
            <v/>
          </cell>
          <cell r="B1068" t="str">
            <v/>
          </cell>
          <cell r="C1068" t="str">
            <v>Future</v>
          </cell>
          <cell r="D1068" t="e">
            <v>#N/A</v>
          </cell>
          <cell r="E1068">
            <v>-64.010078740156843</v>
          </cell>
          <cell r="F1068">
            <v>116.69858267716859</v>
          </cell>
          <cell r="G1068">
            <v>36.383622047243882</v>
          </cell>
          <cell r="H1068">
            <v>36.383622047243882</v>
          </cell>
          <cell r="I1068" t="e">
            <v>#N/A</v>
          </cell>
          <cell r="J1068" t="e">
            <v>#N/A</v>
          </cell>
          <cell r="K1068">
            <v>90</v>
          </cell>
          <cell r="L1068">
            <v>50</v>
          </cell>
          <cell r="M1068" t="e">
            <v>#N/A</v>
          </cell>
          <cell r="N1068">
            <v>80</v>
          </cell>
          <cell r="O1068" t="e">
            <v>#N/A</v>
          </cell>
          <cell r="P1068" t="str">
            <v/>
          </cell>
          <cell r="Q1068" t="str">
            <v/>
          </cell>
          <cell r="R1068" t="e">
            <v>#N/A</v>
          </cell>
        </row>
        <row r="1069">
          <cell r="A1069" t="str">
            <v/>
          </cell>
          <cell r="B1069" t="str">
            <v/>
          </cell>
          <cell r="C1069" t="str">
            <v>Future</v>
          </cell>
          <cell r="D1069" t="e">
            <v>#N/A</v>
          </cell>
          <cell r="E1069">
            <v>-64.260118110235581</v>
          </cell>
          <cell r="F1069">
            <v>116.80287401575127</v>
          </cell>
          <cell r="G1069">
            <v>36.330433070865929</v>
          </cell>
          <cell r="H1069">
            <v>36.330433070865929</v>
          </cell>
          <cell r="I1069" t="e">
            <v>#N/A</v>
          </cell>
          <cell r="J1069" t="e">
            <v>#N/A</v>
          </cell>
          <cell r="K1069">
            <v>90</v>
          </cell>
          <cell r="L1069">
            <v>50</v>
          </cell>
          <cell r="M1069" t="e">
            <v>#N/A</v>
          </cell>
          <cell r="N1069">
            <v>80</v>
          </cell>
          <cell r="O1069" t="e">
            <v>#N/A</v>
          </cell>
          <cell r="P1069" t="str">
            <v/>
          </cell>
          <cell r="Q1069" t="str">
            <v/>
          </cell>
          <cell r="R1069" t="e">
            <v>#N/A</v>
          </cell>
        </row>
        <row r="1070">
          <cell r="A1070" t="str">
            <v/>
          </cell>
          <cell r="B1070" t="str">
            <v/>
          </cell>
          <cell r="C1070" t="str">
            <v>Future</v>
          </cell>
          <cell r="D1070" t="e">
            <v>#N/A</v>
          </cell>
          <cell r="E1070">
            <v>-64.510157480314319</v>
          </cell>
          <cell r="F1070">
            <v>116.90716535433396</v>
          </cell>
          <cell r="G1070">
            <v>36.277244094487976</v>
          </cell>
          <cell r="H1070">
            <v>36.277244094487976</v>
          </cell>
          <cell r="I1070" t="e">
            <v>#N/A</v>
          </cell>
          <cell r="J1070" t="e">
            <v>#N/A</v>
          </cell>
          <cell r="K1070">
            <v>90</v>
          </cell>
          <cell r="L1070">
            <v>50</v>
          </cell>
          <cell r="M1070" t="e">
            <v>#N/A</v>
          </cell>
          <cell r="N1070">
            <v>80</v>
          </cell>
          <cell r="O1070" t="e">
            <v>#N/A</v>
          </cell>
          <cell r="P1070" t="str">
            <v/>
          </cell>
          <cell r="Q1070" t="str">
            <v/>
          </cell>
          <cell r="R1070" t="e">
            <v>#N/A</v>
          </cell>
        </row>
        <row r="1071">
          <cell r="A1071" t="str">
            <v/>
          </cell>
          <cell r="B1071" t="str">
            <v/>
          </cell>
          <cell r="C1071" t="str">
            <v>Future</v>
          </cell>
          <cell r="D1071" t="e">
            <v>#N/A</v>
          </cell>
          <cell r="E1071">
            <v>-64.760196850393058</v>
          </cell>
          <cell r="F1071">
            <v>117.01145669291664</v>
          </cell>
          <cell r="G1071">
            <v>36.224055118110023</v>
          </cell>
          <cell r="H1071">
            <v>36.224055118110023</v>
          </cell>
          <cell r="I1071" t="e">
            <v>#N/A</v>
          </cell>
          <cell r="J1071" t="e">
            <v>#N/A</v>
          </cell>
          <cell r="K1071">
            <v>90</v>
          </cell>
          <cell r="L1071">
            <v>50</v>
          </cell>
          <cell r="M1071" t="e">
            <v>#N/A</v>
          </cell>
          <cell r="N1071">
            <v>80</v>
          </cell>
          <cell r="O1071" t="e">
            <v>#N/A</v>
          </cell>
          <cell r="P1071" t="str">
            <v/>
          </cell>
          <cell r="Q1071" t="str">
            <v/>
          </cell>
          <cell r="R1071" t="e">
            <v>#N/A</v>
          </cell>
        </row>
        <row r="1072">
          <cell r="A1072" t="str">
            <v/>
          </cell>
          <cell r="B1072" t="str">
            <v/>
          </cell>
          <cell r="C1072" t="str">
            <v>Future</v>
          </cell>
          <cell r="D1072" t="e">
            <v>#N/A</v>
          </cell>
          <cell r="E1072">
            <v>-65.010236220471796</v>
          </cell>
          <cell r="F1072">
            <v>117.11574803149932</v>
          </cell>
          <cell r="G1072">
            <v>36.17086614173207</v>
          </cell>
          <cell r="H1072">
            <v>36.17086614173207</v>
          </cell>
          <cell r="I1072" t="e">
            <v>#N/A</v>
          </cell>
          <cell r="J1072" t="e">
            <v>#N/A</v>
          </cell>
          <cell r="K1072">
            <v>90</v>
          </cell>
          <cell r="L1072">
            <v>50</v>
          </cell>
          <cell r="M1072" t="e">
            <v>#N/A</v>
          </cell>
          <cell r="N1072">
            <v>80</v>
          </cell>
          <cell r="O1072" t="e">
            <v>#N/A</v>
          </cell>
          <cell r="P1072" t="str">
            <v/>
          </cell>
          <cell r="Q1072" t="str">
            <v/>
          </cell>
          <cell r="R1072" t="e">
            <v>#N/A</v>
          </cell>
        </row>
        <row r="1073">
          <cell r="A1073" t="str">
            <v/>
          </cell>
          <cell r="B1073" t="str">
            <v/>
          </cell>
          <cell r="C1073" t="str">
            <v>Future</v>
          </cell>
          <cell r="D1073" t="e">
            <v>#N/A</v>
          </cell>
          <cell r="E1073">
            <v>-65.260275590550535</v>
          </cell>
          <cell r="F1073">
            <v>117.22003937008201</v>
          </cell>
          <cell r="G1073">
            <v>36.117677165354117</v>
          </cell>
          <cell r="H1073">
            <v>36.117677165354117</v>
          </cell>
          <cell r="I1073" t="e">
            <v>#N/A</v>
          </cell>
          <cell r="J1073" t="e">
            <v>#N/A</v>
          </cell>
          <cell r="K1073">
            <v>90</v>
          </cell>
          <cell r="L1073">
            <v>50</v>
          </cell>
          <cell r="M1073" t="e">
            <v>#N/A</v>
          </cell>
          <cell r="N1073">
            <v>80</v>
          </cell>
          <cell r="O1073" t="e">
            <v>#N/A</v>
          </cell>
          <cell r="P1073" t="str">
            <v/>
          </cell>
          <cell r="Q1073" t="str">
            <v/>
          </cell>
          <cell r="R1073" t="e">
            <v>#N/A</v>
          </cell>
        </row>
        <row r="1074">
          <cell r="A1074" t="str">
            <v/>
          </cell>
          <cell r="B1074" t="str">
            <v/>
          </cell>
          <cell r="C1074" t="str">
            <v>Future</v>
          </cell>
          <cell r="D1074" t="e">
            <v>#N/A</v>
          </cell>
          <cell r="E1074">
            <v>-65.510314960629273</v>
          </cell>
          <cell r="F1074">
            <v>117.32433070866469</v>
          </cell>
          <cell r="G1074">
            <v>36.064488188976163</v>
          </cell>
          <cell r="H1074">
            <v>36.064488188976163</v>
          </cell>
          <cell r="I1074" t="e">
            <v>#N/A</v>
          </cell>
          <cell r="J1074" t="e">
            <v>#N/A</v>
          </cell>
          <cell r="K1074">
            <v>90</v>
          </cell>
          <cell r="L1074">
            <v>50</v>
          </cell>
          <cell r="M1074" t="e">
            <v>#N/A</v>
          </cell>
          <cell r="N1074">
            <v>80</v>
          </cell>
          <cell r="O1074" t="e">
            <v>#N/A</v>
          </cell>
          <cell r="P1074" t="str">
            <v/>
          </cell>
          <cell r="Q1074" t="str">
            <v/>
          </cell>
          <cell r="R1074" t="e">
            <v>#N/A</v>
          </cell>
        </row>
        <row r="1075">
          <cell r="A1075" t="str">
            <v/>
          </cell>
          <cell r="B1075" t="str">
            <v/>
          </cell>
          <cell r="C1075" t="str">
            <v>Future</v>
          </cell>
          <cell r="D1075" t="e">
            <v>#N/A</v>
          </cell>
          <cell r="E1075">
            <v>-65.760354330708012</v>
          </cell>
          <cell r="F1075">
            <v>117.42862204724737</v>
          </cell>
          <cell r="G1075">
            <v>36.01129921259821</v>
          </cell>
          <cell r="H1075">
            <v>36.01129921259821</v>
          </cell>
          <cell r="I1075" t="e">
            <v>#N/A</v>
          </cell>
          <cell r="J1075" t="e">
            <v>#N/A</v>
          </cell>
          <cell r="K1075">
            <v>90</v>
          </cell>
          <cell r="L1075">
            <v>50</v>
          </cell>
          <cell r="M1075" t="e">
            <v>#N/A</v>
          </cell>
          <cell r="N1075">
            <v>80</v>
          </cell>
          <cell r="O1075" t="e">
            <v>#N/A</v>
          </cell>
          <cell r="P1075" t="str">
            <v/>
          </cell>
          <cell r="Q1075" t="str">
            <v/>
          </cell>
          <cell r="R1075" t="e">
            <v>#N/A</v>
          </cell>
        </row>
        <row r="1076">
          <cell r="A1076" t="str">
            <v/>
          </cell>
          <cell r="B1076" t="str">
            <v/>
          </cell>
          <cell r="C1076" t="str">
            <v>Future</v>
          </cell>
          <cell r="D1076" t="e">
            <v>#N/A</v>
          </cell>
          <cell r="E1076">
            <v>-66.01039370078675</v>
          </cell>
          <cell r="F1076">
            <v>117.53291338583006</v>
          </cell>
          <cell r="G1076">
            <v>35.958110236220257</v>
          </cell>
          <cell r="H1076">
            <v>35.958110236220257</v>
          </cell>
          <cell r="I1076" t="e">
            <v>#N/A</v>
          </cell>
          <cell r="J1076" t="e">
            <v>#N/A</v>
          </cell>
          <cell r="K1076">
            <v>90</v>
          </cell>
          <cell r="L1076">
            <v>50</v>
          </cell>
          <cell r="M1076" t="e">
            <v>#N/A</v>
          </cell>
          <cell r="N1076">
            <v>80</v>
          </cell>
          <cell r="O1076" t="e">
            <v>#N/A</v>
          </cell>
          <cell r="P1076" t="str">
            <v/>
          </cell>
          <cell r="Q1076" t="str">
            <v/>
          </cell>
          <cell r="R1076" t="e">
            <v>#N/A</v>
          </cell>
        </row>
        <row r="1077">
          <cell r="A1077" t="str">
            <v/>
          </cell>
          <cell r="B1077" t="str">
            <v/>
          </cell>
          <cell r="C1077" t="str">
            <v>Future</v>
          </cell>
          <cell r="D1077" t="e">
            <v>#N/A</v>
          </cell>
          <cell r="E1077">
            <v>-66.260433070865489</v>
          </cell>
          <cell r="F1077">
            <v>117.63720472441274</v>
          </cell>
          <cell r="G1077">
            <v>35.904921259842304</v>
          </cell>
          <cell r="H1077">
            <v>35.904921259842304</v>
          </cell>
          <cell r="I1077" t="e">
            <v>#N/A</v>
          </cell>
          <cell r="J1077" t="e">
            <v>#N/A</v>
          </cell>
          <cell r="K1077">
            <v>90</v>
          </cell>
          <cell r="L1077">
            <v>50</v>
          </cell>
          <cell r="M1077" t="e">
            <v>#N/A</v>
          </cell>
          <cell r="N1077">
            <v>80</v>
          </cell>
          <cell r="O1077" t="e">
            <v>#N/A</v>
          </cell>
          <cell r="P1077" t="str">
            <v/>
          </cell>
          <cell r="Q1077" t="str">
            <v/>
          </cell>
          <cell r="R1077" t="e">
            <v>#N/A</v>
          </cell>
        </row>
        <row r="1078">
          <cell r="A1078" t="str">
            <v/>
          </cell>
          <cell r="B1078" t="str">
            <v/>
          </cell>
          <cell r="C1078" t="str">
            <v>Future</v>
          </cell>
          <cell r="D1078" t="e">
            <v>#N/A</v>
          </cell>
          <cell r="E1078">
            <v>-66.510472440944227</v>
          </cell>
          <cell r="F1078">
            <v>117.74149606299542</v>
          </cell>
          <cell r="G1078">
            <v>35.851732283464351</v>
          </cell>
          <cell r="H1078">
            <v>35.851732283464351</v>
          </cell>
          <cell r="I1078" t="e">
            <v>#N/A</v>
          </cell>
          <cell r="J1078" t="e">
            <v>#N/A</v>
          </cell>
          <cell r="K1078">
            <v>90</v>
          </cell>
          <cell r="L1078">
            <v>50</v>
          </cell>
          <cell r="M1078" t="e">
            <v>#N/A</v>
          </cell>
          <cell r="N1078">
            <v>80</v>
          </cell>
          <cell r="O1078" t="e">
            <v>#N/A</v>
          </cell>
          <cell r="P1078" t="str">
            <v/>
          </cell>
          <cell r="Q1078" t="str">
            <v/>
          </cell>
          <cell r="R1078" t="e">
            <v>#N/A</v>
          </cell>
        </row>
        <row r="1079">
          <cell r="A1079" t="str">
            <v/>
          </cell>
          <cell r="B1079" t="str">
            <v/>
          </cell>
          <cell r="C1079" t="str">
            <v>Future</v>
          </cell>
          <cell r="D1079" t="e">
            <v>#N/A</v>
          </cell>
          <cell r="E1079">
            <v>-66.760511811022965</v>
          </cell>
          <cell r="F1079">
            <v>117.84578740157811</v>
          </cell>
          <cell r="G1079">
            <v>35.798543307086398</v>
          </cell>
          <cell r="H1079">
            <v>35.798543307086398</v>
          </cell>
          <cell r="I1079" t="e">
            <v>#N/A</v>
          </cell>
          <cell r="J1079" t="e">
            <v>#N/A</v>
          </cell>
          <cell r="K1079">
            <v>90</v>
          </cell>
          <cell r="L1079">
            <v>50</v>
          </cell>
          <cell r="M1079" t="e">
            <v>#N/A</v>
          </cell>
          <cell r="N1079">
            <v>80</v>
          </cell>
          <cell r="O1079" t="e">
            <v>#N/A</v>
          </cell>
          <cell r="P1079" t="str">
            <v/>
          </cell>
          <cell r="Q1079" t="str">
            <v/>
          </cell>
          <cell r="R1079" t="e">
            <v>#N/A</v>
          </cell>
        </row>
        <row r="1080">
          <cell r="A1080" t="str">
            <v/>
          </cell>
          <cell r="B1080" t="str">
            <v/>
          </cell>
          <cell r="C1080" t="str">
            <v>Future</v>
          </cell>
          <cell r="D1080" t="e">
            <v>#N/A</v>
          </cell>
          <cell r="E1080">
            <v>-67.010551181101704</v>
          </cell>
          <cell r="F1080">
            <v>117.95007874016079</v>
          </cell>
          <cell r="G1080">
            <v>35.745354330708444</v>
          </cell>
          <cell r="H1080">
            <v>35.745354330708444</v>
          </cell>
          <cell r="I1080" t="e">
            <v>#N/A</v>
          </cell>
          <cell r="J1080" t="e">
            <v>#N/A</v>
          </cell>
          <cell r="K1080">
            <v>90</v>
          </cell>
          <cell r="L1080">
            <v>50</v>
          </cell>
          <cell r="M1080" t="e">
            <v>#N/A</v>
          </cell>
          <cell r="N1080">
            <v>80</v>
          </cell>
          <cell r="O1080" t="e">
            <v>#N/A</v>
          </cell>
          <cell r="P1080" t="str">
            <v/>
          </cell>
          <cell r="Q1080" t="str">
            <v/>
          </cell>
          <cell r="R1080" t="e">
            <v>#N/A</v>
          </cell>
        </row>
        <row r="1081">
          <cell r="A1081" t="str">
            <v/>
          </cell>
          <cell r="B1081" t="str">
            <v/>
          </cell>
          <cell r="C1081" t="str">
            <v>Future</v>
          </cell>
          <cell r="D1081" t="e">
            <v>#N/A</v>
          </cell>
          <cell r="E1081">
            <v>-67.260590551180442</v>
          </cell>
          <cell r="F1081">
            <v>118.05437007874347</v>
          </cell>
          <cell r="G1081">
            <v>35.692165354330491</v>
          </cell>
          <cell r="H1081">
            <v>35.692165354330491</v>
          </cell>
          <cell r="I1081" t="e">
            <v>#N/A</v>
          </cell>
          <cell r="J1081" t="e">
            <v>#N/A</v>
          </cell>
          <cell r="K1081">
            <v>90</v>
          </cell>
          <cell r="L1081">
            <v>50</v>
          </cell>
          <cell r="M1081" t="e">
            <v>#N/A</v>
          </cell>
          <cell r="N1081">
            <v>80</v>
          </cell>
          <cell r="O1081" t="e">
            <v>#N/A</v>
          </cell>
          <cell r="P1081" t="str">
            <v/>
          </cell>
          <cell r="Q1081" t="str">
            <v/>
          </cell>
          <cell r="R1081" t="e">
            <v>#N/A</v>
          </cell>
        </row>
        <row r="1082">
          <cell r="A1082" t="str">
            <v/>
          </cell>
          <cell r="B1082" t="str">
            <v/>
          </cell>
          <cell r="C1082" t="str">
            <v>Future</v>
          </cell>
          <cell r="D1082" t="e">
            <v>#N/A</v>
          </cell>
          <cell r="E1082">
            <v>-67.510629921259181</v>
          </cell>
          <cell r="F1082">
            <v>118.15866141732616</v>
          </cell>
          <cell r="G1082">
            <v>35.638976377952538</v>
          </cell>
          <cell r="H1082">
            <v>35.638976377952538</v>
          </cell>
          <cell r="I1082" t="e">
            <v>#N/A</v>
          </cell>
          <cell r="J1082" t="e">
            <v>#N/A</v>
          </cell>
          <cell r="K1082">
            <v>90</v>
          </cell>
          <cell r="L1082">
            <v>50</v>
          </cell>
          <cell r="M1082" t="e">
            <v>#N/A</v>
          </cell>
          <cell r="N1082">
            <v>80</v>
          </cell>
          <cell r="O1082" t="e">
            <v>#N/A</v>
          </cell>
          <cell r="P1082" t="str">
            <v/>
          </cell>
          <cell r="Q1082" t="str">
            <v/>
          </cell>
          <cell r="R1082" t="e">
            <v>#N/A</v>
          </cell>
        </row>
        <row r="1083">
          <cell r="A1083" t="str">
            <v/>
          </cell>
          <cell r="B1083" t="str">
            <v/>
          </cell>
          <cell r="C1083" t="str">
            <v>Future</v>
          </cell>
          <cell r="D1083" t="e">
            <v>#N/A</v>
          </cell>
          <cell r="E1083">
            <v>-67.760669291337919</v>
          </cell>
          <cell r="F1083">
            <v>118.26295275590884</v>
          </cell>
          <cell r="G1083">
            <v>35.585787401574585</v>
          </cell>
          <cell r="H1083">
            <v>35.585787401574585</v>
          </cell>
          <cell r="I1083" t="e">
            <v>#N/A</v>
          </cell>
          <cell r="J1083" t="e">
            <v>#N/A</v>
          </cell>
          <cell r="K1083">
            <v>90</v>
          </cell>
          <cell r="L1083">
            <v>50</v>
          </cell>
          <cell r="M1083" t="e">
            <v>#N/A</v>
          </cell>
          <cell r="N1083">
            <v>80</v>
          </cell>
          <cell r="O1083" t="e">
            <v>#N/A</v>
          </cell>
          <cell r="P1083" t="str">
            <v/>
          </cell>
          <cell r="Q1083" t="str">
            <v/>
          </cell>
          <cell r="R1083" t="e">
            <v>#N/A</v>
          </cell>
        </row>
        <row r="1084">
          <cell r="A1084" t="str">
            <v/>
          </cell>
          <cell r="B1084" t="str">
            <v/>
          </cell>
          <cell r="C1084" t="str">
            <v>Future</v>
          </cell>
          <cell r="D1084" t="e">
            <v>#N/A</v>
          </cell>
          <cell r="E1084">
            <v>-68.010708661416658</v>
          </cell>
          <cell r="F1084">
            <v>118.36724409449153</v>
          </cell>
          <cell r="G1084">
            <v>35.532598425196632</v>
          </cell>
          <cell r="H1084">
            <v>35.532598425196632</v>
          </cell>
          <cell r="I1084" t="e">
            <v>#N/A</v>
          </cell>
          <cell r="J1084" t="e">
            <v>#N/A</v>
          </cell>
          <cell r="K1084">
            <v>90</v>
          </cell>
          <cell r="L1084">
            <v>50</v>
          </cell>
          <cell r="M1084" t="e">
            <v>#N/A</v>
          </cell>
          <cell r="N1084">
            <v>80</v>
          </cell>
          <cell r="O1084" t="e">
            <v>#N/A</v>
          </cell>
          <cell r="P1084" t="str">
            <v/>
          </cell>
          <cell r="Q1084" t="str">
            <v/>
          </cell>
          <cell r="R1084" t="e">
            <v>#N/A</v>
          </cell>
        </row>
        <row r="1085">
          <cell r="A1085" t="str">
            <v/>
          </cell>
          <cell r="B1085" t="str">
            <v/>
          </cell>
          <cell r="C1085" t="str">
            <v>Future</v>
          </cell>
          <cell r="D1085" t="e">
            <v>#N/A</v>
          </cell>
          <cell r="E1085">
            <v>-68.260748031495396</v>
          </cell>
          <cell r="F1085">
            <v>118.47153543307421</v>
          </cell>
          <cell r="G1085">
            <v>35.479409448818679</v>
          </cell>
          <cell r="H1085">
            <v>35.479409448818679</v>
          </cell>
          <cell r="I1085" t="e">
            <v>#N/A</v>
          </cell>
          <cell r="J1085" t="e">
            <v>#N/A</v>
          </cell>
          <cell r="K1085">
            <v>90</v>
          </cell>
          <cell r="L1085">
            <v>50</v>
          </cell>
          <cell r="M1085" t="e">
            <v>#N/A</v>
          </cell>
          <cell r="N1085">
            <v>80</v>
          </cell>
          <cell r="O1085" t="e">
            <v>#N/A</v>
          </cell>
          <cell r="P1085" t="str">
            <v/>
          </cell>
          <cell r="Q1085" t="str">
            <v/>
          </cell>
          <cell r="R1085" t="e">
            <v>#N/A</v>
          </cell>
        </row>
        <row r="1086">
          <cell r="A1086" t="str">
            <v/>
          </cell>
          <cell r="B1086" t="str">
            <v/>
          </cell>
          <cell r="C1086" t="str">
            <v>Future</v>
          </cell>
          <cell r="D1086" t="e">
            <v>#N/A</v>
          </cell>
          <cell r="E1086">
            <v>-68.510787401574134</v>
          </cell>
          <cell r="F1086">
            <v>118.57582677165689</v>
          </cell>
          <cell r="G1086">
            <v>35.426220472440725</v>
          </cell>
          <cell r="H1086">
            <v>35.426220472440725</v>
          </cell>
          <cell r="I1086" t="e">
            <v>#N/A</v>
          </cell>
          <cell r="J1086" t="e">
            <v>#N/A</v>
          </cell>
          <cell r="K1086">
            <v>90</v>
          </cell>
          <cell r="L1086">
            <v>50</v>
          </cell>
          <cell r="M1086" t="e">
            <v>#N/A</v>
          </cell>
          <cell r="N1086">
            <v>80</v>
          </cell>
          <cell r="O1086" t="e">
            <v>#N/A</v>
          </cell>
          <cell r="P1086" t="str">
            <v/>
          </cell>
          <cell r="Q1086" t="str">
            <v/>
          </cell>
          <cell r="R1086" t="e">
            <v>#N/A</v>
          </cell>
        </row>
        <row r="1087">
          <cell r="A1087" t="str">
            <v/>
          </cell>
          <cell r="B1087" t="str">
            <v/>
          </cell>
          <cell r="C1087" t="str">
            <v>Future</v>
          </cell>
          <cell r="D1087" t="e">
            <v>#N/A</v>
          </cell>
          <cell r="E1087">
            <v>-68.760826771652873</v>
          </cell>
          <cell r="F1087">
            <v>118.68011811023958</v>
          </cell>
          <cell r="G1087">
            <v>35.373031496062772</v>
          </cell>
          <cell r="H1087">
            <v>35.373031496062772</v>
          </cell>
          <cell r="I1087" t="e">
            <v>#N/A</v>
          </cell>
          <cell r="J1087" t="e">
            <v>#N/A</v>
          </cell>
          <cell r="K1087">
            <v>90</v>
          </cell>
          <cell r="L1087">
            <v>50</v>
          </cell>
          <cell r="M1087" t="e">
            <v>#N/A</v>
          </cell>
          <cell r="N1087">
            <v>80</v>
          </cell>
          <cell r="O1087" t="e">
            <v>#N/A</v>
          </cell>
          <cell r="P1087" t="str">
            <v/>
          </cell>
          <cell r="Q1087" t="str">
            <v/>
          </cell>
          <cell r="R1087" t="e">
            <v>#N/A</v>
          </cell>
        </row>
        <row r="1088">
          <cell r="A1088" t="str">
            <v/>
          </cell>
          <cell r="B1088" t="str">
            <v/>
          </cell>
          <cell r="C1088" t="str">
            <v>Future</v>
          </cell>
          <cell r="D1088" t="e">
            <v>#N/A</v>
          </cell>
          <cell r="E1088">
            <v>-69.010866141731611</v>
          </cell>
          <cell r="F1088">
            <v>118.78440944882226</v>
          </cell>
          <cell r="G1088">
            <v>35.319842519684819</v>
          </cell>
          <cell r="H1088">
            <v>35.319842519684819</v>
          </cell>
          <cell r="I1088" t="e">
            <v>#N/A</v>
          </cell>
          <cell r="J1088" t="e">
            <v>#N/A</v>
          </cell>
          <cell r="K1088">
            <v>90</v>
          </cell>
          <cell r="L1088">
            <v>50</v>
          </cell>
          <cell r="M1088" t="e">
            <v>#N/A</v>
          </cell>
          <cell r="N1088">
            <v>80</v>
          </cell>
          <cell r="O1088" t="e">
            <v>#N/A</v>
          </cell>
          <cell r="P1088" t="str">
            <v/>
          </cell>
          <cell r="Q1088" t="str">
            <v/>
          </cell>
          <cell r="R1088" t="e">
            <v>#N/A</v>
          </cell>
        </row>
        <row r="1089">
          <cell r="A1089" t="str">
            <v/>
          </cell>
          <cell r="B1089" t="str">
            <v/>
          </cell>
          <cell r="C1089" t="str">
            <v>Future</v>
          </cell>
          <cell r="D1089" t="e">
            <v>#N/A</v>
          </cell>
          <cell r="E1089">
            <v>-69.26090551181035</v>
          </cell>
          <cell r="F1089">
            <v>118.88870078740494</v>
          </cell>
          <cell r="G1089">
            <v>35.266653543306866</v>
          </cell>
          <cell r="H1089">
            <v>35.266653543306866</v>
          </cell>
          <cell r="I1089" t="e">
            <v>#N/A</v>
          </cell>
          <cell r="J1089" t="e">
            <v>#N/A</v>
          </cell>
          <cell r="K1089">
            <v>90</v>
          </cell>
          <cell r="L1089">
            <v>50</v>
          </cell>
          <cell r="M1089" t="e">
            <v>#N/A</v>
          </cell>
          <cell r="N1089">
            <v>80</v>
          </cell>
          <cell r="O1089" t="e">
            <v>#N/A</v>
          </cell>
          <cell r="P1089" t="str">
            <v/>
          </cell>
          <cell r="Q1089" t="str">
            <v/>
          </cell>
          <cell r="R1089" t="e">
            <v>#N/A</v>
          </cell>
        </row>
        <row r="1090">
          <cell r="A1090" t="str">
            <v/>
          </cell>
          <cell r="B1090" t="str">
            <v/>
          </cell>
          <cell r="C1090" t="str">
            <v>Future</v>
          </cell>
          <cell r="D1090" t="e">
            <v>#N/A</v>
          </cell>
          <cell r="E1090">
            <v>-69.510944881889088</v>
          </cell>
          <cell r="F1090">
            <v>118.99299212598763</v>
          </cell>
          <cell r="G1090">
            <v>35.213464566928913</v>
          </cell>
          <cell r="H1090">
            <v>35.213464566928913</v>
          </cell>
          <cell r="I1090" t="e">
            <v>#N/A</v>
          </cell>
          <cell r="J1090" t="e">
            <v>#N/A</v>
          </cell>
          <cell r="K1090">
            <v>90</v>
          </cell>
          <cell r="L1090">
            <v>50</v>
          </cell>
          <cell r="M1090" t="e">
            <v>#N/A</v>
          </cell>
          <cell r="N1090">
            <v>80</v>
          </cell>
          <cell r="O1090" t="e">
            <v>#N/A</v>
          </cell>
          <cell r="P1090" t="str">
            <v/>
          </cell>
          <cell r="Q1090" t="str">
            <v/>
          </cell>
          <cell r="R1090" t="e">
            <v>#N/A</v>
          </cell>
        </row>
        <row r="1091">
          <cell r="A1091" t="str">
            <v/>
          </cell>
          <cell r="B1091" t="str">
            <v/>
          </cell>
          <cell r="C1091" t="str">
            <v>Future</v>
          </cell>
          <cell r="D1091" t="e">
            <v>#N/A</v>
          </cell>
          <cell r="E1091">
            <v>-69.760984251967827</v>
          </cell>
          <cell r="F1091">
            <v>119.09728346457031</v>
          </cell>
          <cell r="G1091">
            <v>35.16027559055096</v>
          </cell>
          <cell r="H1091">
            <v>35.16027559055096</v>
          </cell>
          <cell r="I1091" t="e">
            <v>#N/A</v>
          </cell>
          <cell r="J1091" t="e">
            <v>#N/A</v>
          </cell>
          <cell r="K1091">
            <v>90</v>
          </cell>
          <cell r="L1091">
            <v>50</v>
          </cell>
          <cell r="M1091" t="e">
            <v>#N/A</v>
          </cell>
          <cell r="N1091">
            <v>80</v>
          </cell>
          <cell r="O1091" t="e">
            <v>#N/A</v>
          </cell>
          <cell r="P1091" t="str">
            <v/>
          </cell>
          <cell r="Q1091" t="str">
            <v/>
          </cell>
          <cell r="R1091" t="e">
            <v>#N/A</v>
          </cell>
        </row>
        <row r="1092">
          <cell r="A1092" t="str">
            <v/>
          </cell>
          <cell r="B1092" t="str">
            <v/>
          </cell>
          <cell r="C1092" t="str">
            <v>Future</v>
          </cell>
          <cell r="D1092" t="e">
            <v>#N/A</v>
          </cell>
          <cell r="E1092">
            <v>-70.011023622046565</v>
          </cell>
          <cell r="F1092">
            <v>119.20157480315299</v>
          </cell>
          <cell r="G1092">
            <v>35.107086614173006</v>
          </cell>
          <cell r="H1092">
            <v>35.107086614173006</v>
          </cell>
          <cell r="I1092" t="e">
            <v>#N/A</v>
          </cell>
          <cell r="J1092" t="e">
            <v>#N/A</v>
          </cell>
          <cell r="K1092">
            <v>90</v>
          </cell>
          <cell r="L1092">
            <v>50</v>
          </cell>
          <cell r="M1092" t="e">
            <v>#N/A</v>
          </cell>
          <cell r="N1092">
            <v>80</v>
          </cell>
          <cell r="O1092" t="e">
            <v>#N/A</v>
          </cell>
          <cell r="P1092" t="str">
            <v/>
          </cell>
          <cell r="Q1092" t="str">
            <v/>
          </cell>
          <cell r="R1092" t="e">
            <v>#N/A</v>
          </cell>
        </row>
        <row r="1093">
          <cell r="A1093" t="str">
            <v/>
          </cell>
          <cell r="B1093" t="str">
            <v/>
          </cell>
          <cell r="C1093" t="str">
            <v>Future</v>
          </cell>
          <cell r="D1093" t="e">
            <v>#N/A</v>
          </cell>
          <cell r="E1093">
            <v>-70.261062992125304</v>
          </cell>
          <cell r="F1093">
            <v>119.30586614173568</v>
          </cell>
          <cell r="G1093">
            <v>35.053897637795053</v>
          </cell>
          <cell r="H1093">
            <v>35.053897637795053</v>
          </cell>
          <cell r="I1093" t="e">
            <v>#N/A</v>
          </cell>
          <cell r="J1093" t="e">
            <v>#N/A</v>
          </cell>
          <cell r="K1093">
            <v>90</v>
          </cell>
          <cell r="L1093">
            <v>50</v>
          </cell>
          <cell r="M1093" t="e">
            <v>#N/A</v>
          </cell>
          <cell r="N1093">
            <v>80</v>
          </cell>
          <cell r="O1093" t="e">
            <v>#N/A</v>
          </cell>
          <cell r="P1093" t="str">
            <v/>
          </cell>
          <cell r="Q1093" t="str">
            <v/>
          </cell>
          <cell r="R1093" t="e">
            <v>#N/A</v>
          </cell>
        </row>
        <row r="1094">
          <cell r="A1094" t="str">
            <v/>
          </cell>
          <cell r="B1094" t="str">
            <v/>
          </cell>
          <cell r="C1094" t="str">
            <v>Future</v>
          </cell>
          <cell r="D1094" t="e">
            <v>#N/A</v>
          </cell>
          <cell r="E1094">
            <v>-70.511102362204042</v>
          </cell>
          <cell r="F1094">
            <v>119.41015748031836</v>
          </cell>
          <cell r="G1094">
            <v>35.0007086614171</v>
          </cell>
          <cell r="H1094">
            <v>35.0007086614171</v>
          </cell>
          <cell r="I1094" t="e">
            <v>#N/A</v>
          </cell>
          <cell r="J1094" t="e">
            <v>#N/A</v>
          </cell>
          <cell r="K1094">
            <v>90</v>
          </cell>
          <cell r="L1094">
            <v>50</v>
          </cell>
          <cell r="M1094" t="e">
            <v>#N/A</v>
          </cell>
          <cell r="N1094">
            <v>80</v>
          </cell>
          <cell r="O1094" t="e">
            <v>#N/A</v>
          </cell>
          <cell r="P1094" t="str">
            <v/>
          </cell>
          <cell r="Q1094" t="str">
            <v/>
          </cell>
          <cell r="R1094" t="e">
            <v>#N/A</v>
          </cell>
        </row>
        <row r="1095">
          <cell r="A1095" t="str">
            <v/>
          </cell>
          <cell r="B1095" t="str">
            <v/>
          </cell>
          <cell r="C1095" t="str">
            <v>Future</v>
          </cell>
          <cell r="D1095" t="e">
            <v>#N/A</v>
          </cell>
          <cell r="E1095">
            <v>-70.76114173228278</v>
          </cell>
          <cell r="F1095">
            <v>119.51444881890104</v>
          </cell>
          <cell r="G1095">
            <v>34.947519685039147</v>
          </cell>
          <cell r="H1095">
            <v>34.947519685039147</v>
          </cell>
          <cell r="I1095" t="e">
            <v>#N/A</v>
          </cell>
          <cell r="J1095" t="e">
            <v>#N/A</v>
          </cell>
          <cell r="K1095">
            <v>90</v>
          </cell>
          <cell r="L1095">
            <v>50</v>
          </cell>
          <cell r="M1095" t="e">
            <v>#N/A</v>
          </cell>
          <cell r="N1095">
            <v>80</v>
          </cell>
          <cell r="O1095" t="e">
            <v>#N/A</v>
          </cell>
          <cell r="P1095" t="str">
            <v/>
          </cell>
          <cell r="Q1095" t="str">
            <v/>
          </cell>
          <cell r="R1095" t="e">
            <v>#N/A</v>
          </cell>
        </row>
        <row r="1096">
          <cell r="A1096" t="str">
            <v/>
          </cell>
          <cell r="B1096" t="str">
            <v/>
          </cell>
          <cell r="C1096" t="str">
            <v>Future</v>
          </cell>
          <cell r="D1096" t="e">
            <v>#N/A</v>
          </cell>
          <cell r="E1096">
            <v>-71.011181102361519</v>
          </cell>
          <cell r="F1096">
            <v>119.61874015748373</v>
          </cell>
          <cell r="G1096">
            <v>34.894330708661194</v>
          </cell>
          <cell r="H1096">
            <v>34.894330708661194</v>
          </cell>
          <cell r="I1096" t="e">
            <v>#N/A</v>
          </cell>
          <cell r="J1096" t="e">
            <v>#N/A</v>
          </cell>
          <cell r="K1096">
            <v>90</v>
          </cell>
          <cell r="L1096">
            <v>50</v>
          </cell>
          <cell r="M1096" t="e">
            <v>#N/A</v>
          </cell>
          <cell r="N1096">
            <v>80</v>
          </cell>
          <cell r="O1096" t="e">
            <v>#N/A</v>
          </cell>
          <cell r="P1096" t="str">
            <v/>
          </cell>
          <cell r="Q1096" t="str">
            <v/>
          </cell>
          <cell r="R1096" t="e">
            <v>#N/A</v>
          </cell>
        </row>
        <row r="1097">
          <cell r="A1097" t="str">
            <v/>
          </cell>
          <cell r="B1097" t="str">
            <v/>
          </cell>
          <cell r="C1097" t="str">
            <v>Future</v>
          </cell>
          <cell r="D1097" t="e">
            <v>#N/A</v>
          </cell>
          <cell r="E1097">
            <v>-71.261220472440257</v>
          </cell>
          <cell r="F1097">
            <v>119.72303149606641</v>
          </cell>
          <cell r="G1097">
            <v>34.841141732283241</v>
          </cell>
          <cell r="H1097">
            <v>34.841141732283241</v>
          </cell>
          <cell r="I1097" t="e">
            <v>#N/A</v>
          </cell>
          <cell r="J1097" t="e">
            <v>#N/A</v>
          </cell>
          <cell r="K1097">
            <v>90</v>
          </cell>
          <cell r="L1097">
            <v>50</v>
          </cell>
          <cell r="M1097" t="e">
            <v>#N/A</v>
          </cell>
          <cell r="N1097">
            <v>80</v>
          </cell>
          <cell r="O1097" t="e">
            <v>#N/A</v>
          </cell>
          <cell r="P1097" t="str">
            <v/>
          </cell>
          <cell r="Q1097" t="str">
            <v/>
          </cell>
          <cell r="R1097" t="e">
            <v>#N/A</v>
          </cell>
        </row>
        <row r="1098">
          <cell r="A1098" t="str">
            <v/>
          </cell>
          <cell r="B1098" t="str">
            <v/>
          </cell>
          <cell r="C1098" t="str">
            <v>Future</v>
          </cell>
          <cell r="D1098" t="e">
            <v>#N/A</v>
          </cell>
          <cell r="E1098">
            <v>-71.511259842518996</v>
          </cell>
          <cell r="F1098">
            <v>119.8273228346491</v>
          </cell>
          <cell r="G1098">
            <v>34.787952755905287</v>
          </cell>
          <cell r="H1098">
            <v>34.787952755905287</v>
          </cell>
          <cell r="I1098" t="e">
            <v>#N/A</v>
          </cell>
          <cell r="J1098" t="e">
            <v>#N/A</v>
          </cell>
          <cell r="K1098">
            <v>90</v>
          </cell>
          <cell r="L1098">
            <v>50</v>
          </cell>
          <cell r="M1098" t="e">
            <v>#N/A</v>
          </cell>
          <cell r="N1098">
            <v>80</v>
          </cell>
          <cell r="O1098" t="e">
            <v>#N/A</v>
          </cell>
          <cell r="P1098" t="str">
            <v/>
          </cell>
          <cell r="Q1098" t="str">
            <v/>
          </cell>
          <cell r="R1098" t="e">
            <v>#N/A</v>
          </cell>
        </row>
        <row r="1099">
          <cell r="A1099" t="str">
            <v/>
          </cell>
          <cell r="B1099" t="str">
            <v/>
          </cell>
          <cell r="C1099" t="str">
            <v>Future</v>
          </cell>
          <cell r="D1099" t="e">
            <v>#N/A</v>
          </cell>
          <cell r="E1099">
            <v>-71.761299212597734</v>
          </cell>
          <cell r="F1099">
            <v>119.93161417323178</v>
          </cell>
          <cell r="G1099">
            <v>34.734763779527334</v>
          </cell>
          <cell r="H1099">
            <v>34.734763779527334</v>
          </cell>
          <cell r="I1099" t="e">
            <v>#N/A</v>
          </cell>
          <cell r="J1099" t="e">
            <v>#N/A</v>
          </cell>
          <cell r="K1099">
            <v>90</v>
          </cell>
          <cell r="L1099">
            <v>50</v>
          </cell>
          <cell r="M1099" t="e">
            <v>#N/A</v>
          </cell>
          <cell r="N1099">
            <v>80</v>
          </cell>
          <cell r="O1099" t="e">
            <v>#N/A</v>
          </cell>
          <cell r="P1099" t="str">
            <v/>
          </cell>
          <cell r="Q1099" t="str">
            <v/>
          </cell>
          <cell r="R1099" t="e">
            <v>#N/A</v>
          </cell>
        </row>
        <row r="1100">
          <cell r="A1100" t="str">
            <v/>
          </cell>
          <cell r="B1100" t="str">
            <v/>
          </cell>
          <cell r="C1100" t="str">
            <v>Future</v>
          </cell>
          <cell r="D1100" t="e">
            <v>#N/A</v>
          </cell>
          <cell r="E1100">
            <v>-72.011338582676473</v>
          </cell>
          <cell r="F1100">
            <v>120.03590551181446</v>
          </cell>
          <cell r="G1100">
            <v>34.681574803149381</v>
          </cell>
          <cell r="H1100">
            <v>34.681574803149381</v>
          </cell>
          <cell r="I1100" t="e">
            <v>#N/A</v>
          </cell>
          <cell r="J1100" t="e">
            <v>#N/A</v>
          </cell>
          <cell r="K1100">
            <v>90</v>
          </cell>
          <cell r="L1100">
            <v>50</v>
          </cell>
          <cell r="M1100" t="e">
            <v>#N/A</v>
          </cell>
          <cell r="N1100">
            <v>80</v>
          </cell>
          <cell r="O1100" t="e">
            <v>#N/A</v>
          </cell>
          <cell r="P1100" t="str">
            <v/>
          </cell>
          <cell r="Q1100" t="str">
            <v/>
          </cell>
          <cell r="R1100" t="e">
            <v>#N/A</v>
          </cell>
        </row>
        <row r="1101">
          <cell r="A1101" t="str">
            <v/>
          </cell>
          <cell r="B1101" t="str">
            <v/>
          </cell>
          <cell r="C1101" t="str">
            <v>Future</v>
          </cell>
          <cell r="D1101" t="e">
            <v>#N/A</v>
          </cell>
          <cell r="E1101">
            <v>-72.261377952755211</v>
          </cell>
          <cell r="F1101">
            <v>120.14019685039715</v>
          </cell>
          <cell r="G1101">
            <v>34.628385826771428</v>
          </cell>
          <cell r="H1101">
            <v>34.628385826771428</v>
          </cell>
          <cell r="I1101" t="e">
            <v>#N/A</v>
          </cell>
          <cell r="J1101" t="e">
            <v>#N/A</v>
          </cell>
          <cell r="K1101">
            <v>90</v>
          </cell>
          <cell r="L1101">
            <v>50</v>
          </cell>
          <cell r="M1101" t="e">
            <v>#N/A</v>
          </cell>
          <cell r="N1101">
            <v>80</v>
          </cell>
          <cell r="O1101" t="e">
            <v>#N/A</v>
          </cell>
          <cell r="P1101" t="str">
            <v/>
          </cell>
          <cell r="Q1101" t="str">
            <v/>
          </cell>
          <cell r="R1101" t="e">
            <v>#N/A</v>
          </cell>
        </row>
        <row r="1102">
          <cell r="A1102" t="str">
            <v/>
          </cell>
          <cell r="B1102" t="str">
            <v/>
          </cell>
          <cell r="C1102" t="str">
            <v>Future</v>
          </cell>
          <cell r="D1102" t="e">
            <v>#N/A</v>
          </cell>
          <cell r="E1102">
            <v>-72.51141732283395</v>
          </cell>
          <cell r="F1102">
            <v>120.24448818897983</v>
          </cell>
          <cell r="G1102">
            <v>34.575196850393475</v>
          </cell>
          <cell r="H1102">
            <v>34.575196850393475</v>
          </cell>
          <cell r="I1102" t="e">
            <v>#N/A</v>
          </cell>
          <cell r="J1102" t="e">
            <v>#N/A</v>
          </cell>
          <cell r="K1102">
            <v>90</v>
          </cell>
          <cell r="L1102">
            <v>50</v>
          </cell>
          <cell r="M1102" t="e">
            <v>#N/A</v>
          </cell>
          <cell r="N1102">
            <v>80</v>
          </cell>
          <cell r="O1102" t="e">
            <v>#N/A</v>
          </cell>
          <cell r="P1102" t="str">
            <v/>
          </cell>
          <cell r="Q1102" t="str">
            <v/>
          </cell>
          <cell r="R1102" t="e">
            <v>#N/A</v>
          </cell>
        </row>
        <row r="1103">
          <cell r="A1103" t="str">
            <v/>
          </cell>
          <cell r="B1103" t="str">
            <v/>
          </cell>
          <cell r="C1103" t="str">
            <v>Future</v>
          </cell>
          <cell r="D1103" t="e">
            <v>#N/A</v>
          </cell>
          <cell r="E1103">
            <v>-72.761456692912688</v>
          </cell>
          <cell r="F1103">
            <v>120.34877952756251</v>
          </cell>
          <cell r="G1103">
            <v>34.522007874015522</v>
          </cell>
          <cell r="H1103">
            <v>34.522007874015522</v>
          </cell>
          <cell r="I1103" t="e">
            <v>#N/A</v>
          </cell>
          <cell r="J1103" t="e">
            <v>#N/A</v>
          </cell>
          <cell r="K1103">
            <v>90</v>
          </cell>
          <cell r="L1103">
            <v>50</v>
          </cell>
          <cell r="M1103" t="e">
            <v>#N/A</v>
          </cell>
          <cell r="N1103">
            <v>80</v>
          </cell>
          <cell r="O1103" t="e">
            <v>#N/A</v>
          </cell>
          <cell r="P1103" t="str">
            <v/>
          </cell>
          <cell r="Q1103" t="str">
            <v/>
          </cell>
          <cell r="R1103" t="e">
            <v>#N/A</v>
          </cell>
        </row>
        <row r="1104">
          <cell r="A1104" t="str">
            <v/>
          </cell>
          <cell r="B1104" t="str">
            <v/>
          </cell>
          <cell r="C1104" t="str">
            <v>Future</v>
          </cell>
          <cell r="D1104" t="e">
            <v>#N/A</v>
          </cell>
          <cell r="E1104">
            <v>-73.011496062991426</v>
          </cell>
          <cell r="F1104">
            <v>120.4530708661452</v>
          </cell>
          <cell r="G1104">
            <v>34.468818897637568</v>
          </cell>
          <cell r="H1104">
            <v>34.468818897637568</v>
          </cell>
          <cell r="I1104" t="e">
            <v>#N/A</v>
          </cell>
          <cell r="J1104" t="e">
            <v>#N/A</v>
          </cell>
          <cell r="K1104">
            <v>90</v>
          </cell>
          <cell r="L1104">
            <v>50</v>
          </cell>
          <cell r="M1104" t="e">
            <v>#N/A</v>
          </cell>
          <cell r="N1104">
            <v>80</v>
          </cell>
          <cell r="O1104" t="e">
            <v>#N/A</v>
          </cell>
          <cell r="P1104" t="str">
            <v/>
          </cell>
          <cell r="Q1104" t="str">
            <v/>
          </cell>
          <cell r="R1104" t="e">
            <v>#N/A</v>
          </cell>
        </row>
        <row r="1105">
          <cell r="A1105" t="str">
            <v/>
          </cell>
          <cell r="B1105" t="str">
            <v/>
          </cell>
          <cell r="C1105" t="str">
            <v>Future</v>
          </cell>
          <cell r="D1105" t="e">
            <v>#N/A</v>
          </cell>
          <cell r="E1105">
            <v>-73.261535433070165</v>
          </cell>
          <cell r="F1105">
            <v>120.55736220472788</v>
          </cell>
          <cell r="G1105">
            <v>34.415629921259615</v>
          </cell>
          <cell r="H1105">
            <v>34.415629921259615</v>
          </cell>
          <cell r="I1105" t="e">
            <v>#N/A</v>
          </cell>
          <cell r="J1105" t="e">
            <v>#N/A</v>
          </cell>
          <cell r="K1105">
            <v>90</v>
          </cell>
          <cell r="L1105">
            <v>50</v>
          </cell>
          <cell r="M1105" t="e">
            <v>#N/A</v>
          </cell>
          <cell r="N1105">
            <v>80</v>
          </cell>
          <cell r="O1105" t="e">
            <v>#N/A</v>
          </cell>
          <cell r="P1105" t="str">
            <v/>
          </cell>
          <cell r="Q1105" t="str">
            <v/>
          </cell>
          <cell r="R1105" t="e">
            <v>#N/A</v>
          </cell>
        </row>
        <row r="1106">
          <cell r="A1106" t="str">
            <v/>
          </cell>
          <cell r="B1106" t="str">
            <v/>
          </cell>
          <cell r="C1106" t="str">
            <v>Future</v>
          </cell>
          <cell r="D1106" t="e">
            <v>#N/A</v>
          </cell>
          <cell r="E1106">
            <v>-73.511574803148903</v>
          </cell>
          <cell r="F1106">
            <v>120.66165354331056</v>
          </cell>
          <cell r="G1106">
            <v>34.362440944881662</v>
          </cell>
          <cell r="H1106">
            <v>34.362440944881662</v>
          </cell>
          <cell r="I1106" t="e">
            <v>#N/A</v>
          </cell>
          <cell r="J1106" t="e">
            <v>#N/A</v>
          </cell>
          <cell r="K1106">
            <v>90</v>
          </cell>
          <cell r="L1106">
            <v>50</v>
          </cell>
          <cell r="M1106" t="e">
            <v>#N/A</v>
          </cell>
          <cell r="N1106">
            <v>80</v>
          </cell>
          <cell r="O1106" t="e">
            <v>#N/A</v>
          </cell>
          <cell r="P1106" t="str">
            <v/>
          </cell>
          <cell r="Q1106" t="str">
            <v/>
          </cell>
          <cell r="R1106" t="e">
            <v>#N/A</v>
          </cell>
        </row>
        <row r="1107">
          <cell r="A1107" t="str">
            <v/>
          </cell>
          <cell r="B1107" t="str">
            <v/>
          </cell>
          <cell r="C1107" t="str">
            <v>Future</v>
          </cell>
          <cell r="D1107" t="e">
            <v>#N/A</v>
          </cell>
          <cell r="E1107">
            <v>-73.761614173227642</v>
          </cell>
          <cell r="F1107">
            <v>120.76594488189325</v>
          </cell>
          <cell r="G1107">
            <v>34.309251968503709</v>
          </cell>
          <cell r="H1107">
            <v>34.309251968503709</v>
          </cell>
          <cell r="I1107" t="e">
            <v>#N/A</v>
          </cell>
          <cell r="J1107" t="e">
            <v>#N/A</v>
          </cell>
          <cell r="K1107">
            <v>90</v>
          </cell>
          <cell r="L1107">
            <v>50</v>
          </cell>
          <cell r="M1107" t="e">
            <v>#N/A</v>
          </cell>
          <cell r="N1107">
            <v>80</v>
          </cell>
          <cell r="O1107" t="e">
            <v>#N/A</v>
          </cell>
          <cell r="P1107" t="str">
            <v/>
          </cell>
          <cell r="Q1107" t="str">
            <v/>
          </cell>
          <cell r="R1107" t="e">
            <v>#N/A</v>
          </cell>
        </row>
        <row r="1108">
          <cell r="A1108" t="str">
            <v/>
          </cell>
          <cell r="B1108" t="str">
            <v/>
          </cell>
          <cell r="C1108" t="str">
            <v>Future</v>
          </cell>
          <cell r="D1108" t="e">
            <v>#N/A</v>
          </cell>
          <cell r="E1108">
            <v>-74.01165354330638</v>
          </cell>
          <cell r="F1108">
            <v>120.87023622047593</v>
          </cell>
          <cell r="G1108">
            <v>34.256062992125756</v>
          </cell>
          <cell r="H1108">
            <v>34.256062992125756</v>
          </cell>
          <cell r="I1108" t="e">
            <v>#N/A</v>
          </cell>
          <cell r="J1108" t="e">
            <v>#N/A</v>
          </cell>
          <cell r="K1108">
            <v>90</v>
          </cell>
          <cell r="L1108">
            <v>50</v>
          </cell>
          <cell r="M1108" t="e">
            <v>#N/A</v>
          </cell>
          <cell r="N1108">
            <v>80</v>
          </cell>
          <cell r="O1108" t="e">
            <v>#N/A</v>
          </cell>
          <cell r="P1108" t="str">
            <v/>
          </cell>
          <cell r="Q1108" t="str">
            <v/>
          </cell>
          <cell r="R1108" t="e">
            <v>#N/A</v>
          </cell>
        </row>
        <row r="1109">
          <cell r="A1109" t="str">
            <v/>
          </cell>
          <cell r="B1109" t="str">
            <v/>
          </cell>
          <cell r="C1109" t="str">
            <v>Future</v>
          </cell>
          <cell r="D1109" t="e">
            <v>#N/A</v>
          </cell>
          <cell r="E1109">
            <v>-74.261692913385119</v>
          </cell>
          <cell r="F1109">
            <v>120.97452755905861</v>
          </cell>
          <cell r="G1109">
            <v>34.202874015747803</v>
          </cell>
          <cell r="H1109">
            <v>34.202874015747803</v>
          </cell>
          <cell r="I1109" t="e">
            <v>#N/A</v>
          </cell>
          <cell r="J1109" t="e">
            <v>#N/A</v>
          </cell>
          <cell r="K1109">
            <v>90</v>
          </cell>
          <cell r="L1109">
            <v>50</v>
          </cell>
          <cell r="M1109" t="e">
            <v>#N/A</v>
          </cell>
          <cell r="N1109">
            <v>80</v>
          </cell>
          <cell r="O1109" t="e">
            <v>#N/A</v>
          </cell>
          <cell r="P1109" t="str">
            <v/>
          </cell>
          <cell r="Q1109" t="str">
            <v/>
          </cell>
          <cell r="R1109" t="e">
            <v>#N/A</v>
          </cell>
        </row>
        <row r="1110">
          <cell r="A1110" t="str">
            <v/>
          </cell>
          <cell r="B1110" t="str">
            <v/>
          </cell>
          <cell r="C1110" t="str">
            <v>Future</v>
          </cell>
          <cell r="D1110" t="e">
            <v>#N/A</v>
          </cell>
          <cell r="E1110">
            <v>-74.511732283463857</v>
          </cell>
          <cell r="F1110">
            <v>121.0788188976413</v>
          </cell>
          <cell r="G1110">
            <v>34.149685039369849</v>
          </cell>
          <cell r="H1110">
            <v>34.149685039369849</v>
          </cell>
          <cell r="I1110" t="e">
            <v>#N/A</v>
          </cell>
          <cell r="J1110" t="e">
            <v>#N/A</v>
          </cell>
          <cell r="K1110">
            <v>90</v>
          </cell>
          <cell r="L1110">
            <v>50</v>
          </cell>
          <cell r="M1110" t="e">
            <v>#N/A</v>
          </cell>
          <cell r="N1110">
            <v>80</v>
          </cell>
          <cell r="O1110" t="e">
            <v>#N/A</v>
          </cell>
          <cell r="P1110" t="str">
            <v/>
          </cell>
          <cell r="Q1110" t="str">
            <v/>
          </cell>
          <cell r="R1110" t="e">
            <v>#N/A</v>
          </cell>
        </row>
        <row r="1111">
          <cell r="A1111" t="str">
            <v/>
          </cell>
          <cell r="B1111" t="str">
            <v/>
          </cell>
          <cell r="C1111" t="str">
            <v>Future</v>
          </cell>
          <cell r="D1111" t="e">
            <v>#N/A</v>
          </cell>
          <cell r="E1111">
            <v>-74.761771653542596</v>
          </cell>
          <cell r="F1111">
            <v>121.18311023622398</v>
          </cell>
          <cell r="G1111">
            <v>34.096496062991896</v>
          </cell>
          <cell r="H1111">
            <v>34.096496062991896</v>
          </cell>
          <cell r="I1111" t="e">
            <v>#N/A</v>
          </cell>
          <cell r="J1111" t="e">
            <v>#N/A</v>
          </cell>
          <cell r="K1111">
            <v>90</v>
          </cell>
          <cell r="L1111">
            <v>50</v>
          </cell>
          <cell r="M1111" t="e">
            <v>#N/A</v>
          </cell>
          <cell r="N1111">
            <v>80</v>
          </cell>
          <cell r="O1111" t="e">
            <v>#N/A</v>
          </cell>
          <cell r="P1111" t="str">
            <v/>
          </cell>
          <cell r="Q1111" t="str">
            <v/>
          </cell>
          <cell r="R1111" t="e">
            <v>#N/A</v>
          </cell>
        </row>
        <row r="1112">
          <cell r="A1112" t="str">
            <v/>
          </cell>
          <cell r="B1112" t="str">
            <v/>
          </cell>
          <cell r="C1112" t="str">
            <v>Future</v>
          </cell>
          <cell r="D1112" t="e">
            <v>#N/A</v>
          </cell>
          <cell r="E1112">
            <v>-75.011811023621334</v>
          </cell>
          <cell r="F1112">
            <v>121.28740157480667</v>
          </cell>
          <cell r="G1112">
            <v>34.043307086613943</v>
          </cell>
          <cell r="H1112">
            <v>34.043307086613943</v>
          </cell>
          <cell r="I1112" t="e">
            <v>#N/A</v>
          </cell>
          <cell r="J1112" t="e">
            <v>#N/A</v>
          </cell>
          <cell r="K1112">
            <v>90</v>
          </cell>
          <cell r="L1112">
            <v>50</v>
          </cell>
          <cell r="M1112" t="e">
            <v>#N/A</v>
          </cell>
          <cell r="N1112">
            <v>80</v>
          </cell>
          <cell r="O1112" t="e">
            <v>#N/A</v>
          </cell>
          <cell r="P1112" t="str">
            <v/>
          </cell>
          <cell r="Q1112" t="str">
            <v/>
          </cell>
          <cell r="R1112" t="e">
            <v>#N/A</v>
          </cell>
        </row>
        <row r="1113">
          <cell r="A1113" t="str">
            <v/>
          </cell>
          <cell r="B1113" t="str">
            <v/>
          </cell>
          <cell r="C1113" t="str">
            <v>Future</v>
          </cell>
          <cell r="D1113" t="e">
            <v>#N/A</v>
          </cell>
          <cell r="E1113">
            <v>-75.261850393700072</v>
          </cell>
          <cell r="F1113">
            <v>121.39169291338935</v>
          </cell>
          <cell r="G1113">
            <v>33.99011811023599</v>
          </cell>
          <cell r="H1113">
            <v>33.99011811023599</v>
          </cell>
          <cell r="I1113" t="e">
            <v>#N/A</v>
          </cell>
          <cell r="J1113" t="e">
            <v>#N/A</v>
          </cell>
          <cell r="K1113">
            <v>90</v>
          </cell>
          <cell r="L1113">
            <v>50</v>
          </cell>
          <cell r="M1113" t="e">
            <v>#N/A</v>
          </cell>
          <cell r="N1113">
            <v>80</v>
          </cell>
          <cell r="O1113" t="e">
            <v>#N/A</v>
          </cell>
          <cell r="P1113" t="str">
            <v/>
          </cell>
          <cell r="Q1113" t="str">
            <v/>
          </cell>
          <cell r="R1113" t="e">
            <v>#N/A</v>
          </cell>
        </row>
        <row r="1114">
          <cell r="A1114" t="str">
            <v/>
          </cell>
          <cell r="B1114" t="str">
            <v/>
          </cell>
          <cell r="C1114" t="str">
            <v>Future</v>
          </cell>
          <cell r="D1114" t="e">
            <v>#N/A</v>
          </cell>
          <cell r="E1114">
            <v>-75.511889763778811</v>
          </cell>
          <cell r="F1114">
            <v>121.49598425197203</v>
          </cell>
          <cell r="G1114">
            <v>33.936929133858037</v>
          </cell>
          <cell r="H1114">
            <v>33.936929133858037</v>
          </cell>
          <cell r="I1114" t="e">
            <v>#N/A</v>
          </cell>
          <cell r="J1114" t="e">
            <v>#N/A</v>
          </cell>
          <cell r="K1114">
            <v>90</v>
          </cell>
          <cell r="L1114">
            <v>50</v>
          </cell>
          <cell r="M1114" t="e">
            <v>#N/A</v>
          </cell>
          <cell r="N1114">
            <v>80</v>
          </cell>
          <cell r="O1114" t="e">
            <v>#N/A</v>
          </cell>
          <cell r="P1114" t="str">
            <v/>
          </cell>
          <cell r="Q1114" t="str">
            <v/>
          </cell>
          <cell r="R1114" t="e">
            <v>#N/A</v>
          </cell>
        </row>
        <row r="1115">
          <cell r="A1115" t="str">
            <v/>
          </cell>
          <cell r="B1115" t="str">
            <v/>
          </cell>
          <cell r="C1115" t="str">
            <v>Future</v>
          </cell>
          <cell r="D1115" t="e">
            <v>#N/A</v>
          </cell>
          <cell r="E1115">
            <v>-75.761929133857549</v>
          </cell>
          <cell r="F1115">
            <v>121.60027559055472</v>
          </cell>
          <cell r="G1115">
            <v>33.883740157480084</v>
          </cell>
          <cell r="H1115">
            <v>33.883740157480084</v>
          </cell>
          <cell r="I1115" t="e">
            <v>#N/A</v>
          </cell>
          <cell r="J1115" t="e">
            <v>#N/A</v>
          </cell>
          <cell r="K1115">
            <v>90</v>
          </cell>
          <cell r="L1115">
            <v>50</v>
          </cell>
          <cell r="M1115" t="e">
            <v>#N/A</v>
          </cell>
          <cell r="N1115">
            <v>80</v>
          </cell>
          <cell r="O1115" t="e">
            <v>#N/A</v>
          </cell>
          <cell r="P1115" t="str">
            <v/>
          </cell>
          <cell r="Q1115" t="str">
            <v/>
          </cell>
          <cell r="R1115" t="e">
            <v>#N/A</v>
          </cell>
        </row>
        <row r="1116">
          <cell r="A1116" t="str">
            <v/>
          </cell>
          <cell r="B1116" t="str">
            <v/>
          </cell>
          <cell r="C1116" t="str">
            <v>Future</v>
          </cell>
          <cell r="D1116" t="e">
            <v>#N/A</v>
          </cell>
          <cell r="E1116">
            <v>-76.011968503936288</v>
          </cell>
          <cell r="F1116">
            <v>121.7045669291374</v>
          </cell>
          <cell r="G1116">
            <v>33.83055118110213</v>
          </cell>
          <cell r="H1116">
            <v>33.83055118110213</v>
          </cell>
          <cell r="I1116" t="e">
            <v>#N/A</v>
          </cell>
          <cell r="J1116" t="e">
            <v>#N/A</v>
          </cell>
          <cell r="K1116">
            <v>90</v>
          </cell>
          <cell r="L1116">
            <v>50</v>
          </cell>
          <cell r="M1116" t="e">
            <v>#N/A</v>
          </cell>
          <cell r="N1116">
            <v>80</v>
          </cell>
          <cell r="O1116" t="e">
            <v>#N/A</v>
          </cell>
          <cell r="P1116" t="str">
            <v/>
          </cell>
          <cell r="Q1116" t="str">
            <v/>
          </cell>
          <cell r="R1116" t="e">
            <v>#N/A</v>
          </cell>
        </row>
        <row r="1117">
          <cell r="A1117" t="str">
            <v/>
          </cell>
          <cell r="B1117" t="str">
            <v/>
          </cell>
          <cell r="C1117" t="str">
            <v>Future</v>
          </cell>
          <cell r="D1117" t="e">
            <v>#N/A</v>
          </cell>
          <cell r="E1117">
            <v>-76.262007874015026</v>
          </cell>
          <cell r="F1117">
            <v>121.80885826772008</v>
          </cell>
          <cell r="G1117">
            <v>33.777362204724177</v>
          </cell>
          <cell r="H1117">
            <v>33.777362204724177</v>
          </cell>
          <cell r="I1117" t="e">
            <v>#N/A</v>
          </cell>
          <cell r="J1117" t="e">
            <v>#N/A</v>
          </cell>
          <cell r="K1117">
            <v>90</v>
          </cell>
          <cell r="L1117">
            <v>50</v>
          </cell>
          <cell r="M1117" t="e">
            <v>#N/A</v>
          </cell>
          <cell r="N1117">
            <v>80</v>
          </cell>
          <cell r="O1117" t="e">
            <v>#N/A</v>
          </cell>
          <cell r="P1117" t="str">
            <v/>
          </cell>
          <cell r="Q1117" t="str">
            <v/>
          </cell>
          <cell r="R1117" t="e">
            <v>#N/A</v>
          </cell>
        </row>
        <row r="1118">
          <cell r="A1118" t="str">
            <v/>
          </cell>
          <cell r="B1118" t="str">
            <v/>
          </cell>
          <cell r="C1118" t="str">
            <v>Future</v>
          </cell>
          <cell r="D1118" t="e">
            <v>#N/A</v>
          </cell>
          <cell r="E1118">
            <v>-76.512047244093765</v>
          </cell>
          <cell r="F1118">
            <v>121.91314960630277</v>
          </cell>
          <cell r="G1118">
            <v>33.724173228346224</v>
          </cell>
          <cell r="H1118">
            <v>33.724173228346224</v>
          </cell>
          <cell r="I1118" t="e">
            <v>#N/A</v>
          </cell>
          <cell r="J1118" t="e">
            <v>#N/A</v>
          </cell>
          <cell r="K1118">
            <v>90</v>
          </cell>
          <cell r="L1118">
            <v>50</v>
          </cell>
          <cell r="M1118" t="e">
            <v>#N/A</v>
          </cell>
          <cell r="N1118">
            <v>80</v>
          </cell>
          <cell r="O1118" t="e">
            <v>#N/A</v>
          </cell>
          <cell r="P1118" t="str">
            <v/>
          </cell>
          <cell r="Q1118" t="str">
            <v/>
          </cell>
          <cell r="R1118" t="e">
            <v>#N/A</v>
          </cell>
        </row>
        <row r="1119">
          <cell r="A1119" t="str">
            <v/>
          </cell>
          <cell r="B1119" t="str">
            <v/>
          </cell>
          <cell r="C1119" t="str">
            <v>Future</v>
          </cell>
          <cell r="D1119" t="e">
            <v>#N/A</v>
          </cell>
          <cell r="E1119">
            <v>-76.762086614172503</v>
          </cell>
          <cell r="F1119">
            <v>122.01744094488545</v>
          </cell>
          <cell r="G1119">
            <v>33.670984251968271</v>
          </cell>
          <cell r="H1119">
            <v>33.670984251968271</v>
          </cell>
          <cell r="I1119" t="e">
            <v>#N/A</v>
          </cell>
          <cell r="J1119" t="e">
            <v>#N/A</v>
          </cell>
          <cell r="K1119">
            <v>90</v>
          </cell>
          <cell r="L1119">
            <v>50</v>
          </cell>
          <cell r="M1119" t="e">
            <v>#N/A</v>
          </cell>
          <cell r="N1119">
            <v>80</v>
          </cell>
          <cell r="O1119" t="e">
            <v>#N/A</v>
          </cell>
          <cell r="P1119" t="str">
            <v/>
          </cell>
          <cell r="Q1119" t="str">
            <v/>
          </cell>
          <cell r="R1119" t="e">
            <v>#N/A</v>
          </cell>
        </row>
        <row r="1120">
          <cell r="A1120" t="str">
            <v/>
          </cell>
          <cell r="B1120" t="str">
            <v/>
          </cell>
          <cell r="C1120" t="str">
            <v>Future</v>
          </cell>
          <cell r="D1120" t="e">
            <v>#N/A</v>
          </cell>
          <cell r="E1120">
            <v>-77.012125984251242</v>
          </cell>
          <cell r="F1120">
            <v>122.12173228346813</v>
          </cell>
          <cell r="G1120">
            <v>33.617795275590318</v>
          </cell>
          <cell r="H1120">
            <v>33.617795275590318</v>
          </cell>
          <cell r="I1120" t="e">
            <v>#N/A</v>
          </cell>
          <cell r="J1120" t="e">
            <v>#N/A</v>
          </cell>
          <cell r="K1120">
            <v>90</v>
          </cell>
          <cell r="L1120">
            <v>50</v>
          </cell>
          <cell r="M1120" t="e">
            <v>#N/A</v>
          </cell>
          <cell r="N1120">
            <v>80</v>
          </cell>
          <cell r="O1120" t="e">
            <v>#N/A</v>
          </cell>
          <cell r="P1120" t="str">
            <v/>
          </cell>
          <cell r="Q1120" t="str">
            <v/>
          </cell>
          <cell r="R1120" t="e">
            <v>#N/A</v>
          </cell>
        </row>
        <row r="1121">
          <cell r="A1121" t="str">
            <v/>
          </cell>
          <cell r="B1121" t="str">
            <v/>
          </cell>
          <cell r="C1121" t="str">
            <v>Future</v>
          </cell>
          <cell r="D1121" t="e">
            <v>#N/A</v>
          </cell>
          <cell r="E1121">
            <v>-77.26216535432998</v>
          </cell>
          <cell r="F1121">
            <v>122.22602362205082</v>
          </cell>
          <cell r="G1121">
            <v>33.564606299212365</v>
          </cell>
          <cell r="H1121">
            <v>33.564606299212365</v>
          </cell>
          <cell r="I1121" t="e">
            <v>#N/A</v>
          </cell>
          <cell r="J1121" t="e">
            <v>#N/A</v>
          </cell>
          <cell r="K1121">
            <v>90</v>
          </cell>
          <cell r="L1121">
            <v>50</v>
          </cell>
          <cell r="M1121" t="e">
            <v>#N/A</v>
          </cell>
          <cell r="N1121">
            <v>80</v>
          </cell>
          <cell r="O1121" t="e">
            <v>#N/A</v>
          </cell>
          <cell r="P1121" t="str">
            <v/>
          </cell>
          <cell r="Q1121" t="str">
            <v/>
          </cell>
          <cell r="R1121" t="e">
            <v>#N/A</v>
          </cell>
        </row>
        <row r="1122">
          <cell r="A1122" t="str">
            <v/>
          </cell>
          <cell r="B1122" t="str">
            <v/>
          </cell>
          <cell r="C1122" t="str">
            <v>Future</v>
          </cell>
          <cell r="D1122" t="e">
            <v>#N/A</v>
          </cell>
          <cell r="E1122">
            <v>-77.512204724408718</v>
          </cell>
          <cell r="F1122">
            <v>122.3303149606335</v>
          </cell>
          <cell r="G1122">
            <v>33.511417322834411</v>
          </cell>
          <cell r="H1122">
            <v>33.511417322834411</v>
          </cell>
          <cell r="I1122" t="e">
            <v>#N/A</v>
          </cell>
          <cell r="J1122" t="e">
            <v>#N/A</v>
          </cell>
          <cell r="K1122">
            <v>90</v>
          </cell>
          <cell r="L1122">
            <v>50</v>
          </cell>
          <cell r="M1122" t="e">
            <v>#N/A</v>
          </cell>
          <cell r="N1122">
            <v>80</v>
          </cell>
          <cell r="O1122" t="e">
            <v>#N/A</v>
          </cell>
          <cell r="P1122" t="str">
            <v/>
          </cell>
          <cell r="Q1122" t="str">
            <v/>
          </cell>
          <cell r="R1122" t="e">
            <v>#N/A</v>
          </cell>
        </row>
        <row r="1123">
          <cell r="A1123" t="str">
            <v/>
          </cell>
          <cell r="B1123" t="str">
            <v/>
          </cell>
          <cell r="C1123" t="str">
            <v>Future</v>
          </cell>
          <cell r="D1123" t="e">
            <v>#N/A</v>
          </cell>
          <cell r="E1123">
            <v>-77.762244094487457</v>
          </cell>
          <cell r="F1123">
            <v>122.43460629921618</v>
          </cell>
          <cell r="G1123">
            <v>33.458228346456458</v>
          </cell>
          <cell r="H1123">
            <v>33.458228346456458</v>
          </cell>
          <cell r="I1123" t="e">
            <v>#N/A</v>
          </cell>
          <cell r="J1123" t="e">
            <v>#N/A</v>
          </cell>
          <cell r="K1123">
            <v>90</v>
          </cell>
          <cell r="L1123">
            <v>50</v>
          </cell>
          <cell r="M1123" t="e">
            <v>#N/A</v>
          </cell>
          <cell r="N1123">
            <v>80</v>
          </cell>
          <cell r="O1123" t="e">
            <v>#N/A</v>
          </cell>
          <cell r="P1123" t="str">
            <v/>
          </cell>
          <cell r="Q1123" t="str">
            <v/>
          </cell>
          <cell r="R1123" t="e">
            <v>#N/A</v>
          </cell>
        </row>
        <row r="1124">
          <cell r="A1124" t="str">
            <v/>
          </cell>
          <cell r="B1124" t="str">
            <v/>
          </cell>
          <cell r="C1124" t="str">
            <v>Future</v>
          </cell>
          <cell r="D1124" t="e">
            <v>#N/A</v>
          </cell>
          <cell r="E1124">
            <v>-78.012283464566195</v>
          </cell>
          <cell r="F1124">
            <v>122.53889763779887</v>
          </cell>
          <cell r="G1124">
            <v>33.405039370078505</v>
          </cell>
          <cell r="H1124">
            <v>33.405039370078505</v>
          </cell>
          <cell r="I1124" t="e">
            <v>#N/A</v>
          </cell>
          <cell r="J1124" t="e">
            <v>#N/A</v>
          </cell>
          <cell r="K1124">
            <v>90</v>
          </cell>
          <cell r="L1124">
            <v>50</v>
          </cell>
          <cell r="M1124" t="e">
            <v>#N/A</v>
          </cell>
          <cell r="N1124">
            <v>80</v>
          </cell>
          <cell r="O1124" t="e">
            <v>#N/A</v>
          </cell>
          <cell r="P1124" t="str">
            <v/>
          </cell>
          <cell r="Q1124" t="str">
            <v/>
          </cell>
          <cell r="R1124" t="e">
            <v>#N/A</v>
          </cell>
        </row>
        <row r="1125">
          <cell r="A1125" t="str">
            <v/>
          </cell>
          <cell r="B1125" t="str">
            <v/>
          </cell>
          <cell r="C1125" t="str">
            <v>Future</v>
          </cell>
          <cell r="D1125" t="e">
            <v>#N/A</v>
          </cell>
          <cell r="E1125">
            <v>-78.262322834644934</v>
          </cell>
          <cell r="F1125">
            <v>122.64318897638155</v>
          </cell>
          <cell r="G1125">
            <v>33.351850393700552</v>
          </cell>
          <cell r="H1125">
            <v>33.351850393700552</v>
          </cell>
          <cell r="I1125" t="e">
            <v>#N/A</v>
          </cell>
          <cell r="J1125" t="e">
            <v>#N/A</v>
          </cell>
          <cell r="K1125">
            <v>90</v>
          </cell>
          <cell r="L1125">
            <v>50</v>
          </cell>
          <cell r="M1125" t="e">
            <v>#N/A</v>
          </cell>
          <cell r="N1125">
            <v>80</v>
          </cell>
          <cell r="O1125" t="e">
            <v>#N/A</v>
          </cell>
          <cell r="P1125" t="str">
            <v/>
          </cell>
          <cell r="Q1125" t="str">
            <v/>
          </cell>
          <cell r="R1125" t="e">
            <v>#N/A</v>
          </cell>
        </row>
        <row r="1126">
          <cell r="A1126" t="str">
            <v/>
          </cell>
          <cell r="B1126" t="str">
            <v/>
          </cell>
          <cell r="C1126" t="str">
            <v>Future</v>
          </cell>
          <cell r="D1126" t="e">
            <v>#N/A</v>
          </cell>
          <cell r="E1126">
            <v>-78.512362204723672</v>
          </cell>
          <cell r="F1126">
            <v>122.74748031496424</v>
          </cell>
          <cell r="G1126">
            <v>33.298661417322599</v>
          </cell>
          <cell r="H1126">
            <v>33.298661417322599</v>
          </cell>
          <cell r="I1126" t="e">
            <v>#N/A</v>
          </cell>
          <cell r="J1126" t="e">
            <v>#N/A</v>
          </cell>
          <cell r="K1126">
            <v>90</v>
          </cell>
          <cell r="L1126">
            <v>50</v>
          </cell>
          <cell r="M1126" t="e">
            <v>#N/A</v>
          </cell>
          <cell r="N1126">
            <v>80</v>
          </cell>
          <cell r="O1126" t="e">
            <v>#N/A</v>
          </cell>
          <cell r="P1126" t="str">
            <v/>
          </cell>
          <cell r="Q1126" t="str">
            <v/>
          </cell>
          <cell r="R1126" t="e">
            <v>#N/A</v>
          </cell>
        </row>
        <row r="1127">
          <cell r="A1127" t="str">
            <v/>
          </cell>
          <cell r="B1127" t="str">
            <v/>
          </cell>
          <cell r="C1127" t="str">
            <v>Future</v>
          </cell>
          <cell r="D1127" t="e">
            <v>#N/A</v>
          </cell>
          <cell r="E1127">
            <v>-78.762401574802411</v>
          </cell>
          <cell r="F1127">
            <v>122.85177165354692</v>
          </cell>
          <cell r="G1127">
            <v>33.245472440944646</v>
          </cell>
          <cell r="H1127">
            <v>33.245472440944646</v>
          </cell>
          <cell r="I1127" t="e">
            <v>#N/A</v>
          </cell>
          <cell r="J1127" t="e">
            <v>#N/A</v>
          </cell>
          <cell r="K1127">
            <v>90</v>
          </cell>
          <cell r="L1127">
            <v>50</v>
          </cell>
          <cell r="M1127" t="e">
            <v>#N/A</v>
          </cell>
          <cell r="N1127">
            <v>80</v>
          </cell>
          <cell r="O1127" t="e">
            <v>#N/A</v>
          </cell>
          <cell r="P1127" t="str">
            <v/>
          </cell>
          <cell r="Q1127" t="str">
            <v/>
          </cell>
          <cell r="R1127" t="e">
            <v>#N/A</v>
          </cell>
        </row>
        <row r="1128">
          <cell r="A1128" t="str">
            <v/>
          </cell>
          <cell r="B1128" t="str">
            <v/>
          </cell>
          <cell r="C1128" t="str">
            <v>Future</v>
          </cell>
          <cell r="D1128" t="e">
            <v>#N/A</v>
          </cell>
          <cell r="E1128">
            <v>-79.012440944881149</v>
          </cell>
          <cell r="F1128">
            <v>122.9560629921296</v>
          </cell>
          <cell r="G1128">
            <v>33.192283464566692</v>
          </cell>
          <cell r="H1128">
            <v>33.192283464566692</v>
          </cell>
          <cell r="I1128" t="e">
            <v>#N/A</v>
          </cell>
          <cell r="J1128" t="e">
            <v>#N/A</v>
          </cell>
          <cell r="K1128">
            <v>90</v>
          </cell>
          <cell r="L1128">
            <v>50</v>
          </cell>
          <cell r="M1128" t="e">
            <v>#N/A</v>
          </cell>
          <cell r="N1128">
            <v>80</v>
          </cell>
          <cell r="O1128" t="e">
            <v>#N/A</v>
          </cell>
          <cell r="P1128" t="str">
            <v/>
          </cell>
          <cell r="Q1128" t="str">
            <v/>
          </cell>
          <cell r="R1128" t="e">
            <v>#N/A</v>
          </cell>
        </row>
        <row r="1129">
          <cell r="A1129" t="str">
            <v/>
          </cell>
          <cell r="B1129" t="str">
            <v/>
          </cell>
          <cell r="C1129" t="str">
            <v>Future</v>
          </cell>
          <cell r="D1129" t="e">
            <v>#N/A</v>
          </cell>
          <cell r="E1129">
            <v>-79.262480314959888</v>
          </cell>
          <cell r="F1129">
            <v>123.06035433071229</v>
          </cell>
          <cell r="G1129">
            <v>33.139094488188739</v>
          </cell>
          <cell r="H1129">
            <v>33.139094488188739</v>
          </cell>
          <cell r="I1129" t="e">
            <v>#N/A</v>
          </cell>
          <cell r="J1129" t="e">
            <v>#N/A</v>
          </cell>
          <cell r="K1129">
            <v>90</v>
          </cell>
          <cell r="L1129">
            <v>50</v>
          </cell>
          <cell r="M1129" t="e">
            <v>#N/A</v>
          </cell>
          <cell r="N1129">
            <v>80</v>
          </cell>
          <cell r="O1129" t="e">
            <v>#N/A</v>
          </cell>
          <cell r="P1129" t="str">
            <v/>
          </cell>
          <cell r="Q1129" t="str">
            <v/>
          </cell>
          <cell r="R1129" t="e">
            <v>#N/A</v>
          </cell>
        </row>
        <row r="1130">
          <cell r="A1130" t="str">
            <v/>
          </cell>
          <cell r="B1130" t="str">
            <v/>
          </cell>
          <cell r="C1130" t="str">
            <v>Future</v>
          </cell>
          <cell r="D1130" t="e">
            <v>#N/A</v>
          </cell>
          <cell r="E1130">
            <v>-79.512519685038626</v>
          </cell>
          <cell r="F1130">
            <v>123.16464566929497</v>
          </cell>
          <cell r="G1130">
            <v>33.085905511810786</v>
          </cell>
          <cell r="H1130">
            <v>33.085905511810786</v>
          </cell>
          <cell r="I1130" t="e">
            <v>#N/A</v>
          </cell>
          <cell r="J1130" t="e">
            <v>#N/A</v>
          </cell>
          <cell r="K1130">
            <v>90</v>
          </cell>
          <cell r="L1130">
            <v>50</v>
          </cell>
          <cell r="M1130" t="e">
            <v>#N/A</v>
          </cell>
          <cell r="N1130">
            <v>80</v>
          </cell>
          <cell r="O1130" t="e">
            <v>#N/A</v>
          </cell>
          <cell r="P1130" t="str">
            <v/>
          </cell>
          <cell r="Q1130" t="str">
            <v/>
          </cell>
          <cell r="R1130" t="e">
            <v>#N/A</v>
          </cell>
        </row>
        <row r="1131">
          <cell r="A1131" t="str">
            <v/>
          </cell>
          <cell r="B1131" t="str">
            <v/>
          </cell>
          <cell r="C1131" t="str">
            <v>Future</v>
          </cell>
          <cell r="D1131" t="e">
            <v>#N/A</v>
          </cell>
          <cell r="E1131">
            <v>-79.762559055117364</v>
          </cell>
          <cell r="F1131">
            <v>123.26893700787765</v>
          </cell>
          <cell r="G1131">
            <v>33.032716535432833</v>
          </cell>
          <cell r="H1131">
            <v>33.032716535432833</v>
          </cell>
          <cell r="I1131" t="e">
            <v>#N/A</v>
          </cell>
          <cell r="J1131" t="e">
            <v>#N/A</v>
          </cell>
          <cell r="K1131">
            <v>90</v>
          </cell>
          <cell r="L1131">
            <v>50</v>
          </cell>
          <cell r="M1131" t="e">
            <v>#N/A</v>
          </cell>
          <cell r="N1131">
            <v>80</v>
          </cell>
          <cell r="O1131" t="e">
            <v>#N/A</v>
          </cell>
          <cell r="P1131" t="str">
            <v/>
          </cell>
          <cell r="Q1131" t="str">
            <v/>
          </cell>
          <cell r="R1131" t="e">
            <v>#N/A</v>
          </cell>
        </row>
        <row r="1132">
          <cell r="A1132" t="str">
            <v/>
          </cell>
          <cell r="B1132" t="str">
            <v/>
          </cell>
          <cell r="C1132" t="str">
            <v>Future</v>
          </cell>
          <cell r="D1132" t="e">
            <v>#N/A</v>
          </cell>
          <cell r="E1132">
            <v>-80.012598425196103</v>
          </cell>
          <cell r="F1132">
            <v>123.37322834646034</v>
          </cell>
          <cell r="G1132">
            <v>32.97952755905488</v>
          </cell>
          <cell r="H1132">
            <v>32.97952755905488</v>
          </cell>
          <cell r="I1132" t="e">
            <v>#N/A</v>
          </cell>
          <cell r="J1132" t="e">
            <v>#N/A</v>
          </cell>
          <cell r="K1132">
            <v>90</v>
          </cell>
          <cell r="L1132">
            <v>50</v>
          </cell>
          <cell r="M1132" t="e">
            <v>#N/A</v>
          </cell>
          <cell r="N1132">
            <v>80</v>
          </cell>
          <cell r="O1132" t="e">
            <v>#N/A</v>
          </cell>
          <cell r="P1132" t="str">
            <v/>
          </cell>
          <cell r="Q1132" t="str">
            <v/>
          </cell>
          <cell r="R1132" t="e">
            <v>#N/A</v>
          </cell>
        </row>
        <row r="1133">
          <cell r="A1133" t="str">
            <v/>
          </cell>
          <cell r="B1133" t="str">
            <v/>
          </cell>
          <cell r="C1133" t="str">
            <v>Future</v>
          </cell>
          <cell r="D1133" t="e">
            <v>#N/A</v>
          </cell>
          <cell r="E1133">
            <v>-80.262637795274841</v>
          </cell>
          <cell r="F1133">
            <v>123.47751968504302</v>
          </cell>
          <cell r="G1133">
            <v>32.926338582676927</v>
          </cell>
          <cell r="H1133">
            <v>32.926338582676927</v>
          </cell>
          <cell r="I1133" t="e">
            <v>#N/A</v>
          </cell>
          <cell r="J1133" t="e">
            <v>#N/A</v>
          </cell>
          <cell r="K1133">
            <v>90</v>
          </cell>
          <cell r="L1133">
            <v>50</v>
          </cell>
          <cell r="M1133" t="e">
            <v>#N/A</v>
          </cell>
          <cell r="N1133">
            <v>80</v>
          </cell>
          <cell r="O1133" t="e">
            <v>#N/A</v>
          </cell>
          <cell r="P1133" t="str">
            <v/>
          </cell>
          <cell r="Q1133" t="str">
            <v/>
          </cell>
          <cell r="R1133" t="e">
            <v>#N/A</v>
          </cell>
        </row>
        <row r="1134">
          <cell r="A1134" t="str">
            <v/>
          </cell>
          <cell r="B1134" t="str">
            <v/>
          </cell>
          <cell r="C1134" t="str">
            <v>Future</v>
          </cell>
          <cell r="D1134" t="e">
            <v>#N/A</v>
          </cell>
          <cell r="E1134">
            <v>-80.51267716535358</v>
          </cell>
          <cell r="F1134">
            <v>123.5818110236257</v>
          </cell>
          <cell r="G1134">
            <v>32.873149606298973</v>
          </cell>
          <cell r="H1134">
            <v>32.873149606298973</v>
          </cell>
          <cell r="I1134" t="e">
            <v>#N/A</v>
          </cell>
          <cell r="J1134" t="e">
            <v>#N/A</v>
          </cell>
          <cell r="K1134">
            <v>90</v>
          </cell>
          <cell r="L1134">
            <v>50</v>
          </cell>
          <cell r="M1134" t="e">
            <v>#N/A</v>
          </cell>
          <cell r="N1134">
            <v>80</v>
          </cell>
          <cell r="O1134" t="e">
            <v>#N/A</v>
          </cell>
          <cell r="P1134" t="str">
            <v/>
          </cell>
          <cell r="Q1134" t="str">
            <v/>
          </cell>
          <cell r="R1134" t="e">
            <v>#N/A</v>
          </cell>
        </row>
        <row r="1135">
          <cell r="A1135" t="str">
            <v/>
          </cell>
          <cell r="B1135" t="str">
            <v/>
          </cell>
          <cell r="C1135" t="str">
            <v>Future</v>
          </cell>
          <cell r="D1135" t="e">
            <v>#N/A</v>
          </cell>
          <cell r="E1135">
            <v>-80.762716535432318</v>
          </cell>
          <cell r="F1135">
            <v>123.68610236220839</v>
          </cell>
          <cell r="G1135">
            <v>32.81996062992102</v>
          </cell>
          <cell r="H1135">
            <v>32.81996062992102</v>
          </cell>
          <cell r="I1135" t="e">
            <v>#N/A</v>
          </cell>
          <cell r="J1135" t="e">
            <v>#N/A</v>
          </cell>
          <cell r="K1135">
            <v>90</v>
          </cell>
          <cell r="L1135">
            <v>50</v>
          </cell>
          <cell r="M1135" t="e">
            <v>#N/A</v>
          </cell>
          <cell r="N1135">
            <v>80</v>
          </cell>
          <cell r="O1135" t="e">
            <v>#N/A</v>
          </cell>
          <cell r="P1135" t="str">
            <v/>
          </cell>
          <cell r="Q1135" t="str">
            <v/>
          </cell>
          <cell r="R1135" t="e">
            <v>#N/A</v>
          </cell>
        </row>
        <row r="1136">
          <cell r="A1136" t="str">
            <v/>
          </cell>
          <cell r="B1136" t="str">
            <v/>
          </cell>
          <cell r="C1136" t="str">
            <v>Future</v>
          </cell>
          <cell r="D1136" t="e">
            <v>#N/A</v>
          </cell>
          <cell r="E1136">
            <v>-81.012755905511057</v>
          </cell>
          <cell r="F1136">
            <v>123.79039370079107</v>
          </cell>
          <cell r="G1136">
            <v>32.766771653543067</v>
          </cell>
          <cell r="H1136">
            <v>32.766771653543067</v>
          </cell>
          <cell r="I1136" t="e">
            <v>#N/A</v>
          </cell>
          <cell r="J1136" t="e">
            <v>#N/A</v>
          </cell>
          <cell r="K1136">
            <v>90</v>
          </cell>
          <cell r="L1136">
            <v>50</v>
          </cell>
          <cell r="M1136" t="e">
            <v>#N/A</v>
          </cell>
          <cell r="N1136">
            <v>80</v>
          </cell>
          <cell r="O1136" t="e">
            <v>#N/A</v>
          </cell>
          <cell r="P1136" t="str">
            <v/>
          </cell>
          <cell r="Q1136" t="str">
            <v/>
          </cell>
          <cell r="R1136" t="e">
            <v>#N/A</v>
          </cell>
        </row>
        <row r="1137">
          <cell r="A1137" t="str">
            <v/>
          </cell>
          <cell r="B1137" t="str">
            <v/>
          </cell>
          <cell r="C1137" t="str">
            <v>Future</v>
          </cell>
          <cell r="D1137" t="e">
            <v>#N/A</v>
          </cell>
          <cell r="E1137">
            <v>-81.262795275589795</v>
          </cell>
          <cell r="F1137">
            <v>123.89468503937375</v>
          </cell>
          <cell r="G1137">
            <v>32.713582677165114</v>
          </cell>
          <cell r="H1137">
            <v>32.713582677165114</v>
          </cell>
          <cell r="I1137" t="e">
            <v>#N/A</v>
          </cell>
          <cell r="J1137" t="e">
            <v>#N/A</v>
          </cell>
          <cell r="K1137">
            <v>90</v>
          </cell>
          <cell r="L1137">
            <v>50</v>
          </cell>
          <cell r="M1137" t="e">
            <v>#N/A</v>
          </cell>
          <cell r="N1137">
            <v>80</v>
          </cell>
          <cell r="O1137" t="e">
            <v>#N/A</v>
          </cell>
          <cell r="P1137" t="str">
            <v/>
          </cell>
          <cell r="Q1137" t="str">
            <v/>
          </cell>
          <cell r="R1137" t="e">
            <v>#N/A</v>
          </cell>
        </row>
        <row r="1138">
          <cell r="A1138" t="str">
            <v/>
          </cell>
          <cell r="B1138" t="str">
            <v/>
          </cell>
          <cell r="C1138" t="str">
            <v>Future</v>
          </cell>
          <cell r="D1138" t="e">
            <v>#N/A</v>
          </cell>
          <cell r="E1138">
            <v>-81.512834645668534</v>
          </cell>
          <cell r="F1138">
            <v>123.99897637795644</v>
          </cell>
          <cell r="G1138">
            <v>32.660393700787161</v>
          </cell>
          <cell r="H1138">
            <v>32.660393700787161</v>
          </cell>
          <cell r="I1138" t="e">
            <v>#N/A</v>
          </cell>
          <cell r="J1138" t="e">
            <v>#N/A</v>
          </cell>
          <cell r="K1138">
            <v>90</v>
          </cell>
          <cell r="L1138">
            <v>50</v>
          </cell>
          <cell r="M1138" t="e">
            <v>#N/A</v>
          </cell>
          <cell r="N1138">
            <v>80</v>
          </cell>
          <cell r="O1138" t="e">
            <v>#N/A</v>
          </cell>
          <cell r="P1138" t="str">
            <v/>
          </cell>
          <cell r="Q1138" t="str">
            <v/>
          </cell>
          <cell r="R1138" t="e">
            <v>#N/A</v>
          </cell>
        </row>
        <row r="1139">
          <cell r="A1139" t="str">
            <v/>
          </cell>
          <cell r="B1139" t="str">
            <v/>
          </cell>
          <cell r="C1139" t="str">
            <v>Future</v>
          </cell>
          <cell r="D1139" t="e">
            <v>#N/A</v>
          </cell>
          <cell r="E1139">
            <v>-81.762874015747272</v>
          </cell>
          <cell r="F1139">
            <v>124.10326771653912</v>
          </cell>
          <cell r="G1139">
            <v>32.607204724409208</v>
          </cell>
          <cell r="H1139">
            <v>32.607204724409208</v>
          </cell>
          <cell r="I1139" t="e">
            <v>#N/A</v>
          </cell>
          <cell r="J1139" t="e">
            <v>#N/A</v>
          </cell>
          <cell r="K1139">
            <v>90</v>
          </cell>
          <cell r="L1139">
            <v>50</v>
          </cell>
          <cell r="M1139" t="e">
            <v>#N/A</v>
          </cell>
          <cell r="N1139">
            <v>80</v>
          </cell>
          <cell r="O1139" t="e">
            <v>#N/A</v>
          </cell>
          <cell r="P1139" t="str">
            <v/>
          </cell>
          <cell r="Q1139" t="str">
            <v/>
          </cell>
          <cell r="R1139" t="e">
            <v>#N/A</v>
          </cell>
        </row>
        <row r="1140">
          <cell r="A1140" t="str">
            <v/>
          </cell>
          <cell r="B1140" t="str">
            <v/>
          </cell>
          <cell r="C1140" t="str">
            <v>Future</v>
          </cell>
          <cell r="D1140" t="e">
            <v>#N/A</v>
          </cell>
          <cell r="E1140">
            <v>-82.01291338582601</v>
          </cell>
          <cell r="F1140">
            <v>124.20755905512181</v>
          </cell>
          <cell r="G1140">
            <v>32.554015748031254</v>
          </cell>
          <cell r="H1140">
            <v>32.554015748031254</v>
          </cell>
          <cell r="I1140" t="e">
            <v>#N/A</v>
          </cell>
          <cell r="J1140" t="e">
            <v>#N/A</v>
          </cell>
          <cell r="K1140">
            <v>90</v>
          </cell>
          <cell r="L1140">
            <v>50</v>
          </cell>
          <cell r="M1140" t="e">
            <v>#N/A</v>
          </cell>
          <cell r="N1140">
            <v>80</v>
          </cell>
          <cell r="O1140" t="e">
            <v>#N/A</v>
          </cell>
          <cell r="P1140" t="str">
            <v/>
          </cell>
          <cell r="Q1140" t="str">
            <v/>
          </cell>
          <cell r="R1140" t="e">
            <v>#N/A</v>
          </cell>
        </row>
        <row r="1141">
          <cell r="A1141" t="str">
            <v/>
          </cell>
          <cell r="B1141" t="str">
            <v/>
          </cell>
          <cell r="C1141" t="str">
            <v>Future</v>
          </cell>
          <cell r="D1141" t="e">
            <v>#N/A</v>
          </cell>
          <cell r="E1141">
            <v>-82.262952755904749</v>
          </cell>
          <cell r="F1141">
            <v>124.31185039370449</v>
          </cell>
          <cell r="G1141">
            <v>32.500826771653301</v>
          </cell>
          <cell r="H1141">
            <v>32.500826771653301</v>
          </cell>
          <cell r="I1141" t="e">
            <v>#N/A</v>
          </cell>
          <cell r="J1141" t="e">
            <v>#N/A</v>
          </cell>
          <cell r="K1141">
            <v>90</v>
          </cell>
          <cell r="L1141">
            <v>50</v>
          </cell>
          <cell r="M1141" t="e">
            <v>#N/A</v>
          </cell>
          <cell r="N1141">
            <v>80</v>
          </cell>
          <cell r="O1141" t="e">
            <v>#N/A</v>
          </cell>
          <cell r="P1141" t="str">
            <v/>
          </cell>
          <cell r="Q1141" t="str">
            <v/>
          </cell>
          <cell r="R1141" t="e">
            <v>#N/A</v>
          </cell>
        </row>
        <row r="1142">
          <cell r="A1142" t="str">
            <v/>
          </cell>
          <cell r="B1142" t="str">
            <v/>
          </cell>
          <cell r="C1142" t="str">
            <v>Future</v>
          </cell>
          <cell r="D1142" t="e">
            <v>#N/A</v>
          </cell>
          <cell r="E1142">
            <v>-82.512992125983487</v>
          </cell>
          <cell r="F1142">
            <v>124.41614173228717</v>
          </cell>
          <cell r="G1142">
            <v>32.447637795275348</v>
          </cell>
          <cell r="H1142">
            <v>32.447637795275348</v>
          </cell>
          <cell r="I1142" t="e">
            <v>#N/A</v>
          </cell>
          <cell r="J1142" t="e">
            <v>#N/A</v>
          </cell>
          <cell r="K1142">
            <v>90</v>
          </cell>
          <cell r="L1142">
            <v>50</v>
          </cell>
          <cell r="M1142" t="e">
            <v>#N/A</v>
          </cell>
          <cell r="N1142">
            <v>80</v>
          </cell>
          <cell r="O1142" t="e">
            <v>#N/A</v>
          </cell>
          <cell r="P1142" t="str">
            <v/>
          </cell>
          <cell r="Q1142" t="str">
            <v/>
          </cell>
          <cell r="R1142" t="e">
            <v>#N/A</v>
          </cell>
        </row>
        <row r="1143">
          <cell r="A1143" t="str">
            <v/>
          </cell>
          <cell r="B1143" t="str">
            <v/>
          </cell>
          <cell r="C1143" t="str">
            <v>Future</v>
          </cell>
          <cell r="D1143" t="e">
            <v>#N/A</v>
          </cell>
          <cell r="E1143">
            <v>-82.763031496062226</v>
          </cell>
          <cell r="F1143">
            <v>124.52043307086986</v>
          </cell>
          <cell r="G1143">
            <v>32.394448818897395</v>
          </cell>
          <cell r="H1143">
            <v>32.394448818897395</v>
          </cell>
          <cell r="I1143" t="e">
            <v>#N/A</v>
          </cell>
          <cell r="J1143" t="e">
            <v>#N/A</v>
          </cell>
          <cell r="K1143">
            <v>90</v>
          </cell>
          <cell r="L1143">
            <v>50</v>
          </cell>
          <cell r="M1143" t="e">
            <v>#N/A</v>
          </cell>
          <cell r="N1143">
            <v>80</v>
          </cell>
          <cell r="O1143" t="e">
            <v>#N/A</v>
          </cell>
          <cell r="P1143" t="str">
            <v/>
          </cell>
          <cell r="Q1143" t="str">
            <v/>
          </cell>
          <cell r="R1143" t="e">
            <v>#N/A</v>
          </cell>
        </row>
        <row r="1144">
          <cell r="A1144" t="str">
            <v/>
          </cell>
          <cell r="B1144" t="str">
            <v/>
          </cell>
          <cell r="C1144" t="str">
            <v>Future</v>
          </cell>
          <cell r="D1144" t="e">
            <v>#N/A</v>
          </cell>
          <cell r="E1144">
            <v>-83.013070866140964</v>
          </cell>
          <cell r="F1144">
            <v>124.62472440945254</v>
          </cell>
          <cell r="G1144">
            <v>32.341259842519442</v>
          </cell>
          <cell r="H1144">
            <v>32.341259842519442</v>
          </cell>
          <cell r="I1144" t="e">
            <v>#N/A</v>
          </cell>
          <cell r="J1144" t="e">
            <v>#N/A</v>
          </cell>
          <cell r="K1144">
            <v>90</v>
          </cell>
          <cell r="L1144">
            <v>50</v>
          </cell>
          <cell r="M1144" t="e">
            <v>#N/A</v>
          </cell>
          <cell r="N1144">
            <v>80</v>
          </cell>
          <cell r="O1144" t="e">
            <v>#N/A</v>
          </cell>
          <cell r="P1144" t="str">
            <v/>
          </cell>
          <cell r="Q1144" t="str">
            <v/>
          </cell>
          <cell r="R1144" t="e">
            <v>#N/A</v>
          </cell>
        </row>
        <row r="1145">
          <cell r="A1145" t="str">
            <v/>
          </cell>
          <cell r="B1145" t="str">
            <v/>
          </cell>
          <cell r="C1145" t="str">
            <v>Future</v>
          </cell>
          <cell r="D1145" t="e">
            <v>#N/A</v>
          </cell>
          <cell r="E1145">
            <v>-83.263110236219703</v>
          </cell>
          <cell r="F1145">
            <v>124.72901574803522</v>
          </cell>
          <cell r="G1145">
            <v>32.288070866141489</v>
          </cell>
          <cell r="H1145">
            <v>32.288070866141489</v>
          </cell>
          <cell r="I1145" t="e">
            <v>#N/A</v>
          </cell>
          <cell r="J1145" t="e">
            <v>#N/A</v>
          </cell>
          <cell r="K1145">
            <v>90</v>
          </cell>
          <cell r="L1145">
            <v>50</v>
          </cell>
          <cell r="M1145" t="e">
            <v>#N/A</v>
          </cell>
          <cell r="N1145">
            <v>80</v>
          </cell>
          <cell r="O1145" t="e">
            <v>#N/A</v>
          </cell>
          <cell r="P1145" t="str">
            <v/>
          </cell>
          <cell r="Q1145" t="str">
            <v/>
          </cell>
          <cell r="R1145" t="e">
            <v>#N/A</v>
          </cell>
        </row>
        <row r="1146">
          <cell r="A1146" t="str">
            <v/>
          </cell>
          <cell r="B1146" t="str">
            <v/>
          </cell>
          <cell r="C1146" t="str">
            <v>Future</v>
          </cell>
          <cell r="D1146" t="e">
            <v>#N/A</v>
          </cell>
          <cell r="E1146">
            <v>-83.513149606298441</v>
          </cell>
          <cell r="F1146">
            <v>124.83330708661791</v>
          </cell>
          <cell r="G1146">
            <v>32.234881889763535</v>
          </cell>
          <cell r="H1146">
            <v>32.234881889763535</v>
          </cell>
          <cell r="I1146" t="e">
            <v>#N/A</v>
          </cell>
          <cell r="J1146" t="e">
            <v>#N/A</v>
          </cell>
          <cell r="K1146">
            <v>90</v>
          </cell>
          <cell r="L1146">
            <v>50</v>
          </cell>
          <cell r="M1146" t="e">
            <v>#N/A</v>
          </cell>
          <cell r="N1146">
            <v>80</v>
          </cell>
          <cell r="O1146" t="e">
            <v>#N/A</v>
          </cell>
          <cell r="P1146" t="str">
            <v/>
          </cell>
          <cell r="Q1146" t="str">
            <v/>
          </cell>
          <cell r="R1146" t="e">
            <v>#N/A</v>
          </cell>
        </row>
        <row r="1147">
          <cell r="A1147" t="str">
            <v/>
          </cell>
          <cell r="B1147" t="str">
            <v/>
          </cell>
          <cell r="C1147" t="str">
            <v>Future</v>
          </cell>
          <cell r="D1147" t="e">
            <v>#N/A</v>
          </cell>
          <cell r="E1147">
            <v>-83.76318897637718</v>
          </cell>
          <cell r="F1147">
            <v>124.93759842520059</v>
          </cell>
          <cell r="G1147">
            <v>32.181692913385582</v>
          </cell>
          <cell r="H1147">
            <v>32.181692913385582</v>
          </cell>
          <cell r="I1147" t="e">
            <v>#N/A</v>
          </cell>
          <cell r="J1147" t="e">
            <v>#N/A</v>
          </cell>
          <cell r="K1147">
            <v>90</v>
          </cell>
          <cell r="L1147">
            <v>50</v>
          </cell>
          <cell r="M1147" t="e">
            <v>#N/A</v>
          </cell>
          <cell r="N1147">
            <v>80</v>
          </cell>
          <cell r="O1147" t="e">
            <v>#N/A</v>
          </cell>
          <cell r="P1147" t="str">
            <v/>
          </cell>
          <cell r="Q1147" t="str">
            <v/>
          </cell>
          <cell r="R1147" t="e">
            <v>#N/A</v>
          </cell>
        </row>
        <row r="1148">
          <cell r="A1148" t="str">
            <v/>
          </cell>
          <cell r="B1148" t="str">
            <v/>
          </cell>
          <cell r="C1148" t="str">
            <v>Future</v>
          </cell>
          <cell r="D1148" t="e">
            <v>#N/A</v>
          </cell>
          <cell r="E1148">
            <v>-84.013228346455918</v>
          </cell>
          <cell r="F1148">
            <v>125.04188976378327</v>
          </cell>
          <cell r="G1148">
            <v>32.128503937007629</v>
          </cell>
          <cell r="H1148">
            <v>32.128503937007629</v>
          </cell>
          <cell r="I1148" t="e">
            <v>#N/A</v>
          </cell>
          <cell r="J1148" t="e">
            <v>#N/A</v>
          </cell>
          <cell r="K1148">
            <v>90</v>
          </cell>
          <cell r="L1148">
            <v>50</v>
          </cell>
          <cell r="M1148" t="e">
            <v>#N/A</v>
          </cell>
          <cell r="N1148">
            <v>80</v>
          </cell>
          <cell r="O1148" t="e">
            <v>#N/A</v>
          </cell>
          <cell r="P1148" t="str">
            <v/>
          </cell>
          <cell r="Q1148" t="str">
            <v/>
          </cell>
          <cell r="R1148" t="e">
            <v>#N/A</v>
          </cell>
        </row>
        <row r="1149">
          <cell r="A1149" t="str">
            <v/>
          </cell>
          <cell r="B1149" t="str">
            <v/>
          </cell>
          <cell r="C1149" t="str">
            <v>Future</v>
          </cell>
          <cell r="D1149" t="e">
            <v>#N/A</v>
          </cell>
          <cell r="E1149">
            <v>-84.263267716534656</v>
          </cell>
          <cell r="F1149">
            <v>125.14618110236596</v>
          </cell>
          <cell r="G1149">
            <v>32.075314960629676</v>
          </cell>
          <cell r="H1149">
            <v>32.075314960629676</v>
          </cell>
          <cell r="I1149" t="e">
            <v>#N/A</v>
          </cell>
          <cell r="J1149" t="e">
            <v>#N/A</v>
          </cell>
          <cell r="K1149">
            <v>90</v>
          </cell>
          <cell r="L1149">
            <v>50</v>
          </cell>
          <cell r="M1149" t="e">
            <v>#N/A</v>
          </cell>
          <cell r="N1149">
            <v>80</v>
          </cell>
          <cell r="O1149" t="e">
            <v>#N/A</v>
          </cell>
          <cell r="P1149" t="str">
            <v/>
          </cell>
          <cell r="Q1149" t="str">
            <v/>
          </cell>
          <cell r="R1149" t="e">
            <v>#N/A</v>
          </cell>
        </row>
        <row r="1150">
          <cell r="A1150" t="str">
            <v/>
          </cell>
          <cell r="B1150" t="str">
            <v/>
          </cell>
          <cell r="C1150" t="str">
            <v>Future</v>
          </cell>
          <cell r="D1150" t="e">
            <v>#N/A</v>
          </cell>
          <cell r="E1150">
            <v>-84.513307086613395</v>
          </cell>
          <cell r="F1150">
            <v>125.25047244094864</v>
          </cell>
          <cell r="G1150">
            <v>32.022125984251723</v>
          </cell>
          <cell r="H1150">
            <v>32.022125984251723</v>
          </cell>
          <cell r="I1150" t="e">
            <v>#N/A</v>
          </cell>
          <cell r="J1150" t="e">
            <v>#N/A</v>
          </cell>
          <cell r="K1150">
            <v>90</v>
          </cell>
          <cell r="L1150">
            <v>50</v>
          </cell>
          <cell r="M1150" t="e">
            <v>#N/A</v>
          </cell>
          <cell r="N1150">
            <v>80</v>
          </cell>
          <cell r="O1150" t="e">
            <v>#N/A</v>
          </cell>
          <cell r="P1150" t="str">
            <v/>
          </cell>
          <cell r="Q1150" t="str">
            <v/>
          </cell>
          <cell r="R1150" t="e">
            <v>#N/A</v>
          </cell>
        </row>
        <row r="1151">
          <cell r="A1151" t="str">
            <v/>
          </cell>
          <cell r="B1151" t="str">
            <v/>
          </cell>
          <cell r="C1151" t="str">
            <v>Future</v>
          </cell>
          <cell r="D1151" t="e">
            <v>#N/A</v>
          </cell>
          <cell r="E1151">
            <v>-84.763346456692133</v>
          </cell>
          <cell r="F1151">
            <v>125.35476377953132</v>
          </cell>
          <cell r="G1151">
            <v>31.96893700787377</v>
          </cell>
          <cell r="H1151">
            <v>31.96893700787377</v>
          </cell>
          <cell r="I1151" t="e">
            <v>#N/A</v>
          </cell>
          <cell r="J1151" t="e">
            <v>#N/A</v>
          </cell>
          <cell r="K1151">
            <v>90</v>
          </cell>
          <cell r="L1151">
            <v>50</v>
          </cell>
          <cell r="M1151" t="e">
            <v>#N/A</v>
          </cell>
          <cell r="N1151">
            <v>80</v>
          </cell>
          <cell r="O1151" t="e">
            <v>#N/A</v>
          </cell>
          <cell r="P1151" t="str">
            <v/>
          </cell>
          <cell r="Q1151" t="str">
            <v/>
          </cell>
          <cell r="R1151" t="e">
            <v>#N/A</v>
          </cell>
        </row>
        <row r="1152">
          <cell r="A1152" t="str">
            <v/>
          </cell>
          <cell r="B1152" t="str">
            <v/>
          </cell>
          <cell r="C1152" t="str">
            <v>Future</v>
          </cell>
          <cell r="D1152" t="e">
            <v>#N/A</v>
          </cell>
          <cell r="E1152">
            <v>-85.013385826770872</v>
          </cell>
          <cell r="F1152">
            <v>125.45905511811401</v>
          </cell>
          <cell r="G1152">
            <v>31.915748031495816</v>
          </cell>
          <cell r="H1152">
            <v>31.915748031495816</v>
          </cell>
          <cell r="I1152" t="e">
            <v>#N/A</v>
          </cell>
          <cell r="J1152" t="e">
            <v>#N/A</v>
          </cell>
          <cell r="K1152">
            <v>90</v>
          </cell>
          <cell r="L1152">
            <v>50</v>
          </cell>
          <cell r="M1152" t="e">
            <v>#N/A</v>
          </cell>
          <cell r="N1152">
            <v>80</v>
          </cell>
          <cell r="O1152" t="e">
            <v>#N/A</v>
          </cell>
          <cell r="P1152" t="str">
            <v/>
          </cell>
          <cell r="Q1152" t="str">
            <v/>
          </cell>
          <cell r="R1152" t="e">
            <v>#N/A</v>
          </cell>
        </row>
        <row r="1153">
          <cell r="A1153" t="str">
            <v/>
          </cell>
          <cell r="B1153" t="str">
            <v/>
          </cell>
          <cell r="C1153" t="str">
            <v>Future</v>
          </cell>
          <cell r="D1153" t="e">
            <v>#N/A</v>
          </cell>
          <cell r="E1153">
            <v>-85.26342519684961</v>
          </cell>
          <cell r="F1153">
            <v>125.56334645669669</v>
          </cell>
          <cell r="G1153">
            <v>31.862559055117863</v>
          </cell>
          <cell r="H1153">
            <v>31.862559055117863</v>
          </cell>
          <cell r="I1153" t="e">
            <v>#N/A</v>
          </cell>
          <cell r="J1153" t="e">
            <v>#N/A</v>
          </cell>
          <cell r="K1153">
            <v>90</v>
          </cell>
          <cell r="L1153">
            <v>50</v>
          </cell>
          <cell r="M1153" t="e">
            <v>#N/A</v>
          </cell>
          <cell r="N1153">
            <v>80</v>
          </cell>
          <cell r="O1153" t="e">
            <v>#N/A</v>
          </cell>
          <cell r="P1153" t="str">
            <v/>
          </cell>
          <cell r="Q1153" t="str">
            <v/>
          </cell>
          <cell r="R1153" t="e">
            <v>#N/A</v>
          </cell>
        </row>
        <row r="1154">
          <cell r="A1154" t="str">
            <v/>
          </cell>
          <cell r="B1154" t="str">
            <v/>
          </cell>
          <cell r="C1154" t="str">
            <v>Future</v>
          </cell>
          <cell r="D1154" t="e">
            <v>#N/A</v>
          </cell>
          <cell r="E1154">
            <v>-85.513464566928349</v>
          </cell>
          <cell r="F1154">
            <v>125.66763779527938</v>
          </cell>
          <cell r="G1154">
            <v>31.80937007873991</v>
          </cell>
          <cell r="H1154">
            <v>31.80937007873991</v>
          </cell>
          <cell r="I1154" t="e">
            <v>#N/A</v>
          </cell>
          <cell r="J1154" t="e">
            <v>#N/A</v>
          </cell>
          <cell r="K1154">
            <v>90</v>
          </cell>
          <cell r="L1154">
            <v>50</v>
          </cell>
          <cell r="M1154" t="e">
            <v>#N/A</v>
          </cell>
          <cell r="N1154">
            <v>80</v>
          </cell>
          <cell r="O1154" t="e">
            <v>#N/A</v>
          </cell>
          <cell r="P1154" t="str">
            <v/>
          </cell>
          <cell r="Q1154" t="str">
            <v/>
          </cell>
          <cell r="R1154" t="e">
            <v>#N/A</v>
          </cell>
        </row>
        <row r="1155">
          <cell r="A1155" t="str">
            <v/>
          </cell>
          <cell r="B1155" t="str">
            <v/>
          </cell>
          <cell r="C1155" t="str">
            <v>Future</v>
          </cell>
          <cell r="D1155" t="e">
            <v>#N/A</v>
          </cell>
          <cell r="E1155">
            <v>-85.763503937007087</v>
          </cell>
          <cell r="F1155">
            <v>125.77192913386206</v>
          </cell>
          <cell r="G1155">
            <v>31.756181102361957</v>
          </cell>
          <cell r="H1155">
            <v>31.756181102361957</v>
          </cell>
          <cell r="I1155" t="e">
            <v>#N/A</v>
          </cell>
          <cell r="J1155" t="e">
            <v>#N/A</v>
          </cell>
          <cell r="K1155">
            <v>90</v>
          </cell>
          <cell r="L1155">
            <v>50</v>
          </cell>
          <cell r="M1155" t="e">
            <v>#N/A</v>
          </cell>
          <cell r="N1155">
            <v>80</v>
          </cell>
          <cell r="O1155" t="e">
            <v>#N/A</v>
          </cell>
          <cell r="P1155" t="str">
            <v/>
          </cell>
          <cell r="Q1155" t="str">
            <v/>
          </cell>
          <cell r="R1155" t="e">
            <v>#N/A</v>
          </cell>
        </row>
        <row r="1156">
          <cell r="A1156" t="str">
            <v/>
          </cell>
          <cell r="B1156" t="str">
            <v/>
          </cell>
          <cell r="C1156" t="str">
            <v>Future</v>
          </cell>
          <cell r="D1156" t="e">
            <v>#N/A</v>
          </cell>
          <cell r="E1156">
            <v>-86.013543307085826</v>
          </cell>
          <cell r="F1156">
            <v>125.87622047244474</v>
          </cell>
          <cell r="G1156">
            <v>31.702992125984004</v>
          </cell>
          <cell r="H1156">
            <v>31.702992125984004</v>
          </cell>
          <cell r="I1156" t="e">
            <v>#N/A</v>
          </cell>
          <cell r="J1156" t="e">
            <v>#N/A</v>
          </cell>
          <cell r="K1156">
            <v>90</v>
          </cell>
          <cell r="L1156">
            <v>50</v>
          </cell>
          <cell r="M1156" t="e">
            <v>#N/A</v>
          </cell>
          <cell r="N1156">
            <v>80</v>
          </cell>
          <cell r="O1156" t="e">
            <v>#N/A</v>
          </cell>
          <cell r="P1156" t="str">
            <v/>
          </cell>
          <cell r="Q1156" t="str">
            <v/>
          </cell>
          <cell r="R1156" t="e">
            <v>#N/A</v>
          </cell>
        </row>
        <row r="1157">
          <cell r="A1157" t="str">
            <v/>
          </cell>
          <cell r="B1157" t="str">
            <v/>
          </cell>
          <cell r="C1157" t="str">
            <v>Future</v>
          </cell>
          <cell r="D1157" t="e">
            <v>#N/A</v>
          </cell>
          <cell r="E1157">
            <v>-86.263582677164564</v>
          </cell>
          <cell r="F1157">
            <v>125.98051181102743</v>
          </cell>
          <cell r="G1157">
            <v>31.649803149606051</v>
          </cell>
          <cell r="H1157">
            <v>31.649803149606051</v>
          </cell>
          <cell r="I1157" t="e">
            <v>#N/A</v>
          </cell>
          <cell r="J1157" t="e">
            <v>#N/A</v>
          </cell>
          <cell r="K1157">
            <v>90</v>
          </cell>
          <cell r="L1157">
            <v>50</v>
          </cell>
          <cell r="M1157" t="e">
            <v>#N/A</v>
          </cell>
          <cell r="N1157">
            <v>80</v>
          </cell>
          <cell r="O1157" t="e">
            <v>#N/A</v>
          </cell>
          <cell r="P1157" t="str">
            <v/>
          </cell>
          <cell r="Q1157" t="str">
            <v/>
          </cell>
          <cell r="R1157" t="e">
            <v>#N/A</v>
          </cell>
        </row>
        <row r="1158">
          <cell r="A1158" t="str">
            <v/>
          </cell>
          <cell r="B1158" t="str">
            <v/>
          </cell>
          <cell r="C1158" t="str">
            <v>Future</v>
          </cell>
          <cell r="D1158" t="e">
            <v>#N/A</v>
          </cell>
          <cell r="E1158">
            <v>-86.513622047243302</v>
          </cell>
          <cell r="F1158">
            <v>126.08480314961011</v>
          </cell>
          <cell r="G1158">
            <v>31.596614173228097</v>
          </cell>
          <cell r="H1158">
            <v>31.596614173228097</v>
          </cell>
          <cell r="I1158" t="e">
            <v>#N/A</v>
          </cell>
          <cell r="J1158" t="e">
            <v>#N/A</v>
          </cell>
          <cell r="K1158">
            <v>90</v>
          </cell>
          <cell r="L1158">
            <v>50</v>
          </cell>
          <cell r="M1158" t="e">
            <v>#N/A</v>
          </cell>
          <cell r="N1158">
            <v>80</v>
          </cell>
          <cell r="O1158" t="e">
            <v>#N/A</v>
          </cell>
          <cell r="P1158" t="str">
            <v/>
          </cell>
          <cell r="Q1158" t="str">
            <v/>
          </cell>
          <cell r="R1158" t="e">
            <v>#N/A</v>
          </cell>
        </row>
        <row r="1159">
          <cell r="A1159" t="str">
            <v/>
          </cell>
          <cell r="B1159" t="str">
            <v/>
          </cell>
          <cell r="C1159" t="str">
            <v>Future</v>
          </cell>
          <cell r="D1159" t="e">
            <v>#N/A</v>
          </cell>
          <cell r="E1159">
            <v>-86.763661417322041</v>
          </cell>
          <cell r="F1159">
            <v>126.18909448819279</v>
          </cell>
          <cell r="G1159">
            <v>31.543425196850144</v>
          </cell>
          <cell r="H1159">
            <v>31.543425196850144</v>
          </cell>
          <cell r="I1159" t="e">
            <v>#N/A</v>
          </cell>
          <cell r="J1159" t="e">
            <v>#N/A</v>
          </cell>
          <cell r="K1159">
            <v>90</v>
          </cell>
          <cell r="L1159">
            <v>50</v>
          </cell>
          <cell r="M1159" t="e">
            <v>#N/A</v>
          </cell>
          <cell r="N1159">
            <v>80</v>
          </cell>
          <cell r="O1159" t="e">
            <v>#N/A</v>
          </cell>
          <cell r="P1159" t="str">
            <v/>
          </cell>
          <cell r="Q1159" t="str">
            <v/>
          </cell>
          <cell r="R1159" t="e">
            <v>#N/A</v>
          </cell>
        </row>
        <row r="1160">
          <cell r="A1160" t="str">
            <v/>
          </cell>
          <cell r="B1160" t="str">
            <v/>
          </cell>
          <cell r="C1160" t="str">
            <v>Future</v>
          </cell>
          <cell r="D1160" t="e">
            <v>#N/A</v>
          </cell>
          <cell r="E1160">
            <v>-87.013700787400779</v>
          </cell>
          <cell r="F1160">
            <v>126.29338582677548</v>
          </cell>
          <cell r="G1160">
            <v>31.490236220472191</v>
          </cell>
          <cell r="H1160">
            <v>31.490236220472191</v>
          </cell>
          <cell r="I1160" t="e">
            <v>#N/A</v>
          </cell>
          <cell r="J1160" t="e">
            <v>#N/A</v>
          </cell>
          <cell r="K1160">
            <v>90</v>
          </cell>
          <cell r="L1160">
            <v>50</v>
          </cell>
          <cell r="M1160" t="e">
            <v>#N/A</v>
          </cell>
          <cell r="N1160">
            <v>80</v>
          </cell>
          <cell r="O1160" t="e">
            <v>#N/A</v>
          </cell>
          <cell r="P1160" t="str">
            <v/>
          </cell>
          <cell r="Q1160" t="str">
            <v/>
          </cell>
          <cell r="R1160" t="e">
            <v>#N/A</v>
          </cell>
        </row>
        <row r="1161">
          <cell r="A1161" t="str">
            <v/>
          </cell>
          <cell r="B1161" t="str">
            <v/>
          </cell>
          <cell r="C1161" t="str">
            <v>Future</v>
          </cell>
          <cell r="D1161" t="e">
            <v>#N/A</v>
          </cell>
          <cell r="E1161">
            <v>-87.263740157479518</v>
          </cell>
          <cell r="F1161">
            <v>126.39767716535816</v>
          </cell>
          <cell r="G1161">
            <v>31.437047244094238</v>
          </cell>
          <cell r="H1161">
            <v>31.437047244094238</v>
          </cell>
          <cell r="I1161" t="e">
            <v>#N/A</v>
          </cell>
          <cell r="J1161" t="e">
            <v>#N/A</v>
          </cell>
          <cell r="K1161">
            <v>90</v>
          </cell>
          <cell r="L1161">
            <v>50</v>
          </cell>
          <cell r="M1161" t="e">
            <v>#N/A</v>
          </cell>
          <cell r="N1161">
            <v>80</v>
          </cell>
          <cell r="O1161" t="e">
            <v>#N/A</v>
          </cell>
          <cell r="P1161" t="str">
            <v/>
          </cell>
          <cell r="Q1161" t="str">
            <v/>
          </cell>
          <cell r="R1161" t="e">
            <v>#N/A</v>
          </cell>
        </row>
        <row r="1162">
          <cell r="A1162" t="str">
            <v/>
          </cell>
          <cell r="B1162" t="str">
            <v/>
          </cell>
          <cell r="C1162" t="str">
            <v>Future</v>
          </cell>
          <cell r="D1162" t="e">
            <v>#N/A</v>
          </cell>
          <cell r="E1162">
            <v>-87.513779527558256</v>
          </cell>
          <cell r="F1162">
            <v>126.50196850394084</v>
          </cell>
          <cell r="G1162">
            <v>31.383858267716285</v>
          </cell>
          <cell r="H1162">
            <v>31.383858267716285</v>
          </cell>
          <cell r="I1162" t="e">
            <v>#N/A</v>
          </cell>
          <cell r="J1162" t="e">
            <v>#N/A</v>
          </cell>
          <cell r="K1162">
            <v>90</v>
          </cell>
          <cell r="L1162">
            <v>50</v>
          </cell>
          <cell r="M1162" t="e">
            <v>#N/A</v>
          </cell>
          <cell r="N1162">
            <v>80</v>
          </cell>
          <cell r="O1162" t="e">
            <v>#N/A</v>
          </cell>
          <cell r="P1162" t="str">
            <v/>
          </cell>
          <cell r="Q1162" t="str">
            <v/>
          </cell>
          <cell r="R1162" t="e">
            <v>#N/A</v>
          </cell>
        </row>
        <row r="1163">
          <cell r="A1163" t="str">
            <v/>
          </cell>
          <cell r="B1163" t="str">
            <v/>
          </cell>
          <cell r="C1163" t="str">
            <v>Future</v>
          </cell>
          <cell r="D1163" t="e">
            <v>#N/A</v>
          </cell>
          <cell r="E1163">
            <v>-87.763818897636995</v>
          </cell>
          <cell r="F1163">
            <v>126.60625984252353</v>
          </cell>
          <cell r="G1163">
            <v>31.330669291338332</v>
          </cell>
          <cell r="H1163">
            <v>31.330669291338332</v>
          </cell>
          <cell r="I1163" t="e">
            <v>#N/A</v>
          </cell>
          <cell r="J1163" t="e">
            <v>#N/A</v>
          </cell>
          <cell r="K1163">
            <v>90</v>
          </cell>
          <cell r="L1163">
            <v>50</v>
          </cell>
          <cell r="M1163" t="e">
            <v>#N/A</v>
          </cell>
          <cell r="N1163">
            <v>80</v>
          </cell>
          <cell r="O1163" t="e">
            <v>#N/A</v>
          </cell>
          <cell r="P1163" t="str">
            <v/>
          </cell>
          <cell r="Q1163" t="str">
            <v/>
          </cell>
          <cell r="R1163" t="e">
            <v>#N/A</v>
          </cell>
        </row>
        <row r="1164">
          <cell r="A1164" t="str">
            <v/>
          </cell>
          <cell r="B1164" t="str">
            <v/>
          </cell>
          <cell r="C1164" t="str">
            <v>Future</v>
          </cell>
          <cell r="D1164" t="e">
            <v>#N/A</v>
          </cell>
          <cell r="E1164">
            <v>-88.013858267715733</v>
          </cell>
          <cell r="F1164">
            <v>126.71055118110621</v>
          </cell>
          <cell r="G1164">
            <v>31.277480314960378</v>
          </cell>
          <cell r="H1164">
            <v>31.277480314960378</v>
          </cell>
          <cell r="I1164" t="e">
            <v>#N/A</v>
          </cell>
          <cell r="J1164" t="e">
            <v>#N/A</v>
          </cell>
          <cell r="K1164">
            <v>90</v>
          </cell>
          <cell r="L1164">
            <v>50</v>
          </cell>
          <cell r="M1164" t="e">
            <v>#N/A</v>
          </cell>
          <cell r="N1164">
            <v>80</v>
          </cell>
          <cell r="O1164" t="e">
            <v>#N/A</v>
          </cell>
          <cell r="P1164" t="str">
            <v/>
          </cell>
          <cell r="Q1164" t="str">
            <v/>
          </cell>
          <cell r="R1164" t="e">
            <v>#N/A</v>
          </cell>
        </row>
        <row r="1165">
          <cell r="A1165" t="str">
            <v/>
          </cell>
          <cell r="B1165" t="str">
            <v/>
          </cell>
          <cell r="C1165" t="str">
            <v>Future</v>
          </cell>
          <cell r="D1165" t="e">
            <v>#N/A</v>
          </cell>
          <cell r="E1165">
            <v>-88.263897637794472</v>
          </cell>
          <cell r="F1165">
            <v>126.8148425196889</v>
          </cell>
          <cell r="G1165">
            <v>31.224291338582425</v>
          </cell>
          <cell r="H1165">
            <v>31.224291338582425</v>
          </cell>
          <cell r="I1165" t="e">
            <v>#N/A</v>
          </cell>
          <cell r="J1165" t="e">
            <v>#N/A</v>
          </cell>
          <cell r="K1165">
            <v>90</v>
          </cell>
          <cell r="L1165">
            <v>50</v>
          </cell>
          <cell r="M1165" t="e">
            <v>#N/A</v>
          </cell>
          <cell r="N1165">
            <v>80</v>
          </cell>
          <cell r="O1165" t="e">
            <v>#N/A</v>
          </cell>
          <cell r="P1165" t="str">
            <v/>
          </cell>
          <cell r="Q1165" t="str">
            <v/>
          </cell>
          <cell r="R1165" t="e">
            <v>#N/A</v>
          </cell>
        </row>
        <row r="1166">
          <cell r="A1166" t="str">
            <v/>
          </cell>
          <cell r="B1166" t="str">
            <v/>
          </cell>
          <cell r="C1166" t="str">
            <v>Future</v>
          </cell>
          <cell r="D1166" t="e">
            <v>#N/A</v>
          </cell>
          <cell r="E1166">
            <v>-88.51393700787321</v>
          </cell>
          <cell r="F1166">
            <v>126.91913385827158</v>
          </cell>
          <cell r="G1166">
            <v>31.171102362204472</v>
          </cell>
          <cell r="H1166">
            <v>31.171102362204472</v>
          </cell>
          <cell r="I1166" t="e">
            <v>#N/A</v>
          </cell>
          <cell r="J1166" t="e">
            <v>#N/A</v>
          </cell>
          <cell r="K1166">
            <v>90</v>
          </cell>
          <cell r="L1166">
            <v>50</v>
          </cell>
          <cell r="M1166" t="e">
            <v>#N/A</v>
          </cell>
          <cell r="N1166">
            <v>80</v>
          </cell>
          <cell r="O1166" t="e">
            <v>#N/A</v>
          </cell>
          <cell r="P1166" t="str">
            <v/>
          </cell>
          <cell r="Q1166" t="str">
            <v/>
          </cell>
          <cell r="R1166" t="e">
            <v>#N/A</v>
          </cell>
        </row>
        <row r="1167">
          <cell r="A1167" t="str">
            <v/>
          </cell>
          <cell r="B1167" t="str">
            <v/>
          </cell>
          <cell r="C1167" t="str">
            <v>Future</v>
          </cell>
          <cell r="D1167" t="e">
            <v>#N/A</v>
          </cell>
          <cell r="E1167">
            <v>-88.763976377951948</v>
          </cell>
          <cell r="F1167">
            <v>127.02342519685426</v>
          </cell>
          <cell r="G1167">
            <v>31.117913385826519</v>
          </cell>
          <cell r="H1167">
            <v>31.117913385826519</v>
          </cell>
          <cell r="I1167" t="e">
            <v>#N/A</v>
          </cell>
          <cell r="J1167" t="e">
            <v>#N/A</v>
          </cell>
          <cell r="K1167">
            <v>90</v>
          </cell>
          <cell r="L1167">
            <v>50</v>
          </cell>
          <cell r="M1167" t="e">
            <v>#N/A</v>
          </cell>
          <cell r="N1167">
            <v>80</v>
          </cell>
          <cell r="O1167" t="e">
            <v>#N/A</v>
          </cell>
          <cell r="P1167" t="str">
            <v/>
          </cell>
          <cell r="Q1167" t="str">
            <v/>
          </cell>
          <cell r="R1167" t="e">
            <v>#N/A</v>
          </cell>
        </row>
        <row r="1168">
          <cell r="A1168" t="str">
            <v/>
          </cell>
          <cell r="B1168" t="str">
            <v/>
          </cell>
          <cell r="C1168" t="str">
            <v>Future</v>
          </cell>
          <cell r="D1168" t="e">
            <v>#N/A</v>
          </cell>
          <cell r="E1168">
            <v>-89.014015748030687</v>
          </cell>
          <cell r="F1168">
            <v>127.12771653543695</v>
          </cell>
          <cell r="G1168">
            <v>31.064724409448566</v>
          </cell>
          <cell r="H1168">
            <v>31.064724409448566</v>
          </cell>
          <cell r="I1168" t="e">
            <v>#N/A</v>
          </cell>
          <cell r="J1168" t="e">
            <v>#N/A</v>
          </cell>
          <cell r="K1168">
            <v>90</v>
          </cell>
          <cell r="L1168">
            <v>50</v>
          </cell>
          <cell r="M1168" t="e">
            <v>#N/A</v>
          </cell>
          <cell r="N1168">
            <v>80</v>
          </cell>
          <cell r="O1168" t="e">
            <v>#N/A</v>
          </cell>
          <cell r="P1168" t="str">
            <v/>
          </cell>
          <cell r="Q1168" t="str">
            <v/>
          </cell>
          <cell r="R1168" t="e">
            <v>#N/A</v>
          </cell>
        </row>
        <row r="1169">
          <cell r="A1169" t="str">
            <v/>
          </cell>
          <cell r="B1169" t="str">
            <v/>
          </cell>
          <cell r="C1169" t="str">
            <v>Future</v>
          </cell>
          <cell r="D1169" t="e">
            <v>#N/A</v>
          </cell>
          <cell r="E1169">
            <v>-89.264055118109425</v>
          </cell>
          <cell r="F1169">
            <v>127.23200787401963</v>
          </cell>
          <cell r="G1169">
            <v>31.011535433070613</v>
          </cell>
          <cell r="H1169">
            <v>31.011535433070613</v>
          </cell>
          <cell r="I1169" t="e">
            <v>#N/A</v>
          </cell>
          <cell r="J1169" t="e">
            <v>#N/A</v>
          </cell>
          <cell r="K1169">
            <v>90</v>
          </cell>
          <cell r="L1169">
            <v>50</v>
          </cell>
          <cell r="M1169" t="e">
            <v>#N/A</v>
          </cell>
          <cell r="N1169">
            <v>80</v>
          </cell>
          <cell r="O1169" t="e">
            <v>#N/A</v>
          </cell>
          <cell r="P1169" t="str">
            <v/>
          </cell>
          <cell r="Q1169" t="str">
            <v/>
          </cell>
          <cell r="R1169" t="e">
            <v>#N/A</v>
          </cell>
        </row>
        <row r="1170">
          <cell r="A1170" t="str">
            <v/>
          </cell>
          <cell r="B1170" t="str">
            <v/>
          </cell>
          <cell r="C1170" t="str">
            <v>Future</v>
          </cell>
          <cell r="D1170" t="e">
            <v>#N/A</v>
          </cell>
          <cell r="E1170">
            <v>-89.514094488188164</v>
          </cell>
          <cell r="F1170">
            <v>127.33629921260231</v>
          </cell>
          <cell r="G1170">
            <v>30.958346456692659</v>
          </cell>
          <cell r="H1170">
            <v>30.958346456692659</v>
          </cell>
          <cell r="I1170" t="e">
            <v>#N/A</v>
          </cell>
          <cell r="J1170" t="e">
            <v>#N/A</v>
          </cell>
          <cell r="K1170">
            <v>90</v>
          </cell>
          <cell r="L1170">
            <v>50</v>
          </cell>
          <cell r="M1170" t="e">
            <v>#N/A</v>
          </cell>
          <cell r="N1170">
            <v>80</v>
          </cell>
          <cell r="O1170" t="e">
            <v>#N/A</v>
          </cell>
          <cell r="P1170" t="str">
            <v/>
          </cell>
          <cell r="Q1170" t="str">
            <v/>
          </cell>
          <cell r="R1170" t="e">
            <v>#N/A</v>
          </cell>
        </row>
        <row r="1171">
          <cell r="A1171" t="str">
            <v/>
          </cell>
          <cell r="B1171" t="str">
            <v/>
          </cell>
          <cell r="C1171" t="str">
            <v>Future</v>
          </cell>
          <cell r="D1171" t="e">
            <v>#N/A</v>
          </cell>
          <cell r="E1171">
            <v>-89.764133858266902</v>
          </cell>
          <cell r="F1171">
            <v>127.440590551185</v>
          </cell>
          <cell r="G1171">
            <v>30.905157480314706</v>
          </cell>
          <cell r="H1171">
            <v>30.905157480314706</v>
          </cell>
          <cell r="I1171" t="e">
            <v>#N/A</v>
          </cell>
          <cell r="J1171" t="e">
            <v>#N/A</v>
          </cell>
          <cell r="K1171">
            <v>90</v>
          </cell>
          <cell r="L1171">
            <v>50</v>
          </cell>
          <cell r="M1171" t="e">
            <v>#N/A</v>
          </cell>
          <cell r="N1171">
            <v>80</v>
          </cell>
          <cell r="O1171" t="e">
            <v>#N/A</v>
          </cell>
          <cell r="P1171" t="str">
            <v/>
          </cell>
          <cell r="Q1171" t="str">
            <v/>
          </cell>
          <cell r="R1171" t="e">
            <v>#N/A</v>
          </cell>
        </row>
        <row r="1172">
          <cell r="A1172" t="str">
            <v/>
          </cell>
          <cell r="B1172" t="str">
            <v/>
          </cell>
          <cell r="C1172" t="str">
            <v>Future</v>
          </cell>
          <cell r="D1172" t="e">
            <v>#N/A</v>
          </cell>
          <cell r="E1172">
            <v>-90.014173228345641</v>
          </cell>
          <cell r="F1172">
            <v>127.54488188976768</v>
          </cell>
          <cell r="G1172">
            <v>30.851968503936753</v>
          </cell>
          <cell r="H1172">
            <v>30.851968503936753</v>
          </cell>
          <cell r="I1172" t="e">
            <v>#N/A</v>
          </cell>
          <cell r="J1172" t="e">
            <v>#N/A</v>
          </cell>
          <cell r="K1172">
            <v>90</v>
          </cell>
          <cell r="L1172">
            <v>50</v>
          </cell>
          <cell r="M1172" t="e">
            <v>#N/A</v>
          </cell>
          <cell r="N1172">
            <v>80</v>
          </cell>
          <cell r="O1172" t="e">
            <v>#N/A</v>
          </cell>
          <cell r="P1172" t="str">
            <v/>
          </cell>
          <cell r="Q1172" t="str">
            <v/>
          </cell>
          <cell r="R1172" t="e">
            <v>#N/A</v>
          </cell>
        </row>
        <row r="1173">
          <cell r="A1173" t="str">
            <v/>
          </cell>
          <cell r="B1173" t="str">
            <v/>
          </cell>
          <cell r="C1173" t="str">
            <v>Future</v>
          </cell>
          <cell r="D1173" t="e">
            <v>#N/A</v>
          </cell>
          <cell r="E1173">
            <v>-90.264212598424379</v>
          </cell>
          <cell r="F1173">
            <v>127.64917322835036</v>
          </cell>
          <cell r="G1173">
            <v>30.7987795275588</v>
          </cell>
          <cell r="H1173">
            <v>30.7987795275588</v>
          </cell>
          <cell r="I1173" t="e">
            <v>#N/A</v>
          </cell>
          <cell r="J1173" t="e">
            <v>#N/A</v>
          </cell>
          <cell r="K1173">
            <v>90</v>
          </cell>
          <cell r="L1173">
            <v>50</v>
          </cell>
          <cell r="M1173" t="e">
            <v>#N/A</v>
          </cell>
          <cell r="N1173">
            <v>80</v>
          </cell>
          <cell r="O1173" t="e">
            <v>#N/A</v>
          </cell>
          <cell r="P1173" t="str">
            <v/>
          </cell>
          <cell r="Q1173" t="str">
            <v/>
          </cell>
          <cell r="R1173" t="e">
            <v>#N/A</v>
          </cell>
        </row>
        <row r="1174">
          <cell r="A1174" t="str">
            <v/>
          </cell>
          <cell r="B1174" t="str">
            <v/>
          </cell>
          <cell r="C1174" t="str">
            <v>Future</v>
          </cell>
          <cell r="D1174" t="e">
            <v>#N/A</v>
          </cell>
          <cell r="E1174">
            <v>-90.514251968503117</v>
          </cell>
          <cell r="F1174">
            <v>127.75346456693305</v>
          </cell>
          <cell r="G1174">
            <v>30.745590551180847</v>
          </cell>
          <cell r="H1174">
            <v>30.745590551180847</v>
          </cell>
          <cell r="I1174" t="e">
            <v>#N/A</v>
          </cell>
          <cell r="J1174" t="e">
            <v>#N/A</v>
          </cell>
          <cell r="K1174">
            <v>90</v>
          </cell>
          <cell r="L1174">
            <v>50</v>
          </cell>
          <cell r="M1174" t="e">
            <v>#N/A</v>
          </cell>
          <cell r="N1174">
            <v>80</v>
          </cell>
          <cell r="O1174" t="e">
            <v>#N/A</v>
          </cell>
          <cell r="P1174" t="str">
            <v/>
          </cell>
          <cell r="Q1174" t="str">
            <v/>
          </cell>
          <cell r="R1174" t="e">
            <v>#N/A</v>
          </cell>
        </row>
        <row r="1175">
          <cell r="A1175" t="str">
            <v/>
          </cell>
          <cell r="B1175" t="str">
            <v/>
          </cell>
          <cell r="C1175" t="str">
            <v>Future</v>
          </cell>
          <cell r="D1175" t="e">
            <v>#N/A</v>
          </cell>
          <cell r="E1175">
            <v>-90.764291338581856</v>
          </cell>
          <cell r="F1175">
            <v>127.85775590551573</v>
          </cell>
          <cell r="G1175">
            <v>30.692401574802894</v>
          </cell>
          <cell r="H1175">
            <v>30.692401574802894</v>
          </cell>
          <cell r="I1175" t="e">
            <v>#N/A</v>
          </cell>
          <cell r="J1175" t="e">
            <v>#N/A</v>
          </cell>
          <cell r="K1175">
            <v>90</v>
          </cell>
          <cell r="L1175">
            <v>50</v>
          </cell>
          <cell r="M1175" t="e">
            <v>#N/A</v>
          </cell>
          <cell r="N1175">
            <v>80</v>
          </cell>
          <cell r="O1175" t="e">
            <v>#N/A</v>
          </cell>
          <cell r="P1175" t="str">
            <v/>
          </cell>
          <cell r="Q1175" t="str">
            <v/>
          </cell>
          <cell r="R1175" t="e">
            <v>#N/A</v>
          </cell>
        </row>
        <row r="1176">
          <cell r="A1176" t="str">
            <v/>
          </cell>
          <cell r="B1176" t="str">
            <v/>
          </cell>
          <cell r="C1176" t="str">
            <v>Future</v>
          </cell>
          <cell r="D1176" t="e">
            <v>#N/A</v>
          </cell>
          <cell r="E1176">
            <v>-91.014330708660594</v>
          </cell>
          <cell r="F1176">
            <v>127.96204724409841</v>
          </cell>
          <cell r="G1176">
            <v>30.63921259842494</v>
          </cell>
          <cell r="H1176">
            <v>30.63921259842494</v>
          </cell>
          <cell r="I1176" t="e">
            <v>#N/A</v>
          </cell>
          <cell r="J1176" t="e">
            <v>#N/A</v>
          </cell>
          <cell r="K1176">
            <v>90</v>
          </cell>
          <cell r="L1176">
            <v>50</v>
          </cell>
          <cell r="M1176" t="e">
            <v>#N/A</v>
          </cell>
          <cell r="N1176">
            <v>80</v>
          </cell>
          <cell r="O1176" t="e">
            <v>#N/A</v>
          </cell>
          <cell r="P1176" t="str">
            <v/>
          </cell>
          <cell r="Q1176" t="str">
            <v/>
          </cell>
          <cell r="R1176" t="e">
            <v>#N/A</v>
          </cell>
        </row>
        <row r="1177">
          <cell r="A1177" t="str">
            <v/>
          </cell>
          <cell r="B1177" t="str">
            <v/>
          </cell>
          <cell r="C1177" t="str">
            <v>Future</v>
          </cell>
          <cell r="D1177" t="e">
            <v>#N/A</v>
          </cell>
          <cell r="E1177">
            <v>-91.264370078739333</v>
          </cell>
          <cell r="F1177">
            <v>128.06633858268108</v>
          </cell>
          <cell r="G1177">
            <v>30.586023622046987</v>
          </cell>
          <cell r="H1177">
            <v>30.586023622046987</v>
          </cell>
          <cell r="I1177" t="e">
            <v>#N/A</v>
          </cell>
          <cell r="J1177" t="e">
            <v>#N/A</v>
          </cell>
          <cell r="K1177">
            <v>90</v>
          </cell>
          <cell r="L1177">
            <v>50</v>
          </cell>
          <cell r="M1177" t="e">
            <v>#N/A</v>
          </cell>
          <cell r="N1177">
            <v>80</v>
          </cell>
          <cell r="O1177" t="e">
            <v>#N/A</v>
          </cell>
          <cell r="P1177" t="str">
            <v/>
          </cell>
          <cell r="Q1177" t="str">
            <v/>
          </cell>
          <cell r="R1177" t="e">
            <v>#N/A</v>
          </cell>
        </row>
        <row r="1178">
          <cell r="A1178" t="str">
            <v/>
          </cell>
          <cell r="B1178" t="str">
            <v/>
          </cell>
          <cell r="C1178" t="str">
            <v>Future</v>
          </cell>
          <cell r="D1178" t="e">
            <v>#N/A</v>
          </cell>
          <cell r="E1178">
            <v>-91.514409448818071</v>
          </cell>
          <cell r="F1178">
            <v>128.17062992126375</v>
          </cell>
          <cell r="G1178">
            <v>30.532834645669034</v>
          </cell>
          <cell r="H1178">
            <v>30.532834645669034</v>
          </cell>
          <cell r="I1178" t="e">
            <v>#N/A</v>
          </cell>
          <cell r="J1178" t="e">
            <v>#N/A</v>
          </cell>
          <cell r="K1178">
            <v>90</v>
          </cell>
          <cell r="L1178">
            <v>50</v>
          </cell>
          <cell r="M1178" t="e">
            <v>#N/A</v>
          </cell>
          <cell r="N1178">
            <v>80</v>
          </cell>
          <cell r="O1178" t="e">
            <v>#N/A</v>
          </cell>
          <cell r="P1178" t="str">
            <v/>
          </cell>
          <cell r="Q1178" t="str">
            <v/>
          </cell>
          <cell r="R1178" t="e">
            <v>#N/A</v>
          </cell>
        </row>
        <row r="1179">
          <cell r="A1179" t="str">
            <v/>
          </cell>
          <cell r="B1179" t="str">
            <v/>
          </cell>
          <cell r="C1179" t="str">
            <v>Future</v>
          </cell>
          <cell r="D1179" t="e">
            <v>#N/A</v>
          </cell>
          <cell r="E1179">
            <v>-91.76444881889681</v>
          </cell>
          <cell r="F1179">
            <v>128.27492125984642</v>
          </cell>
          <cell r="G1179">
            <v>30.479645669291081</v>
          </cell>
          <cell r="H1179">
            <v>30.479645669291081</v>
          </cell>
          <cell r="I1179" t="e">
            <v>#N/A</v>
          </cell>
          <cell r="J1179" t="e">
            <v>#N/A</v>
          </cell>
          <cell r="K1179">
            <v>90</v>
          </cell>
          <cell r="L1179">
            <v>50</v>
          </cell>
          <cell r="M1179" t="e">
            <v>#N/A</v>
          </cell>
          <cell r="N1179">
            <v>80</v>
          </cell>
          <cell r="O1179" t="e">
            <v>#N/A</v>
          </cell>
          <cell r="P1179" t="str">
            <v/>
          </cell>
          <cell r="Q1179" t="str">
            <v/>
          </cell>
          <cell r="R1179" t="e">
            <v>#N/A</v>
          </cell>
        </row>
        <row r="1180">
          <cell r="A1180" t="str">
            <v/>
          </cell>
          <cell r="B1180" t="str">
            <v/>
          </cell>
          <cell r="C1180" t="str">
            <v>Future</v>
          </cell>
          <cell r="D1180" t="e">
            <v>#N/A</v>
          </cell>
          <cell r="E1180">
            <v>-92.014488188975548</v>
          </cell>
          <cell r="F1180">
            <v>128.37921259842909</v>
          </cell>
          <cell r="G1180">
            <v>30.426456692913128</v>
          </cell>
          <cell r="H1180">
            <v>30.426456692913128</v>
          </cell>
          <cell r="I1180" t="e">
            <v>#N/A</v>
          </cell>
          <cell r="J1180" t="e">
            <v>#N/A</v>
          </cell>
          <cell r="K1180">
            <v>90</v>
          </cell>
          <cell r="L1180">
            <v>50</v>
          </cell>
          <cell r="M1180" t="e">
            <v>#N/A</v>
          </cell>
          <cell r="N1180">
            <v>80</v>
          </cell>
          <cell r="O1180" t="e">
            <v>#N/A</v>
          </cell>
          <cell r="P1180" t="str">
            <v/>
          </cell>
          <cell r="Q1180" t="str">
            <v/>
          </cell>
          <cell r="R1180" t="e">
            <v>#N/A</v>
          </cell>
        </row>
        <row r="1181">
          <cell r="A1181" t="str">
            <v/>
          </cell>
          <cell r="B1181" t="str">
            <v/>
          </cell>
          <cell r="C1181" t="str">
            <v>Future</v>
          </cell>
          <cell r="D1181" t="e">
            <v>#N/A</v>
          </cell>
          <cell r="E1181">
            <v>-92.264527559054287</v>
          </cell>
          <cell r="F1181">
            <v>128.48350393701176</v>
          </cell>
          <cell r="G1181">
            <v>30.373267716535175</v>
          </cell>
          <cell r="H1181">
            <v>30.373267716535175</v>
          </cell>
          <cell r="I1181" t="e">
            <v>#N/A</v>
          </cell>
          <cell r="J1181" t="e">
            <v>#N/A</v>
          </cell>
          <cell r="K1181">
            <v>90</v>
          </cell>
          <cell r="L1181">
            <v>50</v>
          </cell>
          <cell r="M1181" t="e">
            <v>#N/A</v>
          </cell>
          <cell r="N1181">
            <v>80</v>
          </cell>
          <cell r="O1181" t="e">
            <v>#N/A</v>
          </cell>
          <cell r="P1181" t="str">
            <v/>
          </cell>
          <cell r="Q1181" t="str">
            <v/>
          </cell>
          <cell r="R1181" t="e">
            <v>#N/A</v>
          </cell>
        </row>
        <row r="1182">
          <cell r="A1182" t="str">
            <v/>
          </cell>
          <cell r="B1182" t="str">
            <v/>
          </cell>
          <cell r="C1182" t="str">
            <v>Future</v>
          </cell>
          <cell r="D1182" t="e">
            <v>#N/A</v>
          </cell>
          <cell r="E1182">
            <v>-92.514566929133025</v>
          </cell>
          <cell r="F1182">
            <v>128.58779527559443</v>
          </cell>
          <cell r="G1182">
            <v>30.320078740157221</v>
          </cell>
          <cell r="H1182">
            <v>30.320078740157221</v>
          </cell>
          <cell r="I1182" t="e">
            <v>#N/A</v>
          </cell>
          <cell r="J1182" t="e">
            <v>#N/A</v>
          </cell>
          <cell r="K1182">
            <v>90</v>
          </cell>
          <cell r="L1182">
            <v>50</v>
          </cell>
          <cell r="M1182" t="e">
            <v>#N/A</v>
          </cell>
          <cell r="N1182">
            <v>80</v>
          </cell>
          <cell r="O1182" t="e">
            <v>#N/A</v>
          </cell>
          <cell r="P1182" t="str">
            <v/>
          </cell>
          <cell r="Q1182" t="str">
            <v/>
          </cell>
          <cell r="R1182" t="e">
            <v>#N/A</v>
          </cell>
        </row>
        <row r="1183">
          <cell r="A1183" t="str">
            <v/>
          </cell>
          <cell r="B1183" t="str">
            <v/>
          </cell>
          <cell r="C1183" t="str">
            <v>Future</v>
          </cell>
          <cell r="D1183" t="e">
            <v>#N/A</v>
          </cell>
          <cell r="E1183">
            <v>-92.764606299211763</v>
          </cell>
          <cell r="F1183">
            <v>128.6920866141771</v>
          </cell>
          <cell r="G1183">
            <v>30.266889763779268</v>
          </cell>
          <cell r="H1183">
            <v>30.266889763779268</v>
          </cell>
          <cell r="I1183" t="e">
            <v>#N/A</v>
          </cell>
          <cell r="J1183" t="e">
            <v>#N/A</v>
          </cell>
          <cell r="K1183">
            <v>90</v>
          </cell>
          <cell r="L1183">
            <v>50</v>
          </cell>
          <cell r="M1183" t="e">
            <v>#N/A</v>
          </cell>
          <cell r="N1183">
            <v>80</v>
          </cell>
          <cell r="O1183" t="e">
            <v>#N/A</v>
          </cell>
          <cell r="P1183" t="str">
            <v/>
          </cell>
          <cell r="Q1183" t="str">
            <v/>
          </cell>
          <cell r="R1183" t="e">
            <v>#N/A</v>
          </cell>
        </row>
        <row r="1184">
          <cell r="A1184" t="str">
            <v/>
          </cell>
          <cell r="B1184" t="str">
            <v/>
          </cell>
          <cell r="C1184" t="str">
            <v>Future</v>
          </cell>
          <cell r="D1184" t="e">
            <v>#N/A</v>
          </cell>
          <cell r="E1184">
            <v>-93.014645669290502</v>
          </cell>
          <cell r="F1184">
            <v>128.79637795275977</v>
          </cell>
          <cell r="G1184">
            <v>30.213700787401315</v>
          </cell>
          <cell r="H1184">
            <v>30.213700787401315</v>
          </cell>
          <cell r="I1184" t="e">
            <v>#N/A</v>
          </cell>
          <cell r="J1184" t="e">
            <v>#N/A</v>
          </cell>
          <cell r="K1184">
            <v>90</v>
          </cell>
          <cell r="L1184">
            <v>50</v>
          </cell>
          <cell r="M1184" t="e">
            <v>#N/A</v>
          </cell>
          <cell r="N1184">
            <v>80</v>
          </cell>
          <cell r="O1184" t="e">
            <v>#N/A</v>
          </cell>
          <cell r="P1184" t="str">
            <v/>
          </cell>
          <cell r="Q1184" t="str">
            <v/>
          </cell>
          <cell r="R1184" t="e">
            <v>#N/A</v>
          </cell>
        </row>
        <row r="1185">
          <cell r="A1185" t="str">
            <v/>
          </cell>
          <cell r="B1185" t="str">
            <v/>
          </cell>
          <cell r="C1185" t="str">
            <v>Future</v>
          </cell>
          <cell r="D1185" t="e">
            <v>#N/A</v>
          </cell>
          <cell r="E1185">
            <v>-93.26468503936924</v>
          </cell>
          <cell r="F1185">
            <v>128.90066929134244</v>
          </cell>
          <cell r="G1185">
            <v>30.160511811023362</v>
          </cell>
          <cell r="H1185">
            <v>30.160511811023362</v>
          </cell>
          <cell r="I1185" t="e">
            <v>#N/A</v>
          </cell>
          <cell r="J1185" t="e">
            <v>#N/A</v>
          </cell>
          <cell r="K1185">
            <v>90</v>
          </cell>
          <cell r="L1185">
            <v>50</v>
          </cell>
          <cell r="M1185" t="e">
            <v>#N/A</v>
          </cell>
          <cell r="N1185">
            <v>80</v>
          </cell>
          <cell r="O1185" t="e">
            <v>#N/A</v>
          </cell>
          <cell r="P1185" t="str">
            <v/>
          </cell>
          <cell r="Q1185" t="str">
            <v/>
          </cell>
          <cell r="R1185" t="e">
            <v>#N/A</v>
          </cell>
        </row>
        <row r="1186">
          <cell r="A1186" t="str">
            <v/>
          </cell>
          <cell r="B1186" t="str">
            <v/>
          </cell>
          <cell r="C1186" t="str">
            <v>Future</v>
          </cell>
          <cell r="D1186" t="e">
            <v>#N/A</v>
          </cell>
          <cell r="E1186">
            <v>-93.514724409447979</v>
          </cell>
          <cell r="F1186">
            <v>129.00496062992511</v>
          </cell>
          <cell r="G1186">
            <v>30.107322834645409</v>
          </cell>
          <cell r="H1186">
            <v>30.107322834645409</v>
          </cell>
          <cell r="I1186" t="e">
            <v>#N/A</v>
          </cell>
          <cell r="J1186" t="e">
            <v>#N/A</v>
          </cell>
          <cell r="K1186">
            <v>90</v>
          </cell>
          <cell r="L1186">
            <v>50</v>
          </cell>
          <cell r="M1186" t="e">
            <v>#N/A</v>
          </cell>
          <cell r="N1186">
            <v>80</v>
          </cell>
          <cell r="O1186" t="e">
            <v>#N/A</v>
          </cell>
          <cell r="P1186" t="str">
            <v/>
          </cell>
          <cell r="Q1186" t="str">
            <v/>
          </cell>
          <cell r="R1186" t="e">
            <v>#N/A</v>
          </cell>
        </row>
        <row r="1187">
          <cell r="A1187" t="str">
            <v/>
          </cell>
          <cell r="B1187" t="str">
            <v/>
          </cell>
          <cell r="C1187" t="str">
            <v>Future</v>
          </cell>
          <cell r="D1187" t="e">
            <v>#N/A</v>
          </cell>
          <cell r="E1187">
            <v>-93.764763779526717</v>
          </cell>
          <cell r="F1187">
            <v>129.10925196850778</v>
          </cell>
          <cell r="G1187">
            <v>30.054133858267456</v>
          </cell>
          <cell r="H1187">
            <v>30.054133858267456</v>
          </cell>
          <cell r="I1187" t="e">
            <v>#N/A</v>
          </cell>
          <cell r="J1187" t="e">
            <v>#N/A</v>
          </cell>
          <cell r="K1187">
            <v>90</v>
          </cell>
          <cell r="L1187">
            <v>50</v>
          </cell>
          <cell r="M1187" t="e">
            <v>#N/A</v>
          </cell>
          <cell r="N1187">
            <v>80</v>
          </cell>
          <cell r="O1187" t="e">
            <v>#N/A</v>
          </cell>
          <cell r="P1187" t="str">
            <v/>
          </cell>
          <cell r="Q1187" t="str">
            <v/>
          </cell>
          <cell r="R1187" t="e">
            <v>#N/A</v>
          </cell>
        </row>
        <row r="1188">
          <cell r="A1188" t="str">
            <v/>
          </cell>
          <cell r="B1188" t="str">
            <v/>
          </cell>
          <cell r="C1188" t="str">
            <v>Future</v>
          </cell>
          <cell r="D1188" t="e">
            <v>#N/A</v>
          </cell>
          <cell r="E1188">
            <v>-94.014803149605456</v>
          </cell>
          <cell r="F1188">
            <v>129.21354330709045</v>
          </cell>
          <cell r="G1188">
            <v>30.000944881889502</v>
          </cell>
          <cell r="H1188">
            <v>30.000944881889502</v>
          </cell>
          <cell r="I1188" t="e">
            <v>#N/A</v>
          </cell>
          <cell r="J1188" t="e">
            <v>#N/A</v>
          </cell>
          <cell r="K1188">
            <v>90</v>
          </cell>
          <cell r="L1188">
            <v>50</v>
          </cell>
          <cell r="M1188" t="e">
            <v>#N/A</v>
          </cell>
          <cell r="N1188">
            <v>80</v>
          </cell>
          <cell r="O1188" t="e">
            <v>#N/A</v>
          </cell>
          <cell r="P1188" t="str">
            <v/>
          </cell>
          <cell r="Q1188" t="str">
            <v/>
          </cell>
          <cell r="R1188" t="e">
            <v>#N/A</v>
          </cell>
        </row>
        <row r="1189">
          <cell r="A1189" t="str">
            <v/>
          </cell>
          <cell r="B1189" t="str">
            <v/>
          </cell>
          <cell r="C1189" t="str">
            <v>Future</v>
          </cell>
          <cell r="D1189" t="e">
            <v>#N/A</v>
          </cell>
          <cell r="E1189">
            <v>-94.264842519684194</v>
          </cell>
          <cell r="F1189">
            <v>129.31783464567312</v>
          </cell>
          <cell r="G1189">
            <v>29.947755905511549</v>
          </cell>
          <cell r="H1189">
            <v>29.947755905511549</v>
          </cell>
          <cell r="I1189" t="e">
            <v>#N/A</v>
          </cell>
          <cell r="J1189" t="e">
            <v>#N/A</v>
          </cell>
          <cell r="K1189">
            <v>90</v>
          </cell>
          <cell r="L1189">
            <v>50</v>
          </cell>
          <cell r="M1189" t="e">
            <v>#N/A</v>
          </cell>
          <cell r="N1189">
            <v>80</v>
          </cell>
          <cell r="O1189" t="e">
            <v>#N/A</v>
          </cell>
          <cell r="P1189" t="str">
            <v/>
          </cell>
          <cell r="Q1189" t="str">
            <v/>
          </cell>
          <cell r="R1189" t="e">
            <v>#N/A</v>
          </cell>
        </row>
        <row r="1190">
          <cell r="A1190" t="str">
            <v/>
          </cell>
          <cell r="B1190" t="str">
            <v/>
          </cell>
          <cell r="C1190" t="str">
            <v>Future</v>
          </cell>
          <cell r="D1190" t="e">
            <v>#N/A</v>
          </cell>
          <cell r="E1190">
            <v>-94.514881889762933</v>
          </cell>
          <cell r="F1190">
            <v>129.42212598425579</v>
          </cell>
          <cell r="G1190">
            <v>29.894566929133596</v>
          </cell>
          <cell r="H1190">
            <v>29.894566929133596</v>
          </cell>
          <cell r="I1190" t="e">
            <v>#N/A</v>
          </cell>
          <cell r="J1190" t="e">
            <v>#N/A</v>
          </cell>
          <cell r="K1190">
            <v>90</v>
          </cell>
          <cell r="L1190">
            <v>50</v>
          </cell>
          <cell r="M1190" t="e">
            <v>#N/A</v>
          </cell>
          <cell r="N1190">
            <v>80</v>
          </cell>
          <cell r="O1190" t="e">
            <v>#N/A</v>
          </cell>
          <cell r="P1190" t="str">
            <v/>
          </cell>
          <cell r="Q1190" t="str">
            <v/>
          </cell>
          <cell r="R1190" t="e">
            <v>#N/A</v>
          </cell>
        </row>
        <row r="1191">
          <cell r="A1191" t="str">
            <v/>
          </cell>
          <cell r="B1191" t="str">
            <v/>
          </cell>
          <cell r="C1191" t="str">
            <v>Future</v>
          </cell>
          <cell r="D1191" t="e">
            <v>#N/A</v>
          </cell>
          <cell r="E1191">
            <v>-94.764921259841671</v>
          </cell>
          <cell r="F1191">
            <v>129.52641732283845</v>
          </cell>
          <cell r="G1191">
            <v>29.841377952755643</v>
          </cell>
          <cell r="H1191">
            <v>29.841377952755643</v>
          </cell>
          <cell r="I1191" t="e">
            <v>#N/A</v>
          </cell>
          <cell r="J1191" t="e">
            <v>#N/A</v>
          </cell>
          <cell r="K1191">
            <v>90</v>
          </cell>
          <cell r="L1191">
            <v>50</v>
          </cell>
          <cell r="M1191" t="e">
            <v>#N/A</v>
          </cell>
          <cell r="N1191">
            <v>80</v>
          </cell>
          <cell r="O1191" t="e">
            <v>#N/A</v>
          </cell>
          <cell r="P1191" t="str">
            <v/>
          </cell>
          <cell r="Q1191" t="str">
            <v/>
          </cell>
          <cell r="R1191" t="e">
            <v>#N/A</v>
          </cell>
        </row>
        <row r="1192">
          <cell r="A1192" t="str">
            <v/>
          </cell>
          <cell r="B1192" t="str">
            <v/>
          </cell>
          <cell r="C1192" t="str">
            <v>Future</v>
          </cell>
          <cell r="D1192" t="e">
            <v>#N/A</v>
          </cell>
          <cell r="E1192">
            <v>-95.014960629920409</v>
          </cell>
          <cell r="F1192">
            <v>129.63070866142112</v>
          </cell>
          <cell r="G1192">
            <v>29.78818897637769</v>
          </cell>
          <cell r="H1192">
            <v>29.78818897637769</v>
          </cell>
          <cell r="I1192" t="e">
            <v>#N/A</v>
          </cell>
          <cell r="J1192" t="e">
            <v>#N/A</v>
          </cell>
          <cell r="K1192">
            <v>90</v>
          </cell>
          <cell r="L1192">
            <v>50</v>
          </cell>
          <cell r="M1192" t="e">
            <v>#N/A</v>
          </cell>
          <cell r="N1192">
            <v>80</v>
          </cell>
          <cell r="O1192" t="e">
            <v>#N/A</v>
          </cell>
          <cell r="P1192" t="str">
            <v/>
          </cell>
          <cell r="Q1192" t="str">
            <v/>
          </cell>
          <cell r="R1192" t="e">
            <v>#N/A</v>
          </cell>
        </row>
        <row r="1193">
          <cell r="A1193" t="str">
            <v/>
          </cell>
          <cell r="B1193" t="str">
            <v/>
          </cell>
          <cell r="C1193" t="str">
            <v>Future</v>
          </cell>
          <cell r="D1193" t="e">
            <v>#N/A</v>
          </cell>
          <cell r="E1193">
            <v>-95.264999999999148</v>
          </cell>
          <cell r="F1193">
            <v>129.73500000000379</v>
          </cell>
          <cell r="G1193">
            <v>29.734999999999737</v>
          </cell>
          <cell r="H1193">
            <v>29.734999999999737</v>
          </cell>
          <cell r="I1193" t="e">
            <v>#N/A</v>
          </cell>
          <cell r="J1193" t="e">
            <v>#N/A</v>
          </cell>
          <cell r="K1193">
            <v>90</v>
          </cell>
          <cell r="L1193">
            <v>50</v>
          </cell>
          <cell r="M1193" t="e">
            <v>#N/A</v>
          </cell>
          <cell r="N1193">
            <v>80</v>
          </cell>
          <cell r="O1193" t="e">
            <v>#N/A</v>
          </cell>
          <cell r="P1193" t="str">
            <v/>
          </cell>
          <cell r="Q1193" t="str">
            <v/>
          </cell>
          <cell r="R1193" t="e">
            <v>#N/A</v>
          </cell>
        </row>
        <row r="1194">
          <cell r="A1194" t="str">
            <v/>
          </cell>
          <cell r="B1194" t="str">
            <v/>
          </cell>
          <cell r="C1194" t="str">
            <v>Future</v>
          </cell>
          <cell r="D1194" t="e">
            <v>#N/A</v>
          </cell>
          <cell r="E1194">
            <v>-95.515039370077886</v>
          </cell>
          <cell r="F1194">
            <v>129.83929133858646</v>
          </cell>
          <cell r="G1194">
            <v>29.681811023621783</v>
          </cell>
          <cell r="H1194">
            <v>29.681811023621783</v>
          </cell>
          <cell r="I1194" t="e">
            <v>#N/A</v>
          </cell>
          <cell r="J1194" t="e">
            <v>#N/A</v>
          </cell>
          <cell r="K1194">
            <v>90</v>
          </cell>
          <cell r="L1194">
            <v>50</v>
          </cell>
          <cell r="M1194" t="e">
            <v>#N/A</v>
          </cell>
          <cell r="N1194">
            <v>80</v>
          </cell>
          <cell r="O1194" t="e">
            <v>#N/A</v>
          </cell>
          <cell r="P1194" t="str">
            <v/>
          </cell>
          <cell r="Q1194" t="str">
            <v/>
          </cell>
          <cell r="R1194" t="e">
            <v>#N/A</v>
          </cell>
        </row>
        <row r="1195">
          <cell r="A1195" t="str">
            <v/>
          </cell>
          <cell r="B1195" t="str">
            <v/>
          </cell>
          <cell r="C1195" t="str">
            <v>Future</v>
          </cell>
          <cell r="D1195" t="e">
            <v>#N/A</v>
          </cell>
          <cell r="E1195">
            <v>-95.765078740156625</v>
          </cell>
          <cell r="F1195">
            <v>129.94358267716913</v>
          </cell>
          <cell r="G1195">
            <v>29.62862204724383</v>
          </cell>
          <cell r="H1195">
            <v>29.62862204724383</v>
          </cell>
          <cell r="I1195" t="e">
            <v>#N/A</v>
          </cell>
          <cell r="J1195" t="e">
            <v>#N/A</v>
          </cell>
          <cell r="K1195">
            <v>90</v>
          </cell>
          <cell r="L1195">
            <v>50</v>
          </cell>
          <cell r="M1195" t="e">
            <v>#N/A</v>
          </cell>
          <cell r="N1195">
            <v>80</v>
          </cell>
          <cell r="O1195" t="e">
            <v>#N/A</v>
          </cell>
          <cell r="P1195" t="str">
            <v/>
          </cell>
          <cell r="Q1195" t="str">
            <v/>
          </cell>
          <cell r="R1195" t="e">
            <v>#N/A</v>
          </cell>
        </row>
        <row r="1196">
          <cell r="A1196" t="str">
            <v/>
          </cell>
          <cell r="B1196" t="str">
            <v/>
          </cell>
          <cell r="C1196" t="str">
            <v>Future</v>
          </cell>
          <cell r="D1196" t="e">
            <v>#N/A</v>
          </cell>
          <cell r="E1196">
            <v>-96.015118110235363</v>
          </cell>
          <cell r="F1196">
            <v>130.0478740157518</v>
          </cell>
          <cell r="G1196">
            <v>29.575433070865877</v>
          </cell>
          <cell r="H1196">
            <v>29.575433070865877</v>
          </cell>
          <cell r="I1196" t="e">
            <v>#N/A</v>
          </cell>
          <cell r="J1196" t="e">
            <v>#N/A</v>
          </cell>
          <cell r="K1196">
            <v>90</v>
          </cell>
          <cell r="L1196">
            <v>50</v>
          </cell>
          <cell r="M1196" t="e">
            <v>#N/A</v>
          </cell>
          <cell r="N1196">
            <v>80</v>
          </cell>
          <cell r="O1196" t="e">
            <v>#N/A</v>
          </cell>
          <cell r="P1196" t="str">
            <v/>
          </cell>
          <cell r="Q1196" t="str">
            <v/>
          </cell>
          <cell r="R1196" t="e">
            <v>#N/A</v>
          </cell>
        </row>
        <row r="1197">
          <cell r="A1197" t="str">
            <v/>
          </cell>
          <cell r="B1197" t="str">
            <v/>
          </cell>
          <cell r="C1197" t="str">
            <v>Future</v>
          </cell>
          <cell r="D1197" t="e">
            <v>#N/A</v>
          </cell>
          <cell r="E1197">
            <v>-96.265157480314102</v>
          </cell>
          <cell r="F1197">
            <v>130.15216535433447</v>
          </cell>
          <cell r="G1197">
            <v>29.522244094487924</v>
          </cell>
          <cell r="H1197">
            <v>29.522244094487924</v>
          </cell>
          <cell r="I1197" t="e">
            <v>#N/A</v>
          </cell>
          <cell r="J1197" t="e">
            <v>#N/A</v>
          </cell>
          <cell r="K1197">
            <v>90</v>
          </cell>
          <cell r="L1197">
            <v>50</v>
          </cell>
          <cell r="M1197" t="e">
            <v>#N/A</v>
          </cell>
          <cell r="N1197">
            <v>80</v>
          </cell>
          <cell r="O1197" t="e">
            <v>#N/A</v>
          </cell>
          <cell r="P1197" t="str">
            <v/>
          </cell>
          <cell r="Q1197" t="str">
            <v/>
          </cell>
          <cell r="R1197" t="e">
            <v>#N/A</v>
          </cell>
        </row>
        <row r="1198">
          <cell r="A1198" t="str">
            <v/>
          </cell>
          <cell r="B1198" t="str">
            <v/>
          </cell>
          <cell r="C1198" t="str">
            <v>Future</v>
          </cell>
          <cell r="D1198" t="e">
            <v>#N/A</v>
          </cell>
          <cell r="E1198">
            <v>-96.51519685039284</v>
          </cell>
          <cell r="F1198">
            <v>130.25645669291714</v>
          </cell>
          <cell r="G1198">
            <v>29.469055118109971</v>
          </cell>
          <cell r="H1198">
            <v>29.469055118109971</v>
          </cell>
          <cell r="I1198" t="e">
            <v>#N/A</v>
          </cell>
          <cell r="J1198" t="e">
            <v>#N/A</v>
          </cell>
          <cell r="K1198">
            <v>90</v>
          </cell>
          <cell r="L1198">
            <v>50</v>
          </cell>
          <cell r="M1198" t="e">
            <v>#N/A</v>
          </cell>
          <cell r="N1198">
            <v>80</v>
          </cell>
          <cell r="O1198" t="e">
            <v>#N/A</v>
          </cell>
          <cell r="P1198" t="str">
            <v/>
          </cell>
          <cell r="Q1198" t="str">
            <v/>
          </cell>
          <cell r="R1198" t="e">
            <v>#N/A</v>
          </cell>
        </row>
        <row r="1199">
          <cell r="A1199" t="str">
            <v/>
          </cell>
          <cell r="B1199" t="str">
            <v/>
          </cell>
          <cell r="C1199" t="str">
            <v>Future</v>
          </cell>
          <cell r="D1199" t="e">
            <v>#N/A</v>
          </cell>
          <cell r="E1199">
            <v>-96.765236220471579</v>
          </cell>
          <cell r="F1199">
            <v>130.36074803149981</v>
          </cell>
          <cell r="G1199">
            <v>29.415866141732018</v>
          </cell>
          <cell r="H1199">
            <v>29.415866141732018</v>
          </cell>
          <cell r="I1199" t="e">
            <v>#N/A</v>
          </cell>
          <cell r="J1199" t="e">
            <v>#N/A</v>
          </cell>
          <cell r="K1199">
            <v>90</v>
          </cell>
          <cell r="L1199">
            <v>50</v>
          </cell>
          <cell r="M1199" t="e">
            <v>#N/A</v>
          </cell>
          <cell r="N1199">
            <v>80</v>
          </cell>
          <cell r="O1199" t="e">
            <v>#N/A</v>
          </cell>
          <cell r="P1199" t="str">
            <v/>
          </cell>
          <cell r="Q1199" t="str">
            <v/>
          </cell>
          <cell r="R1199" t="e">
            <v>#N/A</v>
          </cell>
        </row>
        <row r="1200">
          <cell r="A1200" t="str">
            <v/>
          </cell>
          <cell r="B1200" t="str">
            <v/>
          </cell>
          <cell r="C1200" t="str">
            <v>Future</v>
          </cell>
          <cell r="D1200" t="e">
            <v>#N/A</v>
          </cell>
          <cell r="E1200">
            <v>-97.015275590550317</v>
          </cell>
          <cell r="F1200">
            <v>130.46503937008248</v>
          </cell>
          <cell r="G1200">
            <v>29.362677165354064</v>
          </cell>
          <cell r="H1200">
            <v>29.362677165354064</v>
          </cell>
          <cell r="I1200" t="e">
            <v>#N/A</v>
          </cell>
          <cell r="J1200" t="e">
            <v>#N/A</v>
          </cell>
          <cell r="K1200">
            <v>90</v>
          </cell>
          <cell r="L1200">
            <v>50</v>
          </cell>
          <cell r="M1200" t="e">
            <v>#N/A</v>
          </cell>
          <cell r="N1200">
            <v>80</v>
          </cell>
          <cell r="O1200" t="e">
            <v>#N/A</v>
          </cell>
          <cell r="P1200" t="str">
            <v/>
          </cell>
          <cell r="Q1200" t="str">
            <v/>
          </cell>
          <cell r="R1200" t="e">
            <v>#N/A</v>
          </cell>
        </row>
        <row r="1201">
          <cell r="A1201" t="str">
            <v/>
          </cell>
          <cell r="B1201" t="str">
            <v/>
          </cell>
          <cell r="C1201" t="str">
            <v>Future</v>
          </cell>
          <cell r="D1201" t="e">
            <v>#N/A</v>
          </cell>
          <cell r="E1201">
            <v>-97.265314960629055</v>
          </cell>
          <cell r="F1201">
            <v>130.56933070866515</v>
          </cell>
          <cell r="G1201">
            <v>29.309488188976111</v>
          </cell>
          <cell r="H1201">
            <v>29.309488188976111</v>
          </cell>
          <cell r="I1201" t="e">
            <v>#N/A</v>
          </cell>
          <cell r="J1201" t="e">
            <v>#N/A</v>
          </cell>
          <cell r="K1201">
            <v>90</v>
          </cell>
          <cell r="L1201">
            <v>50</v>
          </cell>
          <cell r="M1201" t="e">
            <v>#N/A</v>
          </cell>
          <cell r="N1201">
            <v>80</v>
          </cell>
          <cell r="O1201" t="e">
            <v>#N/A</v>
          </cell>
          <cell r="P1201" t="str">
            <v/>
          </cell>
          <cell r="Q1201" t="str">
            <v/>
          </cell>
          <cell r="R1201" t="e">
            <v>#N/A</v>
          </cell>
        </row>
        <row r="1202">
          <cell r="A1202" t="str">
            <v/>
          </cell>
          <cell r="B1202" t="str">
            <v/>
          </cell>
          <cell r="C1202" t="str">
            <v>Future</v>
          </cell>
          <cell r="D1202" t="e">
            <v>#N/A</v>
          </cell>
          <cell r="E1202">
            <v>-97.515354330707794</v>
          </cell>
          <cell r="F1202">
            <v>130.67362204724782</v>
          </cell>
          <cell r="G1202">
            <v>29.256299212598158</v>
          </cell>
          <cell r="H1202">
            <v>29.256299212598158</v>
          </cell>
          <cell r="I1202" t="e">
            <v>#N/A</v>
          </cell>
          <cell r="J1202" t="e">
            <v>#N/A</v>
          </cell>
          <cell r="K1202">
            <v>90</v>
          </cell>
          <cell r="L1202">
            <v>50</v>
          </cell>
          <cell r="M1202" t="e">
            <v>#N/A</v>
          </cell>
          <cell r="N1202">
            <v>80</v>
          </cell>
          <cell r="O1202" t="e">
            <v>#N/A</v>
          </cell>
          <cell r="P1202" t="str">
            <v/>
          </cell>
          <cell r="Q1202" t="str">
            <v/>
          </cell>
          <cell r="R1202" t="e">
            <v>#N/A</v>
          </cell>
        </row>
        <row r="1203">
          <cell r="A1203" t="str">
            <v/>
          </cell>
          <cell r="B1203" t="str">
            <v/>
          </cell>
          <cell r="C1203" t="str">
            <v>Future</v>
          </cell>
          <cell r="D1203" t="e">
            <v>#N/A</v>
          </cell>
          <cell r="E1203">
            <v>-97.765393700786532</v>
          </cell>
          <cell r="F1203">
            <v>130.77791338583049</v>
          </cell>
          <cell r="G1203">
            <v>29.203110236220205</v>
          </cell>
          <cell r="H1203">
            <v>29.203110236220205</v>
          </cell>
          <cell r="I1203" t="e">
            <v>#N/A</v>
          </cell>
          <cell r="J1203" t="e">
            <v>#N/A</v>
          </cell>
          <cell r="K1203">
            <v>90</v>
          </cell>
          <cell r="L1203">
            <v>50</v>
          </cell>
          <cell r="M1203" t="e">
            <v>#N/A</v>
          </cell>
          <cell r="N1203">
            <v>80</v>
          </cell>
          <cell r="O1203" t="e">
            <v>#N/A</v>
          </cell>
          <cell r="P1203" t="str">
            <v/>
          </cell>
          <cell r="Q1203" t="str">
            <v/>
          </cell>
          <cell r="R1203" t="e">
            <v>#N/A</v>
          </cell>
        </row>
        <row r="1204">
          <cell r="A1204" t="str">
            <v/>
          </cell>
          <cell r="B1204" t="str">
            <v/>
          </cell>
          <cell r="C1204" t="str">
            <v>Future</v>
          </cell>
          <cell r="D1204" t="e">
            <v>#N/A</v>
          </cell>
          <cell r="E1204">
            <v>-98.015433070865271</v>
          </cell>
          <cell r="F1204">
            <v>130.88220472441316</v>
          </cell>
          <cell r="G1204">
            <v>29.149921259842252</v>
          </cell>
          <cell r="H1204">
            <v>29.149921259842252</v>
          </cell>
          <cell r="I1204" t="e">
            <v>#N/A</v>
          </cell>
          <cell r="J1204" t="e">
            <v>#N/A</v>
          </cell>
          <cell r="K1204">
            <v>90</v>
          </cell>
          <cell r="L1204">
            <v>50</v>
          </cell>
          <cell r="M1204" t="e">
            <v>#N/A</v>
          </cell>
          <cell r="N1204">
            <v>80</v>
          </cell>
          <cell r="O1204" t="e">
            <v>#N/A</v>
          </cell>
          <cell r="P1204" t="str">
            <v/>
          </cell>
          <cell r="Q1204" t="str">
            <v/>
          </cell>
          <cell r="R1204" t="e">
            <v>#N/A</v>
          </cell>
        </row>
        <row r="1205">
          <cell r="A1205" t="str">
            <v/>
          </cell>
          <cell r="B1205" t="str">
            <v/>
          </cell>
          <cell r="C1205" t="str">
            <v>Future</v>
          </cell>
          <cell r="D1205" t="e">
            <v>#N/A</v>
          </cell>
          <cell r="E1205">
            <v>-98.265472440944009</v>
          </cell>
          <cell r="F1205">
            <v>130.98649606299583</v>
          </cell>
          <cell r="G1205">
            <v>29.096732283464299</v>
          </cell>
          <cell r="H1205">
            <v>29.096732283464299</v>
          </cell>
          <cell r="I1205" t="e">
            <v>#N/A</v>
          </cell>
          <cell r="J1205" t="e">
            <v>#N/A</v>
          </cell>
          <cell r="K1205">
            <v>90</v>
          </cell>
          <cell r="L1205">
            <v>50</v>
          </cell>
          <cell r="M1205" t="e">
            <v>#N/A</v>
          </cell>
          <cell r="N1205">
            <v>80</v>
          </cell>
          <cell r="O1205" t="e">
            <v>#N/A</v>
          </cell>
          <cell r="P1205" t="str">
            <v/>
          </cell>
          <cell r="Q1205" t="str">
            <v/>
          </cell>
          <cell r="R1205" t="e">
            <v>#N/A</v>
          </cell>
        </row>
        <row r="1206">
          <cell r="A1206" t="str">
            <v/>
          </cell>
          <cell r="B1206" t="str">
            <v/>
          </cell>
          <cell r="C1206" t="str">
            <v>Future</v>
          </cell>
          <cell r="D1206" t="e">
            <v>#N/A</v>
          </cell>
          <cell r="E1206">
            <v>-98.515511811022748</v>
          </cell>
          <cell r="F1206">
            <v>131.0907874015785</v>
          </cell>
          <cell r="G1206">
            <v>29.043543307086345</v>
          </cell>
          <cell r="H1206">
            <v>29.043543307086345</v>
          </cell>
          <cell r="I1206" t="e">
            <v>#N/A</v>
          </cell>
          <cell r="J1206" t="e">
            <v>#N/A</v>
          </cell>
          <cell r="K1206">
            <v>90</v>
          </cell>
          <cell r="L1206">
            <v>50</v>
          </cell>
          <cell r="M1206" t="e">
            <v>#N/A</v>
          </cell>
          <cell r="N1206">
            <v>80</v>
          </cell>
          <cell r="O1206" t="e">
            <v>#N/A</v>
          </cell>
          <cell r="P1206" t="str">
            <v/>
          </cell>
          <cell r="Q1206" t="str">
            <v/>
          </cell>
          <cell r="R1206" t="e">
            <v>#N/A</v>
          </cell>
        </row>
        <row r="1207">
          <cell r="A1207" t="str">
            <v/>
          </cell>
          <cell r="B1207" t="str">
            <v/>
          </cell>
          <cell r="C1207" t="str">
            <v>Future</v>
          </cell>
          <cell r="D1207" t="e">
            <v>#N/A</v>
          </cell>
          <cell r="E1207">
            <v>-98.765551181101486</v>
          </cell>
          <cell r="F1207">
            <v>131.19507874016116</v>
          </cell>
          <cell r="G1207">
            <v>28.990354330708392</v>
          </cell>
          <cell r="H1207">
            <v>28.990354330708392</v>
          </cell>
          <cell r="I1207" t="e">
            <v>#N/A</v>
          </cell>
          <cell r="J1207" t="e">
            <v>#N/A</v>
          </cell>
          <cell r="K1207">
            <v>90</v>
          </cell>
          <cell r="L1207">
            <v>50</v>
          </cell>
          <cell r="M1207" t="e">
            <v>#N/A</v>
          </cell>
          <cell r="N1207">
            <v>80</v>
          </cell>
          <cell r="O1207" t="e">
            <v>#N/A</v>
          </cell>
          <cell r="P1207" t="str">
            <v/>
          </cell>
          <cell r="Q1207" t="str">
            <v/>
          </cell>
          <cell r="R1207" t="e">
            <v>#N/A</v>
          </cell>
        </row>
        <row r="1208">
          <cell r="A1208" t="str">
            <v/>
          </cell>
          <cell r="B1208" t="str">
            <v/>
          </cell>
          <cell r="C1208" t="str">
            <v>Future</v>
          </cell>
          <cell r="D1208" t="e">
            <v>#N/A</v>
          </cell>
          <cell r="E1208">
            <v>-99.015590551180225</v>
          </cell>
          <cell r="F1208">
            <v>131.29937007874383</v>
          </cell>
          <cell r="G1208">
            <v>28.937165354330439</v>
          </cell>
          <cell r="H1208">
            <v>28.937165354330439</v>
          </cell>
          <cell r="I1208" t="e">
            <v>#N/A</v>
          </cell>
          <cell r="J1208" t="e">
            <v>#N/A</v>
          </cell>
          <cell r="K1208">
            <v>90</v>
          </cell>
          <cell r="L1208">
            <v>50</v>
          </cell>
          <cell r="M1208" t="e">
            <v>#N/A</v>
          </cell>
          <cell r="N1208">
            <v>80</v>
          </cell>
          <cell r="O1208" t="e">
            <v>#N/A</v>
          </cell>
          <cell r="P1208" t="str">
            <v/>
          </cell>
          <cell r="Q1208" t="str">
            <v/>
          </cell>
          <cell r="R1208" t="e">
            <v>#N/A</v>
          </cell>
        </row>
        <row r="1209">
          <cell r="A1209" t="str">
            <v/>
          </cell>
          <cell r="B1209" t="str">
            <v/>
          </cell>
          <cell r="C1209" t="str">
            <v>Future</v>
          </cell>
          <cell r="D1209" t="e">
            <v>#N/A</v>
          </cell>
          <cell r="E1209">
            <v>-99.265629921258963</v>
          </cell>
          <cell r="F1209">
            <v>131.4036614173265</v>
          </cell>
          <cell r="G1209">
            <v>28.883976377952486</v>
          </cell>
          <cell r="H1209">
            <v>28.883976377952486</v>
          </cell>
          <cell r="I1209" t="e">
            <v>#N/A</v>
          </cell>
          <cell r="J1209" t="e">
            <v>#N/A</v>
          </cell>
          <cell r="K1209">
            <v>90</v>
          </cell>
          <cell r="L1209">
            <v>50</v>
          </cell>
          <cell r="M1209" t="e">
            <v>#N/A</v>
          </cell>
          <cell r="N1209">
            <v>80</v>
          </cell>
          <cell r="O1209" t="e">
            <v>#N/A</v>
          </cell>
          <cell r="P1209" t="str">
            <v/>
          </cell>
          <cell r="Q1209" t="str">
            <v/>
          </cell>
          <cell r="R1209" t="e">
            <v>#N/A</v>
          </cell>
        </row>
        <row r="1210">
          <cell r="A1210" t="str">
            <v/>
          </cell>
          <cell r="B1210" t="str">
            <v/>
          </cell>
          <cell r="C1210" t="str">
            <v>Future</v>
          </cell>
          <cell r="D1210" t="e">
            <v>#N/A</v>
          </cell>
          <cell r="E1210">
            <v>-99.515669291337701</v>
          </cell>
          <cell r="F1210">
            <v>131.50795275590917</v>
          </cell>
          <cell r="G1210">
            <v>28.830787401574533</v>
          </cell>
          <cell r="H1210">
            <v>28.830787401574533</v>
          </cell>
          <cell r="I1210" t="e">
            <v>#N/A</v>
          </cell>
          <cell r="J1210" t="e">
            <v>#N/A</v>
          </cell>
          <cell r="K1210">
            <v>90</v>
          </cell>
          <cell r="L1210">
            <v>50</v>
          </cell>
          <cell r="M1210" t="e">
            <v>#N/A</v>
          </cell>
          <cell r="N1210">
            <v>80</v>
          </cell>
          <cell r="O1210" t="e">
            <v>#N/A</v>
          </cell>
          <cell r="P1210" t="str">
            <v/>
          </cell>
          <cell r="Q1210" t="str">
            <v/>
          </cell>
          <cell r="R1210" t="e">
            <v>#N/A</v>
          </cell>
        </row>
        <row r="1211">
          <cell r="A1211" t="str">
            <v/>
          </cell>
          <cell r="B1211" t="str">
            <v/>
          </cell>
          <cell r="C1211" t="str">
            <v>Future</v>
          </cell>
          <cell r="D1211" t="e">
            <v>#N/A</v>
          </cell>
          <cell r="E1211">
            <v>-99.76570866141644</v>
          </cell>
          <cell r="F1211">
            <v>131.61224409449184</v>
          </cell>
          <cell r="G1211">
            <v>28.77759842519658</v>
          </cell>
          <cell r="H1211">
            <v>28.77759842519658</v>
          </cell>
          <cell r="I1211" t="e">
            <v>#N/A</v>
          </cell>
          <cell r="J1211" t="e">
            <v>#N/A</v>
          </cell>
          <cell r="K1211">
            <v>90</v>
          </cell>
          <cell r="L1211">
            <v>50</v>
          </cell>
          <cell r="M1211" t="e">
            <v>#N/A</v>
          </cell>
          <cell r="N1211">
            <v>80</v>
          </cell>
          <cell r="O1211" t="e">
            <v>#N/A</v>
          </cell>
          <cell r="P1211" t="str">
            <v/>
          </cell>
          <cell r="Q1211" t="str">
            <v/>
          </cell>
          <cell r="R1211" t="e">
            <v>#N/A</v>
          </cell>
        </row>
        <row r="1212">
          <cell r="A1212" t="str">
            <v/>
          </cell>
          <cell r="B1212" t="str">
            <v/>
          </cell>
          <cell r="C1212" t="str">
            <v>Future</v>
          </cell>
          <cell r="D1212" t="e">
            <v>#N/A</v>
          </cell>
          <cell r="E1212">
            <v>-100.01574803149518</v>
          </cell>
          <cell r="F1212">
            <v>131.71653543307451</v>
          </cell>
          <cell r="G1212">
            <v>28.724409448818626</v>
          </cell>
          <cell r="H1212">
            <v>28.724409448818626</v>
          </cell>
          <cell r="I1212" t="e">
            <v>#N/A</v>
          </cell>
          <cell r="J1212" t="e">
            <v>#N/A</v>
          </cell>
          <cell r="K1212">
            <v>90</v>
          </cell>
          <cell r="L1212">
            <v>50</v>
          </cell>
          <cell r="M1212" t="e">
            <v>#N/A</v>
          </cell>
          <cell r="N1212">
            <v>80</v>
          </cell>
          <cell r="O1212" t="e">
            <v>#N/A</v>
          </cell>
          <cell r="P1212" t="str">
            <v/>
          </cell>
          <cell r="Q1212" t="str">
            <v/>
          </cell>
          <cell r="R1212" t="e">
            <v>#N/A</v>
          </cell>
        </row>
        <row r="1213">
          <cell r="A1213" t="str">
            <v/>
          </cell>
          <cell r="B1213" t="str">
            <v/>
          </cell>
          <cell r="C1213" t="str">
            <v>Future</v>
          </cell>
          <cell r="D1213" t="e">
            <v>#N/A</v>
          </cell>
          <cell r="E1213">
            <v>-100.26578740157392</v>
          </cell>
          <cell r="F1213">
            <v>131.82082677165718</v>
          </cell>
          <cell r="G1213">
            <v>28.671220472440673</v>
          </cell>
          <cell r="H1213">
            <v>28.671220472440673</v>
          </cell>
          <cell r="I1213" t="e">
            <v>#N/A</v>
          </cell>
          <cell r="J1213" t="e">
            <v>#N/A</v>
          </cell>
          <cell r="K1213">
            <v>90</v>
          </cell>
          <cell r="L1213">
            <v>50</v>
          </cell>
          <cell r="M1213" t="e">
            <v>#N/A</v>
          </cell>
          <cell r="N1213">
            <v>80</v>
          </cell>
          <cell r="O1213" t="e">
            <v>#N/A</v>
          </cell>
          <cell r="P1213" t="str">
            <v/>
          </cell>
          <cell r="Q1213" t="str">
            <v/>
          </cell>
          <cell r="R1213" t="e">
            <v>#N/A</v>
          </cell>
        </row>
        <row r="1214">
          <cell r="A1214" t="str">
            <v/>
          </cell>
          <cell r="B1214" t="str">
            <v/>
          </cell>
          <cell r="C1214" t="str">
            <v>Future</v>
          </cell>
          <cell r="D1214" t="e">
            <v>#N/A</v>
          </cell>
          <cell r="E1214">
            <v>-100.51582677165266</v>
          </cell>
          <cell r="F1214">
            <v>131.92511811023985</v>
          </cell>
          <cell r="G1214">
            <v>28.61803149606272</v>
          </cell>
          <cell r="H1214">
            <v>28.61803149606272</v>
          </cell>
          <cell r="I1214" t="e">
            <v>#N/A</v>
          </cell>
          <cell r="J1214" t="e">
            <v>#N/A</v>
          </cell>
          <cell r="K1214">
            <v>90</v>
          </cell>
          <cell r="L1214">
            <v>50</v>
          </cell>
          <cell r="M1214" t="e">
            <v>#N/A</v>
          </cell>
          <cell r="N1214">
            <v>80</v>
          </cell>
          <cell r="O1214" t="e">
            <v>#N/A</v>
          </cell>
          <cell r="P1214" t="str">
            <v/>
          </cell>
          <cell r="Q1214" t="str">
            <v/>
          </cell>
          <cell r="R1214" t="e">
            <v>#N/A</v>
          </cell>
        </row>
        <row r="1215">
          <cell r="A1215" t="str">
            <v/>
          </cell>
          <cell r="B1215" t="str">
            <v/>
          </cell>
          <cell r="C1215" t="str">
            <v>Future</v>
          </cell>
          <cell r="D1215" t="e">
            <v>#N/A</v>
          </cell>
          <cell r="E1215">
            <v>-100.76586614173139</v>
          </cell>
          <cell r="F1215">
            <v>132.02940944882252</v>
          </cell>
          <cell r="G1215">
            <v>28.564842519684767</v>
          </cell>
          <cell r="H1215">
            <v>28.564842519684767</v>
          </cell>
          <cell r="I1215" t="e">
            <v>#N/A</v>
          </cell>
          <cell r="J1215" t="e">
            <v>#N/A</v>
          </cell>
          <cell r="K1215">
            <v>90</v>
          </cell>
          <cell r="L1215">
            <v>50</v>
          </cell>
          <cell r="M1215" t="e">
            <v>#N/A</v>
          </cell>
          <cell r="N1215">
            <v>80</v>
          </cell>
          <cell r="O1215" t="e">
            <v>#N/A</v>
          </cell>
          <cell r="P1215" t="str">
            <v/>
          </cell>
          <cell r="Q1215" t="str">
            <v/>
          </cell>
          <cell r="R1215" t="e">
            <v>#N/A</v>
          </cell>
        </row>
        <row r="1216">
          <cell r="A1216" t="str">
            <v/>
          </cell>
          <cell r="B1216" t="str">
            <v/>
          </cell>
          <cell r="C1216" t="str">
            <v>Future</v>
          </cell>
          <cell r="D1216" t="e">
            <v>#N/A</v>
          </cell>
          <cell r="E1216">
            <v>-101.01590551181013</v>
          </cell>
          <cell r="F1216">
            <v>132.13370078740519</v>
          </cell>
          <cell r="G1216">
            <v>28.511653543306814</v>
          </cell>
          <cell r="H1216">
            <v>28.511653543306814</v>
          </cell>
          <cell r="I1216" t="e">
            <v>#N/A</v>
          </cell>
          <cell r="J1216" t="e">
            <v>#N/A</v>
          </cell>
          <cell r="K1216">
            <v>90</v>
          </cell>
          <cell r="L1216">
            <v>50</v>
          </cell>
          <cell r="M1216" t="e">
            <v>#N/A</v>
          </cell>
          <cell r="N1216">
            <v>80</v>
          </cell>
          <cell r="O1216" t="e">
            <v>#N/A</v>
          </cell>
          <cell r="P1216" t="str">
            <v/>
          </cell>
          <cell r="Q1216" t="str">
            <v/>
          </cell>
          <cell r="R1216" t="e">
            <v>#N/A</v>
          </cell>
        </row>
        <row r="1217">
          <cell r="A1217" t="str">
            <v/>
          </cell>
          <cell r="B1217" t="str">
            <v/>
          </cell>
          <cell r="C1217" t="str">
            <v>Future</v>
          </cell>
          <cell r="D1217" t="e">
            <v>#N/A</v>
          </cell>
          <cell r="E1217">
            <v>-101.26594488188887</v>
          </cell>
          <cell r="F1217">
            <v>132.23799212598786</v>
          </cell>
          <cell r="G1217">
            <v>28.458464566928861</v>
          </cell>
          <cell r="H1217">
            <v>28.458464566928861</v>
          </cell>
          <cell r="I1217" t="e">
            <v>#N/A</v>
          </cell>
          <cell r="J1217" t="e">
            <v>#N/A</v>
          </cell>
          <cell r="K1217">
            <v>90</v>
          </cell>
          <cell r="L1217">
            <v>50</v>
          </cell>
          <cell r="M1217" t="e">
            <v>#N/A</v>
          </cell>
          <cell r="N1217">
            <v>80</v>
          </cell>
          <cell r="O1217" t="e">
            <v>#N/A</v>
          </cell>
          <cell r="P1217" t="str">
            <v/>
          </cell>
          <cell r="Q1217" t="str">
            <v/>
          </cell>
          <cell r="R1217" t="e">
            <v>#N/A</v>
          </cell>
        </row>
        <row r="1218">
          <cell r="A1218" t="str">
            <v/>
          </cell>
          <cell r="B1218" t="str">
            <v/>
          </cell>
          <cell r="C1218" t="str">
            <v>Future</v>
          </cell>
          <cell r="D1218" t="e">
            <v>#N/A</v>
          </cell>
          <cell r="E1218">
            <v>-101.51598425196761</v>
          </cell>
          <cell r="F1218">
            <v>132.34228346457053</v>
          </cell>
          <cell r="G1218">
            <v>28.405275590550907</v>
          </cell>
          <cell r="H1218">
            <v>28.405275590550907</v>
          </cell>
          <cell r="I1218" t="e">
            <v>#N/A</v>
          </cell>
          <cell r="J1218" t="e">
            <v>#N/A</v>
          </cell>
          <cell r="K1218">
            <v>90</v>
          </cell>
          <cell r="L1218">
            <v>50</v>
          </cell>
          <cell r="M1218" t="e">
            <v>#N/A</v>
          </cell>
          <cell r="N1218">
            <v>80</v>
          </cell>
          <cell r="O1218" t="e">
            <v>#N/A</v>
          </cell>
          <cell r="P1218" t="str">
            <v/>
          </cell>
          <cell r="Q1218" t="str">
            <v/>
          </cell>
          <cell r="R1218" t="e">
            <v>#N/A</v>
          </cell>
        </row>
        <row r="1219">
          <cell r="A1219" t="str">
            <v/>
          </cell>
          <cell r="B1219" t="str">
            <v/>
          </cell>
          <cell r="C1219" t="str">
            <v>Future</v>
          </cell>
          <cell r="D1219" t="e">
            <v>#N/A</v>
          </cell>
          <cell r="E1219">
            <v>-101.76602362204635</v>
          </cell>
          <cell r="F1219">
            <v>132.4465748031532</v>
          </cell>
          <cell r="G1219">
            <v>28.352086614172954</v>
          </cell>
          <cell r="H1219">
            <v>28.352086614172954</v>
          </cell>
          <cell r="I1219" t="e">
            <v>#N/A</v>
          </cell>
          <cell r="J1219" t="e">
            <v>#N/A</v>
          </cell>
          <cell r="K1219">
            <v>90</v>
          </cell>
          <cell r="L1219">
            <v>50</v>
          </cell>
          <cell r="M1219" t="e">
            <v>#N/A</v>
          </cell>
          <cell r="N1219">
            <v>80</v>
          </cell>
          <cell r="O1219" t="e">
            <v>#N/A</v>
          </cell>
          <cell r="P1219" t="str">
            <v/>
          </cell>
          <cell r="Q1219" t="str">
            <v/>
          </cell>
          <cell r="R1219" t="e">
            <v>#N/A</v>
          </cell>
        </row>
        <row r="1220">
          <cell r="A1220" t="str">
            <v/>
          </cell>
          <cell r="B1220" t="str">
            <v/>
          </cell>
          <cell r="C1220" t="str">
            <v>Future</v>
          </cell>
          <cell r="D1220" t="e">
            <v>#N/A</v>
          </cell>
          <cell r="E1220">
            <v>-102.01606299212509</v>
          </cell>
          <cell r="F1220">
            <v>132.55086614173587</v>
          </cell>
          <cell r="G1220">
            <v>28.298897637795001</v>
          </cell>
          <cell r="H1220">
            <v>28.298897637795001</v>
          </cell>
          <cell r="I1220" t="e">
            <v>#N/A</v>
          </cell>
          <cell r="J1220" t="e">
            <v>#N/A</v>
          </cell>
          <cell r="K1220">
            <v>90</v>
          </cell>
          <cell r="L1220">
            <v>50</v>
          </cell>
          <cell r="M1220" t="e">
            <v>#N/A</v>
          </cell>
          <cell r="N1220">
            <v>80</v>
          </cell>
          <cell r="O1220" t="e">
            <v>#N/A</v>
          </cell>
          <cell r="P1220" t="str">
            <v/>
          </cell>
          <cell r="Q1220" t="str">
            <v/>
          </cell>
          <cell r="R1220" t="e">
            <v>#N/A</v>
          </cell>
        </row>
        <row r="1221">
          <cell r="A1221" t="str">
            <v/>
          </cell>
          <cell r="B1221" t="str">
            <v/>
          </cell>
          <cell r="C1221" t="str">
            <v>Future</v>
          </cell>
          <cell r="D1221" t="e">
            <v>#N/A</v>
          </cell>
          <cell r="E1221">
            <v>-102.26610236220382</v>
          </cell>
          <cell r="F1221">
            <v>132.65515748031854</v>
          </cell>
          <cell r="G1221">
            <v>28.245708661417048</v>
          </cell>
          <cell r="H1221">
            <v>28.245708661417048</v>
          </cell>
          <cell r="I1221" t="e">
            <v>#N/A</v>
          </cell>
          <cell r="J1221" t="e">
            <v>#N/A</v>
          </cell>
          <cell r="K1221">
            <v>90</v>
          </cell>
          <cell r="L1221">
            <v>50</v>
          </cell>
          <cell r="M1221" t="e">
            <v>#N/A</v>
          </cell>
          <cell r="N1221">
            <v>80</v>
          </cell>
          <cell r="O1221" t="e">
            <v>#N/A</v>
          </cell>
          <cell r="P1221" t="str">
            <v/>
          </cell>
          <cell r="Q1221" t="str">
            <v/>
          </cell>
          <cell r="R1221" t="e">
            <v>#N/A</v>
          </cell>
        </row>
        <row r="1222">
          <cell r="A1222" t="str">
            <v/>
          </cell>
          <cell r="B1222" t="str">
            <v/>
          </cell>
          <cell r="C1222" t="str">
            <v>Future</v>
          </cell>
          <cell r="D1222" t="e">
            <v>#N/A</v>
          </cell>
          <cell r="E1222">
            <v>-102.51614173228256</v>
          </cell>
          <cell r="F1222">
            <v>132.75944881890121</v>
          </cell>
          <cell r="G1222">
            <v>28.192519685039095</v>
          </cell>
          <cell r="H1222">
            <v>28.192519685039095</v>
          </cell>
          <cell r="I1222" t="e">
            <v>#N/A</v>
          </cell>
          <cell r="J1222" t="e">
            <v>#N/A</v>
          </cell>
          <cell r="K1222">
            <v>90</v>
          </cell>
          <cell r="L1222">
            <v>50</v>
          </cell>
          <cell r="M1222" t="e">
            <v>#N/A</v>
          </cell>
          <cell r="N1222">
            <v>80</v>
          </cell>
          <cell r="O1222" t="e">
            <v>#N/A</v>
          </cell>
          <cell r="P1222" t="str">
            <v/>
          </cell>
          <cell r="Q1222" t="str">
            <v/>
          </cell>
          <cell r="R1222" t="e">
            <v>#N/A</v>
          </cell>
        </row>
        <row r="1223">
          <cell r="A1223" t="str">
            <v/>
          </cell>
          <cell r="B1223" t="str">
            <v/>
          </cell>
          <cell r="C1223" t="str">
            <v>Future</v>
          </cell>
          <cell r="D1223" t="e">
            <v>#N/A</v>
          </cell>
          <cell r="E1223">
            <v>-102.7661811023613</v>
          </cell>
          <cell r="F1223">
            <v>132.86374015748387</v>
          </cell>
          <cell r="G1223">
            <v>28.139330708661142</v>
          </cell>
          <cell r="H1223">
            <v>28.139330708661142</v>
          </cell>
          <cell r="I1223" t="e">
            <v>#N/A</v>
          </cell>
          <cell r="J1223" t="e">
            <v>#N/A</v>
          </cell>
          <cell r="K1223">
            <v>90</v>
          </cell>
          <cell r="L1223">
            <v>50</v>
          </cell>
          <cell r="M1223" t="e">
            <v>#N/A</v>
          </cell>
          <cell r="N1223">
            <v>80</v>
          </cell>
          <cell r="O1223" t="e">
            <v>#N/A</v>
          </cell>
          <cell r="P1223" t="str">
            <v/>
          </cell>
          <cell r="Q1223" t="str">
            <v/>
          </cell>
          <cell r="R1223" t="e">
            <v>#N/A</v>
          </cell>
        </row>
        <row r="1224">
          <cell r="A1224" t="str">
            <v/>
          </cell>
          <cell r="B1224" t="str">
            <v/>
          </cell>
          <cell r="C1224" t="str">
            <v>Future</v>
          </cell>
          <cell r="D1224" t="e">
            <v>#N/A</v>
          </cell>
          <cell r="E1224">
            <v>-103.01622047244004</v>
          </cell>
          <cell r="F1224">
            <v>132.96803149606654</v>
          </cell>
          <cell r="G1224">
            <v>28.086141732283188</v>
          </cell>
          <cell r="H1224">
            <v>28.086141732283188</v>
          </cell>
          <cell r="I1224" t="e">
            <v>#N/A</v>
          </cell>
          <cell r="J1224" t="e">
            <v>#N/A</v>
          </cell>
          <cell r="K1224">
            <v>90</v>
          </cell>
          <cell r="L1224">
            <v>50</v>
          </cell>
          <cell r="M1224" t="e">
            <v>#N/A</v>
          </cell>
          <cell r="N1224">
            <v>80</v>
          </cell>
          <cell r="O1224" t="e">
            <v>#N/A</v>
          </cell>
          <cell r="P1224" t="str">
            <v/>
          </cell>
          <cell r="Q1224" t="str">
            <v/>
          </cell>
          <cell r="R1224" t="e">
            <v>#N/A</v>
          </cell>
        </row>
        <row r="1225">
          <cell r="A1225" t="str">
            <v/>
          </cell>
          <cell r="B1225" t="str">
            <v/>
          </cell>
          <cell r="C1225" t="str">
            <v>Future</v>
          </cell>
          <cell r="D1225" t="e">
            <v>#N/A</v>
          </cell>
          <cell r="E1225">
            <v>-103.26625984251878</v>
          </cell>
          <cell r="F1225">
            <v>133.07232283464921</v>
          </cell>
          <cell r="G1225">
            <v>28.032952755905235</v>
          </cell>
          <cell r="H1225">
            <v>28.032952755905235</v>
          </cell>
          <cell r="I1225" t="e">
            <v>#N/A</v>
          </cell>
          <cell r="J1225" t="e">
            <v>#N/A</v>
          </cell>
          <cell r="K1225">
            <v>90</v>
          </cell>
          <cell r="L1225">
            <v>50</v>
          </cell>
          <cell r="M1225" t="e">
            <v>#N/A</v>
          </cell>
          <cell r="N1225">
            <v>80</v>
          </cell>
          <cell r="O1225" t="e">
            <v>#N/A</v>
          </cell>
          <cell r="P1225" t="str">
            <v/>
          </cell>
          <cell r="Q1225" t="str">
            <v/>
          </cell>
          <cell r="R1225" t="e">
            <v>#N/A</v>
          </cell>
        </row>
        <row r="1226">
          <cell r="A1226" t="str">
            <v/>
          </cell>
          <cell r="B1226" t="str">
            <v/>
          </cell>
          <cell r="C1226" t="str">
            <v>Future</v>
          </cell>
          <cell r="D1226" t="e">
            <v>#N/A</v>
          </cell>
          <cell r="E1226">
            <v>-103.51629921259752</v>
          </cell>
          <cell r="F1226">
            <v>133.17661417323188</v>
          </cell>
          <cell r="G1226">
            <v>27.979763779527282</v>
          </cell>
          <cell r="H1226">
            <v>27.979763779527282</v>
          </cell>
          <cell r="I1226" t="e">
            <v>#N/A</v>
          </cell>
          <cell r="J1226" t="e">
            <v>#N/A</v>
          </cell>
          <cell r="K1226">
            <v>90</v>
          </cell>
          <cell r="L1226">
            <v>50</v>
          </cell>
          <cell r="M1226" t="e">
            <v>#N/A</v>
          </cell>
          <cell r="N1226">
            <v>80</v>
          </cell>
          <cell r="O1226" t="e">
            <v>#N/A</v>
          </cell>
          <cell r="P1226" t="str">
            <v/>
          </cell>
          <cell r="Q1226" t="str">
            <v/>
          </cell>
          <cell r="R1226" t="e">
            <v>#N/A</v>
          </cell>
        </row>
        <row r="1227">
          <cell r="A1227" t="str">
            <v/>
          </cell>
          <cell r="B1227" t="str">
            <v/>
          </cell>
          <cell r="C1227" t="str">
            <v>Future</v>
          </cell>
          <cell r="D1227" t="e">
            <v>#N/A</v>
          </cell>
          <cell r="E1227">
            <v>-103.76633858267625</v>
          </cell>
          <cell r="F1227">
            <v>133.28090551181455</v>
          </cell>
          <cell r="G1227">
            <v>27.926574803149329</v>
          </cell>
          <cell r="H1227">
            <v>27.926574803149329</v>
          </cell>
          <cell r="I1227" t="e">
            <v>#N/A</v>
          </cell>
          <cell r="J1227" t="e">
            <v>#N/A</v>
          </cell>
          <cell r="K1227">
            <v>90</v>
          </cell>
          <cell r="L1227">
            <v>50</v>
          </cell>
          <cell r="M1227" t="e">
            <v>#N/A</v>
          </cell>
          <cell r="N1227">
            <v>80</v>
          </cell>
          <cell r="O1227" t="e">
            <v>#N/A</v>
          </cell>
          <cell r="P1227" t="str">
            <v/>
          </cell>
          <cell r="Q1227" t="str">
            <v/>
          </cell>
          <cell r="R1227" t="e">
            <v>#N/A</v>
          </cell>
        </row>
        <row r="1228">
          <cell r="A1228" t="str">
            <v/>
          </cell>
          <cell r="B1228" t="str">
            <v/>
          </cell>
          <cell r="C1228" t="str">
            <v>Future</v>
          </cell>
          <cell r="D1228" t="e">
            <v>#N/A</v>
          </cell>
          <cell r="E1228">
            <v>-104.01637795275499</v>
          </cell>
          <cell r="F1228">
            <v>133.38519685039722</v>
          </cell>
          <cell r="G1228">
            <v>27.873385826771376</v>
          </cell>
          <cell r="H1228">
            <v>27.873385826771376</v>
          </cell>
          <cell r="I1228" t="e">
            <v>#N/A</v>
          </cell>
          <cell r="J1228" t="e">
            <v>#N/A</v>
          </cell>
          <cell r="K1228">
            <v>90</v>
          </cell>
          <cell r="L1228">
            <v>50</v>
          </cell>
          <cell r="M1228" t="e">
            <v>#N/A</v>
          </cell>
          <cell r="N1228">
            <v>80</v>
          </cell>
          <cell r="O1228" t="e">
            <v>#N/A</v>
          </cell>
          <cell r="P1228" t="str">
            <v/>
          </cell>
          <cell r="Q1228" t="str">
            <v/>
          </cell>
          <cell r="R1228" t="e">
            <v>#N/A</v>
          </cell>
        </row>
        <row r="1229">
          <cell r="A1229" t="str">
            <v/>
          </cell>
          <cell r="B1229" t="str">
            <v/>
          </cell>
          <cell r="C1229" t="str">
            <v>Future</v>
          </cell>
          <cell r="D1229" t="e">
            <v>#N/A</v>
          </cell>
          <cell r="E1229">
            <v>-104.26641732283373</v>
          </cell>
          <cell r="F1229">
            <v>133.48948818897989</v>
          </cell>
          <cell r="G1229">
            <v>27.820196850393422</v>
          </cell>
          <cell r="H1229">
            <v>27.820196850393422</v>
          </cell>
          <cell r="I1229" t="e">
            <v>#N/A</v>
          </cell>
          <cell r="J1229" t="e">
            <v>#N/A</v>
          </cell>
          <cell r="K1229">
            <v>90</v>
          </cell>
          <cell r="L1229">
            <v>50</v>
          </cell>
          <cell r="M1229" t="e">
            <v>#N/A</v>
          </cell>
          <cell r="N1229">
            <v>80</v>
          </cell>
          <cell r="O1229" t="e">
            <v>#N/A</v>
          </cell>
          <cell r="P1229" t="str">
            <v/>
          </cell>
          <cell r="Q1229" t="str">
            <v/>
          </cell>
          <cell r="R1229" t="e">
            <v>#N/A</v>
          </cell>
        </row>
        <row r="1230">
          <cell r="A1230" t="str">
            <v/>
          </cell>
          <cell r="B1230" t="str">
            <v/>
          </cell>
          <cell r="C1230" t="str">
            <v>Future</v>
          </cell>
          <cell r="D1230" t="e">
            <v>#N/A</v>
          </cell>
          <cell r="E1230">
            <v>-104.51645669291247</v>
          </cell>
          <cell r="F1230">
            <v>133.59377952756256</v>
          </cell>
          <cell r="G1230">
            <v>27.767007874015469</v>
          </cell>
          <cell r="H1230">
            <v>27.767007874015469</v>
          </cell>
          <cell r="I1230" t="e">
            <v>#N/A</v>
          </cell>
          <cell r="J1230" t="e">
            <v>#N/A</v>
          </cell>
          <cell r="K1230">
            <v>90</v>
          </cell>
          <cell r="L1230">
            <v>50</v>
          </cell>
          <cell r="M1230" t="e">
            <v>#N/A</v>
          </cell>
          <cell r="N1230">
            <v>80</v>
          </cell>
          <cell r="O1230" t="e">
            <v>#N/A</v>
          </cell>
          <cell r="P1230" t="str">
            <v/>
          </cell>
          <cell r="Q1230" t="str">
            <v/>
          </cell>
          <cell r="R1230" t="e">
            <v>#N/A</v>
          </cell>
        </row>
        <row r="1231">
          <cell r="A1231" t="str">
            <v/>
          </cell>
          <cell r="B1231" t="str">
            <v/>
          </cell>
          <cell r="C1231" t="str">
            <v>Future</v>
          </cell>
          <cell r="D1231" t="e">
            <v>#N/A</v>
          </cell>
          <cell r="E1231">
            <v>-104.76649606299121</v>
          </cell>
          <cell r="F1231">
            <v>133.69807086614523</v>
          </cell>
          <cell r="G1231">
            <v>27.713818897637516</v>
          </cell>
          <cell r="H1231">
            <v>27.713818897637516</v>
          </cell>
          <cell r="I1231" t="e">
            <v>#N/A</v>
          </cell>
          <cell r="J1231" t="e">
            <v>#N/A</v>
          </cell>
          <cell r="K1231">
            <v>90</v>
          </cell>
          <cell r="L1231">
            <v>50</v>
          </cell>
          <cell r="M1231" t="e">
            <v>#N/A</v>
          </cell>
          <cell r="N1231">
            <v>80</v>
          </cell>
          <cell r="O1231" t="e">
            <v>#N/A</v>
          </cell>
          <cell r="P1231" t="str">
            <v/>
          </cell>
          <cell r="Q1231" t="str">
            <v/>
          </cell>
          <cell r="R1231" t="e">
            <v>#N/A</v>
          </cell>
        </row>
        <row r="1232">
          <cell r="A1232" t="str">
            <v/>
          </cell>
          <cell r="B1232" t="str">
            <v/>
          </cell>
          <cell r="C1232" t="str">
            <v>Future</v>
          </cell>
          <cell r="D1232" t="e">
            <v>#N/A</v>
          </cell>
          <cell r="E1232">
            <v>-105.01653543306995</v>
          </cell>
          <cell r="F1232">
            <v>133.8023622047279</v>
          </cell>
          <cell r="G1232">
            <v>27.660629921259563</v>
          </cell>
          <cell r="H1232">
            <v>27.660629921259563</v>
          </cell>
          <cell r="I1232" t="e">
            <v>#N/A</v>
          </cell>
          <cell r="J1232" t="e">
            <v>#N/A</v>
          </cell>
          <cell r="K1232">
            <v>90</v>
          </cell>
          <cell r="L1232">
            <v>50</v>
          </cell>
          <cell r="M1232" t="e">
            <v>#N/A</v>
          </cell>
          <cell r="N1232">
            <v>80</v>
          </cell>
          <cell r="O1232" t="e">
            <v>#N/A</v>
          </cell>
          <cell r="P1232" t="str">
            <v/>
          </cell>
          <cell r="Q1232" t="str">
            <v/>
          </cell>
          <cell r="R1232" t="e">
            <v>#N/A</v>
          </cell>
        </row>
        <row r="1233">
          <cell r="A1233" t="str">
            <v/>
          </cell>
          <cell r="B1233" t="str">
            <v/>
          </cell>
          <cell r="C1233" t="str">
            <v>Future</v>
          </cell>
          <cell r="D1233" t="e">
            <v>#N/A</v>
          </cell>
          <cell r="E1233">
            <v>-105.26657480314869</v>
          </cell>
          <cell r="F1233">
            <v>133.90665354331057</v>
          </cell>
          <cell r="G1233">
            <v>27.60744094488161</v>
          </cell>
          <cell r="H1233">
            <v>27.60744094488161</v>
          </cell>
          <cell r="I1233" t="e">
            <v>#N/A</v>
          </cell>
          <cell r="J1233" t="e">
            <v>#N/A</v>
          </cell>
          <cell r="K1233">
            <v>90</v>
          </cell>
          <cell r="L1233">
            <v>50</v>
          </cell>
          <cell r="M1233" t="e">
            <v>#N/A</v>
          </cell>
          <cell r="N1233">
            <v>80</v>
          </cell>
          <cell r="O1233" t="e">
            <v>#N/A</v>
          </cell>
          <cell r="P1233" t="str">
            <v/>
          </cell>
          <cell r="Q1233" t="str">
            <v/>
          </cell>
          <cell r="R1233" t="e">
            <v>#N/A</v>
          </cell>
        </row>
        <row r="1234">
          <cell r="A1234" t="str">
            <v/>
          </cell>
          <cell r="B1234" t="str">
            <v/>
          </cell>
          <cell r="C1234" t="str">
            <v>Future</v>
          </cell>
          <cell r="D1234" t="e">
            <v>#N/A</v>
          </cell>
          <cell r="E1234">
            <v>-105.51661417322742</v>
          </cell>
          <cell r="F1234">
            <v>134.01094488189324</v>
          </cell>
          <cell r="G1234">
            <v>27.554251968503657</v>
          </cell>
          <cell r="H1234">
            <v>27.554251968503657</v>
          </cell>
          <cell r="I1234" t="e">
            <v>#N/A</v>
          </cell>
          <cell r="J1234" t="e">
            <v>#N/A</v>
          </cell>
          <cell r="K1234">
            <v>90</v>
          </cell>
          <cell r="L1234">
            <v>50</v>
          </cell>
          <cell r="M1234" t="e">
            <v>#N/A</v>
          </cell>
          <cell r="N1234">
            <v>80</v>
          </cell>
          <cell r="O1234" t="e">
            <v>#N/A</v>
          </cell>
          <cell r="P1234" t="str">
            <v/>
          </cell>
          <cell r="Q1234" t="str">
            <v/>
          </cell>
          <cell r="R1234" t="e">
            <v>#N/A</v>
          </cell>
        </row>
        <row r="1235">
          <cell r="A1235" t="str">
            <v/>
          </cell>
          <cell r="B1235" t="str">
            <v/>
          </cell>
          <cell r="C1235" t="str">
            <v>Future</v>
          </cell>
          <cell r="D1235" t="e">
            <v>#N/A</v>
          </cell>
          <cell r="E1235">
            <v>-105.76665354330616</v>
          </cell>
          <cell r="F1235">
            <v>134.11523622047591</v>
          </cell>
          <cell r="G1235">
            <v>27.501062992125703</v>
          </cell>
          <cell r="H1235">
            <v>27.501062992125703</v>
          </cell>
          <cell r="I1235" t="e">
            <v>#N/A</v>
          </cell>
          <cell r="J1235" t="e">
            <v>#N/A</v>
          </cell>
          <cell r="K1235">
            <v>90</v>
          </cell>
          <cell r="L1235">
            <v>50</v>
          </cell>
          <cell r="M1235" t="e">
            <v>#N/A</v>
          </cell>
          <cell r="N1235">
            <v>80</v>
          </cell>
          <cell r="O1235" t="e">
            <v>#N/A</v>
          </cell>
          <cell r="P1235" t="str">
            <v/>
          </cell>
          <cell r="Q1235" t="str">
            <v/>
          </cell>
          <cell r="R1235" t="e">
            <v>#N/A</v>
          </cell>
        </row>
        <row r="1236">
          <cell r="A1236" t="str">
            <v/>
          </cell>
          <cell r="B1236" t="str">
            <v/>
          </cell>
          <cell r="C1236" t="str">
            <v>Future</v>
          </cell>
          <cell r="D1236" t="e">
            <v>#N/A</v>
          </cell>
          <cell r="E1236">
            <v>-106.0166929133849</v>
          </cell>
          <cell r="F1236">
            <v>134.21952755905858</v>
          </cell>
          <cell r="G1236">
            <v>27.44787401574775</v>
          </cell>
          <cell r="H1236">
            <v>27.44787401574775</v>
          </cell>
          <cell r="I1236" t="e">
            <v>#N/A</v>
          </cell>
          <cell r="J1236" t="e">
            <v>#N/A</v>
          </cell>
          <cell r="K1236">
            <v>90</v>
          </cell>
          <cell r="L1236">
            <v>50</v>
          </cell>
          <cell r="M1236" t="e">
            <v>#N/A</v>
          </cell>
          <cell r="N1236">
            <v>80</v>
          </cell>
          <cell r="O1236" t="e">
            <v>#N/A</v>
          </cell>
          <cell r="P1236" t="str">
            <v/>
          </cell>
          <cell r="Q1236" t="str">
            <v/>
          </cell>
          <cell r="R1236" t="e">
            <v>#N/A</v>
          </cell>
        </row>
        <row r="1237">
          <cell r="A1237" t="str">
            <v/>
          </cell>
          <cell r="B1237" t="str">
            <v/>
          </cell>
          <cell r="C1237" t="str">
            <v>Future</v>
          </cell>
          <cell r="D1237" t="e">
            <v>#N/A</v>
          </cell>
          <cell r="E1237">
            <v>-106.26673228346364</v>
          </cell>
          <cell r="F1237">
            <v>134.32381889764125</v>
          </cell>
          <cell r="G1237">
            <v>27.394685039369797</v>
          </cell>
          <cell r="H1237">
            <v>27.394685039369797</v>
          </cell>
          <cell r="I1237" t="e">
            <v>#N/A</v>
          </cell>
          <cell r="J1237" t="e">
            <v>#N/A</v>
          </cell>
          <cell r="K1237">
            <v>90</v>
          </cell>
          <cell r="L1237">
            <v>50</v>
          </cell>
          <cell r="M1237" t="e">
            <v>#N/A</v>
          </cell>
          <cell r="N1237">
            <v>80</v>
          </cell>
          <cell r="O1237" t="e">
            <v>#N/A</v>
          </cell>
          <cell r="P1237" t="str">
            <v/>
          </cell>
          <cell r="Q1237" t="str">
            <v/>
          </cell>
          <cell r="R1237" t="e">
            <v>#N/A</v>
          </cell>
        </row>
        <row r="1238">
          <cell r="A1238" t="str">
            <v/>
          </cell>
          <cell r="B1238" t="str">
            <v/>
          </cell>
          <cell r="C1238" t="str">
            <v>Future</v>
          </cell>
          <cell r="D1238" t="e">
            <v>#N/A</v>
          </cell>
          <cell r="E1238">
            <v>-106.51677165354238</v>
          </cell>
          <cell r="F1238">
            <v>134.42811023622392</v>
          </cell>
          <cell r="G1238">
            <v>27.341496062991844</v>
          </cell>
          <cell r="H1238">
            <v>27.341496062991844</v>
          </cell>
          <cell r="I1238" t="e">
            <v>#N/A</v>
          </cell>
          <cell r="J1238" t="e">
            <v>#N/A</v>
          </cell>
          <cell r="K1238">
            <v>90</v>
          </cell>
          <cell r="L1238">
            <v>50</v>
          </cell>
          <cell r="M1238" t="e">
            <v>#N/A</v>
          </cell>
          <cell r="N1238">
            <v>80</v>
          </cell>
          <cell r="O1238" t="e">
            <v>#N/A</v>
          </cell>
          <cell r="P1238" t="str">
            <v/>
          </cell>
          <cell r="Q1238" t="str">
            <v/>
          </cell>
          <cell r="R1238" t="e">
            <v>#N/A</v>
          </cell>
        </row>
        <row r="1239">
          <cell r="A1239" t="str">
            <v/>
          </cell>
          <cell r="B1239" t="str">
            <v/>
          </cell>
          <cell r="C1239" t="str">
            <v>Future</v>
          </cell>
          <cell r="D1239" t="e">
            <v>#N/A</v>
          </cell>
          <cell r="E1239">
            <v>-106.76681102362112</v>
          </cell>
          <cell r="F1239">
            <v>134.53240157480658</v>
          </cell>
          <cell r="G1239">
            <v>27.288307086613891</v>
          </cell>
          <cell r="H1239">
            <v>27.288307086613891</v>
          </cell>
          <cell r="I1239" t="e">
            <v>#N/A</v>
          </cell>
          <cell r="J1239" t="e">
            <v>#N/A</v>
          </cell>
          <cell r="K1239">
            <v>90</v>
          </cell>
          <cell r="L1239">
            <v>50</v>
          </cell>
          <cell r="M1239" t="e">
            <v>#N/A</v>
          </cell>
          <cell r="N1239">
            <v>80</v>
          </cell>
          <cell r="O1239" t="e">
            <v>#N/A</v>
          </cell>
          <cell r="P1239" t="str">
            <v/>
          </cell>
          <cell r="Q1239" t="str">
            <v/>
          </cell>
          <cell r="R1239" t="e">
            <v>#N/A</v>
          </cell>
        </row>
        <row r="1240">
          <cell r="A1240" t="str">
            <v/>
          </cell>
          <cell r="B1240" t="str">
            <v/>
          </cell>
          <cell r="C1240" t="str">
            <v>Future</v>
          </cell>
          <cell r="D1240" t="e">
            <v>#N/A</v>
          </cell>
          <cell r="E1240">
            <v>-107.01685039369985</v>
          </cell>
          <cell r="F1240">
            <v>134.63669291338925</v>
          </cell>
          <cell r="G1240">
            <v>27.235118110235938</v>
          </cell>
          <cell r="H1240">
            <v>27.235118110235938</v>
          </cell>
          <cell r="I1240" t="e">
            <v>#N/A</v>
          </cell>
          <cell r="J1240" t="e">
            <v>#N/A</v>
          </cell>
          <cell r="K1240">
            <v>90</v>
          </cell>
          <cell r="L1240">
            <v>50</v>
          </cell>
          <cell r="M1240" t="e">
            <v>#N/A</v>
          </cell>
          <cell r="N1240">
            <v>80</v>
          </cell>
          <cell r="O1240" t="e">
            <v>#N/A</v>
          </cell>
          <cell r="P1240" t="str">
            <v/>
          </cell>
          <cell r="Q1240" t="str">
            <v/>
          </cell>
          <cell r="R1240" t="e">
            <v>#N/A</v>
          </cell>
        </row>
        <row r="1241">
          <cell r="A1241" t="str">
            <v/>
          </cell>
          <cell r="B1241" t="str">
            <v/>
          </cell>
          <cell r="C1241" t="str">
            <v>Future</v>
          </cell>
          <cell r="D1241" t="e">
            <v>#N/A</v>
          </cell>
          <cell r="E1241">
            <v>-107.26688976377859</v>
          </cell>
          <cell r="F1241">
            <v>134.74098425197192</v>
          </cell>
          <cell r="G1241">
            <v>27.181929133857984</v>
          </cell>
          <cell r="H1241">
            <v>27.181929133857984</v>
          </cell>
          <cell r="I1241" t="e">
            <v>#N/A</v>
          </cell>
          <cell r="J1241" t="e">
            <v>#N/A</v>
          </cell>
          <cell r="K1241">
            <v>90</v>
          </cell>
          <cell r="L1241">
            <v>50</v>
          </cell>
          <cell r="M1241" t="e">
            <v>#N/A</v>
          </cell>
          <cell r="N1241">
            <v>80</v>
          </cell>
          <cell r="O1241" t="e">
            <v>#N/A</v>
          </cell>
          <cell r="P1241" t="str">
            <v/>
          </cell>
          <cell r="Q1241" t="str">
            <v/>
          </cell>
          <cell r="R1241" t="e">
            <v>#N/A</v>
          </cell>
        </row>
        <row r="1242">
          <cell r="A1242" t="str">
            <v/>
          </cell>
          <cell r="B1242" t="str">
            <v/>
          </cell>
          <cell r="C1242" t="str">
            <v>Future</v>
          </cell>
          <cell r="D1242" t="e">
            <v>#N/A</v>
          </cell>
          <cell r="E1242">
            <v>-107.51692913385733</v>
          </cell>
          <cell r="F1242">
            <v>134.84527559055459</v>
          </cell>
          <cell r="G1242">
            <v>27.128740157480031</v>
          </cell>
          <cell r="H1242">
            <v>27.128740157480031</v>
          </cell>
          <cell r="I1242" t="e">
            <v>#N/A</v>
          </cell>
          <cell r="J1242" t="e">
            <v>#N/A</v>
          </cell>
          <cell r="K1242">
            <v>90</v>
          </cell>
          <cell r="L1242">
            <v>50</v>
          </cell>
          <cell r="M1242" t="e">
            <v>#N/A</v>
          </cell>
          <cell r="N1242">
            <v>80</v>
          </cell>
          <cell r="O1242" t="e">
            <v>#N/A</v>
          </cell>
          <cell r="P1242" t="str">
            <v/>
          </cell>
          <cell r="Q1242" t="str">
            <v/>
          </cell>
          <cell r="R1242" t="e">
            <v>#N/A</v>
          </cell>
        </row>
        <row r="1243">
          <cell r="A1243" t="str">
            <v/>
          </cell>
          <cell r="B1243" t="str">
            <v/>
          </cell>
          <cell r="C1243" t="str">
            <v>Future</v>
          </cell>
          <cell r="D1243" t="e">
            <v>#N/A</v>
          </cell>
          <cell r="E1243">
            <v>-107.76696850393607</v>
          </cell>
          <cell r="F1243">
            <v>134.94956692913726</v>
          </cell>
          <cell r="G1243">
            <v>27.075551181102078</v>
          </cell>
          <cell r="H1243">
            <v>27.075551181102078</v>
          </cell>
          <cell r="I1243" t="e">
            <v>#N/A</v>
          </cell>
          <cell r="J1243" t="e">
            <v>#N/A</v>
          </cell>
          <cell r="K1243">
            <v>90</v>
          </cell>
          <cell r="L1243">
            <v>50</v>
          </cell>
          <cell r="M1243" t="e">
            <v>#N/A</v>
          </cell>
          <cell r="N1243">
            <v>80</v>
          </cell>
          <cell r="O1243" t="e">
            <v>#N/A</v>
          </cell>
          <cell r="P1243" t="str">
            <v/>
          </cell>
          <cell r="Q1243" t="str">
            <v/>
          </cell>
          <cell r="R1243" t="e">
            <v>#N/A</v>
          </cell>
        </row>
        <row r="1244">
          <cell r="A1244" t="str">
            <v/>
          </cell>
          <cell r="B1244" t="str">
            <v/>
          </cell>
          <cell r="C1244" t="str">
            <v>Future</v>
          </cell>
          <cell r="D1244" t="e">
            <v>#N/A</v>
          </cell>
          <cell r="E1244">
            <v>-108.01700787401481</v>
          </cell>
          <cell r="F1244">
            <v>135.05385826771993</v>
          </cell>
          <cell r="G1244">
            <v>27.022362204724125</v>
          </cell>
          <cell r="H1244">
            <v>27.022362204724125</v>
          </cell>
          <cell r="I1244" t="e">
            <v>#N/A</v>
          </cell>
          <cell r="J1244" t="e">
            <v>#N/A</v>
          </cell>
          <cell r="K1244">
            <v>90</v>
          </cell>
          <cell r="L1244">
            <v>50</v>
          </cell>
          <cell r="M1244" t="e">
            <v>#N/A</v>
          </cell>
          <cell r="N1244">
            <v>80</v>
          </cell>
          <cell r="O1244" t="e">
            <v>#N/A</v>
          </cell>
          <cell r="P1244" t="str">
            <v/>
          </cell>
          <cell r="Q1244" t="str">
            <v/>
          </cell>
          <cell r="R1244" t="e">
            <v>#N/A</v>
          </cell>
        </row>
        <row r="1245">
          <cell r="A1245" t="str">
            <v/>
          </cell>
          <cell r="B1245" t="str">
            <v/>
          </cell>
          <cell r="C1245" t="str">
            <v>Future</v>
          </cell>
          <cell r="D1245" t="e">
            <v>#N/A</v>
          </cell>
          <cell r="E1245">
            <v>-108.26704724409355</v>
          </cell>
          <cell r="F1245">
            <v>135.1581496063026</v>
          </cell>
          <cell r="G1245">
            <v>26.969173228346172</v>
          </cell>
          <cell r="H1245">
            <v>26.969173228346172</v>
          </cell>
          <cell r="I1245" t="e">
            <v>#N/A</v>
          </cell>
          <cell r="J1245" t="e">
            <v>#N/A</v>
          </cell>
          <cell r="K1245">
            <v>90</v>
          </cell>
          <cell r="L1245">
            <v>50</v>
          </cell>
          <cell r="M1245" t="e">
            <v>#N/A</v>
          </cell>
          <cell r="N1245">
            <v>80</v>
          </cell>
          <cell r="O1245" t="e">
            <v>#N/A</v>
          </cell>
          <cell r="P1245" t="str">
            <v/>
          </cell>
          <cell r="Q1245" t="str">
            <v/>
          </cell>
          <cell r="R1245" t="e">
            <v>#N/A</v>
          </cell>
        </row>
        <row r="1246">
          <cell r="A1246" t="str">
            <v/>
          </cell>
          <cell r="B1246" t="str">
            <v/>
          </cell>
          <cell r="C1246" t="str">
            <v>Future</v>
          </cell>
          <cell r="D1246" t="e">
            <v>#N/A</v>
          </cell>
          <cell r="E1246">
            <v>-108.51708661417229</v>
          </cell>
          <cell r="F1246">
            <v>135.26244094488527</v>
          </cell>
          <cell r="G1246">
            <v>26.915984251968219</v>
          </cell>
          <cell r="H1246">
            <v>26.915984251968219</v>
          </cell>
          <cell r="I1246" t="e">
            <v>#N/A</v>
          </cell>
          <cell r="J1246" t="e">
            <v>#N/A</v>
          </cell>
          <cell r="K1246">
            <v>90</v>
          </cell>
          <cell r="L1246">
            <v>50</v>
          </cell>
          <cell r="M1246" t="e">
            <v>#N/A</v>
          </cell>
          <cell r="N1246">
            <v>80</v>
          </cell>
          <cell r="O1246" t="e">
            <v>#N/A</v>
          </cell>
          <cell r="P1246" t="str">
            <v/>
          </cell>
          <cell r="Q1246" t="str">
            <v/>
          </cell>
          <cell r="R1246" t="e">
            <v>#N/A</v>
          </cell>
        </row>
        <row r="1247">
          <cell r="A1247" t="str">
            <v/>
          </cell>
          <cell r="B1247" t="str">
            <v/>
          </cell>
          <cell r="C1247" t="str">
            <v>Future</v>
          </cell>
          <cell r="D1247" t="e">
            <v>#N/A</v>
          </cell>
          <cell r="E1247">
            <v>-108.76712598425102</v>
          </cell>
          <cell r="F1247">
            <v>135.36673228346794</v>
          </cell>
          <cell r="G1247">
            <v>26.862795275590265</v>
          </cell>
          <cell r="H1247">
            <v>26.862795275590265</v>
          </cell>
          <cell r="I1247" t="e">
            <v>#N/A</v>
          </cell>
          <cell r="J1247" t="e">
            <v>#N/A</v>
          </cell>
          <cell r="K1247">
            <v>90</v>
          </cell>
          <cell r="L1247">
            <v>50</v>
          </cell>
          <cell r="M1247" t="e">
            <v>#N/A</v>
          </cell>
          <cell r="N1247">
            <v>80</v>
          </cell>
          <cell r="O1247" t="e">
            <v>#N/A</v>
          </cell>
          <cell r="P1247" t="str">
            <v/>
          </cell>
          <cell r="Q1247" t="str">
            <v/>
          </cell>
          <cell r="R1247" t="e">
            <v>#N/A</v>
          </cell>
        </row>
        <row r="1248">
          <cell r="A1248" t="str">
            <v/>
          </cell>
          <cell r="B1248" t="str">
            <v/>
          </cell>
          <cell r="C1248" t="str">
            <v>Future</v>
          </cell>
          <cell r="D1248" t="e">
            <v>#N/A</v>
          </cell>
          <cell r="E1248">
            <v>-109.01716535432976</v>
          </cell>
          <cell r="F1248">
            <v>135.47102362205061</v>
          </cell>
          <cell r="G1248">
            <v>26.809606299212312</v>
          </cell>
          <cell r="H1248">
            <v>26.809606299212312</v>
          </cell>
          <cell r="I1248" t="e">
            <v>#N/A</v>
          </cell>
          <cell r="J1248" t="e">
            <v>#N/A</v>
          </cell>
          <cell r="K1248">
            <v>90</v>
          </cell>
          <cell r="L1248">
            <v>50</v>
          </cell>
          <cell r="M1248" t="e">
            <v>#N/A</v>
          </cell>
          <cell r="N1248">
            <v>80</v>
          </cell>
          <cell r="O1248" t="e">
            <v>#N/A</v>
          </cell>
          <cell r="P1248" t="str">
            <v/>
          </cell>
          <cell r="Q1248" t="str">
            <v/>
          </cell>
          <cell r="R1248" t="e">
            <v>#N/A</v>
          </cell>
        </row>
        <row r="1249">
          <cell r="A1249" t="str">
            <v/>
          </cell>
          <cell r="B1249" t="str">
            <v/>
          </cell>
          <cell r="C1249" t="str">
            <v>Future</v>
          </cell>
          <cell r="D1249" t="e">
            <v>#N/A</v>
          </cell>
          <cell r="E1249">
            <v>-109.2672047244085</v>
          </cell>
          <cell r="F1249">
            <v>135.57531496063328</v>
          </cell>
          <cell r="G1249">
            <v>26.756417322834359</v>
          </cell>
          <cell r="H1249">
            <v>26.756417322834359</v>
          </cell>
          <cell r="I1249" t="e">
            <v>#N/A</v>
          </cell>
          <cell r="J1249" t="e">
            <v>#N/A</v>
          </cell>
          <cell r="K1249">
            <v>90</v>
          </cell>
          <cell r="L1249">
            <v>50</v>
          </cell>
          <cell r="M1249" t="e">
            <v>#N/A</v>
          </cell>
          <cell r="N1249">
            <v>80</v>
          </cell>
          <cell r="O1249" t="e">
            <v>#N/A</v>
          </cell>
          <cell r="P1249" t="str">
            <v/>
          </cell>
          <cell r="Q1249" t="str">
            <v/>
          </cell>
          <cell r="R1249" t="e">
            <v>#N/A</v>
          </cell>
        </row>
        <row r="1250">
          <cell r="A1250" t="str">
            <v/>
          </cell>
          <cell r="B1250" t="str">
            <v/>
          </cell>
          <cell r="C1250" t="str">
            <v>Future</v>
          </cell>
          <cell r="D1250" t="e">
            <v>#N/A</v>
          </cell>
          <cell r="E1250">
            <v>-109.51724409448724</v>
          </cell>
          <cell r="F1250">
            <v>135.67960629921595</v>
          </cell>
          <cell r="G1250">
            <v>26.703228346456406</v>
          </cell>
          <cell r="H1250">
            <v>26.703228346456406</v>
          </cell>
          <cell r="I1250" t="e">
            <v>#N/A</v>
          </cell>
          <cell r="J1250" t="e">
            <v>#N/A</v>
          </cell>
          <cell r="K1250">
            <v>90</v>
          </cell>
          <cell r="L1250">
            <v>50</v>
          </cell>
          <cell r="M1250" t="e">
            <v>#N/A</v>
          </cell>
          <cell r="N1250">
            <v>80</v>
          </cell>
          <cell r="O1250" t="e">
            <v>#N/A</v>
          </cell>
          <cell r="P1250" t="str">
            <v/>
          </cell>
          <cell r="Q1250" t="str">
            <v/>
          </cell>
          <cell r="R1250" t="e">
            <v>#N/A</v>
          </cell>
        </row>
        <row r="1251">
          <cell r="A1251" t="str">
            <v/>
          </cell>
          <cell r="B1251" t="str">
            <v/>
          </cell>
          <cell r="C1251" t="str">
            <v>Future</v>
          </cell>
          <cell r="D1251" t="e">
            <v>#N/A</v>
          </cell>
          <cell r="E1251">
            <v>-109.76728346456598</v>
          </cell>
          <cell r="F1251">
            <v>135.78389763779862</v>
          </cell>
          <cell r="G1251">
            <v>26.650039370078453</v>
          </cell>
          <cell r="H1251">
            <v>26.650039370078453</v>
          </cell>
          <cell r="I1251" t="e">
            <v>#N/A</v>
          </cell>
          <cell r="J1251" t="e">
            <v>#N/A</v>
          </cell>
          <cell r="K1251">
            <v>90</v>
          </cell>
          <cell r="L1251">
            <v>50</v>
          </cell>
          <cell r="M1251" t="e">
            <v>#N/A</v>
          </cell>
          <cell r="N1251">
            <v>80</v>
          </cell>
          <cell r="O1251" t="e">
            <v>#N/A</v>
          </cell>
          <cell r="P1251" t="str">
            <v/>
          </cell>
          <cell r="Q1251" t="str">
            <v/>
          </cell>
          <cell r="R1251" t="e">
            <v>#N/A</v>
          </cell>
        </row>
        <row r="1252">
          <cell r="A1252" t="str">
            <v/>
          </cell>
          <cell r="B1252" t="str">
            <v/>
          </cell>
          <cell r="C1252" t="str">
            <v>Future</v>
          </cell>
          <cell r="D1252" t="e">
            <v>#N/A</v>
          </cell>
          <cell r="E1252">
            <v>-110.01732283464472</v>
          </cell>
          <cell r="F1252">
            <v>135.88818897638129</v>
          </cell>
          <cell r="G1252">
            <v>26.5968503937005</v>
          </cell>
          <cell r="H1252">
            <v>26.5968503937005</v>
          </cell>
          <cell r="I1252" t="e">
            <v>#N/A</v>
          </cell>
          <cell r="J1252" t="e">
            <v>#N/A</v>
          </cell>
          <cell r="K1252">
            <v>90</v>
          </cell>
          <cell r="L1252">
            <v>50</v>
          </cell>
          <cell r="M1252" t="e">
            <v>#N/A</v>
          </cell>
          <cell r="N1252">
            <v>80</v>
          </cell>
          <cell r="O1252" t="e">
            <v>#N/A</v>
          </cell>
          <cell r="P1252" t="str">
            <v/>
          </cell>
          <cell r="Q1252" t="str">
            <v/>
          </cell>
          <cell r="R1252" t="e">
            <v>#N/A</v>
          </cell>
        </row>
        <row r="1253">
          <cell r="A1253" t="str">
            <v/>
          </cell>
          <cell r="P1253" t="str">
            <v/>
          </cell>
          <cell r="Q1253" t="str">
            <v/>
          </cell>
        </row>
      </sheetData>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refreshError="1"/>
      <sheetData sheetId="35" refreshError="1"/>
      <sheetData sheetId="36" refreshError="1"/>
      <sheetData sheetId="37"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ImportantDisclosures"/>
      <sheetName val="Main"/>
      <sheetName val="Share Price"/>
      <sheetName val="ModPubIndex"/>
      <sheetName val="__FDSCACHE__"/>
      <sheetName val="MW-Cache"/>
      <sheetName val="mStartup"/>
      <sheetName val="LinkingMetadata"/>
      <sheetName val="F35 Analysis"/>
      <sheetName val="LMT.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of Contents"/>
      <sheetName val="__FDSCACHE__"/>
      <sheetName val="Instructions"/>
      <sheetName val="1. Order_Deliveries&gt;&gt;"/>
      <sheetName val="from AIRCAP"/>
      <sheetName val="Old Format"/>
      <sheetName val="Aftermarket Aggregation"/>
      <sheetName val="Deliveries LCA &amp; RJ"/>
      <sheetName val="Program Lifecycles"/>
      <sheetName val="QTR Comm Deliveries"/>
      <sheetName val="QTR Comm_Short Form"/>
      <sheetName val="RJ Deliveries_Orders"/>
      <sheetName val="WW Fleet Stats"/>
      <sheetName val="Boeing &amp; Airbus Delivs."/>
      <sheetName val="Deliveries Charts"/>
      <sheetName val="Boeing Monthly"/>
      <sheetName val="AFOSHEET"/>
      <sheetName val="Boeing Book to Bill"/>
      <sheetName val="Airbus Monthly"/>
      <sheetName val="Production"/>
      <sheetName val="Airbus Book to Bill"/>
      <sheetName val="B Delivs by Customer"/>
      <sheetName val="Boeing Backlog"/>
      <sheetName val="BA Deliveries vs. Backlog"/>
      <sheetName val="Boeing Charts"/>
      <sheetName val="A Delivs by Customer"/>
      <sheetName val="Backlog v Deliveries"/>
      <sheetName val="Sang-scratch"/>
      <sheetName val="Sang - Charts"/>
      <sheetName val="2. Stored Aircraft&gt;&gt;"/>
      <sheetName val="StoredAC"/>
      <sheetName val="StoredAC v2"/>
      <sheetName val="Storage Summary"/>
      <sheetName val="LinkingMetadata"/>
      <sheetName val="Storage Graphs"/>
      <sheetName val="Years Backlog"/>
      <sheetName val="#REF"/>
      <sheetName val="Boeing Book to Bill (2)"/>
      <sheetName val="Gross Backlog Charts"/>
      <sheetName val="Boeing Book to Bill (Total)"/>
      <sheetName val="Boeing Book to Bill (737)"/>
      <sheetName val="Boeing Book to Bill (747)"/>
      <sheetName val="Boeing Book to Bill (777)"/>
      <sheetName val="Boeing Book to Bill (787)"/>
      <sheetName val="Boeing&amp;Airbus Book to Bill"/>
      <sheetName val="Sheet1"/>
      <sheetName val="Deliveries"/>
    </sheetNames>
    <sheetDataSet>
      <sheetData sheetId="0">
        <row r="1">
          <cell r="A1" t="str">
            <v>Aerospace Data Pack</v>
          </cell>
        </row>
      </sheetData>
      <sheetData sheetId="1"/>
      <sheetData sheetId="2"/>
      <sheetData sheetId="3"/>
      <sheetData sheetId="4">
        <row r="1">
          <cell r="AG1" t="str">
            <v>OLD NUMBERS</v>
          </cell>
        </row>
      </sheetData>
      <sheetData sheetId="5">
        <row r="2">
          <cell r="A2" t="str">
            <v>Commercial Jet Transport</v>
          </cell>
        </row>
      </sheetData>
      <sheetData sheetId="6"/>
      <sheetData sheetId="7">
        <row r="1">
          <cell r="A1" t="str">
            <v>Annual Deliveries</v>
          </cell>
        </row>
      </sheetData>
      <sheetData sheetId="8">
        <row r="1">
          <cell r="A1" t="str">
            <v>Program Lifecycles</v>
          </cell>
        </row>
      </sheetData>
      <sheetData sheetId="9"/>
      <sheetData sheetId="10"/>
      <sheetData sheetId="11"/>
      <sheetData sheetId="12">
        <row r="1">
          <cell r="A1" t="str">
            <v>Worldwide Flight Stats</v>
          </cell>
        </row>
      </sheetData>
      <sheetData sheetId="13"/>
      <sheetData sheetId="14" refreshError="1"/>
      <sheetData sheetId="15">
        <row r="1">
          <cell r="A1" t="str">
            <v>Boeing Monthly</v>
          </cell>
        </row>
      </sheetData>
      <sheetData sheetId="16"/>
      <sheetData sheetId="17" refreshError="1"/>
      <sheetData sheetId="18">
        <row r="1">
          <cell r="A1" t="str">
            <v>Airbus Monthly</v>
          </cell>
        </row>
      </sheetData>
      <sheetData sheetId="19" refreshError="1"/>
      <sheetData sheetId="20" refreshError="1"/>
      <sheetData sheetId="21"/>
      <sheetData sheetId="22"/>
      <sheetData sheetId="23" refreshError="1"/>
      <sheetData sheetId="24">
        <row r="4">
          <cell r="C4" t="str">
            <v xml:space="preserve">BA Gross </v>
          </cell>
        </row>
      </sheetData>
      <sheetData sheetId="25"/>
      <sheetData sheetId="26" refreshError="1"/>
      <sheetData sheetId="27" refreshError="1"/>
      <sheetData sheetId="28" refreshError="1"/>
      <sheetData sheetId="29"/>
      <sheetData sheetId="30">
        <row r="3">
          <cell r="B3">
            <v>41639</v>
          </cell>
        </row>
      </sheetData>
      <sheetData sheetId="31">
        <row r="8">
          <cell r="B8" t="str">
            <v>Date</v>
          </cell>
        </row>
      </sheetData>
      <sheetData sheetId="32">
        <row r="1">
          <cell r="A1" t="str">
            <v>Stored Aircraft Summary</v>
          </cell>
        </row>
      </sheetData>
      <sheetData sheetId="33"/>
      <sheetData sheetId="34" refreshError="1"/>
      <sheetData sheetId="35">
        <row r="3">
          <cell r="V3" t="str">
            <v>TOTAL</v>
          </cell>
        </row>
      </sheetData>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sheetData sheetId="46"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Cons"/>
      <sheetName val="Variance"/>
      <sheetName val="Main"/>
      <sheetName val="Govt Systems"/>
      <sheetName val="Comm Networks"/>
      <sheetName val="Sat Services"/>
      <sheetName val="Valuation"/>
      <sheetName val="DCF"/>
      <sheetName val="SOTP"/>
      <sheetName val="__FDSCACHE__"/>
      <sheetName val="MW-Cache"/>
      <sheetName val="mStartup"/>
      <sheetName val="Scratch"/>
      <sheetName val="Output"/>
      <sheetName val="PR"/>
      <sheetName val="mwareDates"/>
      <sheetName val="MWA RR"/>
      <sheetName val="mwareSettings"/>
    </sheetNames>
    <sheetDataSet>
      <sheetData sheetId="0" refreshError="1"/>
      <sheetData sheetId="1" refreshError="1"/>
      <sheetData sheetId="2" refreshError="1">
        <row r="1">
          <cell r="A1" t="str">
            <v>ViaSat Inc.</v>
          </cell>
        </row>
        <row r="2">
          <cell r="A2" t="str">
            <v>Quarterly Analysis</v>
          </cell>
        </row>
        <row r="3">
          <cell r="A3" t="str">
            <v>Morgan Stanely Research</v>
          </cell>
        </row>
        <row r="4">
          <cell r="A4" t="str">
            <v>($ in Millions Except EPS)</v>
          </cell>
        </row>
        <row r="6">
          <cell r="D6" t="str">
            <v>offset value</v>
          </cell>
          <cell r="F6">
            <v>10</v>
          </cell>
          <cell r="I6">
            <v>6</v>
          </cell>
        </row>
        <row r="7">
          <cell r="D7" t="str">
            <v>Time Period</v>
          </cell>
          <cell r="F7" t="str">
            <v>2011-Q2</v>
          </cell>
          <cell r="I7" t="str">
            <v>2010-Q2</v>
          </cell>
        </row>
        <row r="9">
          <cell r="F9" t="str">
            <v>Actual</v>
          </cell>
          <cell r="G9" t="str">
            <v>Est.</v>
          </cell>
          <cell r="H9" t="str">
            <v>Cons.</v>
          </cell>
          <cell r="I9" t="str">
            <v>Actual</v>
          </cell>
          <cell r="J9" t="str">
            <v>Y/Y Variance</v>
          </cell>
          <cell r="L9" t="str">
            <v>A vs E Variance</v>
          </cell>
          <cell r="N9" t="str">
            <v>A vs C Variance</v>
          </cell>
        </row>
        <row r="10">
          <cell r="B10" t="str">
            <v>($USD in MM Ex EPS)</v>
          </cell>
          <cell r="F10" t="str">
            <v>2011-Q2</v>
          </cell>
          <cell r="G10" t="str">
            <v>2011-Q2E</v>
          </cell>
          <cell r="H10" t="str">
            <v>2011-Q2C</v>
          </cell>
          <cell r="I10" t="str">
            <v>2010-Q2</v>
          </cell>
          <cell r="J10" t="str">
            <v>Ch.</v>
          </cell>
          <cell r="K10" t="str">
            <v>%</v>
          </cell>
          <cell r="L10" t="str">
            <v>Ch.</v>
          </cell>
          <cell r="M10" t="str">
            <v>%</v>
          </cell>
          <cell r="N10" t="str">
            <v>Ch.</v>
          </cell>
          <cell r="O10" t="str">
            <v>%</v>
          </cell>
        </row>
        <row r="12">
          <cell r="B12" t="str">
            <v>Revenue</v>
          </cell>
        </row>
        <row r="13">
          <cell r="B13" t="e">
            <v>#REF!</v>
          </cell>
          <cell r="C13" t="str">
            <v>Government Systems</v>
          </cell>
          <cell r="F13">
            <v>94.936999999999998</v>
          </cell>
          <cell r="G13">
            <v>96.2</v>
          </cell>
          <cell r="I13">
            <v>102.798</v>
          </cell>
          <cell r="J13">
            <v>-7.8610000000000042</v>
          </cell>
          <cell r="K13">
            <v>-7.6470359345512606E-2</v>
          </cell>
          <cell r="L13">
            <v>-1.2630000000000052</v>
          </cell>
          <cell r="M13">
            <v>-1.312889812889817E-2</v>
          </cell>
        </row>
        <row r="14">
          <cell r="B14" t="e">
            <v>#REF!</v>
          </cell>
          <cell r="C14" t="str">
            <v>Commercial Networks</v>
          </cell>
          <cell r="F14">
            <v>44.311999999999998</v>
          </cell>
          <cell r="G14">
            <v>55.119</v>
          </cell>
          <cell r="I14">
            <v>54.37</v>
          </cell>
          <cell r="J14">
            <v>-10.058</v>
          </cell>
          <cell r="K14">
            <v>-0.1849917233768622</v>
          </cell>
          <cell r="L14">
            <v>-10.807000000000002</v>
          </cell>
          <cell r="M14">
            <v>-0.19606669206625671</v>
          </cell>
        </row>
        <row r="15">
          <cell r="C15" t="str">
            <v>Satellite Services</v>
          </cell>
          <cell r="F15">
            <v>58.64</v>
          </cell>
          <cell r="G15">
            <v>57.83783554288685</v>
          </cell>
          <cell r="I15">
            <v>3.4980000000000002</v>
          </cell>
          <cell r="J15">
            <v>55.142000000000003</v>
          </cell>
          <cell r="K15" t="str">
            <v xml:space="preserve">NM </v>
          </cell>
          <cell r="L15">
            <v>0.80216445711315032</v>
          </cell>
          <cell r="M15">
            <v>1.3869199107880537E-2</v>
          </cell>
        </row>
        <row r="16">
          <cell r="B16" t="str">
            <v>Total Revenue</v>
          </cell>
          <cell r="F16">
            <v>197.88900000000001</v>
          </cell>
          <cell r="G16">
            <v>209.15683554288688</v>
          </cell>
          <cell r="H16">
            <v>211.6343</v>
          </cell>
          <cell r="I16">
            <v>160.666</v>
          </cell>
          <cell r="J16">
            <v>37.223000000000013</v>
          </cell>
          <cell r="K16">
            <v>0.23167938456176174</v>
          </cell>
          <cell r="L16">
            <v>-11.267835542886871</v>
          </cell>
          <cell r="M16">
            <v>-5.3872662175444175E-2</v>
          </cell>
          <cell r="N16">
            <v>-13.745299999999986</v>
          </cell>
          <cell r="O16">
            <v>-6.4948356669972673E-2</v>
          </cell>
        </row>
        <row r="18">
          <cell r="B18" t="str">
            <v>Segment Profit</v>
          </cell>
        </row>
        <row r="19">
          <cell r="C19" t="str">
            <v>Government Systems</v>
          </cell>
          <cell r="F19">
            <v>12.808</v>
          </cell>
          <cell r="G19">
            <v>13.848000000000003</v>
          </cell>
          <cell r="I19">
            <v>14.259</v>
          </cell>
          <cell r="J19">
            <v>-1.4510000000000005</v>
          </cell>
          <cell r="K19">
            <v>-0.10176029174556422</v>
          </cell>
          <cell r="L19">
            <v>-1.0400000000000027</v>
          </cell>
          <cell r="M19">
            <v>-7.5101097631427138E-2</v>
          </cell>
        </row>
        <row r="20">
          <cell r="C20" t="str">
            <v>Commercial Networks</v>
          </cell>
          <cell r="F20">
            <v>-2.347</v>
          </cell>
          <cell r="G20">
            <v>-0.56400000000000006</v>
          </cell>
          <cell r="I20">
            <v>2.4500000000000002</v>
          </cell>
          <cell r="J20">
            <v>-4.7970000000000006</v>
          </cell>
          <cell r="K20" t="str">
            <v xml:space="preserve">NM </v>
          </cell>
          <cell r="L20">
            <v>-1.7829999999999999</v>
          </cell>
          <cell r="M20" t="str">
            <v xml:space="preserve">NM </v>
          </cell>
        </row>
        <row r="21">
          <cell r="C21" t="str">
            <v>Satellite Services</v>
          </cell>
          <cell r="F21">
            <v>7.7060000000000004</v>
          </cell>
          <cell r="G21">
            <v>10.725486537911769</v>
          </cell>
          <cell r="I21">
            <v>-3.335</v>
          </cell>
          <cell r="J21">
            <v>11.041</v>
          </cell>
          <cell r="K21" t="str">
            <v xml:space="preserve">NM </v>
          </cell>
          <cell r="L21">
            <v>-3.0194865379117681</v>
          </cell>
          <cell r="M21">
            <v>-0.28152443502107605</v>
          </cell>
        </row>
        <row r="22">
          <cell r="B22" t="str">
            <v>Total Segment Profit (EBITA)</v>
          </cell>
          <cell r="F22">
            <v>18.167000000000002</v>
          </cell>
          <cell r="G22">
            <v>24.009486537911769</v>
          </cell>
          <cell r="H22">
            <v>24.108149000000001</v>
          </cell>
          <cell r="I22">
            <v>13.373999999999999</v>
          </cell>
          <cell r="J22">
            <v>4.7930000000000028</v>
          </cell>
          <cell r="K22">
            <v>0.35838193509795158</v>
          </cell>
          <cell r="L22">
            <v>-5.8424865379117676</v>
          </cell>
          <cell r="M22">
            <v>-0.24334075319296355</v>
          </cell>
          <cell r="N22">
            <v>-5.9411489999999993</v>
          </cell>
          <cell r="O22">
            <v>-0.24643737683884392</v>
          </cell>
        </row>
        <row r="24">
          <cell r="C24" t="str">
            <v>Eliminations</v>
          </cell>
          <cell r="F24">
            <v>0</v>
          </cell>
          <cell r="G24">
            <v>0</v>
          </cell>
          <cell r="I24">
            <v>0</v>
          </cell>
        </row>
        <row r="25">
          <cell r="C25" t="str">
            <v>Corporate Expense</v>
          </cell>
          <cell r="F25">
            <v>0</v>
          </cell>
          <cell r="G25">
            <v>-5.0000000000000001E-4</v>
          </cell>
          <cell r="I25">
            <v>1.7000000000000001E-2</v>
          </cell>
        </row>
        <row r="26">
          <cell r="C26" t="str">
            <v>Amortization of Intangibles</v>
          </cell>
          <cell r="F26">
            <v>-5.0940000000000003</v>
          </cell>
          <cell r="G26">
            <v>-4.4517499999999997</v>
          </cell>
          <cell r="I26">
            <v>-1.3620000000000001</v>
          </cell>
        </row>
        <row r="27">
          <cell r="B27" t="str">
            <v>EBIT</v>
          </cell>
          <cell r="F27">
            <v>13.073</v>
          </cell>
          <cell r="G27">
            <v>19.55723653791177</v>
          </cell>
          <cell r="I27">
            <v>12.028999999999998</v>
          </cell>
          <cell r="J27">
            <v>1.0440000000000023</v>
          </cell>
          <cell r="K27">
            <v>7.9859251893215188E-2</v>
          </cell>
          <cell r="L27">
            <v>-6.4842365379117695</v>
          </cell>
          <cell r="M27">
            <v>-0.33155177753984078</v>
          </cell>
        </row>
        <row r="29">
          <cell r="B29" t="str">
            <v>Interest Income</v>
          </cell>
          <cell r="F29">
            <v>6.3E-2</v>
          </cell>
          <cell r="G29">
            <v>0.13900000000000001</v>
          </cell>
          <cell r="I29">
            <v>0.10100000000000001</v>
          </cell>
          <cell r="J29">
            <v>-3.8000000000000006E-2</v>
          </cell>
          <cell r="K29">
            <v>-0.37623762376237624</v>
          </cell>
          <cell r="L29">
            <v>-7.6000000000000012E-2</v>
          </cell>
          <cell r="M29">
            <v>-0.5467625899280576</v>
          </cell>
        </row>
        <row r="30">
          <cell r="B30" t="str">
            <v>Interest Expense</v>
          </cell>
          <cell r="F30">
            <v>-0.95</v>
          </cell>
          <cell r="G30">
            <v>-0.85610937499999995</v>
          </cell>
          <cell r="I30">
            <v>-0.23</v>
          </cell>
          <cell r="J30">
            <v>-0.72</v>
          </cell>
          <cell r="K30">
            <v>3.1304347826086953</v>
          </cell>
          <cell r="L30">
            <v>-9.3890625000000005E-2</v>
          </cell>
          <cell r="M30">
            <v>0.10967129638079243</v>
          </cell>
        </row>
        <row r="31">
          <cell r="B31" t="str">
            <v>Net Interest</v>
          </cell>
          <cell r="F31">
            <v>-0.88700000000000001</v>
          </cell>
          <cell r="G31">
            <v>-0.71710937499999994</v>
          </cell>
          <cell r="I31">
            <v>-0.129</v>
          </cell>
        </row>
        <row r="32">
          <cell r="B32" t="str">
            <v>Pre-Tax Income</v>
          </cell>
          <cell r="F32">
            <v>12.186000000000002</v>
          </cell>
          <cell r="G32">
            <v>18.84012716291177</v>
          </cell>
          <cell r="I32">
            <v>11.899999999999999</v>
          </cell>
          <cell r="J32">
            <v>0.28600000000000314</v>
          </cell>
          <cell r="K32">
            <v>2.4033613445378466E-2</v>
          </cell>
          <cell r="L32">
            <v>-6.6541271629117684</v>
          </cell>
          <cell r="M32">
            <v>-0.35318907910616049</v>
          </cell>
        </row>
        <row r="34">
          <cell r="B34" t="str">
            <v>Taxes</v>
          </cell>
          <cell r="F34">
            <v>-4.3849999999999998</v>
          </cell>
          <cell r="G34">
            <v>-6.9708470502773547</v>
          </cell>
          <cell r="I34">
            <v>-2.8079999999999998</v>
          </cell>
        </row>
        <row r="35">
          <cell r="B35" t="str">
            <v>Effective Tax Rate</v>
          </cell>
          <cell r="F35">
            <v>0.3598391596914492</v>
          </cell>
          <cell r="G35">
            <v>0.37</v>
          </cell>
          <cell r="I35">
            <v>0.23596638655462188</v>
          </cell>
        </row>
        <row r="37">
          <cell r="B37" t="str">
            <v>Non-controlling Interest</v>
          </cell>
          <cell r="F37">
            <v>-1.4999999999999999E-2</v>
          </cell>
          <cell r="G37">
            <v>7.4249999999999997E-2</v>
          </cell>
          <cell r="I37">
            <v>8.3000000000000004E-2</v>
          </cell>
        </row>
        <row r="38">
          <cell r="B38" t="str">
            <v>Discontinued Operations</v>
          </cell>
          <cell r="F38">
            <v>0</v>
          </cell>
          <cell r="G38">
            <v>0</v>
          </cell>
          <cell r="I38">
            <v>0</v>
          </cell>
        </row>
        <row r="39">
          <cell r="B39" t="str">
            <v>Net Income</v>
          </cell>
          <cell r="F39">
            <v>7.7860000000000023</v>
          </cell>
          <cell r="G39">
            <v>11.869280112634415</v>
          </cell>
          <cell r="H39">
            <v>11.674733</v>
          </cell>
          <cell r="I39">
            <v>9.1749999999999989</v>
          </cell>
          <cell r="J39">
            <v>-1.3889999999999967</v>
          </cell>
          <cell r="K39">
            <v>-0.15138964577656644</v>
          </cell>
          <cell r="L39">
            <v>-4.0832801126344132</v>
          </cell>
          <cell r="M39">
            <v>-0.34402087353957633</v>
          </cell>
          <cell r="N39">
            <v>-3.8887329999999976</v>
          </cell>
          <cell r="O39">
            <v>-0.33308967322850103</v>
          </cell>
        </row>
        <row r="41">
          <cell r="B41" t="str">
            <v>EPS, Cont. Ops</v>
          </cell>
          <cell r="F41">
            <v>0.18226935412131007</v>
          </cell>
          <cell r="G41">
            <v>0.28102423794433917</v>
          </cell>
          <cell r="I41">
            <v>0.27763488365055827</v>
          </cell>
          <cell r="J41">
            <v>-9.5365529529248205E-2</v>
          </cell>
          <cell r="K41">
            <v>-0.34349260537908077</v>
          </cell>
          <cell r="L41">
            <v>-9.8754883823029105E-2</v>
          </cell>
          <cell r="M41">
            <v>-0.35141055641822938</v>
          </cell>
        </row>
        <row r="42">
          <cell r="B42" t="str">
            <v>EPS, Non-recurring</v>
          </cell>
          <cell r="F42">
            <v>0</v>
          </cell>
          <cell r="G42">
            <v>0</v>
          </cell>
          <cell r="I42">
            <v>0</v>
          </cell>
        </row>
        <row r="43">
          <cell r="B43" t="str">
            <v>EPS, Reported</v>
          </cell>
          <cell r="F43">
            <v>0.18226935412131007</v>
          </cell>
          <cell r="G43">
            <v>0.28102423794433917</v>
          </cell>
          <cell r="I43">
            <v>0.27763488365055827</v>
          </cell>
          <cell r="J43">
            <v>-9.5365529529248205E-2</v>
          </cell>
          <cell r="K43">
            <v>-0.34349260537908077</v>
          </cell>
          <cell r="L43">
            <v>-9.8754883823029105E-2</v>
          </cell>
          <cell r="M43">
            <v>-0.35141055641822938</v>
          </cell>
        </row>
        <row r="45">
          <cell r="B45" t="str">
            <v>Shares Outstanding</v>
          </cell>
          <cell r="F45">
            <v>42.716999999999999</v>
          </cell>
          <cell r="G45">
            <v>42.5</v>
          </cell>
          <cell r="I45">
            <v>33.046999999999997</v>
          </cell>
        </row>
        <row r="47">
          <cell r="B47" t="str">
            <v>Segment Margins</v>
          </cell>
          <cell r="K47" t="str">
            <v>bps</v>
          </cell>
          <cell r="M47" t="str">
            <v>bps</v>
          </cell>
        </row>
        <row r="48">
          <cell r="C48" t="str">
            <v>Government Systems</v>
          </cell>
          <cell r="F48">
            <v>0.13491051960773986</v>
          </cell>
          <cell r="G48">
            <v>0.14395010395010396</v>
          </cell>
          <cell r="I48">
            <v>0.13870892429813811</v>
          </cell>
          <cell r="J48">
            <v>-3.7984046903982438E-3</v>
          </cell>
          <cell r="K48">
            <v>-37.984046903982438</v>
          </cell>
          <cell r="L48">
            <v>-9.0395843423640987E-3</v>
          </cell>
          <cell r="M48">
            <v>-90.395843423640983</v>
          </cell>
        </row>
        <row r="49">
          <cell r="C49" t="str">
            <v>Commercial Networks</v>
          </cell>
          <cell r="F49">
            <v>-5.2965336703376061E-2</v>
          </cell>
          <cell r="G49">
            <v>-1.0232406248299136E-2</v>
          </cell>
          <cell r="I49">
            <v>4.5061614861136662E-2</v>
          </cell>
          <cell r="J49">
            <v>-9.8026951564512715E-2</v>
          </cell>
          <cell r="K49">
            <v>-980.26951564512717</v>
          </cell>
          <cell r="L49">
            <v>-4.2732930455076923E-2</v>
          </cell>
          <cell r="M49">
            <v>-427.32930455076922</v>
          </cell>
        </row>
        <row r="50">
          <cell r="C50" t="str">
            <v>Satellite Services</v>
          </cell>
          <cell r="F50">
            <v>0.13141200545702592</v>
          </cell>
          <cell r="G50">
            <v>0.18544066245284718</v>
          </cell>
          <cell r="I50" t="str">
            <v xml:space="preserve">NM </v>
          </cell>
          <cell r="J50" t="str">
            <v xml:space="preserve">NM </v>
          </cell>
          <cell r="K50" t="str">
            <v xml:space="preserve">NM </v>
          </cell>
          <cell r="L50">
            <v>-5.4028656995821267E-2</v>
          </cell>
          <cell r="M50">
            <v>-540.28656995821268</v>
          </cell>
        </row>
        <row r="51">
          <cell r="B51" t="str">
            <v>Total Segment Margin</v>
          </cell>
          <cell r="F51">
            <v>9.1803991126338511E-2</v>
          </cell>
          <cell r="G51">
            <v>0.11479178519598852</v>
          </cell>
          <cell r="H51">
            <v>0.11391418593299858</v>
          </cell>
          <cell r="I51">
            <v>8.3241009298793758E-2</v>
          </cell>
          <cell r="J51">
            <v>8.5629818275447522E-3</v>
          </cell>
          <cell r="K51">
            <v>85.629818275447519</v>
          </cell>
          <cell r="L51">
            <v>-2.2987794069650014E-2</v>
          </cell>
          <cell r="M51">
            <v>-229.87794069650013</v>
          </cell>
        </row>
        <row r="52">
          <cell r="B52" t="str">
            <v>EBIT Margin</v>
          </cell>
          <cell r="F52">
            <v>6.6062287443971107E-2</v>
          </cell>
          <cell r="G52">
            <v>9.3505127322992154E-2</v>
          </cell>
          <cell r="I52">
            <v>7.486960526807164E-2</v>
          </cell>
          <cell r="J52">
            <v>-8.8073178241005329E-3</v>
          </cell>
          <cell r="K52">
            <v>-88.073178241005323</v>
          </cell>
          <cell r="L52">
            <v>-2.7442839879021047E-2</v>
          </cell>
          <cell r="M52">
            <v>-274.42839879021045</v>
          </cell>
        </row>
        <row r="54">
          <cell r="B54" t="str">
            <v>WildBlue Operating Statistics</v>
          </cell>
        </row>
        <row r="55">
          <cell r="B55" t="str">
            <v>Ending Subs</v>
          </cell>
          <cell r="F55">
            <v>416</v>
          </cell>
          <cell r="G55">
            <v>416.95</v>
          </cell>
          <cell r="I55">
            <v>405</v>
          </cell>
          <cell r="J55">
            <v>11</v>
          </cell>
          <cell r="K55">
            <v>2.716049382716057E-2</v>
          </cell>
          <cell r="L55">
            <v>-0.94999999999998863</v>
          </cell>
          <cell r="M55">
            <v>-2.278450653555586E-3</v>
          </cell>
          <cell r="S55">
            <v>29.46</v>
          </cell>
        </row>
        <row r="56">
          <cell r="B56" t="str">
            <v>Avg. Subs</v>
          </cell>
          <cell r="F56">
            <v>415.97500000000002</v>
          </cell>
          <cell r="G56">
            <v>415.97500000000002</v>
          </cell>
          <cell r="I56">
            <v>397.5</v>
          </cell>
          <cell r="J56">
            <v>18.475000000000023</v>
          </cell>
          <cell r="K56">
            <v>4.6477987421383649E-2</v>
          </cell>
          <cell r="L56">
            <v>0</v>
          </cell>
          <cell r="M56">
            <v>0</v>
          </cell>
          <cell r="S56">
            <v>28.4</v>
          </cell>
        </row>
        <row r="57">
          <cell r="B57" t="str">
            <v>ARPU</v>
          </cell>
          <cell r="F57">
            <v>42.904007687070013</v>
          </cell>
          <cell r="G57">
            <v>42.904007687070013</v>
          </cell>
          <cell r="I57">
            <v>41.820545102702191</v>
          </cell>
          <cell r="J57">
            <v>1.0834625843678225</v>
          </cell>
          <cell r="K57">
            <v>2.5907423772384419E-2</v>
          </cell>
          <cell r="L57">
            <v>0</v>
          </cell>
          <cell r="M57">
            <v>0</v>
          </cell>
          <cell r="S57">
            <v>1.0373239436619719</v>
          </cell>
        </row>
        <row r="59">
          <cell r="B59" t="str">
            <v>Adj. Net Income</v>
          </cell>
        </row>
        <row r="60">
          <cell r="B60" t="str">
            <v>GAAP Net Income</v>
          </cell>
          <cell r="F60">
            <v>7.7860000000000005</v>
          </cell>
          <cell r="G60">
            <v>11.943530112634415</v>
          </cell>
          <cell r="I60">
            <v>9.1749999999999989</v>
          </cell>
        </row>
        <row r="61">
          <cell r="B61" t="str">
            <v>Amortization of intangible assets</v>
          </cell>
          <cell r="F61">
            <v>5.0940000000000003</v>
          </cell>
          <cell r="G61">
            <v>4.4517499999999997</v>
          </cell>
          <cell r="I61">
            <v>1.3620000000000001</v>
          </cell>
        </row>
        <row r="62">
          <cell r="B62" t="str">
            <v>Stock-based compensation expense</v>
          </cell>
          <cell r="F62">
            <v>4.1460000000000008</v>
          </cell>
          <cell r="G62">
            <v>4.5</v>
          </cell>
          <cell r="I62">
            <v>2.5320000000000005</v>
          </cell>
        </row>
        <row r="63">
          <cell r="B63" t="str">
            <v>Acquisition related expenses</v>
          </cell>
          <cell r="F63">
            <v>0.19400000000000001</v>
          </cell>
          <cell r="G63">
            <v>0</v>
          </cell>
          <cell r="I63">
            <v>2.496</v>
          </cell>
        </row>
        <row r="64">
          <cell r="B64" t="str">
            <v>Income tax effect</v>
          </cell>
          <cell r="F64">
            <v>-3.5750000000000002</v>
          </cell>
          <cell r="G64">
            <v>-3.4016650000000004</v>
          </cell>
          <cell r="I64">
            <v>-2.42</v>
          </cell>
        </row>
        <row r="65">
          <cell r="B65" t="str">
            <v>Adj. Net Income</v>
          </cell>
          <cell r="F65">
            <v>13.645000000000003</v>
          </cell>
          <cell r="G65">
            <v>17.493615112634412</v>
          </cell>
          <cell r="I65">
            <v>13.145</v>
          </cell>
          <cell r="J65">
            <v>0.50000000000000355</v>
          </cell>
          <cell r="K65">
            <v>3.8037276531000641E-2</v>
          </cell>
          <cell r="L65">
            <v>-3.848615112634409</v>
          </cell>
          <cell r="M65">
            <v>-0.22000113114726205</v>
          </cell>
        </row>
        <row r="67">
          <cell r="B67" t="str">
            <v>Adj. EPS</v>
          </cell>
          <cell r="F67">
            <v>0.31942786244352372</v>
          </cell>
          <cell r="G67">
            <v>0.41161447323845674</v>
          </cell>
          <cell r="H67">
            <v>0.4</v>
          </cell>
          <cell r="I67">
            <v>0.39776681695766636</v>
          </cell>
          <cell r="J67">
            <v>-7.8338954514142634E-2</v>
          </cell>
          <cell r="K67">
            <v>-0.19694693266100205</v>
          </cell>
          <cell r="L67">
            <v>-9.218661079493301E-2</v>
          </cell>
          <cell r="M67">
            <v>-0.22396348230818264</v>
          </cell>
          <cell r="N67">
            <v>-8.0572137556476298E-2</v>
          </cell>
          <cell r="O67">
            <v>-0.20143034389119074</v>
          </cell>
        </row>
        <row r="68">
          <cell r="B68" t="str">
            <v>Check</v>
          </cell>
          <cell r="F68">
            <v>0.31942786244352372</v>
          </cell>
          <cell r="G68">
            <v>0.41161447323845674</v>
          </cell>
          <cell r="I68">
            <v>0.39776681695766636</v>
          </cell>
        </row>
        <row r="70">
          <cell r="B70" t="str">
            <v>Per Share:</v>
          </cell>
        </row>
        <row r="71">
          <cell r="B71" t="str">
            <v>GAAP EPS</v>
          </cell>
          <cell r="F71">
            <v>0.18226935412131004</v>
          </cell>
          <cell r="G71">
            <v>0.28102423794433917</v>
          </cell>
          <cell r="I71">
            <v>0.27763488365055827</v>
          </cell>
        </row>
        <row r="72">
          <cell r="B72" t="str">
            <v>Amortization of intangible assets</v>
          </cell>
          <cell r="F72">
            <v>7.4060360546253604E-2</v>
          </cell>
          <cell r="G72">
            <v>6.4943176470588226E-2</v>
          </cell>
          <cell r="I72">
            <v>2.5605585784707549E-2</v>
          </cell>
        </row>
        <row r="73">
          <cell r="B73" t="str">
            <v>Stock-based compensation expense</v>
          </cell>
          <cell r="F73">
            <v>6.0277631492887208E-2</v>
          </cell>
          <cell r="G73">
            <v>6.5647058823529419E-2</v>
          </cell>
          <cell r="I73">
            <v>4.760157357333298E-2</v>
          </cell>
        </row>
        <row r="74">
          <cell r="B74" t="str">
            <v>Acquisition related expenses</v>
          </cell>
          <cell r="F74">
            <v>2.8205162830728697E-3</v>
          </cell>
          <cell r="G74">
            <v>0</v>
          </cell>
          <cell r="I74">
            <v>4.6924773949067571E-2</v>
          </cell>
        </row>
        <row r="75">
          <cell r="B75" t="str">
            <v>Adj. EPS</v>
          </cell>
          <cell r="F75">
            <v>0.31942786244352378</v>
          </cell>
          <cell r="G75">
            <v>0.41161447323845679</v>
          </cell>
          <cell r="I75">
            <v>0.39776681695766641</v>
          </cell>
        </row>
        <row r="77">
          <cell r="B77" t="str">
            <v>Effective Tax Rate</v>
          </cell>
          <cell r="F77">
            <v>0.37894848420606309</v>
          </cell>
          <cell r="G77">
            <v>0.38</v>
          </cell>
          <cell r="I77">
            <v>0.37871674491392798</v>
          </cell>
        </row>
        <row r="79">
          <cell r="B79" t="str">
            <v>Adj. EBITDA</v>
          </cell>
        </row>
        <row r="80">
          <cell r="B80" t="str">
            <v>GAAP Net Income</v>
          </cell>
          <cell r="F80">
            <v>7.7860000000000005</v>
          </cell>
          <cell r="G80">
            <v>11.943530112634415</v>
          </cell>
          <cell r="I80">
            <v>9.1749999999999989</v>
          </cell>
        </row>
        <row r="81">
          <cell r="B81" t="str">
            <v>Provision for Income Taxes</v>
          </cell>
          <cell r="F81">
            <v>4.3849999999999998</v>
          </cell>
          <cell r="G81">
            <v>6.9708470502773547</v>
          </cell>
          <cell r="I81">
            <v>2.8079999999999998</v>
          </cell>
        </row>
        <row r="82">
          <cell r="B82" t="str">
            <v>Interest Expense (Income)</v>
          </cell>
          <cell r="F82">
            <v>0.88700000000000001</v>
          </cell>
          <cell r="G82">
            <v>0.71710937500000005</v>
          </cell>
          <cell r="I82">
            <v>0.129</v>
          </cell>
        </row>
        <row r="83">
          <cell r="B83" t="str">
            <v>Depreciation &amp; Amortization</v>
          </cell>
          <cell r="F83">
            <v>25.675999999999998</v>
          </cell>
          <cell r="G83">
            <v>24.860749999999999</v>
          </cell>
          <cell r="I83">
            <v>6.3769999999999998</v>
          </cell>
        </row>
        <row r="84">
          <cell r="B84" t="str">
            <v>Stock-based Compensation</v>
          </cell>
          <cell r="F84">
            <v>4.1460000000000008</v>
          </cell>
          <cell r="G84">
            <v>4.5</v>
          </cell>
          <cell r="I84">
            <v>2.5320000000000005</v>
          </cell>
        </row>
        <row r="85">
          <cell r="B85" t="str">
            <v>Acquisition related expenses</v>
          </cell>
          <cell r="F85">
            <v>0.19400000000000001</v>
          </cell>
          <cell r="G85">
            <v>0</v>
          </cell>
          <cell r="I85">
            <v>2.496</v>
          </cell>
        </row>
        <row r="86">
          <cell r="B86" t="str">
            <v>Adj. EBITDA</v>
          </cell>
          <cell r="F86">
            <v>43.073999999999998</v>
          </cell>
          <cell r="G86">
            <v>48.992236537911765</v>
          </cell>
          <cell r="H86">
            <v>43.197983000000001</v>
          </cell>
          <cell r="I86">
            <v>23.516999999999996</v>
          </cell>
          <cell r="J86">
            <v>19.557000000000002</v>
          </cell>
          <cell r="K86">
            <v>0.83161117489475722</v>
          </cell>
          <cell r="L86">
            <v>-5.918236537911767</v>
          </cell>
          <cell r="M86">
            <v>-0.12079947673611602</v>
          </cell>
          <cell r="N86">
            <v>-0.12398300000000262</v>
          </cell>
          <cell r="O86">
            <v>-2.8701108567963374E-3</v>
          </cell>
        </row>
        <row r="87">
          <cell r="C87" t="str">
            <v>% Margin</v>
          </cell>
          <cell r="F87">
            <v>0.21766748025408181</v>
          </cell>
          <cell r="G87">
            <v>0.23423684151057103</v>
          </cell>
          <cell r="H87">
            <v>0.20411617114995065</v>
          </cell>
          <cell r="I87">
            <v>0.14637197664720597</v>
          </cell>
        </row>
        <row r="92">
          <cell r="F92">
            <v>251.7</v>
          </cell>
        </row>
        <row r="93">
          <cell r="F93">
            <v>1.2719251701711565</v>
          </cell>
        </row>
        <row r="96">
          <cell r="F96">
            <v>0.18226935412131004</v>
          </cell>
          <cell r="I96">
            <v>0.27763488365055827</v>
          </cell>
        </row>
        <row r="97">
          <cell r="F97">
            <v>0.18226935412131004</v>
          </cell>
          <cell r="I97">
            <v>0.27763488365055827</v>
          </cell>
        </row>
        <row r="98">
          <cell r="B98" t="str">
            <v>Check</v>
          </cell>
        </row>
        <row r="99">
          <cell r="C99" t="str">
            <v>EPS Cont Ops</v>
          </cell>
          <cell r="F99" t="b">
            <v>1</v>
          </cell>
          <cell r="I99" t="b">
            <v>1</v>
          </cell>
        </row>
        <row r="100">
          <cell r="C100" t="str">
            <v>ESP Reported</v>
          </cell>
          <cell r="F100" t="b">
            <v>1</v>
          </cell>
          <cell r="I100" t="b">
            <v>1</v>
          </cell>
        </row>
      </sheetData>
      <sheetData sheetId="3" refreshError="1"/>
      <sheetData sheetId="4" refreshError="1">
        <row r="1">
          <cell r="A1" t="str">
            <v>ViaSat Inc.</v>
          </cell>
        </row>
        <row r="2">
          <cell r="A2" t="str">
            <v>Government Systems Segment Model</v>
          </cell>
        </row>
        <row r="3">
          <cell r="A3" t="str">
            <v>Morgan Stanley Research</v>
          </cell>
        </row>
        <row r="4">
          <cell r="A4" t="str">
            <v>($ in Millions Except EPS)</v>
          </cell>
        </row>
        <row r="5">
          <cell r="A5" t="str">
            <v>Fisacl Year Ends March 31</v>
          </cell>
        </row>
        <row r="6">
          <cell r="AA6" t="str">
            <v>2010A</v>
          </cell>
          <cell r="AE6" t="str">
            <v>2011E</v>
          </cell>
        </row>
        <row r="8">
          <cell r="AA8" t="str">
            <v>Q1A</v>
          </cell>
          <cell r="AB8" t="str">
            <v>Q2A</v>
          </cell>
          <cell r="AC8" t="str">
            <v>Q3A</v>
          </cell>
          <cell r="AD8" t="str">
            <v>Q4A</v>
          </cell>
          <cell r="AE8" t="str">
            <v>Q1A</v>
          </cell>
          <cell r="AF8" t="str">
            <v>Q2E</v>
          </cell>
          <cell r="AG8" t="str">
            <v>Q3E</v>
          </cell>
          <cell r="AH8" t="str">
            <v>Q4E</v>
          </cell>
        </row>
        <row r="9">
          <cell r="J9">
            <v>2001</v>
          </cell>
          <cell r="K9">
            <v>2002</v>
          </cell>
          <cell r="L9">
            <v>2003</v>
          </cell>
          <cell r="M9">
            <v>2004</v>
          </cell>
          <cell r="N9">
            <v>2005</v>
          </cell>
          <cell r="O9">
            <v>2006</v>
          </cell>
          <cell r="P9">
            <v>2007</v>
          </cell>
          <cell r="Q9">
            <v>2008</v>
          </cell>
          <cell r="R9">
            <v>2009</v>
          </cell>
          <cell r="S9" t="str">
            <v xml:space="preserve">2010A </v>
          </cell>
          <cell r="T9" t="str">
            <v xml:space="preserve">2011E </v>
          </cell>
          <cell r="U9" t="str">
            <v xml:space="preserve">2012E </v>
          </cell>
          <cell r="V9" t="str">
            <v xml:space="preserve">2013E </v>
          </cell>
          <cell r="W9" t="str">
            <v xml:space="preserve">2014E </v>
          </cell>
          <cell r="X9" t="str">
            <v xml:space="preserve">2015E </v>
          </cell>
          <cell r="Y9" t="str">
            <v xml:space="preserve">2016E </v>
          </cell>
          <cell r="AA9" t="str">
            <v>June</v>
          </cell>
          <cell r="AB9" t="str">
            <v>Sept</v>
          </cell>
          <cell r="AC9" t="str">
            <v>Dec</v>
          </cell>
          <cell r="AD9" t="str">
            <v>Mar</v>
          </cell>
          <cell r="AE9" t="str">
            <v>June</v>
          </cell>
          <cell r="AF9" t="str">
            <v>Sept</v>
          </cell>
          <cell r="AG9" t="str">
            <v>Dec</v>
          </cell>
          <cell r="AH9" t="str">
            <v>Mar</v>
          </cell>
        </row>
        <row r="10">
          <cell r="B10" t="str">
            <v>Summary Financials</v>
          </cell>
        </row>
        <row r="12">
          <cell r="C12" t="str">
            <v>Government Systems Revenue</v>
          </cell>
          <cell r="J12">
            <v>62.41</v>
          </cell>
          <cell r="K12">
            <v>62.738</v>
          </cell>
          <cell r="L12">
            <v>82.328000000000003</v>
          </cell>
          <cell r="M12">
            <v>128.351</v>
          </cell>
          <cell r="N12">
            <v>175.44200000000001</v>
          </cell>
          <cell r="O12">
            <v>210.64</v>
          </cell>
          <cell r="P12">
            <v>278.35199999999998</v>
          </cell>
          <cell r="Q12">
            <v>319.53800000000001</v>
          </cell>
          <cell r="R12">
            <v>388.65600000000001</v>
          </cell>
          <cell r="S12">
            <v>385.15100000000001</v>
          </cell>
          <cell r="T12">
            <v>392.745</v>
          </cell>
          <cell r="U12">
            <v>426.54300000000001</v>
          </cell>
          <cell r="V12">
            <v>463.31828999999999</v>
          </cell>
          <cell r="W12">
            <v>491.7984012</v>
          </cell>
          <cell r="X12">
            <v>511.13481573600006</v>
          </cell>
          <cell r="Y12">
            <v>531.28044583308019</v>
          </cell>
          <cell r="AA12">
            <v>92.576999999999998</v>
          </cell>
          <cell r="AB12">
            <v>102.798</v>
          </cell>
          <cell r="AC12">
            <v>89.078000000000003</v>
          </cell>
          <cell r="AD12">
            <v>100.69799999999999</v>
          </cell>
          <cell r="AE12">
            <v>88.844999999999999</v>
          </cell>
          <cell r="AF12">
            <v>96.2</v>
          </cell>
          <cell r="AG12">
            <v>100.2</v>
          </cell>
          <cell r="AH12">
            <v>107.5</v>
          </cell>
        </row>
        <row r="13">
          <cell r="D13" t="str">
            <v>Y/Y Growth</v>
          </cell>
          <cell r="J13" t="str">
            <v xml:space="preserve">NA </v>
          </cell>
          <cell r="K13">
            <v>5.2555680179457998E-3</v>
          </cell>
          <cell r="L13">
            <v>0.31225094838853651</v>
          </cell>
          <cell r="M13">
            <v>0.5590200174910116</v>
          </cell>
          <cell r="N13">
            <v>0.36689234988430175</v>
          </cell>
          <cell r="O13">
            <v>0.20062470788066689</v>
          </cell>
          <cell r="P13">
            <v>0.32145841245727302</v>
          </cell>
          <cell r="Q13">
            <v>0.14796372937862867</v>
          </cell>
          <cell r="R13">
            <v>0.21630604184791791</v>
          </cell>
          <cell r="S13">
            <v>-9.018257790951334E-3</v>
          </cell>
          <cell r="T13">
            <v>1.9716942186311259E-2</v>
          </cell>
          <cell r="U13">
            <v>8.6055837757323506E-2</v>
          </cell>
          <cell r="V13">
            <v>8.6217075417953204E-2</v>
          </cell>
          <cell r="W13">
            <v>6.1469861679753768E-2</v>
          </cell>
          <cell r="X13">
            <v>3.9317766159504997E-2</v>
          </cell>
          <cell r="Y13">
            <v>3.941353528828162E-2</v>
          </cell>
          <cell r="AE13">
            <v>-4.0312388606241312E-2</v>
          </cell>
          <cell r="AF13">
            <v>8.2784624908548654E-2</v>
          </cell>
          <cell r="AG13">
            <v>4.1580041580041582E-2</v>
          </cell>
          <cell r="AH13">
            <v>7.2854291417165706E-2</v>
          </cell>
        </row>
        <row r="15">
          <cell r="C15" t="str">
            <v>Government Systems Operating Profit</v>
          </cell>
          <cell r="J15">
            <v>9.2780000000000005</v>
          </cell>
          <cell r="K15">
            <v>8.4849999999999994</v>
          </cell>
          <cell r="L15">
            <v>11.613</v>
          </cell>
          <cell r="M15">
            <v>15.19</v>
          </cell>
          <cell r="N15">
            <v>28.06</v>
          </cell>
          <cell r="O15">
            <v>41.908000000000001</v>
          </cell>
          <cell r="P15">
            <v>42.795000000000002</v>
          </cell>
          <cell r="Q15">
            <v>45.792999999999999</v>
          </cell>
          <cell r="R15">
            <v>57.018999999999998</v>
          </cell>
          <cell r="S15">
            <v>55.72</v>
          </cell>
          <cell r="T15">
            <v>45.444000000000003</v>
          </cell>
          <cell r="U15">
            <v>61.848735000000005</v>
          </cell>
          <cell r="V15">
            <v>66.022856324999992</v>
          </cell>
          <cell r="W15">
            <v>68.851776167999986</v>
          </cell>
          <cell r="X15">
            <v>70.281037163700006</v>
          </cell>
          <cell r="Y15">
            <v>71.722860187465798</v>
          </cell>
          <cell r="AA15">
            <v>12.143000000000001</v>
          </cell>
          <cell r="AB15">
            <v>14.259</v>
          </cell>
          <cell r="AC15">
            <v>10.78</v>
          </cell>
          <cell r="AD15">
            <v>18.538</v>
          </cell>
          <cell r="AE15">
            <v>1.6579999999999999</v>
          </cell>
          <cell r="AF15">
            <v>13.848000000000003</v>
          </cell>
          <cell r="AG15">
            <v>14.448</v>
          </cell>
          <cell r="AH15">
            <v>15.470000000000002</v>
          </cell>
        </row>
        <row r="16">
          <cell r="D16" t="str">
            <v>% Margin</v>
          </cell>
          <cell r="J16">
            <v>0.14866207338567539</v>
          </cell>
          <cell r="K16">
            <v>0.13524498708916446</v>
          </cell>
          <cell r="L16">
            <v>0.14105772033815955</v>
          </cell>
          <cell r="M16">
            <v>0.11834734439155128</v>
          </cell>
          <cell r="N16">
            <v>0.15993889718539459</v>
          </cell>
          <cell r="O16">
            <v>0.19895556399544248</v>
          </cell>
          <cell r="P16">
            <v>0.15374418003103985</v>
          </cell>
          <cell r="Q16">
            <v>0.14331002885415819</v>
          </cell>
          <cell r="R16">
            <v>0.1467081429335968</v>
          </cell>
          <cell r="S16">
            <v>0.14467053181739109</v>
          </cell>
          <cell r="T16">
            <v>0.11570866592827407</v>
          </cell>
          <cell r="U16">
            <v>0.14500000000000002</v>
          </cell>
          <cell r="V16">
            <v>0.14249999999999999</v>
          </cell>
          <cell r="W16">
            <v>0.13999999999999999</v>
          </cell>
          <cell r="X16">
            <v>0.13749999999999998</v>
          </cell>
          <cell r="Y16">
            <v>0.13499999999999995</v>
          </cell>
          <cell r="AA16">
            <v>0.13116648843665274</v>
          </cell>
          <cell r="AB16">
            <v>0.13870892429813811</v>
          </cell>
          <cell r="AC16">
            <v>0.12101753519387502</v>
          </cell>
          <cell r="AD16">
            <v>0.18409501678285567</v>
          </cell>
          <cell r="AE16">
            <v>1.8661714221396813E-2</v>
          </cell>
          <cell r="AF16">
            <v>0.14395010395010396</v>
          </cell>
          <cell r="AG16">
            <v>0.14419161676646708</v>
          </cell>
          <cell r="AH16">
            <v>0.14390697674418607</v>
          </cell>
        </row>
        <row r="18">
          <cell r="C18" t="str">
            <v>Total ViaSat Revenue</v>
          </cell>
          <cell r="J18">
            <v>164.35199999999998</v>
          </cell>
          <cell r="K18">
            <v>195.62799999999999</v>
          </cell>
          <cell r="L18">
            <v>185.02199999999999</v>
          </cell>
          <cell r="M18">
            <v>278.57900000000001</v>
          </cell>
          <cell r="N18">
            <v>345.93900000000002</v>
          </cell>
          <cell r="O18">
            <v>433.82299999999998</v>
          </cell>
          <cell r="P18">
            <v>516.56600000000003</v>
          </cell>
          <cell r="Q18">
            <v>574.65000000000009</v>
          </cell>
          <cell r="R18">
            <v>628.17900000000009</v>
          </cell>
          <cell r="S18">
            <v>688.07999999999993</v>
          </cell>
          <cell r="T18">
            <v>852.40589391387971</v>
          </cell>
          <cell r="U18">
            <v>1008.3384950443954</v>
          </cell>
          <cell r="V18">
            <v>1151.0503551268525</v>
          </cell>
          <cell r="W18">
            <v>1290.9946941740877</v>
          </cell>
          <cell r="X18">
            <v>1393.2006559624019</v>
          </cell>
          <cell r="Y18">
            <v>1482.2260108628577</v>
          </cell>
          <cell r="AA18">
            <v>158.40799999999999</v>
          </cell>
          <cell r="AB18">
            <v>160.666</v>
          </cell>
          <cell r="AC18">
            <v>156.36399999999998</v>
          </cell>
          <cell r="AD18">
            <v>212.642</v>
          </cell>
          <cell r="AE18">
            <v>192.00399999999999</v>
          </cell>
          <cell r="AF18">
            <v>197.88900000000001</v>
          </cell>
          <cell r="AG18">
            <v>218.72049419065155</v>
          </cell>
          <cell r="AH18">
            <v>243.79239972322819</v>
          </cell>
        </row>
        <row r="19">
          <cell r="D19" t="str">
            <v>Government Systems % Total</v>
          </cell>
          <cell r="J19">
            <v>0.37973374221183803</v>
          </cell>
          <cell r="K19">
            <v>0.32070051321896664</v>
          </cell>
          <cell r="L19">
            <v>0.44496330166142406</v>
          </cell>
          <cell r="M19">
            <v>0.46073465695547761</v>
          </cell>
          <cell r="N19">
            <v>0.50714721381515238</v>
          </cell>
          <cell r="O19">
            <v>0.4855436433752936</v>
          </cell>
          <cell r="P19">
            <v>0.53885079544530601</v>
          </cell>
          <cell r="Q19">
            <v>0.55605673018358992</v>
          </cell>
          <cell r="R19">
            <v>0.61870263093799693</v>
          </cell>
          <cell r="S19">
            <v>0.55974741309150111</v>
          </cell>
          <cell r="T19">
            <v>0.46074880852440447</v>
          </cell>
          <cell r="U19">
            <v>0.42301568580025312</v>
          </cell>
          <cell r="V19">
            <v>0.40251782898667327</v>
          </cell>
          <cell r="W19">
            <v>0.38094533108412765</v>
          </cell>
          <cell r="X19">
            <v>0.36687810441986612</v>
          </cell>
          <cell r="Y19">
            <v>0.35843416721840043</v>
          </cell>
          <cell r="AA19">
            <v>0.58442124135144691</v>
          </cell>
          <cell r="AB19">
            <v>0.63982423163581592</v>
          </cell>
          <cell r="AC19">
            <v>0.56968355887544453</v>
          </cell>
          <cell r="AD19">
            <v>0.47355649401341221</v>
          </cell>
          <cell r="AE19">
            <v>0.46272473490135624</v>
          </cell>
          <cell r="AF19">
            <v>0.48613111390729147</v>
          </cell>
          <cell r="AG19">
            <v>0.45811893563416567</v>
          </cell>
          <cell r="AH19">
            <v>0.44094893902370313</v>
          </cell>
        </row>
        <row r="22">
          <cell r="B22" t="str">
            <v>Revenue Build</v>
          </cell>
        </row>
        <row r="24">
          <cell r="C24" t="str">
            <v>Tactical Data Links (MIDS / MIDS-JTRS)</v>
          </cell>
          <cell r="J24">
            <v>28</v>
          </cell>
          <cell r="K24">
            <v>30</v>
          </cell>
          <cell r="L24">
            <v>33.303959999999996</v>
          </cell>
          <cell r="M24">
            <v>41.786850000000001</v>
          </cell>
          <cell r="N24">
            <v>76.106580000000008</v>
          </cell>
          <cell r="O24">
            <v>104.11751999999998</v>
          </cell>
          <cell r="P24">
            <v>118.81018000000002</v>
          </cell>
          <cell r="Q24">
            <v>137.91600000000003</v>
          </cell>
          <cell r="R24">
            <v>131.91759000000002</v>
          </cell>
          <cell r="S24">
            <v>127.98287999999998</v>
          </cell>
          <cell r="T24">
            <v>112</v>
          </cell>
          <cell r="U24">
            <v>112</v>
          </cell>
          <cell r="V24">
            <v>115.36</v>
          </cell>
          <cell r="W24">
            <v>118.82080000000001</v>
          </cell>
          <cell r="X24">
            <v>122.38542400000001</v>
          </cell>
          <cell r="Y24">
            <v>126.05698672000001</v>
          </cell>
          <cell r="AA24">
            <v>29.6</v>
          </cell>
          <cell r="AB24">
            <v>31.995719999999995</v>
          </cell>
          <cell r="AC24">
            <v>31.995719999999995</v>
          </cell>
          <cell r="AD24">
            <v>34.391439999999989</v>
          </cell>
          <cell r="AE24">
            <v>26</v>
          </cell>
          <cell r="AF24">
            <v>28</v>
          </cell>
          <cell r="AG24">
            <v>28</v>
          </cell>
          <cell r="AH24">
            <v>30</v>
          </cell>
        </row>
        <row r="25">
          <cell r="D25" t="str">
            <v>Y/Y Chg.</v>
          </cell>
          <cell r="K25">
            <v>7.1428571428571397E-2</v>
          </cell>
          <cell r="L25">
            <v>0.1101319999999999</v>
          </cell>
          <cell r="M25">
            <v>0.25471115146667267</v>
          </cell>
          <cell r="N25">
            <v>0.82130454915840767</v>
          </cell>
          <cell r="O25">
            <v>0.36804885990146952</v>
          </cell>
          <cell r="P25">
            <v>0.14111611571232241</v>
          </cell>
          <cell r="Q25">
            <v>0.16080962085908812</v>
          </cell>
          <cell r="R25">
            <v>-4.3493213260245356E-2</v>
          </cell>
          <cell r="S25">
            <v>-2.9827030648452824E-2</v>
          </cell>
          <cell r="T25">
            <v>-0.12488295309497632</v>
          </cell>
          <cell r="U25">
            <v>0</v>
          </cell>
          <cell r="V25">
            <v>0.03</v>
          </cell>
          <cell r="W25">
            <v>0.03</v>
          </cell>
          <cell r="X25">
            <v>0.03</v>
          </cell>
          <cell r="Y25">
            <v>0.03</v>
          </cell>
          <cell r="AE25">
            <v>-0.12162162162162171</v>
          </cell>
          <cell r="AF25">
            <v>-0.12488295309497632</v>
          </cell>
          <cell r="AG25">
            <v>-0.12488295309497632</v>
          </cell>
          <cell r="AH25">
            <v>-0.12768991353662396</v>
          </cell>
        </row>
        <row r="26">
          <cell r="D26" t="str">
            <v>% Government Systems Revenue</v>
          </cell>
          <cell r="J26">
            <v>0.44864605031244997</v>
          </cell>
          <cell r="K26">
            <v>0.47817909401000991</v>
          </cell>
          <cell r="L26">
            <v>0.40452774268778541</v>
          </cell>
          <cell r="M26">
            <v>0.32556699986755072</v>
          </cell>
          <cell r="N26">
            <v>0.43379909029764824</v>
          </cell>
          <cell r="O26">
            <v>0.49429130269654381</v>
          </cell>
          <cell r="P26">
            <v>0.42683429614301327</v>
          </cell>
          <cell r="Q26">
            <v>0.43161063785840814</v>
          </cell>
          <cell r="R26">
            <v>0.33941992404594296</v>
          </cell>
          <cell r="S26">
            <v>0.33229273713426671</v>
          </cell>
          <cell r="T26">
            <v>0.28517231282384242</v>
          </cell>
          <cell r="U26">
            <v>0.26257610604323595</v>
          </cell>
          <cell r="V26">
            <v>0.24898650126676417</v>
          </cell>
          <cell r="W26">
            <v>0.24160468946233737</v>
          </cell>
          <cell r="X26">
            <v>0.23943863777655836</v>
          </cell>
          <cell r="Y26">
            <v>0.2372701418030452</v>
          </cell>
          <cell r="AA26">
            <v>0.3197338431791914</v>
          </cell>
          <cell r="AB26">
            <v>0.31124846786902466</v>
          </cell>
          <cell r="AC26">
            <v>0.35918767821459835</v>
          </cell>
          <cell r="AD26">
            <v>0.34153051699139991</v>
          </cell>
          <cell r="AE26">
            <v>0.29264449321852665</v>
          </cell>
          <cell r="AF26">
            <v>0.29106029106029108</v>
          </cell>
          <cell r="AG26">
            <v>0.27944111776447106</v>
          </cell>
          <cell r="AH26">
            <v>0.27906976744186046</v>
          </cell>
        </row>
        <row r="27">
          <cell r="D27" t="str">
            <v>TDL % Total Revenue</v>
          </cell>
          <cell r="J27">
            <v>0.17036604361370719</v>
          </cell>
          <cell r="K27">
            <v>0.15335228085959066</v>
          </cell>
          <cell r="L27">
            <v>0.18</v>
          </cell>
          <cell r="M27">
            <v>0.15</v>
          </cell>
          <cell r="N27">
            <v>0.22</v>
          </cell>
          <cell r="O27">
            <v>0.24</v>
          </cell>
          <cell r="P27">
            <v>0.23</v>
          </cell>
          <cell r="Q27">
            <v>0.24</v>
          </cell>
          <cell r="R27">
            <v>0.21</v>
          </cell>
          <cell r="S27">
            <v>0.186</v>
          </cell>
          <cell r="T27">
            <v>0.13139280335773415</v>
          </cell>
          <cell r="U27">
            <v>0.11107381157263944</v>
          </cell>
          <cell r="V27">
            <v>0.10022150593688549</v>
          </cell>
          <cell r="W27">
            <v>9.2038178418707955E-2</v>
          </cell>
          <cell r="X27">
            <v>8.7844793552338679E-2</v>
          </cell>
          <cell r="Y27">
            <v>8.5045725682966297E-2</v>
          </cell>
          <cell r="AA27">
            <v>0.18685924953285191</v>
          </cell>
          <cell r="AB27">
            <v>0.19914431180212364</v>
          </cell>
          <cell r="AC27">
            <v>0.20462331482950039</v>
          </cell>
          <cell r="AD27">
            <v>0.16173399422503545</v>
          </cell>
          <cell r="AE27">
            <v>0.13541384554488448</v>
          </cell>
          <cell r="AF27">
            <v>0.14149346350731976</v>
          </cell>
          <cell r="AG27">
            <v>0.12801726744268102</v>
          </cell>
          <cell r="AH27">
            <v>0.12305551786707994</v>
          </cell>
        </row>
        <row r="29">
          <cell r="C29" t="str">
            <v>Video Data Links (UAVs)</v>
          </cell>
          <cell r="J29">
            <v>0</v>
          </cell>
          <cell r="K29">
            <v>0</v>
          </cell>
          <cell r="L29">
            <v>0</v>
          </cell>
          <cell r="M29">
            <v>0</v>
          </cell>
          <cell r="N29">
            <v>0</v>
          </cell>
          <cell r="O29">
            <v>0</v>
          </cell>
          <cell r="P29">
            <v>9.1</v>
          </cell>
          <cell r="Q29">
            <v>13.2</v>
          </cell>
          <cell r="R29">
            <v>19.2</v>
          </cell>
          <cell r="S29">
            <v>20.5</v>
          </cell>
          <cell r="T29">
            <v>20.6</v>
          </cell>
          <cell r="U29">
            <v>21.218000000000004</v>
          </cell>
          <cell r="V29">
            <v>21.854540000000004</v>
          </cell>
          <cell r="W29">
            <v>22.510176200000004</v>
          </cell>
          <cell r="X29">
            <v>23.185481486000004</v>
          </cell>
          <cell r="Y29">
            <v>23.881045930580004</v>
          </cell>
          <cell r="AA29">
            <v>4.7</v>
          </cell>
          <cell r="AB29">
            <v>5.125</v>
          </cell>
          <cell r="AC29">
            <v>5.125</v>
          </cell>
          <cell r="AD29">
            <v>5.5500000000000007</v>
          </cell>
          <cell r="AE29">
            <v>4.7</v>
          </cell>
          <cell r="AF29">
            <v>5.2</v>
          </cell>
          <cell r="AG29">
            <v>5.2</v>
          </cell>
          <cell r="AH29">
            <v>5.5</v>
          </cell>
        </row>
        <row r="30">
          <cell r="D30" t="str">
            <v>Y/Y Chg.</v>
          </cell>
          <cell r="O30" t="str">
            <v xml:space="preserve">NM </v>
          </cell>
          <cell r="P30" t="str">
            <v xml:space="preserve">NM </v>
          </cell>
          <cell r="Q30">
            <v>0.4505494505494505</v>
          </cell>
          <cell r="R30">
            <v>0.45454545454545459</v>
          </cell>
          <cell r="S30">
            <v>6.7708333333333481E-2</v>
          </cell>
          <cell r="T30">
            <v>4.8780487804878092E-3</v>
          </cell>
          <cell r="U30">
            <v>0.03</v>
          </cell>
          <cell r="V30">
            <v>0.03</v>
          </cell>
          <cell r="W30">
            <v>0.03</v>
          </cell>
          <cell r="X30">
            <v>0.03</v>
          </cell>
          <cell r="Y30">
            <v>0.03</v>
          </cell>
          <cell r="AE30">
            <v>0</v>
          </cell>
          <cell r="AF30">
            <v>1.4634146341463428E-2</v>
          </cell>
          <cell r="AG30">
            <v>1.4634146341463428E-2</v>
          </cell>
          <cell r="AH30">
            <v>-9.009009009009139E-3</v>
          </cell>
        </row>
        <row r="31">
          <cell r="D31" t="str">
            <v>% Government Systems Revenue</v>
          </cell>
          <cell r="O31">
            <v>0</v>
          </cell>
          <cell r="P31">
            <v>3.2692418233028687E-2</v>
          </cell>
          <cell r="Q31">
            <v>4.1309640793896187E-2</v>
          </cell>
          <cell r="R31">
            <v>4.9401012720760765E-2</v>
          </cell>
          <cell r="S31">
            <v>5.3225877642794635E-2</v>
          </cell>
          <cell r="T31">
            <v>5.2451336108671025E-2</v>
          </cell>
          <cell r="U31">
            <v>4.9744105518083767E-2</v>
          </cell>
          <cell r="V31">
            <v>4.7169603427483955E-2</v>
          </cell>
          <cell r="W31">
            <v>4.5771145544748884E-2</v>
          </cell>
          <cell r="X31">
            <v>4.5360794788776922E-2</v>
          </cell>
          <cell r="Y31">
            <v>4.4949980971223338E-2</v>
          </cell>
          <cell r="AA31">
            <v>5.0768549423722956E-2</v>
          </cell>
          <cell r="AB31">
            <v>4.9855055545827739E-2</v>
          </cell>
          <cell r="AC31">
            <v>5.7533846741058395E-2</v>
          </cell>
          <cell r="AD31">
            <v>5.5115295239230179E-2</v>
          </cell>
          <cell r="AE31">
            <v>5.2901119927964438E-2</v>
          </cell>
          <cell r="AF31">
            <v>5.4054054054054057E-2</v>
          </cell>
          <cell r="AG31">
            <v>5.1896207584830337E-2</v>
          </cell>
          <cell r="AH31">
            <v>5.1162790697674418E-2</v>
          </cell>
        </row>
        <row r="33">
          <cell r="C33" t="str">
            <v>Total Data Links</v>
          </cell>
          <cell r="J33">
            <v>28</v>
          </cell>
          <cell r="K33">
            <v>30</v>
          </cell>
          <cell r="L33">
            <v>33.303959999999996</v>
          </cell>
          <cell r="M33">
            <v>41.786850000000001</v>
          </cell>
          <cell r="N33">
            <v>76.106580000000008</v>
          </cell>
          <cell r="O33">
            <v>104.11751999999998</v>
          </cell>
          <cell r="P33">
            <v>127.91018000000001</v>
          </cell>
          <cell r="Q33">
            <v>151.11600000000001</v>
          </cell>
          <cell r="R33">
            <v>151.11759000000001</v>
          </cell>
          <cell r="S33">
            <v>148.48287999999997</v>
          </cell>
          <cell r="T33">
            <v>132.6</v>
          </cell>
          <cell r="U33">
            <v>133.21800000000002</v>
          </cell>
          <cell r="V33">
            <v>137.21454</v>
          </cell>
          <cell r="W33">
            <v>141.33097620000001</v>
          </cell>
          <cell r="X33">
            <v>145.57090548600002</v>
          </cell>
          <cell r="Y33">
            <v>149.93803265058003</v>
          </cell>
          <cell r="AA33">
            <v>34.300000000000004</v>
          </cell>
          <cell r="AB33">
            <v>37.120719999999992</v>
          </cell>
          <cell r="AC33">
            <v>37.120719999999992</v>
          </cell>
          <cell r="AD33">
            <v>39.941439999999986</v>
          </cell>
          <cell r="AE33">
            <v>30.7</v>
          </cell>
          <cell r="AF33">
            <v>33.200000000000003</v>
          </cell>
          <cell r="AG33">
            <v>33.200000000000003</v>
          </cell>
          <cell r="AH33">
            <v>35.5</v>
          </cell>
        </row>
        <row r="34">
          <cell r="D34" t="str">
            <v>Y/Y Chg.</v>
          </cell>
          <cell r="P34">
            <v>0.22851735231496129</v>
          </cell>
          <cell r="Q34">
            <v>0.18142277651395688</v>
          </cell>
          <cell r="R34">
            <v>1.052171841497973E-5</v>
          </cell>
          <cell r="S34">
            <v>-1.7434833363872748E-2</v>
          </cell>
          <cell r="T34">
            <v>-0.10696775278065707</v>
          </cell>
          <cell r="U34">
            <v>4.6606334841630126E-3</v>
          </cell>
          <cell r="V34">
            <v>2.9999999999999805E-2</v>
          </cell>
          <cell r="W34">
            <v>3.0000000000000027E-2</v>
          </cell>
          <cell r="X34">
            <v>3.0000000000000027E-2</v>
          </cell>
          <cell r="Y34">
            <v>3.0000000000000027E-2</v>
          </cell>
          <cell r="AE34">
            <v>-0.10495626822157444</v>
          </cell>
          <cell r="AF34">
            <v>-0.10562079614835029</v>
          </cell>
          <cell r="AG34">
            <v>-0.10562079614835029</v>
          </cell>
          <cell r="AH34">
            <v>-0.11119879503593233</v>
          </cell>
        </row>
        <row r="35">
          <cell r="D35" t="str">
            <v>% Government Systems Revenue</v>
          </cell>
          <cell r="O35">
            <v>0.49429130269654381</v>
          </cell>
          <cell r="P35">
            <v>0.45952671437604192</v>
          </cell>
          <cell r="Q35">
            <v>0.47292027865230429</v>
          </cell>
          <cell r="R35">
            <v>0.38882093676670365</v>
          </cell>
          <cell r="S35">
            <v>0.38551861477706129</v>
          </cell>
          <cell r="T35">
            <v>0.33762364893251345</v>
          </cell>
          <cell r="U35">
            <v>0.31232021156131978</v>
          </cell>
          <cell r="V35">
            <v>0.29615610469424808</v>
          </cell>
          <cell r="W35">
            <v>0.28737583500708624</v>
          </cell>
          <cell r="X35">
            <v>0.28479943256533524</v>
          </cell>
          <cell r="Y35">
            <v>0.28222012277426856</v>
          </cell>
          <cell r="AA35">
            <v>0.3705023926029144</v>
          </cell>
          <cell r="AB35">
            <v>0.36110352341485236</v>
          </cell>
          <cell r="AC35">
            <v>0.41672152495565673</v>
          </cell>
          <cell r="AD35">
            <v>0.39664581223063006</v>
          </cell>
          <cell r="AE35">
            <v>0.34554561314649107</v>
          </cell>
          <cell r="AF35">
            <v>0.34511434511434513</v>
          </cell>
          <cell r="AG35">
            <v>0.33133732534930144</v>
          </cell>
          <cell r="AH35">
            <v>0.33023255813953489</v>
          </cell>
        </row>
        <row r="37">
          <cell r="C37" t="str">
            <v>Information Assurance</v>
          </cell>
          <cell r="J37">
            <v>5</v>
          </cell>
          <cell r="K37">
            <v>5</v>
          </cell>
          <cell r="L37">
            <v>7</v>
          </cell>
          <cell r="M37">
            <v>20</v>
          </cell>
          <cell r="N37">
            <v>47.6</v>
          </cell>
          <cell r="O37">
            <v>49.269919999999999</v>
          </cell>
          <cell r="P37">
            <v>76.469920000000002</v>
          </cell>
          <cell r="Q37">
            <v>78.869920000000008</v>
          </cell>
          <cell r="R37">
            <v>124.36992000000001</v>
          </cell>
          <cell r="S37">
            <v>107.96992</v>
          </cell>
          <cell r="T37">
            <v>102</v>
          </cell>
          <cell r="U37">
            <v>112.2</v>
          </cell>
          <cell r="V37">
            <v>117.81</v>
          </cell>
          <cell r="W37">
            <v>121.3443</v>
          </cell>
          <cell r="X37">
            <v>124.98462900000001</v>
          </cell>
          <cell r="Y37">
            <v>128.73416787000002</v>
          </cell>
          <cell r="AA37">
            <v>27.4</v>
          </cell>
          <cell r="AB37">
            <v>33</v>
          </cell>
          <cell r="AC37">
            <v>20</v>
          </cell>
          <cell r="AD37">
            <v>27.569919999999996</v>
          </cell>
          <cell r="AE37">
            <v>22</v>
          </cell>
          <cell r="AF37">
            <v>25</v>
          </cell>
          <cell r="AG37">
            <v>25</v>
          </cell>
          <cell r="AH37">
            <v>30</v>
          </cell>
        </row>
        <row r="38">
          <cell r="D38" t="str">
            <v>Y/Y Chg.</v>
          </cell>
          <cell r="K38">
            <v>0</v>
          </cell>
          <cell r="L38">
            <v>0.39999999999999991</v>
          </cell>
          <cell r="M38">
            <v>1.8571428571428572</v>
          </cell>
          <cell r="N38">
            <v>1.38</v>
          </cell>
          <cell r="O38">
            <v>3.5082352941176342E-2</v>
          </cell>
          <cell r="P38">
            <v>0.55206097351081551</v>
          </cell>
          <cell r="Q38">
            <v>3.1384889640266422E-2</v>
          </cell>
          <cell r="R38">
            <v>0.5768992792182368</v>
          </cell>
          <cell r="S38">
            <v>-0.13186468239265581</v>
          </cell>
          <cell r="T38">
            <v>-5.5292437004676898E-2</v>
          </cell>
          <cell r="U38">
            <v>0.1</v>
          </cell>
          <cell r="V38">
            <v>0.05</v>
          </cell>
          <cell r="W38">
            <v>0.03</v>
          </cell>
          <cell r="X38">
            <v>0.03</v>
          </cell>
          <cell r="Y38">
            <v>0.03</v>
          </cell>
          <cell r="AE38">
            <v>-0.1970802919708029</v>
          </cell>
          <cell r="AF38">
            <v>-0.24242424242424243</v>
          </cell>
          <cell r="AG38">
            <v>0.25</v>
          </cell>
          <cell r="AH38">
            <v>8.8142439296160502E-2</v>
          </cell>
        </row>
        <row r="39">
          <cell r="D39" t="str">
            <v>% Government Systems Revenue</v>
          </cell>
          <cell r="J39">
            <v>8.0115366127223211E-2</v>
          </cell>
          <cell r="K39">
            <v>7.969651566833498E-2</v>
          </cell>
          <cell r="L39">
            <v>8.5025750655912932E-2</v>
          </cell>
          <cell r="M39">
            <v>0.15582270492633482</v>
          </cell>
          <cell r="N39">
            <v>0.27131473649411203</v>
          </cell>
          <cell r="O39">
            <v>0.23390581086213447</v>
          </cell>
          <cell r="P39">
            <v>0.27472380295453241</v>
          </cell>
          <cell r="Q39">
            <v>0.24682485338207039</v>
          </cell>
          <cell r="R39">
            <v>0.32</v>
          </cell>
          <cell r="S39">
            <v>0.28033140248889393</v>
          </cell>
          <cell r="T39">
            <v>0.25971049917885652</v>
          </cell>
          <cell r="U39">
            <v>0.26304499194688463</v>
          </cell>
          <cell r="V39">
            <v>0.25427444273784228</v>
          </cell>
          <cell r="W39">
            <v>0.24673585701766612</v>
          </cell>
          <cell r="X39">
            <v>0.24452380302059934</v>
          </cell>
          <cell r="Y39">
            <v>0.24230925282434776</v>
          </cell>
          <cell r="AA39">
            <v>0.29596984132127852</v>
          </cell>
          <cell r="AB39">
            <v>0.32101791863654933</v>
          </cell>
          <cell r="AC39">
            <v>0.22452232874559375</v>
          </cell>
          <cell r="AD39">
            <v>0.27378815865260475</v>
          </cell>
          <cell r="AE39">
            <v>0.24762226349259947</v>
          </cell>
          <cell r="AF39">
            <v>0.25987525987525989</v>
          </cell>
          <cell r="AG39">
            <v>0.249500998003992</v>
          </cell>
          <cell r="AH39">
            <v>0.27906976744186046</v>
          </cell>
        </row>
        <row r="41">
          <cell r="C41" t="str">
            <v>Government SatCom</v>
          </cell>
          <cell r="J41">
            <v>19.8</v>
          </cell>
          <cell r="K41">
            <v>24.6</v>
          </cell>
          <cell r="L41">
            <v>31.8</v>
          </cell>
          <cell r="M41">
            <v>55.6</v>
          </cell>
          <cell r="N41">
            <v>51.710240000000006</v>
          </cell>
          <cell r="O41">
            <v>57.810240000000007</v>
          </cell>
          <cell r="P41">
            <v>57.810240000000007</v>
          </cell>
          <cell r="Q41">
            <v>83.110240000000005</v>
          </cell>
          <cell r="R41">
            <v>112.71024</v>
          </cell>
          <cell r="S41">
            <v>128.61024</v>
          </cell>
          <cell r="T41">
            <v>157.5</v>
          </cell>
          <cell r="U41">
            <v>181.125</v>
          </cell>
          <cell r="V41">
            <v>208.29374999999999</v>
          </cell>
          <cell r="W41">
            <v>229.12312500000002</v>
          </cell>
          <cell r="X41">
            <v>240.57928125000004</v>
          </cell>
          <cell r="Y41">
            <v>252.60824531250006</v>
          </cell>
          <cell r="AA41">
            <v>31.1</v>
          </cell>
          <cell r="AB41">
            <v>32.152560000000001</v>
          </cell>
          <cell r="AC41">
            <v>32.152560000000001</v>
          </cell>
          <cell r="AD41">
            <v>33.205119999999994</v>
          </cell>
          <cell r="AE41">
            <v>35.5</v>
          </cell>
          <cell r="AF41">
            <v>38</v>
          </cell>
          <cell r="AG41">
            <v>42</v>
          </cell>
          <cell r="AH41">
            <v>42</v>
          </cell>
        </row>
        <row r="42">
          <cell r="D42" t="str">
            <v>Y/Y Chg.</v>
          </cell>
          <cell r="K42">
            <v>0.24242424242424243</v>
          </cell>
          <cell r="L42">
            <v>0.29268292682926833</v>
          </cell>
          <cell r="M42">
            <v>0.7484276729559749</v>
          </cell>
          <cell r="N42">
            <v>-6.9959712230215798E-2</v>
          </cell>
          <cell r="O42">
            <v>0.1179650297503938</v>
          </cell>
          <cell r="P42">
            <v>0</v>
          </cell>
          <cell r="Q42">
            <v>0.4376387297475326</v>
          </cell>
          <cell r="R42">
            <v>0.35615346556573524</v>
          </cell>
          <cell r="S42">
            <v>0.14106970227372417</v>
          </cell>
          <cell r="T42">
            <v>0.22463032492591561</v>
          </cell>
          <cell r="U42">
            <v>0.15</v>
          </cell>
          <cell r="V42">
            <v>0.15</v>
          </cell>
          <cell r="W42">
            <v>0.1</v>
          </cell>
          <cell r="X42">
            <v>0.05</v>
          </cell>
          <cell r="Y42">
            <v>0.05</v>
          </cell>
          <cell r="AE42">
            <v>0.14147909967845651</v>
          </cell>
          <cell r="AF42">
            <v>0.18186545643643925</v>
          </cell>
          <cell r="AG42">
            <v>0.30627234658764335</v>
          </cell>
          <cell r="AH42">
            <v>0.26486517741842253</v>
          </cell>
        </row>
        <row r="43">
          <cell r="D43" t="str">
            <v>% Government Systems Revenue</v>
          </cell>
          <cell r="J43">
            <v>0.31725684986380392</v>
          </cell>
          <cell r="K43">
            <v>0.39210685708820814</v>
          </cell>
          <cell r="L43">
            <v>0.38625983869400449</v>
          </cell>
          <cell r="M43">
            <v>0.43318711969521079</v>
          </cell>
          <cell r="N43">
            <v>0.29474264999259014</v>
          </cell>
          <cell r="O43">
            <v>0.27445043676414743</v>
          </cell>
          <cell r="P43">
            <v>0.20768753233316092</v>
          </cell>
          <cell r="Q43">
            <v>0.26009501217382597</v>
          </cell>
          <cell r="R43">
            <v>0.28999999999999998</v>
          </cell>
          <cell r="S43">
            <v>0.33392160477319283</v>
          </cell>
          <cell r="T43">
            <v>0.40102356490852842</v>
          </cell>
          <cell r="U43">
            <v>0.42463479649179564</v>
          </cell>
          <cell r="V43">
            <v>0.44956945256790964</v>
          </cell>
          <cell r="W43">
            <v>0.46588830797524766</v>
          </cell>
          <cell r="X43">
            <v>0.47067676441406542</v>
          </cell>
          <cell r="Y43">
            <v>0.47547062440138355</v>
          </cell>
          <cell r="AA43">
            <v>0.33593657171867747</v>
          </cell>
          <cell r="AB43">
            <v>0.31277417848596278</v>
          </cell>
          <cell r="AC43">
            <v>0.36094838231662141</v>
          </cell>
          <cell r="AD43">
            <v>0.3297495481538858</v>
          </cell>
          <cell r="AE43">
            <v>0.3995722888176037</v>
          </cell>
          <cell r="AF43">
            <v>0.39501039501039498</v>
          </cell>
          <cell r="AG43">
            <v>0.41916167664670656</v>
          </cell>
          <cell r="AH43">
            <v>0.39069767441860465</v>
          </cell>
        </row>
        <row r="45">
          <cell r="C45" t="str">
            <v>Other</v>
          </cell>
          <cell r="J45">
            <v>9.6099999999999959</v>
          </cell>
          <cell r="K45">
            <v>3.1379999999999981</v>
          </cell>
          <cell r="L45">
            <v>10.224040000000006</v>
          </cell>
          <cell r="M45">
            <v>10.964149999999997</v>
          </cell>
          <cell r="N45">
            <v>2.5179999999991765E-2</v>
          </cell>
          <cell r="O45">
            <v>-0.55768000000000484</v>
          </cell>
          <cell r="P45">
            <v>16.161659999999941</v>
          </cell>
          <cell r="Q45">
            <v>6.4418399999999849</v>
          </cell>
          <cell r="R45">
            <v>0.4582499999999925</v>
          </cell>
          <cell r="S45">
            <v>8.7960000000038008E-2</v>
          </cell>
          <cell r="T45">
            <v>0.64499999999999602</v>
          </cell>
          <cell r="U45">
            <v>0</v>
          </cell>
          <cell r="V45">
            <v>0</v>
          </cell>
          <cell r="W45">
            <v>0</v>
          </cell>
          <cell r="X45">
            <v>0</v>
          </cell>
          <cell r="Y45">
            <v>0</v>
          </cell>
          <cell r="AA45">
            <v>-0.22300000000000608</v>
          </cell>
          <cell r="AB45">
            <v>0.52472000000000918</v>
          </cell>
          <cell r="AC45">
            <v>-0.19527999999998968</v>
          </cell>
          <cell r="AD45">
            <v>-1.8479999999975405E-2</v>
          </cell>
          <cell r="AE45">
            <v>0.64499999999999602</v>
          </cell>
          <cell r="AF45">
            <v>0</v>
          </cell>
          <cell r="AG45">
            <v>0</v>
          </cell>
          <cell r="AH45">
            <v>0</v>
          </cell>
        </row>
        <row r="47">
          <cell r="C47" t="str">
            <v>Total Government Systems Revenue</v>
          </cell>
          <cell r="J47">
            <v>62.41</v>
          </cell>
          <cell r="K47">
            <v>62.738</v>
          </cell>
          <cell r="L47">
            <v>82.328000000000003</v>
          </cell>
          <cell r="M47">
            <v>128.351</v>
          </cell>
          <cell r="N47">
            <v>175.44200000000001</v>
          </cell>
          <cell r="O47">
            <v>210.64</v>
          </cell>
          <cell r="P47">
            <v>278.35199999999998</v>
          </cell>
          <cell r="Q47">
            <v>319.53800000000001</v>
          </cell>
          <cell r="R47">
            <v>388.65600000000006</v>
          </cell>
          <cell r="S47">
            <v>385.15100000000007</v>
          </cell>
          <cell r="T47">
            <v>392.745</v>
          </cell>
          <cell r="U47">
            <v>426.54300000000001</v>
          </cell>
          <cell r="V47">
            <v>463.31828999999999</v>
          </cell>
          <cell r="W47">
            <v>491.7984012</v>
          </cell>
          <cell r="X47">
            <v>511.13481573600006</v>
          </cell>
          <cell r="Y47">
            <v>531.28044583308019</v>
          </cell>
          <cell r="AA47">
            <v>92.576999999999998</v>
          </cell>
          <cell r="AB47">
            <v>102.798</v>
          </cell>
          <cell r="AC47">
            <v>89.078000000000003</v>
          </cell>
          <cell r="AD47">
            <v>100.69800000000001</v>
          </cell>
          <cell r="AE47">
            <v>88.844999999999999</v>
          </cell>
          <cell r="AF47">
            <v>96.2</v>
          </cell>
          <cell r="AG47">
            <v>100.2</v>
          </cell>
          <cell r="AH47">
            <v>107.5</v>
          </cell>
        </row>
        <row r="48">
          <cell r="D48" t="str">
            <v>Y/Y Chg.</v>
          </cell>
          <cell r="K48">
            <v>5.2555680179457998E-3</v>
          </cell>
          <cell r="L48">
            <v>0.31225094838853651</v>
          </cell>
          <cell r="M48">
            <v>0.5590200174910116</v>
          </cell>
          <cell r="N48">
            <v>0.36689234988430175</v>
          </cell>
          <cell r="O48">
            <v>0.20062470788066689</v>
          </cell>
          <cell r="P48">
            <v>0.32145841245727302</v>
          </cell>
          <cell r="Q48">
            <v>0.14796372937862867</v>
          </cell>
          <cell r="R48">
            <v>0.21630604184791813</v>
          </cell>
          <cell r="S48">
            <v>-9.018257790951334E-3</v>
          </cell>
          <cell r="T48">
            <v>1.9716942186311259E-2</v>
          </cell>
          <cell r="U48">
            <v>8.6055837757323506E-2</v>
          </cell>
          <cell r="V48">
            <v>8.6217075417953204E-2</v>
          </cell>
          <cell r="W48">
            <v>6.1469861679753768E-2</v>
          </cell>
          <cell r="X48">
            <v>3.9317766159504997E-2</v>
          </cell>
          <cell r="Y48">
            <v>3.941353528828162E-2</v>
          </cell>
          <cell r="AE48">
            <v>-4.0312388606241312E-2</v>
          </cell>
          <cell r="AF48">
            <v>-6.4184128095877369E-2</v>
          </cell>
          <cell r="AG48">
            <v>0.12485686701542464</v>
          </cell>
          <cell r="AH48">
            <v>6.7548511390494337E-2</v>
          </cell>
        </row>
        <row r="49">
          <cell r="D49" t="str">
            <v>Check</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AA49">
            <v>0</v>
          </cell>
          <cell r="AB49">
            <v>0</v>
          </cell>
          <cell r="AC49">
            <v>0</v>
          </cell>
          <cell r="AD49">
            <v>0</v>
          </cell>
          <cell r="AE49">
            <v>0</v>
          </cell>
          <cell r="AF49">
            <v>0</v>
          </cell>
          <cell r="AG49">
            <v>0</v>
          </cell>
          <cell r="AH49">
            <v>0</v>
          </cell>
        </row>
        <row r="51">
          <cell r="C51" t="str">
            <v>Awards</v>
          </cell>
          <cell r="N51">
            <v>227.1</v>
          </cell>
          <cell r="O51">
            <v>199.6</v>
          </cell>
          <cell r="P51">
            <v>301.8</v>
          </cell>
          <cell r="Q51">
            <v>306.2</v>
          </cell>
          <cell r="R51">
            <v>407.3</v>
          </cell>
          <cell r="S51">
            <v>386.05100000000004</v>
          </cell>
          <cell r="AA51">
            <v>84.577000000000027</v>
          </cell>
          <cell r="AB51">
            <v>121.398</v>
          </cell>
          <cell r="AC51">
            <v>59.77800000000002</v>
          </cell>
          <cell r="AD51">
            <v>120.29799999999997</v>
          </cell>
          <cell r="AE51">
            <v>65.944999999999993</v>
          </cell>
        </row>
        <row r="52">
          <cell r="C52" t="str">
            <v>Book:Bill</v>
          </cell>
          <cell r="N52">
            <v>1.2944448877691772</v>
          </cell>
          <cell r="O52">
            <v>0.94758830231674895</v>
          </cell>
          <cell r="P52">
            <v>1.084238661838248</v>
          </cell>
          <cell r="Q52">
            <v>0.95825848568871297</v>
          </cell>
          <cell r="R52">
            <v>1.0479704417273885</v>
          </cell>
          <cell r="S52">
            <v>1.0023367458477324</v>
          </cell>
          <cell r="AA52">
            <v>0.91358544778940809</v>
          </cell>
          <cell r="AB52">
            <v>1.1809373723224186</v>
          </cell>
          <cell r="AC52">
            <v>0.6710747883877054</v>
          </cell>
          <cell r="AD52">
            <v>1.1946414030070107</v>
          </cell>
          <cell r="AE52">
            <v>0.74224773481906681</v>
          </cell>
        </row>
        <row r="54">
          <cell r="C54" t="str">
            <v>Beginning Backlog</v>
          </cell>
          <cell r="Q54">
            <v>193.2</v>
          </cell>
          <cell r="R54">
            <v>186.1</v>
          </cell>
          <cell r="S54">
            <v>209.1</v>
          </cell>
          <cell r="AA54">
            <v>209.1</v>
          </cell>
          <cell r="AB54">
            <v>201.1</v>
          </cell>
          <cell r="AC54">
            <v>219.7</v>
          </cell>
          <cell r="AD54">
            <v>190.4</v>
          </cell>
          <cell r="AE54">
            <v>210</v>
          </cell>
        </row>
        <row r="55">
          <cell r="C55" t="str">
            <v>Less: Revenue</v>
          </cell>
          <cell r="Q55">
            <v>-319.53800000000001</v>
          </cell>
          <cell r="R55">
            <v>-388.65600000000001</v>
          </cell>
          <cell r="S55">
            <v>-385.15100000000001</v>
          </cell>
          <cell r="AA55">
            <v>-92.576999999999998</v>
          </cell>
          <cell r="AB55">
            <v>-102.798</v>
          </cell>
          <cell r="AC55">
            <v>-89.078000000000003</v>
          </cell>
          <cell r="AD55">
            <v>-100.69799999999999</v>
          </cell>
          <cell r="AE55">
            <v>-88.844999999999999</v>
          </cell>
        </row>
        <row r="56">
          <cell r="C56" t="str">
            <v>Plus: Net Awards</v>
          </cell>
          <cell r="Q56">
            <v>312.43800000000005</v>
          </cell>
          <cell r="R56">
            <v>411.65599999999995</v>
          </cell>
          <cell r="S56">
            <v>386.05100000000004</v>
          </cell>
          <cell r="AA56">
            <v>84.577000000000027</v>
          </cell>
          <cell r="AB56">
            <v>121.398</v>
          </cell>
          <cell r="AC56">
            <v>59.77800000000002</v>
          </cell>
          <cell r="AD56">
            <v>120.29799999999997</v>
          </cell>
          <cell r="AE56">
            <v>65.944999999999993</v>
          </cell>
        </row>
        <row r="57">
          <cell r="C57" t="str">
            <v>Ending Backlog</v>
          </cell>
          <cell r="P57">
            <v>193.2</v>
          </cell>
          <cell r="Q57">
            <v>186.1</v>
          </cell>
          <cell r="R57">
            <v>209.1</v>
          </cell>
          <cell r="S57">
            <v>210</v>
          </cell>
          <cell r="Z57">
            <v>209.1</v>
          </cell>
          <cell r="AA57">
            <v>201.1</v>
          </cell>
          <cell r="AB57">
            <v>219.7</v>
          </cell>
          <cell r="AC57">
            <v>190.4</v>
          </cell>
          <cell r="AD57">
            <v>210</v>
          </cell>
          <cell r="AE57">
            <v>187.1</v>
          </cell>
        </row>
        <row r="59">
          <cell r="C59" t="str">
            <v>Incremental Revenue</v>
          </cell>
        </row>
        <row r="60">
          <cell r="C60" t="str">
            <v>Tactical Data Links (MIDS / MIDS-JTRS)</v>
          </cell>
          <cell r="N60">
            <v>33.700000000000003</v>
          </cell>
          <cell r="O60">
            <v>28.8</v>
          </cell>
          <cell r="P60">
            <v>21</v>
          </cell>
          <cell r="Q60">
            <v>5.9</v>
          </cell>
          <cell r="R60">
            <v>-10.8</v>
          </cell>
          <cell r="S60">
            <v>-4.3</v>
          </cell>
          <cell r="T60">
            <v>-15.98287999999998</v>
          </cell>
          <cell r="U60">
            <v>0</v>
          </cell>
          <cell r="V60">
            <v>3.3599999999999994</v>
          </cell>
          <cell r="W60">
            <v>3.4608000000000061</v>
          </cell>
          <cell r="X60">
            <v>3.5646240000000091</v>
          </cell>
          <cell r="Y60">
            <v>3.6715627199999972</v>
          </cell>
          <cell r="AA60">
            <v>1.5</v>
          </cell>
          <cell r="AB60">
            <v>-1.9</v>
          </cell>
          <cell r="AC60">
            <v>-6.8</v>
          </cell>
          <cell r="AD60">
            <v>2.8999999999999995</v>
          </cell>
          <cell r="AE60">
            <v>-3.6</v>
          </cell>
        </row>
        <row r="61">
          <cell r="C61" t="str">
            <v>Video Data Links (UAVs)</v>
          </cell>
          <cell r="N61" t="str">
            <v xml:space="preserve">NA </v>
          </cell>
          <cell r="O61" t="str">
            <v xml:space="preserve">NA </v>
          </cell>
          <cell r="P61">
            <v>9.1</v>
          </cell>
          <cell r="Q61">
            <v>4.0999999999999996</v>
          </cell>
          <cell r="R61">
            <v>6</v>
          </cell>
          <cell r="S61">
            <v>1.3</v>
          </cell>
          <cell r="T61">
            <v>0.10000000000000142</v>
          </cell>
          <cell r="U61">
            <v>0.6180000000000021</v>
          </cell>
          <cell r="V61">
            <v>0.63654000000000011</v>
          </cell>
          <cell r="W61">
            <v>0.6556362</v>
          </cell>
          <cell r="X61">
            <v>0.67530528600000039</v>
          </cell>
          <cell r="Y61">
            <v>0.69556444458000044</v>
          </cell>
          <cell r="AA61">
            <v>-1.3</v>
          </cell>
          <cell r="AB61">
            <v>1.9</v>
          </cell>
          <cell r="AC61">
            <v>-1.3</v>
          </cell>
          <cell r="AD61">
            <v>2</v>
          </cell>
          <cell r="AE61">
            <v>0</v>
          </cell>
        </row>
        <row r="62">
          <cell r="C62" t="str">
            <v>Information Assurance</v>
          </cell>
          <cell r="N62">
            <v>12.6</v>
          </cell>
          <cell r="P62">
            <v>27.2</v>
          </cell>
          <cell r="Q62">
            <v>2.4</v>
          </cell>
          <cell r="R62">
            <v>45.5</v>
          </cell>
          <cell r="S62">
            <v>-16.399999999999999</v>
          </cell>
          <cell r="T62">
            <v>-5.9699200000000019</v>
          </cell>
          <cell r="U62">
            <v>10.200000000000003</v>
          </cell>
          <cell r="V62">
            <v>5.6099999999999994</v>
          </cell>
          <cell r="W62">
            <v>3.5343000000000018</v>
          </cell>
          <cell r="X62">
            <v>3.6403290000000084</v>
          </cell>
          <cell r="Y62">
            <v>3.7495388700000092</v>
          </cell>
          <cell r="AB62">
            <v>-5.3</v>
          </cell>
          <cell r="AD62">
            <v>-11.099999999999998</v>
          </cell>
          <cell r="AE62">
            <v>-5.4</v>
          </cell>
        </row>
        <row r="63">
          <cell r="C63" t="str">
            <v>Government SatCom</v>
          </cell>
          <cell r="O63">
            <v>6.1</v>
          </cell>
          <cell r="Q63">
            <v>25.3</v>
          </cell>
          <cell r="R63">
            <v>29.6</v>
          </cell>
          <cell r="S63">
            <v>15.9</v>
          </cell>
          <cell r="T63">
            <v>28.889759999999995</v>
          </cell>
          <cell r="U63">
            <v>23.625</v>
          </cell>
          <cell r="V63">
            <v>27.168749999999989</v>
          </cell>
          <cell r="W63">
            <v>20.829375000000027</v>
          </cell>
          <cell r="X63">
            <v>11.456156250000021</v>
          </cell>
          <cell r="Y63">
            <v>12.028964062500023</v>
          </cell>
          <cell r="AA63">
            <v>2.6</v>
          </cell>
          <cell r="AB63">
            <v>10.199999999999999</v>
          </cell>
          <cell r="AC63">
            <v>4.0999999999999996</v>
          </cell>
          <cell r="AD63">
            <v>-0.99999999999999822</v>
          </cell>
          <cell r="AE63">
            <v>4.4000000000000004</v>
          </cell>
        </row>
        <row r="64">
          <cell r="C64" t="str">
            <v>Other</v>
          </cell>
          <cell r="Q64">
            <v>3.3</v>
          </cell>
          <cell r="R64">
            <v>-1.1000000000000001</v>
          </cell>
          <cell r="AD64">
            <v>0</v>
          </cell>
          <cell r="AE64">
            <v>0</v>
          </cell>
        </row>
        <row r="65">
          <cell r="C65" t="str">
            <v>Plug</v>
          </cell>
          <cell r="N65">
            <v>0.79100000000000392</v>
          </cell>
          <cell r="O65">
            <v>0.2979999999999805</v>
          </cell>
          <cell r="P65">
            <v>10.411999999999992</v>
          </cell>
          <cell r="Q65">
            <v>0.18600000000003547</v>
          </cell>
          <cell r="R65">
            <v>-8.2000000000022055E-2</v>
          </cell>
          <cell r="S65">
            <v>-4.9999999999972289E-3</v>
          </cell>
          <cell r="T65">
            <v>0.55703999999992249</v>
          </cell>
          <cell r="U65">
            <v>-0.64500000000000313</v>
          </cell>
          <cell r="V65">
            <v>0</v>
          </cell>
          <cell r="W65">
            <v>0</v>
          </cell>
          <cell r="X65">
            <v>0</v>
          </cell>
          <cell r="Y65">
            <v>9.9475983006414026E-14</v>
          </cell>
          <cell r="AA65">
            <v>1.1320000000000023</v>
          </cell>
          <cell r="AB65">
            <v>0.59599999999999564</v>
          </cell>
          <cell r="AC65">
            <v>-0.67900000000000205</v>
          </cell>
          <cell r="AD65">
            <v>-1.0540000000000083</v>
          </cell>
          <cell r="AE65">
            <v>0.86800000000000033</v>
          </cell>
        </row>
        <row r="66">
          <cell r="C66" t="str">
            <v>Total</v>
          </cell>
          <cell r="N66">
            <v>47.091000000000008</v>
          </cell>
          <cell r="O66">
            <v>35.197999999999979</v>
          </cell>
          <cell r="P66">
            <v>67.711999999999989</v>
          </cell>
          <cell r="Q66">
            <v>41.186000000000035</v>
          </cell>
          <cell r="R66">
            <v>69.117999999999995</v>
          </cell>
          <cell r="S66">
            <v>-3.5049999999999955</v>
          </cell>
          <cell r="T66">
            <v>7.5939999999999372</v>
          </cell>
          <cell r="U66">
            <v>33.798000000000002</v>
          </cell>
          <cell r="V66">
            <v>36.775289999999984</v>
          </cell>
          <cell r="W66">
            <v>28.480111200000035</v>
          </cell>
          <cell r="X66">
            <v>19.336414536000039</v>
          </cell>
          <cell r="Y66">
            <v>20.145630097080129</v>
          </cell>
          <cell r="AA66">
            <v>3.9320000000000022</v>
          </cell>
          <cell r="AB66">
            <v>5.4959999999999951</v>
          </cell>
          <cell r="AC66">
            <v>-4.679000000000002</v>
          </cell>
          <cell r="AD66">
            <v>-8.2540000000000049</v>
          </cell>
          <cell r="AE66">
            <v>-3.7319999999999993</v>
          </cell>
        </row>
        <row r="67">
          <cell r="C67" t="str">
            <v>Check</v>
          </cell>
          <cell r="N67">
            <v>47.091000000000008</v>
          </cell>
          <cell r="O67">
            <v>35.197999999999979</v>
          </cell>
          <cell r="P67">
            <v>67.711999999999989</v>
          </cell>
          <cell r="Q67">
            <v>41.186000000000035</v>
          </cell>
          <cell r="R67">
            <v>69.117999999999995</v>
          </cell>
          <cell r="S67">
            <v>-3.5049999999999955</v>
          </cell>
          <cell r="T67">
            <v>7.5939999999999941</v>
          </cell>
          <cell r="U67">
            <v>33.798000000000002</v>
          </cell>
          <cell r="V67">
            <v>36.775289999999984</v>
          </cell>
          <cell r="W67">
            <v>28.48011120000001</v>
          </cell>
          <cell r="X67">
            <v>19.336414536000063</v>
          </cell>
          <cell r="Y67">
            <v>20.145630097080129</v>
          </cell>
          <cell r="AA67">
            <v>3.9320000000000022</v>
          </cell>
          <cell r="AB67">
            <v>5.4959999999999951</v>
          </cell>
          <cell r="AC67">
            <v>-4.679000000000002</v>
          </cell>
          <cell r="AD67">
            <v>-8.2540000000000049</v>
          </cell>
          <cell r="AE67">
            <v>-3.7319999999999993</v>
          </cell>
        </row>
        <row r="69">
          <cell r="C69" t="str">
            <v>Blue Force Tracking</v>
          </cell>
          <cell r="T69">
            <v>12</v>
          </cell>
          <cell r="U69">
            <v>50</v>
          </cell>
          <cell r="V69">
            <v>95.4</v>
          </cell>
          <cell r="W69">
            <v>95.4</v>
          </cell>
          <cell r="X69">
            <v>95.4</v>
          </cell>
          <cell r="Y69">
            <v>95.4</v>
          </cell>
          <cell r="AG69">
            <v>6</v>
          </cell>
          <cell r="AH69">
            <v>6</v>
          </cell>
        </row>
        <row r="71">
          <cell r="B71" t="str">
            <v>Operating Profit Build</v>
          </cell>
        </row>
        <row r="73">
          <cell r="C73" t="str">
            <v>Total Data Links (MIDS + Video)</v>
          </cell>
          <cell r="R73">
            <v>21.156462600000005</v>
          </cell>
          <cell r="S73">
            <v>20.787603199999996</v>
          </cell>
          <cell r="T73">
            <v>18.564</v>
          </cell>
          <cell r="U73">
            <v>19.316610000000001</v>
          </cell>
          <cell r="V73">
            <v>19.55307195</v>
          </cell>
          <cell r="W73">
            <v>19.786336668000001</v>
          </cell>
          <cell r="X73">
            <v>20.015999504324999</v>
          </cell>
          <cell r="Y73">
            <v>20.2416344078283</v>
          </cell>
          <cell r="AE73">
            <v>4.298</v>
          </cell>
          <cell r="AF73">
            <v>4.6480000000000006</v>
          </cell>
          <cell r="AG73">
            <v>4.6480000000000006</v>
          </cell>
          <cell r="AH73">
            <v>4.9700000000000006</v>
          </cell>
        </row>
        <row r="74">
          <cell r="D74" t="str">
            <v>% Margin</v>
          </cell>
          <cell r="R74">
            <v>0.14000000000000001</v>
          </cell>
          <cell r="S74">
            <v>0.14000000000000001</v>
          </cell>
          <cell r="T74">
            <v>0.14000000000000001</v>
          </cell>
          <cell r="U74">
            <v>0.14499999999999999</v>
          </cell>
          <cell r="V74">
            <v>0.14249999999999999</v>
          </cell>
          <cell r="W74">
            <v>0.13999999999999999</v>
          </cell>
          <cell r="X74">
            <v>0.13749999999999998</v>
          </cell>
          <cell r="Y74">
            <v>0.13499999999999998</v>
          </cell>
          <cell r="AE74">
            <v>0.14000000000000001</v>
          </cell>
          <cell r="AF74">
            <v>0.14000000000000001</v>
          </cell>
          <cell r="AG74">
            <v>0.14000000000000001</v>
          </cell>
          <cell r="AH74">
            <v>0.14000000000000001</v>
          </cell>
        </row>
        <row r="76">
          <cell r="C76" t="str">
            <v>Information Assurance</v>
          </cell>
          <cell r="R76">
            <v>17.411788800000004</v>
          </cell>
          <cell r="S76">
            <v>15.115788800000002</v>
          </cell>
          <cell r="T76">
            <v>14.280000000000001</v>
          </cell>
          <cell r="U76">
            <v>16.268999999999998</v>
          </cell>
          <cell r="V76">
            <v>16.787924999999998</v>
          </cell>
          <cell r="W76">
            <v>16.988201999999998</v>
          </cell>
          <cell r="X76">
            <v>17.185386487500001</v>
          </cell>
          <cell r="Y76">
            <v>17.379112662450002</v>
          </cell>
          <cell r="AE76">
            <v>3.08</v>
          </cell>
          <cell r="AF76">
            <v>3.5000000000000004</v>
          </cell>
          <cell r="AG76">
            <v>3.5000000000000004</v>
          </cell>
          <cell r="AH76">
            <v>4.2</v>
          </cell>
        </row>
        <row r="77">
          <cell r="D77" t="str">
            <v>% Margin</v>
          </cell>
          <cell r="R77">
            <v>0.14000000000000001</v>
          </cell>
          <cell r="S77">
            <v>0.14000000000000001</v>
          </cell>
          <cell r="T77">
            <v>0.14000000000000001</v>
          </cell>
          <cell r="U77">
            <v>0.14499999999999999</v>
          </cell>
          <cell r="V77">
            <v>0.14249999999999999</v>
          </cell>
          <cell r="W77">
            <v>0.13999999999999999</v>
          </cell>
          <cell r="X77">
            <v>0.13749999999999998</v>
          </cell>
          <cell r="Y77">
            <v>0.13499999999999998</v>
          </cell>
          <cell r="AE77">
            <v>0.14000000000000001</v>
          </cell>
          <cell r="AF77">
            <v>0.14000000000000001</v>
          </cell>
          <cell r="AG77">
            <v>0.14000000000000001</v>
          </cell>
          <cell r="AH77">
            <v>0.14000000000000001</v>
          </cell>
        </row>
        <row r="79">
          <cell r="C79" t="str">
            <v>Government SatCom</v>
          </cell>
          <cell r="R79">
            <v>18.033638400000001</v>
          </cell>
          <cell r="S79">
            <v>20.577638400000001</v>
          </cell>
          <cell r="T79">
            <v>12.6</v>
          </cell>
          <cell r="U79">
            <v>26.263124999999999</v>
          </cell>
          <cell r="V79">
            <v>29.681859374999995</v>
          </cell>
          <cell r="W79">
            <v>32.077237499999995</v>
          </cell>
          <cell r="X79">
            <v>33.079651171875</v>
          </cell>
          <cell r="Y79">
            <v>34.1021131171875</v>
          </cell>
          <cell r="AE79">
            <v>-5.7</v>
          </cell>
          <cell r="AF79">
            <v>5.7</v>
          </cell>
          <cell r="AG79">
            <v>6.3</v>
          </cell>
          <cell r="AH79">
            <v>6.3</v>
          </cell>
        </row>
        <row r="80">
          <cell r="D80" t="str">
            <v>% Margin</v>
          </cell>
          <cell r="R80">
            <v>0.16</v>
          </cell>
          <cell r="S80">
            <v>0.16</v>
          </cell>
          <cell r="T80">
            <v>0.08</v>
          </cell>
          <cell r="U80">
            <v>0.14499999999999999</v>
          </cell>
          <cell r="V80">
            <v>0.14249999999999999</v>
          </cell>
          <cell r="W80">
            <v>0.13999999999999999</v>
          </cell>
          <cell r="X80">
            <v>0.13749999999999998</v>
          </cell>
          <cell r="Y80">
            <v>0.13499999999999998</v>
          </cell>
          <cell r="AE80">
            <v>-0.16056338028169015</v>
          </cell>
          <cell r="AF80">
            <v>0.15</v>
          </cell>
          <cell r="AG80">
            <v>0.15</v>
          </cell>
          <cell r="AH80">
            <v>0.15</v>
          </cell>
        </row>
        <row r="82">
          <cell r="C82" t="str">
            <v>Other / Plug</v>
          </cell>
          <cell r="R82">
            <v>0.41711019999998911</v>
          </cell>
          <cell r="S82">
            <v>-0.76103039999999922</v>
          </cell>
          <cell r="T82">
            <v>0</v>
          </cell>
          <cell r="U82">
            <v>0</v>
          </cell>
          <cell r="V82">
            <v>0</v>
          </cell>
          <cell r="W82">
            <v>0</v>
          </cell>
          <cell r="X82">
            <v>0</v>
          </cell>
          <cell r="Y82">
            <v>0</v>
          </cell>
          <cell r="AA82">
            <v>12.143000000000001</v>
          </cell>
          <cell r="AB82">
            <v>14.259</v>
          </cell>
          <cell r="AC82">
            <v>10.78</v>
          </cell>
          <cell r="AD82">
            <v>18.538</v>
          </cell>
          <cell r="AE82">
            <v>-2.0000000000000462E-2</v>
          </cell>
          <cell r="AF82">
            <v>0</v>
          </cell>
          <cell r="AG82">
            <v>0</v>
          </cell>
          <cell r="AH82">
            <v>0</v>
          </cell>
        </row>
        <row r="84">
          <cell r="C84" t="str">
            <v>Total Government Systems Revenue</v>
          </cell>
          <cell r="L84">
            <v>11.613</v>
          </cell>
          <cell r="M84">
            <v>15.19</v>
          </cell>
          <cell r="N84">
            <v>28.06</v>
          </cell>
          <cell r="O84">
            <v>41.908000000000001</v>
          </cell>
          <cell r="P84">
            <v>42.795000000000002</v>
          </cell>
          <cell r="Q84">
            <v>45.792999999999999</v>
          </cell>
          <cell r="R84">
            <v>57.018999999999998</v>
          </cell>
          <cell r="S84">
            <v>55.72</v>
          </cell>
          <cell r="T84">
            <v>45.444000000000003</v>
          </cell>
          <cell r="U84">
            <v>61.848735000000005</v>
          </cell>
          <cell r="V84">
            <v>66.022856324999992</v>
          </cell>
          <cell r="W84">
            <v>68.851776167999986</v>
          </cell>
          <cell r="X84">
            <v>70.281037163700006</v>
          </cell>
          <cell r="Y84">
            <v>71.722860187465798</v>
          </cell>
          <cell r="AA84">
            <v>12.143000000000001</v>
          </cell>
          <cell r="AB84">
            <v>14.259</v>
          </cell>
          <cell r="AC84">
            <v>10.78</v>
          </cell>
          <cell r="AD84">
            <v>18.538</v>
          </cell>
          <cell r="AE84">
            <v>1.6579999999999995</v>
          </cell>
          <cell r="AF84">
            <v>13.848000000000003</v>
          </cell>
          <cell r="AG84">
            <v>14.448</v>
          </cell>
          <cell r="AH84">
            <v>15.470000000000002</v>
          </cell>
        </row>
        <row r="85">
          <cell r="D85" t="str">
            <v>% Margin</v>
          </cell>
          <cell r="L85">
            <v>0.14105772033815955</v>
          </cell>
          <cell r="M85">
            <v>0.11834734439155128</v>
          </cell>
          <cell r="N85">
            <v>0.15993889718539459</v>
          </cell>
          <cell r="O85">
            <v>0.19895556399544248</v>
          </cell>
          <cell r="P85">
            <v>0.15374418003103985</v>
          </cell>
          <cell r="Q85">
            <v>0.14331002885415819</v>
          </cell>
          <cell r="R85">
            <v>0.14670814293359677</v>
          </cell>
          <cell r="S85">
            <v>0.14467053181739106</v>
          </cell>
          <cell r="T85">
            <v>0.11570866592827407</v>
          </cell>
          <cell r="U85">
            <v>0.14500000000000002</v>
          </cell>
          <cell r="V85">
            <v>0.14249999999999999</v>
          </cell>
          <cell r="W85">
            <v>0.13999999999999999</v>
          </cell>
          <cell r="X85">
            <v>0.13749999999999998</v>
          </cell>
          <cell r="Y85">
            <v>0.13499999999999995</v>
          </cell>
          <cell r="AE85">
            <v>1.866171422139681E-2</v>
          </cell>
          <cell r="AF85">
            <v>0.14395010395010396</v>
          </cell>
          <cell r="AG85">
            <v>0.14419161676646708</v>
          </cell>
          <cell r="AH85">
            <v>0.14390697674418607</v>
          </cell>
        </row>
        <row r="86">
          <cell r="D86" t="str">
            <v>Check</v>
          </cell>
          <cell r="L86">
            <v>0</v>
          </cell>
          <cell r="M86">
            <v>0</v>
          </cell>
          <cell r="N86">
            <v>0</v>
          </cell>
          <cell r="O86">
            <v>0</v>
          </cell>
          <cell r="P86">
            <v>0</v>
          </cell>
          <cell r="Q86">
            <v>0</v>
          </cell>
          <cell r="R86">
            <v>0</v>
          </cell>
          <cell r="S86">
            <v>0</v>
          </cell>
          <cell r="T86">
            <v>0</v>
          </cell>
          <cell r="U86">
            <v>0</v>
          </cell>
          <cell r="V86">
            <v>0</v>
          </cell>
          <cell r="W86">
            <v>0</v>
          </cell>
          <cell r="X86">
            <v>0</v>
          </cell>
          <cell r="Y86">
            <v>0</v>
          </cell>
          <cell r="AE86">
            <v>0</v>
          </cell>
          <cell r="AF86">
            <v>0</v>
          </cell>
          <cell r="AG86">
            <v>0</v>
          </cell>
          <cell r="AH86">
            <v>0</v>
          </cell>
        </row>
        <row r="88">
          <cell r="C88" t="str">
            <v>Incremental Expense</v>
          </cell>
        </row>
        <row r="89">
          <cell r="C89" t="str">
            <v>Selling, General and Administrative (SG&amp;A)</v>
          </cell>
          <cell r="R89">
            <v>0</v>
          </cell>
          <cell r="S89">
            <v>0</v>
          </cell>
          <cell r="AE89">
            <v>0</v>
          </cell>
        </row>
        <row r="90">
          <cell r="C90" t="str">
            <v>Internally-funded R&amp;D (IRAD)</v>
          </cell>
          <cell r="R90">
            <v>2.2000000000000002</v>
          </cell>
          <cell r="S90">
            <v>-3.4</v>
          </cell>
          <cell r="AE90">
            <v>0</v>
          </cell>
        </row>
        <row r="91">
          <cell r="C91" t="str">
            <v>Bid and Proposal (B&amp;P)</v>
          </cell>
          <cell r="R91">
            <v>0</v>
          </cell>
          <cell r="S91">
            <v>5.5</v>
          </cell>
          <cell r="AE91">
            <v>2.2999999999999998</v>
          </cell>
        </row>
        <row r="92">
          <cell r="C92" t="str">
            <v>Other / Plug</v>
          </cell>
          <cell r="R92">
            <v>9.0259999999999998</v>
          </cell>
          <cell r="S92">
            <v>-3.3989999999999996</v>
          </cell>
          <cell r="AE92">
            <v>-12.785</v>
          </cell>
        </row>
        <row r="93">
          <cell r="C93" t="str">
            <v>Total Change</v>
          </cell>
          <cell r="R93">
            <v>11.225999999999999</v>
          </cell>
          <cell r="S93">
            <v>-1.2989999999999995</v>
          </cell>
          <cell r="AE93">
            <v>-10.484999999999999</v>
          </cell>
        </row>
        <row r="94">
          <cell r="C94" t="str">
            <v>Check</v>
          </cell>
          <cell r="R94">
            <v>11.225999999999999</v>
          </cell>
          <cell r="S94">
            <v>-1.2989999999999995</v>
          </cell>
          <cell r="AE94">
            <v>-10.485000000000001</v>
          </cell>
        </row>
        <row r="97">
          <cell r="C97" t="str">
            <v>Consolidated Cost Structure</v>
          </cell>
        </row>
        <row r="98">
          <cell r="C98" t="str">
            <v>Cost of Goods Sold (COGS)</v>
          </cell>
          <cell r="P98">
            <v>0.73</v>
          </cell>
          <cell r="Q98">
            <v>0.73</v>
          </cell>
          <cell r="R98">
            <v>0.73</v>
          </cell>
          <cell r="S98">
            <v>0.73</v>
          </cell>
        </row>
        <row r="99">
          <cell r="C99" t="str">
            <v>Gross Profit</v>
          </cell>
          <cell r="P99">
            <v>0.27</v>
          </cell>
          <cell r="Q99">
            <v>0.27</v>
          </cell>
          <cell r="R99">
            <v>0.27</v>
          </cell>
          <cell r="S99">
            <v>0.27</v>
          </cell>
        </row>
        <row r="100">
          <cell r="C100" t="str">
            <v>Selling, General and Administrative (SG&amp;A)</v>
          </cell>
          <cell r="P100">
            <v>0.03</v>
          </cell>
          <cell r="Q100">
            <v>0.03</v>
          </cell>
          <cell r="R100">
            <v>0.03</v>
          </cell>
          <cell r="S100">
            <v>0.03</v>
          </cell>
        </row>
        <row r="101">
          <cell r="C101" t="str">
            <v>Bid and Proposal (B&amp;P)</v>
          </cell>
          <cell r="P101">
            <v>5.125581996896017E-2</v>
          </cell>
          <cell r="Q101">
            <v>6.1689971145841821E-2</v>
          </cell>
          <cell r="R101">
            <v>5.8291857066403219E-2</v>
          </cell>
          <cell r="S101">
            <v>6.0329468182608925E-2</v>
          </cell>
        </row>
        <row r="102">
          <cell r="C102" t="str">
            <v>Internal R&amp;D (IRAD)</v>
          </cell>
          <cell r="P102">
            <v>3.5000000000000003E-2</v>
          </cell>
          <cell r="Q102">
            <v>3.5000000000000003E-2</v>
          </cell>
          <cell r="R102">
            <v>3.5000000000000003E-2</v>
          </cell>
          <cell r="S102">
            <v>3.5000000000000003E-2</v>
          </cell>
        </row>
        <row r="103">
          <cell r="P103">
            <v>0.15374418003103985</v>
          </cell>
          <cell r="Q103">
            <v>0.14331002885415819</v>
          </cell>
          <cell r="R103">
            <v>0.1467081429335968</v>
          </cell>
          <cell r="S103">
            <v>0.14467053181739109</v>
          </cell>
        </row>
        <row r="104">
          <cell r="P104">
            <v>0.15374418003103985</v>
          </cell>
          <cell r="Q104">
            <v>0.14331002885415819</v>
          </cell>
          <cell r="R104">
            <v>0.1467081429335968</v>
          </cell>
          <cell r="S104">
            <v>0.14467053181739109</v>
          </cell>
        </row>
        <row r="106">
          <cell r="B106" t="str">
            <v>Scenario Drivers</v>
          </cell>
        </row>
        <row r="108">
          <cell r="E108" t="str">
            <v>Tactical Data Links (MIDS / MIDS-JTRS)</v>
          </cell>
        </row>
        <row r="109">
          <cell r="E109" t="str">
            <v>Bull Case</v>
          </cell>
          <cell r="U109">
            <v>0.05</v>
          </cell>
          <cell r="V109">
            <v>0.1</v>
          </cell>
          <cell r="W109">
            <v>0.1</v>
          </cell>
          <cell r="X109">
            <v>0.1</v>
          </cell>
          <cell r="Y109">
            <v>0.1</v>
          </cell>
        </row>
        <row r="110">
          <cell r="E110" t="str">
            <v>Base Case</v>
          </cell>
          <cell r="U110">
            <v>0</v>
          </cell>
          <cell r="V110">
            <v>0.03</v>
          </cell>
          <cell r="W110">
            <v>0.03</v>
          </cell>
          <cell r="X110">
            <v>0.03</v>
          </cell>
          <cell r="Y110">
            <v>0.03</v>
          </cell>
        </row>
        <row r="111">
          <cell r="E111" t="str">
            <v>Bear Case</v>
          </cell>
          <cell r="U111">
            <v>-0.1</v>
          </cell>
          <cell r="V111">
            <v>-0.1</v>
          </cell>
          <cell r="W111">
            <v>-0.05</v>
          </cell>
          <cell r="X111">
            <v>-0.05</v>
          </cell>
          <cell r="Y111">
            <v>-0.05</v>
          </cell>
        </row>
        <row r="112">
          <cell r="E112" t="str">
            <v>Using Base Case</v>
          </cell>
          <cell r="U112">
            <v>0</v>
          </cell>
          <cell r="V112">
            <v>0.03</v>
          </cell>
          <cell r="W112">
            <v>0.03</v>
          </cell>
          <cell r="X112">
            <v>0.03</v>
          </cell>
          <cell r="Y112">
            <v>0.03</v>
          </cell>
        </row>
        <row r="113">
          <cell r="E113">
            <v>2</v>
          </cell>
        </row>
        <row r="116">
          <cell r="E116" t="str">
            <v>Video Data Links (UAVs)</v>
          </cell>
        </row>
        <row r="117">
          <cell r="E117" t="str">
            <v>Bull Case</v>
          </cell>
          <cell r="U117">
            <v>0.05</v>
          </cell>
          <cell r="V117">
            <v>0.1</v>
          </cell>
          <cell r="W117">
            <v>0.1</v>
          </cell>
          <cell r="X117">
            <v>0.1</v>
          </cell>
          <cell r="Y117">
            <v>0.1</v>
          </cell>
        </row>
        <row r="118">
          <cell r="E118" t="str">
            <v>Base Case</v>
          </cell>
          <cell r="U118">
            <v>0.03</v>
          </cell>
          <cell r="V118">
            <v>0.03</v>
          </cell>
          <cell r="W118">
            <v>0.03</v>
          </cell>
          <cell r="X118">
            <v>0.03</v>
          </cell>
          <cell r="Y118">
            <v>0.03</v>
          </cell>
        </row>
        <row r="119">
          <cell r="E119" t="str">
            <v>Bear Case</v>
          </cell>
          <cell r="U119">
            <v>-0.05</v>
          </cell>
          <cell r="V119">
            <v>-0.1</v>
          </cell>
          <cell r="W119">
            <v>-0.1</v>
          </cell>
          <cell r="X119">
            <v>0</v>
          </cell>
          <cell r="Y119">
            <v>0</v>
          </cell>
        </row>
        <row r="120">
          <cell r="E120" t="str">
            <v>Using Base Case</v>
          </cell>
          <cell r="U120">
            <v>0.03</v>
          </cell>
          <cell r="V120">
            <v>0.03</v>
          </cell>
          <cell r="W120">
            <v>0.03</v>
          </cell>
          <cell r="X120">
            <v>0.03</v>
          </cell>
          <cell r="Y120">
            <v>0.03</v>
          </cell>
        </row>
        <row r="121">
          <cell r="E121">
            <v>2</v>
          </cell>
        </row>
        <row r="124">
          <cell r="E124" t="str">
            <v>Information Assurance</v>
          </cell>
        </row>
        <row r="125">
          <cell r="E125" t="str">
            <v>Bull Case</v>
          </cell>
          <cell r="U125">
            <v>0.15</v>
          </cell>
          <cell r="V125">
            <v>0.1</v>
          </cell>
          <cell r="W125">
            <v>0.05</v>
          </cell>
          <cell r="X125">
            <v>0.03</v>
          </cell>
          <cell r="Y125">
            <v>0.03</v>
          </cell>
        </row>
        <row r="126">
          <cell r="E126" t="str">
            <v>Base Case</v>
          </cell>
          <cell r="U126">
            <v>0.1</v>
          </cell>
          <cell r="V126">
            <v>0.05</v>
          </cell>
          <cell r="W126">
            <v>0.03</v>
          </cell>
          <cell r="X126">
            <v>0.03</v>
          </cell>
          <cell r="Y126">
            <v>0.03</v>
          </cell>
        </row>
        <row r="127">
          <cell r="E127" t="str">
            <v>Bear Case</v>
          </cell>
          <cell r="U127">
            <v>-0.1</v>
          </cell>
          <cell r="V127">
            <v>-0.1</v>
          </cell>
          <cell r="W127">
            <v>-0.05</v>
          </cell>
          <cell r="X127">
            <v>0</v>
          </cell>
          <cell r="Y127">
            <v>0</v>
          </cell>
        </row>
        <row r="128">
          <cell r="E128" t="str">
            <v>Using Base Case</v>
          </cell>
          <cell r="U128">
            <v>0.1</v>
          </cell>
          <cell r="V128">
            <v>0.05</v>
          </cell>
          <cell r="W128">
            <v>0.03</v>
          </cell>
          <cell r="X128">
            <v>0.03</v>
          </cell>
          <cell r="Y128">
            <v>0.03</v>
          </cell>
        </row>
        <row r="129">
          <cell r="E129">
            <v>2</v>
          </cell>
        </row>
        <row r="132">
          <cell r="E132" t="str">
            <v>Government SatCom</v>
          </cell>
        </row>
        <row r="133">
          <cell r="E133" t="str">
            <v>Bull Case</v>
          </cell>
          <cell r="U133">
            <v>0.25</v>
          </cell>
          <cell r="V133">
            <v>0.2</v>
          </cell>
          <cell r="W133">
            <v>0.2</v>
          </cell>
          <cell r="X133">
            <v>0.15</v>
          </cell>
          <cell r="Y133">
            <v>0.1</v>
          </cell>
        </row>
        <row r="134">
          <cell r="E134" t="str">
            <v>Base Case</v>
          </cell>
          <cell r="U134">
            <v>0.15</v>
          </cell>
          <cell r="V134">
            <v>0.15</v>
          </cell>
          <cell r="W134">
            <v>0.1</v>
          </cell>
          <cell r="X134">
            <v>0.05</v>
          </cell>
          <cell r="Y134">
            <v>0.05</v>
          </cell>
        </row>
        <row r="135">
          <cell r="E135" t="str">
            <v>Bear Case</v>
          </cell>
          <cell r="U135">
            <v>0.1</v>
          </cell>
          <cell r="V135">
            <v>0.05</v>
          </cell>
          <cell r="W135">
            <v>-0.05</v>
          </cell>
          <cell r="X135">
            <v>0</v>
          </cell>
          <cell r="Y135">
            <v>0</v>
          </cell>
        </row>
        <row r="136">
          <cell r="E136" t="str">
            <v>Using Base Case</v>
          </cell>
          <cell r="U136">
            <v>0.15</v>
          </cell>
          <cell r="V136">
            <v>0.15</v>
          </cell>
          <cell r="W136">
            <v>0.1</v>
          </cell>
          <cell r="X136">
            <v>0.05</v>
          </cell>
          <cell r="Y136">
            <v>0.05</v>
          </cell>
        </row>
        <row r="137">
          <cell r="E137">
            <v>2</v>
          </cell>
        </row>
        <row r="140">
          <cell r="E140" t="str">
            <v>Government Systems Margins</v>
          </cell>
        </row>
        <row r="141">
          <cell r="E141" t="str">
            <v>Bull Case</v>
          </cell>
          <cell r="U141">
            <v>0.14499999999999999</v>
          </cell>
          <cell r="V141">
            <v>0.14499999999999999</v>
          </cell>
          <cell r="W141">
            <v>0.14499999999999999</v>
          </cell>
          <cell r="X141">
            <v>0.14499999999999999</v>
          </cell>
          <cell r="Y141">
            <v>0.14499999999999999</v>
          </cell>
        </row>
        <row r="142">
          <cell r="E142" t="str">
            <v>Base Case</v>
          </cell>
          <cell r="U142">
            <v>0.14499999999999999</v>
          </cell>
          <cell r="V142">
            <v>0.14249999999999999</v>
          </cell>
          <cell r="W142">
            <v>0.13999999999999999</v>
          </cell>
          <cell r="X142">
            <v>0.13749999999999998</v>
          </cell>
          <cell r="Y142">
            <v>0.13499999999999998</v>
          </cell>
        </row>
        <row r="143">
          <cell r="E143" t="str">
            <v>Bear Case</v>
          </cell>
          <cell r="U143">
            <v>0.14000000000000001</v>
          </cell>
          <cell r="V143">
            <v>0.13500000000000001</v>
          </cell>
          <cell r="W143">
            <v>0.13</v>
          </cell>
          <cell r="X143">
            <v>0.125</v>
          </cell>
          <cell r="Y143">
            <v>0.12</v>
          </cell>
        </row>
        <row r="144">
          <cell r="E144" t="str">
            <v>Using Base Case</v>
          </cell>
          <cell r="U144">
            <v>0.14499999999999999</v>
          </cell>
          <cell r="V144">
            <v>0.14249999999999999</v>
          </cell>
          <cell r="W144">
            <v>0.13999999999999999</v>
          </cell>
          <cell r="X144">
            <v>0.13749999999999998</v>
          </cell>
          <cell r="Y144">
            <v>0.13499999999999998</v>
          </cell>
        </row>
        <row r="145">
          <cell r="E145">
            <v>2</v>
          </cell>
        </row>
      </sheetData>
      <sheetData sheetId="5" refreshError="1">
        <row r="1">
          <cell r="A1" t="str">
            <v>ViaSat Inc.</v>
          </cell>
        </row>
        <row r="2">
          <cell r="A2" t="str">
            <v>Commercial Networks Segment Model</v>
          </cell>
        </row>
        <row r="3">
          <cell r="A3" t="str">
            <v>Morgan Stanley Research</v>
          </cell>
        </row>
        <row r="4">
          <cell r="A4" t="str">
            <v>($ in Millions Except EPS)</v>
          </cell>
        </row>
        <row r="5">
          <cell r="A5" t="str">
            <v>Fisacl Year Ends March 31</v>
          </cell>
        </row>
        <row r="6">
          <cell r="AA6" t="str">
            <v>2010A</v>
          </cell>
          <cell r="AE6" t="str">
            <v>2011E</v>
          </cell>
        </row>
        <row r="8">
          <cell r="AA8" t="str">
            <v>Q1A</v>
          </cell>
          <cell r="AB8" t="str">
            <v>Q2A</v>
          </cell>
          <cell r="AC8" t="str">
            <v>Q3A</v>
          </cell>
          <cell r="AD8" t="str">
            <v>Q4A</v>
          </cell>
          <cell r="AE8" t="str">
            <v>Q1A</v>
          </cell>
          <cell r="AF8" t="str">
            <v>Q2E</v>
          </cell>
          <cell r="AG8" t="str">
            <v>Q3E</v>
          </cell>
          <cell r="AH8" t="str">
            <v>Q4E</v>
          </cell>
        </row>
        <row r="9">
          <cell r="J9">
            <v>2001</v>
          </cell>
          <cell r="K9">
            <v>2002</v>
          </cell>
          <cell r="L9">
            <v>2003</v>
          </cell>
          <cell r="M9">
            <v>2004</v>
          </cell>
          <cell r="N9">
            <v>2005</v>
          </cell>
          <cell r="O9">
            <v>2006</v>
          </cell>
          <cell r="P9">
            <v>2007</v>
          </cell>
          <cell r="Q9">
            <v>2008</v>
          </cell>
          <cell r="R9">
            <v>2009</v>
          </cell>
          <cell r="S9" t="str">
            <v xml:space="preserve">2010A </v>
          </cell>
          <cell r="T9" t="str">
            <v xml:space="preserve">2011E </v>
          </cell>
          <cell r="U9" t="str">
            <v xml:space="preserve">2012E </v>
          </cell>
          <cell r="V9" t="str">
            <v xml:space="preserve">2013E </v>
          </cell>
          <cell r="W9" t="str">
            <v xml:space="preserve">2014E </v>
          </cell>
          <cell r="X9" t="str">
            <v xml:space="preserve">2015E </v>
          </cell>
          <cell r="Y9" t="str">
            <v xml:space="preserve">2016E </v>
          </cell>
          <cell r="AA9" t="str">
            <v>June</v>
          </cell>
          <cell r="AB9" t="str">
            <v>Sept</v>
          </cell>
          <cell r="AC9" t="str">
            <v>Dec</v>
          </cell>
          <cell r="AD9" t="str">
            <v>Mar</v>
          </cell>
          <cell r="AE9" t="str">
            <v>June</v>
          </cell>
          <cell r="AF9" t="str">
            <v>Sept</v>
          </cell>
          <cell r="AG9" t="str">
            <v>Dec</v>
          </cell>
          <cell r="AH9" t="str">
            <v>Mar</v>
          </cell>
        </row>
        <row r="10">
          <cell r="B10" t="str">
            <v>Summary Financials</v>
          </cell>
        </row>
        <row r="12">
          <cell r="C12" t="str">
            <v>Commercial Networks Revenue</v>
          </cell>
          <cell r="J12">
            <v>101.94199999999999</v>
          </cell>
          <cell r="K12">
            <v>132.88999999999999</v>
          </cell>
          <cell r="L12">
            <v>102.694</v>
          </cell>
          <cell r="M12">
            <v>154.15600000000001</v>
          </cell>
          <cell r="N12">
            <v>177.39100000000002</v>
          </cell>
          <cell r="O12">
            <v>229.45599999999999</v>
          </cell>
          <cell r="P12">
            <v>231.52600000000001</v>
          </cell>
          <cell r="Q12">
            <v>248.297</v>
          </cell>
          <cell r="R12">
            <v>230.828</v>
          </cell>
          <cell r="S12">
            <v>227.12</v>
          </cell>
          <cell r="T12">
            <v>227.83699999999999</v>
          </cell>
          <cell r="U12">
            <v>290.04995500000001</v>
          </cell>
          <cell r="V12">
            <v>314.44844060000003</v>
          </cell>
          <cell r="W12">
            <v>350.09096778000003</v>
          </cell>
          <cell r="X12">
            <v>371.02291826000004</v>
          </cell>
          <cell r="Y12">
            <v>387.45202924300008</v>
          </cell>
          <cell r="AA12">
            <v>63.33</v>
          </cell>
          <cell r="AB12">
            <v>54.37</v>
          </cell>
          <cell r="AC12">
            <v>55.009</v>
          </cell>
          <cell r="AD12">
            <v>54.411000000000001</v>
          </cell>
          <cell r="AE12">
            <v>45.619</v>
          </cell>
          <cell r="AF12">
            <v>55.119</v>
          </cell>
          <cell r="AG12">
            <v>60.119</v>
          </cell>
          <cell r="AH12">
            <v>66.97999999999999</v>
          </cell>
        </row>
        <row r="13">
          <cell r="D13" t="str">
            <v>Y/Y Growth</v>
          </cell>
          <cell r="K13">
            <v>0.30358439112436475</v>
          </cell>
          <cell r="L13">
            <v>-0.22722552487019332</v>
          </cell>
          <cell r="M13">
            <v>0.50111983173311003</v>
          </cell>
          <cell r="N13">
            <v>0.1507239419808506</v>
          </cell>
          <cell r="O13">
            <v>0.29350418003168133</v>
          </cell>
          <cell r="P13">
            <v>9.0213374241685518E-3</v>
          </cell>
          <cell r="Q13">
            <v>7.2436788956747877E-2</v>
          </cell>
          <cell r="R13">
            <v>-7.0355260031333411E-2</v>
          </cell>
          <cell r="S13">
            <v>-1.606390905782662E-2</v>
          </cell>
          <cell r="T13">
            <v>3.1569214512150445E-3</v>
          </cell>
          <cell r="U13">
            <v>0.27305905098820649</v>
          </cell>
          <cell r="V13">
            <v>8.4118218877158535E-2</v>
          </cell>
          <cell r="W13">
            <v>0.11334935263787727</v>
          </cell>
          <cell r="X13">
            <v>5.9790032895546741E-2</v>
          </cell>
          <cell r="Y13">
            <v>4.4280582612115316E-2</v>
          </cell>
        </row>
        <row r="15">
          <cell r="C15" t="str">
            <v>Commercial Networks Operating Profit</v>
          </cell>
          <cell r="J15">
            <v>8.968</v>
          </cell>
          <cell r="K15">
            <v>3.4049999999999998</v>
          </cell>
          <cell r="L15">
            <v>-22.062000000000001</v>
          </cell>
          <cell r="M15">
            <v>9.3940000000000001</v>
          </cell>
          <cell r="N15">
            <v>1.8909999999999998</v>
          </cell>
          <cell r="O15">
            <v>-2.9239999999999999</v>
          </cell>
          <cell r="P15">
            <v>4.2789999999999999</v>
          </cell>
          <cell r="Q15">
            <v>9.8019999999999996</v>
          </cell>
          <cell r="R15">
            <v>6.3E-2</v>
          </cell>
          <cell r="S15">
            <v>6.0910000000000002</v>
          </cell>
          <cell r="T15">
            <v>-1.7543399999999991</v>
          </cell>
          <cell r="U15">
            <v>0.10050044999999841</v>
          </cell>
          <cell r="V15">
            <v>3.2295572030000024</v>
          </cell>
          <cell r="W15">
            <v>7.0270193556000002</v>
          </cell>
          <cell r="X15">
            <v>11.257604055599998</v>
          </cell>
          <cell r="Y15">
            <v>13.813851743715006</v>
          </cell>
          <cell r="AA15">
            <v>1.335</v>
          </cell>
          <cell r="AB15">
            <v>2.4500000000000002</v>
          </cell>
          <cell r="AC15">
            <v>-0.83499999999999996</v>
          </cell>
          <cell r="AD15">
            <v>3.141</v>
          </cell>
          <cell r="AE15">
            <v>-1.17</v>
          </cell>
          <cell r="AF15">
            <v>-0.56400000000000006</v>
          </cell>
          <cell r="AG15">
            <v>-0.2240000000000002</v>
          </cell>
          <cell r="AH15">
            <v>0.20366000000000106</v>
          </cell>
        </row>
        <row r="16">
          <cell r="D16" t="str">
            <v>% Margin</v>
          </cell>
          <cell r="J16">
            <v>8.7971591689392017E-2</v>
          </cell>
          <cell r="K16">
            <v>2.5622695462412522E-2</v>
          </cell>
          <cell r="L16">
            <v>-0.21483241474672329</v>
          </cell>
          <cell r="M16">
            <v>6.0938270323568335E-2</v>
          </cell>
          <cell r="N16">
            <v>1.0660067308939009E-2</v>
          </cell>
          <cell r="O16">
            <v>-1.2743183878390629E-2</v>
          </cell>
          <cell r="P16">
            <v>1.8481725594533659E-2</v>
          </cell>
          <cell r="Q16">
            <v>3.9476916756948331E-2</v>
          </cell>
          <cell r="R16">
            <v>2.729304937009375E-4</v>
          </cell>
          <cell r="S16">
            <v>2.6818421979570271E-2</v>
          </cell>
          <cell r="T16">
            <v>-7.6999784933965915E-3</v>
          </cell>
          <cell r="U16">
            <v>3.4649358935428349E-4</v>
          </cell>
          <cell r="V16">
            <v>1.0270546092827411E-2</v>
          </cell>
          <cell r="W16">
            <v>2.0071981291490605E-2</v>
          </cell>
          <cell r="X16">
            <v>3.0342071881691843E-2</v>
          </cell>
          <cell r="Y16">
            <v>3.5653063350072969E-2</v>
          </cell>
          <cell r="AA16">
            <v>2.108005684509711E-2</v>
          </cell>
          <cell r="AB16">
            <v>4.5061614861136662E-2</v>
          </cell>
          <cell r="AC16">
            <v>-1.5179334290752421E-2</v>
          </cell>
          <cell r="AD16">
            <v>5.772729778905001E-2</v>
          </cell>
          <cell r="AE16">
            <v>-2.5647208400008767E-2</v>
          </cell>
          <cell r="AF16">
            <v>-1.0232406248299136E-2</v>
          </cell>
          <cell r="AG16">
            <v>-3.7259435453018213E-3</v>
          </cell>
          <cell r="AH16">
            <v>3.0406091370558538E-3</v>
          </cell>
        </row>
        <row r="18">
          <cell r="C18" t="str">
            <v>Total ViaSat Revenue</v>
          </cell>
          <cell r="J18">
            <v>164.35199999999998</v>
          </cell>
          <cell r="K18">
            <v>195.62799999999999</v>
          </cell>
          <cell r="L18">
            <v>185.02199999999999</v>
          </cell>
          <cell r="M18">
            <v>278.57900000000001</v>
          </cell>
          <cell r="N18">
            <v>345.93900000000002</v>
          </cell>
          <cell r="O18">
            <v>433.82299999999998</v>
          </cell>
          <cell r="P18">
            <v>516.56600000000003</v>
          </cell>
          <cell r="Q18">
            <v>574.65000000000009</v>
          </cell>
          <cell r="R18">
            <v>628.17900000000009</v>
          </cell>
          <cell r="S18">
            <v>688.07999999999993</v>
          </cell>
          <cell r="T18">
            <v>852.40589391387971</v>
          </cell>
          <cell r="U18">
            <v>1008.3384950443954</v>
          </cell>
          <cell r="V18">
            <v>1151.0503551268525</v>
          </cell>
          <cell r="W18">
            <v>1290.9946941740877</v>
          </cell>
          <cell r="X18">
            <v>1393.2006559624019</v>
          </cell>
          <cell r="Y18">
            <v>1482.2260108628577</v>
          </cell>
          <cell r="AA18">
            <v>158.40799999999999</v>
          </cell>
          <cell r="AB18">
            <v>160.666</v>
          </cell>
          <cell r="AC18">
            <v>156.36399999999998</v>
          </cell>
          <cell r="AD18">
            <v>212.642</v>
          </cell>
          <cell r="AE18">
            <v>192.00399999999999</v>
          </cell>
          <cell r="AF18">
            <v>197.88900000000001</v>
          </cell>
          <cell r="AG18">
            <v>218.72049419065155</v>
          </cell>
          <cell r="AH18">
            <v>243.79239972322819</v>
          </cell>
        </row>
        <row r="19">
          <cell r="D19" t="str">
            <v>Commercial Networks % Total</v>
          </cell>
          <cell r="J19">
            <v>0.62026625778816202</v>
          </cell>
          <cell r="K19">
            <v>0.67929948678103336</v>
          </cell>
          <cell r="L19">
            <v>0.55503669833857594</v>
          </cell>
          <cell r="M19">
            <v>0.55336547263074387</v>
          </cell>
          <cell r="N19">
            <v>0.51278115505912891</v>
          </cell>
          <cell r="O19">
            <v>0.52891617088075094</v>
          </cell>
          <cell r="P19">
            <v>0.44820216584134459</v>
          </cell>
          <cell r="Q19">
            <v>0.43208387714260849</v>
          </cell>
          <cell r="R19">
            <v>0.36745577295643433</v>
          </cell>
          <cell r="S19">
            <v>0.33007789791884667</v>
          </cell>
          <cell r="T19">
            <v>0.26728698338050066</v>
          </cell>
          <cell r="U19">
            <v>0.28765137543145136</v>
          </cell>
          <cell r="V19">
            <v>0.2731839134573274</v>
          </cell>
          <cell r="W19">
            <v>0.27117924601848986</v>
          </cell>
          <cell r="X19">
            <v>0.26630974990727596</v>
          </cell>
          <cell r="Y19">
            <v>0.26139875187958017</v>
          </cell>
          <cell r="AA19">
            <v>0.399790414625524</v>
          </cell>
          <cell r="AB19">
            <v>0.3384038937920904</v>
          </cell>
          <cell r="AC19">
            <v>0.35180092604435809</v>
          </cell>
          <cell r="AD19">
            <v>0.25588077614017929</v>
          </cell>
          <cell r="AE19">
            <v>0.23759400845815712</v>
          </cell>
          <cell r="AF19">
            <v>0.27853493625214132</v>
          </cell>
          <cell r="AG19">
            <v>0.27486678933523356</v>
          </cell>
          <cell r="AH19">
            <v>0.27474195289123376</v>
          </cell>
        </row>
        <row r="22">
          <cell r="B22" t="str">
            <v>Revenue Build</v>
          </cell>
        </row>
        <row r="24">
          <cell r="C24" t="str">
            <v>Antenna Systems</v>
          </cell>
          <cell r="J24">
            <v>44</v>
          </cell>
          <cell r="K24">
            <v>43</v>
          </cell>
          <cell r="L24">
            <v>28.7</v>
          </cell>
          <cell r="M24">
            <v>42.606999999999999</v>
          </cell>
          <cell r="N24">
            <v>39.42</v>
          </cell>
          <cell r="O24">
            <v>47.191000000000003</v>
          </cell>
          <cell r="P24">
            <v>39.612000000000002</v>
          </cell>
          <cell r="Q24">
            <v>54.412000000000006</v>
          </cell>
          <cell r="R24">
            <v>50.782159999999998</v>
          </cell>
          <cell r="S24">
            <v>60.182159999999996</v>
          </cell>
          <cell r="T24">
            <v>80</v>
          </cell>
          <cell r="U24">
            <v>92</v>
          </cell>
          <cell r="V24">
            <v>101.2</v>
          </cell>
          <cell r="W24">
            <v>106.26</v>
          </cell>
          <cell r="X24">
            <v>111.57300000000001</v>
          </cell>
          <cell r="Y24">
            <v>117.15165000000002</v>
          </cell>
          <cell r="AA24">
            <v>11.2</v>
          </cell>
          <cell r="AB24">
            <v>14</v>
          </cell>
          <cell r="AC24">
            <v>16</v>
          </cell>
          <cell r="AD24">
            <v>18.982159999999993</v>
          </cell>
          <cell r="AE24">
            <v>20</v>
          </cell>
          <cell r="AF24">
            <v>20</v>
          </cell>
          <cell r="AG24">
            <v>20</v>
          </cell>
          <cell r="AH24">
            <v>20</v>
          </cell>
        </row>
        <row r="25">
          <cell r="D25" t="str">
            <v>Y/Y Growth</v>
          </cell>
          <cell r="N25">
            <v>-7.4799915506841508E-2</v>
          </cell>
          <cell r="O25">
            <v>0.19713343480466761</v>
          </cell>
          <cell r="P25">
            <v>-0.16060265728634693</v>
          </cell>
          <cell r="Q25">
            <v>0.37362415429667784</v>
          </cell>
          <cell r="R25">
            <v>-6.6710284496067196E-2</v>
          </cell>
          <cell r="S25">
            <v>0.18510437523728807</v>
          </cell>
          <cell r="T25">
            <v>0.32929758586265434</v>
          </cell>
          <cell r="U25">
            <v>0.15</v>
          </cell>
          <cell r="V25">
            <v>0.1</v>
          </cell>
          <cell r="W25">
            <v>0.05</v>
          </cell>
          <cell r="X25">
            <v>0.05</v>
          </cell>
          <cell r="Y25">
            <v>0.05</v>
          </cell>
          <cell r="AE25">
            <v>0.78571428571428581</v>
          </cell>
          <cell r="AF25">
            <v>0.4285714285714286</v>
          </cell>
          <cell r="AG25">
            <v>0.25</v>
          </cell>
          <cell r="AH25">
            <v>5.3620873493849253E-2</v>
          </cell>
        </row>
        <row r="26">
          <cell r="D26" t="str">
            <v>% Commercial Networks Revenue</v>
          </cell>
          <cell r="K26">
            <v>0.32357588983369706</v>
          </cell>
          <cell r="L26">
            <v>0.27947104991528227</v>
          </cell>
          <cell r="M26">
            <v>0.27638885285035936</v>
          </cell>
          <cell r="N26">
            <v>0.22222096949676137</v>
          </cell>
          <cell r="O26">
            <v>0.20566470260093442</v>
          </cell>
          <cell r="P26">
            <v>0.17109093579122864</v>
          </cell>
          <cell r="Q26">
            <v>0.21914078704132553</v>
          </cell>
          <cell r="R26">
            <v>0.22</v>
          </cell>
          <cell r="S26">
            <v>0.26497957027122226</v>
          </cell>
          <cell r="T26">
            <v>0.35112821885821882</v>
          </cell>
          <cell r="U26">
            <v>0.3171867411598116</v>
          </cell>
          <cell r="V26">
            <v>0.32183336577182564</v>
          </cell>
          <cell r="W26">
            <v>0.30352111245204888</v>
          </cell>
          <cell r="X26">
            <v>0.3007172724618955</v>
          </cell>
          <cell r="Y26">
            <v>0.30236427004625516</v>
          </cell>
        </row>
        <row r="28">
          <cell r="C28" t="str">
            <v>Enterprise VSAT Networks and Products</v>
          </cell>
          <cell r="J28">
            <v>47.662079999999989</v>
          </cell>
          <cell r="K28">
            <v>60.644679999999994</v>
          </cell>
          <cell r="L28">
            <v>62.90748</v>
          </cell>
          <cell r="M28">
            <v>78.002120000000005</v>
          </cell>
          <cell r="N28">
            <v>89.944140000000004</v>
          </cell>
          <cell r="O28">
            <v>82.426369999999991</v>
          </cell>
          <cell r="P28">
            <v>77.484899999999996</v>
          </cell>
          <cell r="Q28">
            <v>40.225500000000011</v>
          </cell>
          <cell r="R28">
            <v>43.972530000000013</v>
          </cell>
          <cell r="S28">
            <v>55.046399999999998</v>
          </cell>
          <cell r="T28">
            <v>35</v>
          </cell>
          <cell r="U28">
            <v>36.050000000000004</v>
          </cell>
          <cell r="V28">
            <v>37.131500000000003</v>
          </cell>
          <cell r="W28">
            <v>38.245445000000004</v>
          </cell>
          <cell r="X28">
            <v>39.392808350000003</v>
          </cell>
          <cell r="Y28">
            <v>40.574592600500004</v>
          </cell>
          <cell r="AA28">
            <v>19.600000000000001</v>
          </cell>
          <cell r="AB28">
            <v>12</v>
          </cell>
          <cell r="AC28">
            <v>12</v>
          </cell>
          <cell r="AD28">
            <v>11.446399999999997</v>
          </cell>
          <cell r="AE28">
            <v>5</v>
          </cell>
          <cell r="AF28">
            <v>8</v>
          </cell>
          <cell r="AG28">
            <v>10</v>
          </cell>
          <cell r="AH28">
            <v>12</v>
          </cell>
        </row>
        <row r="29">
          <cell r="D29" t="str">
            <v>Y/Y Growth</v>
          </cell>
          <cell r="K29">
            <v>0.27238844800730488</v>
          </cell>
          <cell r="L29">
            <v>3.7312423777320802E-2</v>
          </cell>
          <cell r="M29">
            <v>0.23994984380235862</v>
          </cell>
          <cell r="N29">
            <v>0.15309865936977096</v>
          </cell>
          <cell r="O29">
            <v>-8.3582654745489982E-2</v>
          </cell>
          <cell r="P29">
            <v>-5.9950110626004749E-2</v>
          </cell>
          <cell r="Q29">
            <v>-0.48086014178246328</v>
          </cell>
          <cell r="R29">
            <v>9.3150613416862482E-2</v>
          </cell>
          <cell r="S29">
            <v>0.25183608948586733</v>
          </cell>
          <cell r="T29">
            <v>-0.36417277060806885</v>
          </cell>
          <cell r="U29">
            <v>0.03</v>
          </cell>
          <cell r="V29">
            <v>0.03</v>
          </cell>
          <cell r="W29">
            <v>0.03</v>
          </cell>
          <cell r="X29">
            <v>0.03</v>
          </cell>
          <cell r="Y29">
            <v>0.03</v>
          </cell>
          <cell r="AE29">
            <v>-0.74489795918367352</v>
          </cell>
          <cell r="AF29">
            <v>-0.33333333333333337</v>
          </cell>
          <cell r="AG29">
            <v>-0.16666666666666663</v>
          </cell>
          <cell r="AH29">
            <v>4.8364551299972414E-2</v>
          </cell>
        </row>
        <row r="30">
          <cell r="D30" t="str">
            <v>% Commercial Networks Revenue</v>
          </cell>
          <cell r="K30">
            <v>0.4563524719692979</v>
          </cell>
          <cell r="L30">
            <v>0.61257210742594503</v>
          </cell>
          <cell r="M30">
            <v>0.50599470666078517</v>
          </cell>
          <cell r="N30">
            <v>0.50703891403735246</v>
          </cell>
          <cell r="O30">
            <v>0.35922516735234639</v>
          </cell>
          <cell r="P30">
            <v>0.33467040418786653</v>
          </cell>
          <cell r="Q30">
            <v>0.16200558202475265</v>
          </cell>
          <cell r="R30">
            <v>0.19049911622506807</v>
          </cell>
          <cell r="S30">
            <v>0.24236703064459317</v>
          </cell>
          <cell r="T30">
            <v>0.15361859575047074</v>
          </cell>
          <cell r="U30">
            <v>0.12428893498707835</v>
          </cell>
          <cell r="V30">
            <v>0.11808454171103305</v>
          </cell>
          <cell r="W30">
            <v>0.10924430653701911</v>
          </cell>
          <cell r="X30">
            <v>0.10617351762188147</v>
          </cell>
          <cell r="Y30">
            <v>0.10472159012761977</v>
          </cell>
        </row>
        <row r="31">
          <cell r="D31" t="str">
            <v>% Total Revenue</v>
          </cell>
          <cell r="J31">
            <v>0.28999999999999998</v>
          </cell>
          <cell r="K31">
            <v>0.31</v>
          </cell>
          <cell r="L31">
            <v>0.34</v>
          </cell>
          <cell r="M31">
            <v>0.28000000000000003</v>
          </cell>
          <cell r="N31">
            <v>0.26</v>
          </cell>
          <cell r="O31">
            <v>0.19</v>
          </cell>
          <cell r="P31">
            <v>0.15</v>
          </cell>
          <cell r="Q31">
            <v>7.0000000000000007E-2</v>
          </cell>
          <cell r="R31">
            <v>7.0000000000000007E-2</v>
          </cell>
          <cell r="S31">
            <v>0.08</v>
          </cell>
          <cell r="T31">
            <v>4.1060251049291924E-2</v>
          </cell>
          <cell r="U31">
            <v>3.5751883099943323E-2</v>
          </cell>
          <cell r="V31">
            <v>3.2258797223435019E-2</v>
          </cell>
          <cell r="W31">
            <v>2.9624788678521627E-2</v>
          </cell>
          <cell r="X31">
            <v>2.8275042924659009E-2</v>
          </cell>
          <cell r="Y31">
            <v>2.7374092954204777E-2</v>
          </cell>
        </row>
        <row r="33">
          <cell r="C33" t="str">
            <v>Consumer Broadband</v>
          </cell>
          <cell r="J33">
            <v>5</v>
          </cell>
          <cell r="K33">
            <v>15</v>
          </cell>
          <cell r="L33">
            <v>1</v>
          </cell>
          <cell r="M33">
            <v>6.5</v>
          </cell>
          <cell r="N33">
            <v>15</v>
          </cell>
          <cell r="O33">
            <v>49</v>
          </cell>
          <cell r="P33">
            <v>75.3</v>
          </cell>
          <cell r="Q33">
            <v>99</v>
          </cell>
          <cell r="R33">
            <v>65</v>
          </cell>
          <cell r="S33">
            <v>49.3</v>
          </cell>
          <cell r="T33">
            <v>42</v>
          </cell>
          <cell r="U33">
            <v>56.7</v>
          </cell>
          <cell r="V33">
            <v>85.050000000000011</v>
          </cell>
          <cell r="W33">
            <v>110.56500000000001</v>
          </cell>
          <cell r="X33">
            <v>121.62150000000003</v>
          </cell>
          <cell r="Y33">
            <v>133.78365000000005</v>
          </cell>
          <cell r="AA33">
            <v>12.5</v>
          </cell>
          <cell r="AB33">
            <v>12.5</v>
          </cell>
          <cell r="AC33">
            <v>12.5</v>
          </cell>
          <cell r="AD33">
            <v>11.799999999999997</v>
          </cell>
          <cell r="AE33">
            <v>5</v>
          </cell>
          <cell r="AF33">
            <v>10</v>
          </cell>
          <cell r="AG33">
            <v>12</v>
          </cell>
          <cell r="AH33">
            <v>15</v>
          </cell>
        </row>
        <row r="34">
          <cell r="D34" t="str">
            <v>Y/Y Growth</v>
          </cell>
          <cell r="K34">
            <v>2</v>
          </cell>
          <cell r="L34">
            <v>-0.93333333333333335</v>
          </cell>
          <cell r="M34">
            <v>5.5</v>
          </cell>
          <cell r="N34">
            <v>1.3076923076923075</v>
          </cell>
          <cell r="O34">
            <v>2.2666666666666666</v>
          </cell>
          <cell r="P34">
            <v>0.53673469387755102</v>
          </cell>
          <cell r="Q34">
            <v>0.31474103585657365</v>
          </cell>
          <cell r="R34">
            <v>-0.34343434343434343</v>
          </cell>
          <cell r="S34">
            <v>-0.24153846153846159</v>
          </cell>
          <cell r="T34">
            <v>-0.14807302231237318</v>
          </cell>
          <cell r="U34">
            <v>0.35</v>
          </cell>
          <cell r="V34">
            <v>0.5</v>
          </cell>
          <cell r="W34">
            <v>0.3</v>
          </cell>
          <cell r="X34">
            <v>0.1</v>
          </cell>
          <cell r="Y34">
            <v>0.1</v>
          </cell>
          <cell r="AE34">
            <v>-0.6</v>
          </cell>
          <cell r="AF34">
            <v>-0.19999999999999996</v>
          </cell>
          <cell r="AG34">
            <v>-4.0000000000000036E-2</v>
          </cell>
          <cell r="AH34">
            <v>0.27118644067796649</v>
          </cell>
        </row>
        <row r="35">
          <cell r="D35" t="str">
            <v>% Commercial Networks Revenue</v>
          </cell>
          <cell r="J35">
            <v>4.9047497596672623E-2</v>
          </cell>
          <cell r="K35">
            <v>0.11287531040710364</v>
          </cell>
          <cell r="L35">
            <v>9.7376672444349222E-3</v>
          </cell>
          <cell r="M35">
            <v>4.2165079529826927E-2</v>
          </cell>
          <cell r="N35">
            <v>8.4558968606073578E-2</v>
          </cell>
          <cell r="O35">
            <v>0.21354856704553379</v>
          </cell>
          <cell r="P35">
            <v>0.32523345110268392</v>
          </cell>
          <cell r="Q35">
            <v>0.39871605375820085</v>
          </cell>
          <cell r="R35">
            <v>0.28159495381842758</v>
          </cell>
          <cell r="S35">
            <v>0.21706586826347304</v>
          </cell>
          <cell r="T35">
            <v>0.18434231490056488</v>
          </cell>
          <cell r="U35">
            <v>0.19548356764957953</v>
          </cell>
          <cell r="V35">
            <v>0.27047359445547209</v>
          </cell>
          <cell r="W35">
            <v>0.31581791641502716</v>
          </cell>
          <cell r="X35">
            <v>0.32780050507492337</v>
          </cell>
          <cell r="Y35">
            <v>0.34529087448937928</v>
          </cell>
        </row>
        <row r="37">
          <cell r="C37" t="str">
            <v>Maritime</v>
          </cell>
          <cell r="T37">
            <v>25</v>
          </cell>
          <cell r="U37">
            <v>25</v>
          </cell>
          <cell r="V37">
            <v>25.005000000000003</v>
          </cell>
          <cell r="W37">
            <v>25.010000000000005</v>
          </cell>
          <cell r="X37">
            <v>25.015000000000004</v>
          </cell>
          <cell r="Y37">
            <v>25.020000000000007</v>
          </cell>
        </row>
        <row r="38">
          <cell r="C38" t="str">
            <v>Rails</v>
          </cell>
          <cell r="T38">
            <v>0</v>
          </cell>
          <cell r="U38">
            <v>6</v>
          </cell>
          <cell r="V38">
            <v>12</v>
          </cell>
          <cell r="W38">
            <v>12</v>
          </cell>
          <cell r="X38">
            <v>12</v>
          </cell>
          <cell r="Y38">
            <v>12</v>
          </cell>
        </row>
        <row r="39">
          <cell r="C39" t="str">
            <v>Business Jets</v>
          </cell>
          <cell r="T39">
            <v>11.361000000000002</v>
          </cell>
          <cell r="U39">
            <v>12.749955000000003</v>
          </cell>
          <cell r="V39">
            <v>16.061940600000007</v>
          </cell>
          <cell r="W39">
            <v>20.160522780000012</v>
          </cell>
          <cell r="X39">
            <v>23.120609910000013</v>
          </cell>
          <cell r="Y39">
            <v>22.722136642500018</v>
          </cell>
        </row>
        <row r="40">
          <cell r="C40" t="str">
            <v>Commercial Aircraft</v>
          </cell>
          <cell r="T40">
            <v>0</v>
          </cell>
          <cell r="U40">
            <v>26.55</v>
          </cell>
          <cell r="V40">
            <v>3</v>
          </cell>
          <cell r="W40">
            <v>2.85</v>
          </cell>
          <cell r="X40">
            <v>3.3</v>
          </cell>
          <cell r="Y40">
            <v>1.2</v>
          </cell>
        </row>
        <row r="41">
          <cell r="C41" t="str">
            <v>Mobile Broadband</v>
          </cell>
          <cell r="K41">
            <v>4</v>
          </cell>
          <cell r="L41">
            <v>6</v>
          </cell>
          <cell r="M41">
            <v>3</v>
          </cell>
          <cell r="N41">
            <v>11</v>
          </cell>
          <cell r="O41">
            <v>17.5</v>
          </cell>
          <cell r="P41">
            <v>7.7</v>
          </cell>
          <cell r="Q41">
            <v>20</v>
          </cell>
          <cell r="R41">
            <v>39.200000000000003</v>
          </cell>
          <cell r="S41">
            <v>27.400000000000002</v>
          </cell>
          <cell r="T41">
            <v>36.361000000000004</v>
          </cell>
          <cell r="U41">
            <v>70.299954999999997</v>
          </cell>
          <cell r="V41">
            <v>56.066940600000009</v>
          </cell>
          <cell r="W41">
            <v>60.020522780000015</v>
          </cell>
          <cell r="X41">
            <v>63.435609910000011</v>
          </cell>
          <cell r="Y41">
            <v>60.942136642500031</v>
          </cell>
          <cell r="AA41">
            <v>6.4110000000000014</v>
          </cell>
          <cell r="AB41">
            <v>7</v>
          </cell>
          <cell r="AC41">
            <v>7</v>
          </cell>
          <cell r="AD41">
            <v>6.9890000000000008</v>
          </cell>
          <cell r="AE41">
            <v>7</v>
          </cell>
          <cell r="AF41">
            <v>8.5</v>
          </cell>
          <cell r="AG41">
            <v>9.5</v>
          </cell>
          <cell r="AH41">
            <v>11.361000000000004</v>
          </cell>
        </row>
        <row r="42">
          <cell r="D42" t="str">
            <v>Y/Y Growth</v>
          </cell>
          <cell r="L42">
            <v>0.5</v>
          </cell>
          <cell r="M42">
            <v>-0.5</v>
          </cell>
          <cell r="N42">
            <v>2.6666666666666665</v>
          </cell>
          <cell r="O42">
            <v>0.59090909090909083</v>
          </cell>
          <cell r="P42">
            <v>-0.56000000000000005</v>
          </cell>
          <cell r="Q42">
            <v>1.5974025974025974</v>
          </cell>
          <cell r="R42">
            <v>0.96000000000000019</v>
          </cell>
          <cell r="S42">
            <v>-0.30102040816326525</v>
          </cell>
          <cell r="T42">
            <v>0.32704379562043795</v>
          </cell>
          <cell r="U42">
            <v>0.93338893319765659</v>
          </cell>
          <cell r="V42">
            <v>-0.20246121636919945</v>
          </cell>
          <cell r="W42">
            <v>7.0515389955128072E-2</v>
          </cell>
          <cell r="X42">
            <v>5.6898656856383845E-2</v>
          </cell>
          <cell r="Y42">
            <v>-3.9307153679733253E-2</v>
          </cell>
          <cell r="AE42">
            <v>9.1873342692247562E-2</v>
          </cell>
          <cell r="AF42">
            <v>0.21428571428571419</v>
          </cell>
          <cell r="AG42">
            <v>0.35714285714285721</v>
          </cell>
          <cell r="AH42">
            <v>0.62555444269566496</v>
          </cell>
        </row>
        <row r="43">
          <cell r="D43" t="str">
            <v>% Commercial Networks Revenue</v>
          </cell>
          <cell r="K43">
            <v>3.0100082775227636E-2</v>
          </cell>
          <cell r="L43">
            <v>5.842600346660954E-2</v>
          </cell>
          <cell r="M43">
            <v>1.9460805936843198E-2</v>
          </cell>
          <cell r="N43">
            <v>6.2009910311120624E-2</v>
          </cell>
          <cell r="O43">
            <v>7.6267345373404932E-2</v>
          </cell>
          <cell r="P43">
            <v>3.3257603897618407E-2</v>
          </cell>
          <cell r="Q43">
            <v>8.0548697728929475E-2</v>
          </cell>
          <cell r="R43">
            <v>0.16982341830280556</v>
          </cell>
          <cell r="S43">
            <v>0.12064107079957732</v>
          </cell>
          <cell r="T43">
            <v>0.15959216457379621</v>
          </cell>
          <cell r="U43">
            <v>0.24237188728403697</v>
          </cell>
          <cell r="V43">
            <v>0.17830249211291527</v>
          </cell>
          <cell r="W43">
            <v>0.17144264863673203</v>
          </cell>
          <cell r="X43">
            <v>0.17097490960260986</v>
          </cell>
          <cell r="Y43">
            <v>0.15728950177798312</v>
          </cell>
        </row>
        <row r="45">
          <cell r="C45" t="str">
            <v>Technology Labs and Other</v>
          </cell>
          <cell r="J45">
            <v>5.2799200000000042</v>
          </cell>
          <cell r="K45">
            <v>10.245319999999992</v>
          </cell>
          <cell r="L45">
            <v>4.0865200000000073</v>
          </cell>
          <cell r="M45">
            <v>24.046879999999987</v>
          </cell>
          <cell r="N45">
            <v>22.026859999999999</v>
          </cell>
          <cell r="O45">
            <v>33.338629999999995</v>
          </cell>
          <cell r="P45">
            <v>31.429100000000005</v>
          </cell>
          <cell r="Q45">
            <v>34.65949999999998</v>
          </cell>
          <cell r="R45">
            <v>31.873309999999975</v>
          </cell>
          <cell r="S45">
            <v>35.19144</v>
          </cell>
          <cell r="T45">
            <v>34.475999999999999</v>
          </cell>
          <cell r="U45">
            <v>35</v>
          </cell>
          <cell r="V45">
            <v>35</v>
          </cell>
          <cell r="W45">
            <v>35</v>
          </cell>
          <cell r="X45">
            <v>35</v>
          </cell>
          <cell r="Y45">
            <v>35</v>
          </cell>
          <cell r="AA45">
            <v>13.619</v>
          </cell>
          <cell r="AB45">
            <v>8.8699999999999974</v>
          </cell>
          <cell r="AC45">
            <v>7.5090000000000003</v>
          </cell>
          <cell r="AD45">
            <v>5.1934400000000096</v>
          </cell>
          <cell r="AE45">
            <v>8.6189999999999998</v>
          </cell>
          <cell r="AF45">
            <v>8.6189999999999998</v>
          </cell>
          <cell r="AG45">
            <v>8.6189999999999998</v>
          </cell>
          <cell r="AH45">
            <v>8.6189999999999998</v>
          </cell>
        </row>
        <row r="47">
          <cell r="C47" t="str">
            <v>Total Commercial Networks Revenue</v>
          </cell>
          <cell r="J47">
            <v>101.94199999999999</v>
          </cell>
          <cell r="K47">
            <v>132.88999999999999</v>
          </cell>
          <cell r="L47">
            <v>102.694</v>
          </cell>
          <cell r="M47">
            <v>154.15600000000001</v>
          </cell>
          <cell r="N47">
            <v>177.39100000000002</v>
          </cell>
          <cell r="O47">
            <v>229.45599999999999</v>
          </cell>
          <cell r="P47">
            <v>231.52600000000001</v>
          </cell>
          <cell r="Q47">
            <v>248.297</v>
          </cell>
          <cell r="R47">
            <v>230.828</v>
          </cell>
          <cell r="S47">
            <v>227.12</v>
          </cell>
          <cell r="T47">
            <v>227.83699999999999</v>
          </cell>
          <cell r="U47">
            <v>290.04995500000001</v>
          </cell>
          <cell r="V47">
            <v>314.44844060000003</v>
          </cell>
          <cell r="W47">
            <v>350.09096778000003</v>
          </cell>
          <cell r="X47">
            <v>371.02291826000004</v>
          </cell>
          <cell r="Y47">
            <v>387.45202924300008</v>
          </cell>
          <cell r="AA47">
            <v>63.33</v>
          </cell>
          <cell r="AB47">
            <v>54.37</v>
          </cell>
          <cell r="AC47">
            <v>55.009</v>
          </cell>
          <cell r="AD47">
            <v>54.411000000000001</v>
          </cell>
          <cell r="AE47">
            <v>45.619</v>
          </cell>
          <cell r="AF47">
            <v>55.119</v>
          </cell>
          <cell r="AG47">
            <v>60.119</v>
          </cell>
          <cell r="AH47">
            <v>66.98</v>
          </cell>
        </row>
        <row r="48">
          <cell r="D48" t="str">
            <v>Y/Y Growth</v>
          </cell>
          <cell r="K48">
            <v>0.30358439112436475</v>
          </cell>
          <cell r="L48">
            <v>-0.22722552487019332</v>
          </cell>
          <cell r="M48">
            <v>0.50111983173311003</v>
          </cell>
          <cell r="N48">
            <v>0.1507239419808506</v>
          </cell>
          <cell r="O48">
            <v>0.29350418003168133</v>
          </cell>
          <cell r="P48">
            <v>9.0213374241685518E-3</v>
          </cell>
          <cell r="Q48">
            <v>7.2436788956747877E-2</v>
          </cell>
          <cell r="R48">
            <v>-7.0355260031333411E-2</v>
          </cell>
          <cell r="S48">
            <v>-1.606390905782662E-2</v>
          </cell>
          <cell r="T48">
            <v>3.1569214512150445E-3</v>
          </cell>
          <cell r="U48">
            <v>0.27305905098820649</v>
          </cell>
          <cell r="V48">
            <v>8.4118218877158535E-2</v>
          </cell>
          <cell r="W48">
            <v>0.11334935263787727</v>
          </cell>
          <cell r="X48">
            <v>5.9790032895546741E-2</v>
          </cell>
          <cell r="Y48">
            <v>4.4280582612115316E-2</v>
          </cell>
          <cell r="AE48">
            <v>-0.27966208747828836</v>
          </cell>
          <cell r="AF48">
            <v>1.3775979400404648E-2</v>
          </cell>
          <cell r="AG48">
            <v>9.2893890090712361E-2</v>
          </cell>
          <cell r="AH48">
            <v>0.23100108433956379</v>
          </cell>
        </row>
        <row r="49">
          <cell r="D49" t="str">
            <v>Check</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AA49">
            <v>0</v>
          </cell>
          <cell r="AB49">
            <v>0</v>
          </cell>
          <cell r="AC49">
            <v>0</v>
          </cell>
          <cell r="AD49">
            <v>0</v>
          </cell>
          <cell r="AE49">
            <v>0</v>
          </cell>
          <cell r="AF49">
            <v>0</v>
          </cell>
          <cell r="AG49">
            <v>0</v>
          </cell>
          <cell r="AH49">
            <v>0</v>
          </cell>
        </row>
        <row r="52">
          <cell r="C52" t="str">
            <v>Incremental Revenue</v>
          </cell>
        </row>
        <row r="53">
          <cell r="C53" t="str">
            <v>Antenna Systems</v>
          </cell>
          <cell r="J53">
            <v>35.200000000000003</v>
          </cell>
          <cell r="K53">
            <v>60.182159999999996</v>
          </cell>
          <cell r="L53">
            <v>95.382159999999999</v>
          </cell>
          <cell r="O53">
            <v>7.7710000000000008</v>
          </cell>
          <cell r="P53">
            <v>-7.5790000000000006</v>
          </cell>
          <cell r="Q53">
            <v>14.8</v>
          </cell>
          <cell r="R53">
            <v>-3.6298400000000086</v>
          </cell>
          <cell r="S53">
            <v>9.4</v>
          </cell>
          <cell r="AA53">
            <v>-2.6</v>
          </cell>
          <cell r="AB53">
            <v>2.5</v>
          </cell>
          <cell r="AC53">
            <v>4.7</v>
          </cell>
          <cell r="AD53">
            <v>4.8000000000000007</v>
          </cell>
          <cell r="AE53">
            <v>8.8000000000000007</v>
          </cell>
        </row>
        <row r="54">
          <cell r="C54" t="str">
            <v>Enterprise VSAT Networks and Products</v>
          </cell>
          <cell r="J54">
            <v>-58.4</v>
          </cell>
          <cell r="K54">
            <v>55.046399999999998</v>
          </cell>
          <cell r="L54">
            <v>-3.3536000000000001</v>
          </cell>
          <cell r="Q54">
            <v>-25.3</v>
          </cell>
          <cell r="R54">
            <v>-2.2000000000000002</v>
          </cell>
          <cell r="S54">
            <v>13.5</v>
          </cell>
          <cell r="AA54">
            <v>7.6</v>
          </cell>
          <cell r="AB54">
            <v>0.8</v>
          </cell>
          <cell r="AC54">
            <v>6.6</v>
          </cell>
          <cell r="AD54">
            <v>-1.5</v>
          </cell>
          <cell r="AE54">
            <v>-14.6</v>
          </cell>
        </row>
        <row r="55">
          <cell r="C55" t="str">
            <v>Consumer Broadband</v>
          </cell>
          <cell r="J55">
            <v>-30</v>
          </cell>
          <cell r="K55">
            <v>49.3</v>
          </cell>
          <cell r="L55">
            <v>19.299999999999997</v>
          </cell>
          <cell r="P55">
            <v>26.3</v>
          </cell>
          <cell r="Q55">
            <v>23.7</v>
          </cell>
          <cell r="R55">
            <v>-34</v>
          </cell>
          <cell r="S55">
            <v>-15.7</v>
          </cell>
          <cell r="AA55">
            <v>-4.2</v>
          </cell>
          <cell r="AB55">
            <v>-4.3</v>
          </cell>
          <cell r="AC55">
            <v>-4.2</v>
          </cell>
          <cell r="AD55">
            <v>-3</v>
          </cell>
          <cell r="AE55">
            <v>-7.5</v>
          </cell>
        </row>
        <row r="56">
          <cell r="C56" t="str">
            <v>Mobile Broadband</v>
          </cell>
          <cell r="J56">
            <v>0</v>
          </cell>
          <cell r="K56">
            <v>27.400000000000002</v>
          </cell>
          <cell r="L56">
            <v>27.400000000000002</v>
          </cell>
          <cell r="P56">
            <v>-9.8000000000000007</v>
          </cell>
          <cell r="R56">
            <v>19.2</v>
          </cell>
          <cell r="S56">
            <v>-11.8</v>
          </cell>
          <cell r="AB56">
            <v>-3.9</v>
          </cell>
          <cell r="AC56">
            <v>-5.4</v>
          </cell>
          <cell r="AD56">
            <v>-2.5</v>
          </cell>
        </row>
        <row r="57">
          <cell r="C57" t="str">
            <v>Technology Labs and Other</v>
          </cell>
          <cell r="J57">
            <v>-20</v>
          </cell>
          <cell r="K57">
            <v>35.19144</v>
          </cell>
          <cell r="L57">
            <v>15.19144</v>
          </cell>
          <cell r="AD57">
            <v>0</v>
          </cell>
          <cell r="AE57">
            <v>-5</v>
          </cell>
        </row>
        <row r="58">
          <cell r="C58" t="str">
            <v>Plug</v>
          </cell>
          <cell r="J58">
            <v>2.3559999999999945</v>
          </cell>
          <cell r="N58">
            <v>23.235000000000014</v>
          </cell>
          <cell r="O58">
            <v>44.293999999999969</v>
          </cell>
          <cell r="P58">
            <v>-6.8509999999999778</v>
          </cell>
          <cell r="Q58">
            <v>3.5709999999999873</v>
          </cell>
          <cell r="R58">
            <v>3.1608400000000181</v>
          </cell>
          <cell r="S58">
            <v>0.89200000000000301</v>
          </cell>
          <cell r="T58">
            <v>0.71699999999998454</v>
          </cell>
          <cell r="U58">
            <v>62.212955000000022</v>
          </cell>
          <cell r="V58">
            <v>24.398485600000015</v>
          </cell>
          <cell r="W58">
            <v>35.642527180000002</v>
          </cell>
          <cell r="X58">
            <v>20.931950480000012</v>
          </cell>
          <cell r="Y58">
            <v>16.429110983000044</v>
          </cell>
          <cell r="AA58">
            <v>-0.41800000000000193</v>
          </cell>
          <cell r="AB58">
            <v>6.1999999999999389E-2</v>
          </cell>
          <cell r="AC58">
            <v>-0.89899999999999824</v>
          </cell>
          <cell r="AD58">
            <v>2.147000000000002</v>
          </cell>
          <cell r="AE58">
            <v>0.58899999999999864</v>
          </cell>
        </row>
        <row r="59">
          <cell r="C59" t="str">
            <v>Total</v>
          </cell>
          <cell r="N59">
            <v>23.235000000000014</v>
          </cell>
          <cell r="O59">
            <v>52.064999999999969</v>
          </cell>
          <cell r="P59">
            <v>2.0700000000000216</v>
          </cell>
          <cell r="Q59">
            <v>16.770999999999987</v>
          </cell>
          <cell r="R59">
            <v>-17.468999999999994</v>
          </cell>
          <cell r="S59">
            <v>-3.7079999999999984</v>
          </cell>
          <cell r="T59">
            <v>0.71699999999998454</v>
          </cell>
          <cell r="U59">
            <v>62.212955000000022</v>
          </cell>
          <cell r="V59">
            <v>24.398485600000015</v>
          </cell>
          <cell r="W59">
            <v>35.642527180000002</v>
          </cell>
          <cell r="X59">
            <v>20.931950480000012</v>
          </cell>
          <cell r="Y59">
            <v>16.429110983000044</v>
          </cell>
          <cell r="AA59">
            <v>0.3819999999999979</v>
          </cell>
          <cell r="AB59">
            <v>-4.838000000000001</v>
          </cell>
          <cell r="AC59">
            <v>0.80100000000000193</v>
          </cell>
          <cell r="AD59">
            <v>-5.2999999999997272E-2</v>
          </cell>
          <cell r="AE59">
            <v>-17.710999999999999</v>
          </cell>
        </row>
        <row r="60">
          <cell r="C60" t="str">
            <v>Check</v>
          </cell>
          <cell r="N60">
            <v>23.235000000000014</v>
          </cell>
          <cell r="O60">
            <v>52.064999999999969</v>
          </cell>
          <cell r="P60">
            <v>2.0700000000000216</v>
          </cell>
          <cell r="Q60">
            <v>16.770999999999987</v>
          </cell>
          <cell r="R60">
            <v>-17.468999999999994</v>
          </cell>
          <cell r="S60">
            <v>-3.7079999999999984</v>
          </cell>
          <cell r="T60">
            <v>0.71699999999998454</v>
          </cell>
          <cell r="AA60">
            <v>0.3819999999999979</v>
          </cell>
          <cell r="AB60">
            <v>-4.838000000000001</v>
          </cell>
          <cell r="AC60">
            <v>0.80100000000000193</v>
          </cell>
          <cell r="AD60">
            <v>-5.2999999999997272E-2</v>
          </cell>
          <cell r="AE60">
            <v>-17.710999999999999</v>
          </cell>
        </row>
        <row r="62">
          <cell r="C62" t="str">
            <v>Beginning Backlog</v>
          </cell>
          <cell r="AE62">
            <v>283.5</v>
          </cell>
        </row>
        <row r="63">
          <cell r="C63" t="str">
            <v>Less: Revenue</v>
          </cell>
          <cell r="AE63">
            <v>-45.619</v>
          </cell>
        </row>
        <row r="64">
          <cell r="C64" t="str">
            <v>Plus: Net Awards</v>
          </cell>
          <cell r="AE64">
            <v>24.519000000000005</v>
          </cell>
        </row>
        <row r="65">
          <cell r="C65" t="str">
            <v>Ending Backlog</v>
          </cell>
          <cell r="AD65">
            <v>283.5</v>
          </cell>
          <cell r="AE65">
            <v>262.39999999999998</v>
          </cell>
        </row>
        <row r="68">
          <cell r="B68" t="str">
            <v>Operating Profit Build</v>
          </cell>
        </row>
        <row r="70">
          <cell r="C70" t="str">
            <v>Antenna Systems</v>
          </cell>
          <cell r="L70">
            <v>0.53600000000000003</v>
          </cell>
          <cell r="M70">
            <v>2.093</v>
          </cell>
          <cell r="N70">
            <v>3.6389999999999998</v>
          </cell>
          <cell r="O70">
            <v>3.887</v>
          </cell>
          <cell r="P70">
            <v>3.7130000000000001</v>
          </cell>
          <cell r="Q70">
            <v>5.4412000000000011</v>
          </cell>
          <cell r="R70">
            <v>5.0782160000000003</v>
          </cell>
          <cell r="S70">
            <v>6.0182159999999998</v>
          </cell>
          <cell r="T70">
            <v>8</v>
          </cell>
          <cell r="U70">
            <v>9.2000000000000011</v>
          </cell>
          <cell r="V70">
            <v>10.120000000000001</v>
          </cell>
          <cell r="W70">
            <v>10.626000000000001</v>
          </cell>
          <cell r="X70">
            <v>11.157300000000001</v>
          </cell>
          <cell r="Y70">
            <v>11.715165000000002</v>
          </cell>
          <cell r="AE70">
            <v>2</v>
          </cell>
          <cell r="AF70">
            <v>2</v>
          </cell>
          <cell r="AG70">
            <v>2</v>
          </cell>
          <cell r="AH70">
            <v>2</v>
          </cell>
        </row>
        <row r="71">
          <cell r="D71" t="str">
            <v>% Margin</v>
          </cell>
          <cell r="L71">
            <v>1.8675958188153312E-2</v>
          </cell>
          <cell r="M71">
            <v>4.9123383481587533E-2</v>
          </cell>
          <cell r="N71">
            <v>9.2313546423135454E-2</v>
          </cell>
          <cell r="O71">
            <v>8.2367400563666801E-2</v>
          </cell>
          <cell r="P71">
            <v>9.373422195294355E-2</v>
          </cell>
          <cell r="Q71">
            <v>0.1</v>
          </cell>
          <cell r="R71">
            <v>0.1</v>
          </cell>
          <cell r="S71">
            <v>0.1</v>
          </cell>
          <cell r="T71">
            <v>0.1</v>
          </cell>
          <cell r="U71">
            <v>0.1</v>
          </cell>
          <cell r="V71">
            <v>0.1</v>
          </cell>
          <cell r="W71">
            <v>0.1</v>
          </cell>
          <cell r="X71">
            <v>0.1</v>
          </cell>
          <cell r="Y71">
            <v>0.1</v>
          </cell>
          <cell r="AE71">
            <v>0.1</v>
          </cell>
          <cell r="AF71">
            <v>0.1</v>
          </cell>
          <cell r="AG71">
            <v>0.1</v>
          </cell>
          <cell r="AH71">
            <v>0.1</v>
          </cell>
        </row>
        <row r="73">
          <cell r="C73" t="str">
            <v>Enterprise VSAT Networks and Products</v>
          </cell>
          <cell r="T73">
            <v>2.8</v>
          </cell>
          <cell r="U73">
            <v>2.8840000000000003</v>
          </cell>
          <cell r="V73">
            <v>2.97052</v>
          </cell>
          <cell r="W73">
            <v>3.0596356000000005</v>
          </cell>
          <cell r="X73">
            <v>3.1514246680000002</v>
          </cell>
          <cell r="Y73">
            <v>3.2459674080400003</v>
          </cell>
          <cell r="AE73">
            <v>0.4</v>
          </cell>
          <cell r="AF73">
            <v>0.64</v>
          </cell>
          <cell r="AG73">
            <v>0.8</v>
          </cell>
          <cell r="AH73">
            <v>0.96</v>
          </cell>
        </row>
        <row r="74">
          <cell r="D74" t="str">
            <v>% Margin</v>
          </cell>
          <cell r="T74">
            <v>0.08</v>
          </cell>
          <cell r="U74">
            <v>0.08</v>
          </cell>
          <cell r="V74">
            <v>0.08</v>
          </cell>
          <cell r="W74">
            <v>0.08</v>
          </cell>
          <cell r="X74">
            <v>0.08</v>
          </cell>
          <cell r="Y74">
            <v>0.08</v>
          </cell>
          <cell r="AE74">
            <v>0.08</v>
          </cell>
          <cell r="AF74">
            <v>0.08</v>
          </cell>
          <cell r="AG74">
            <v>0.08</v>
          </cell>
          <cell r="AH74">
            <v>0.08</v>
          </cell>
        </row>
        <row r="76">
          <cell r="C76" t="str">
            <v>Consumer Broadband</v>
          </cell>
          <cell r="T76">
            <v>2.5199999999999996</v>
          </cell>
          <cell r="U76">
            <v>3.4020000000000001</v>
          </cell>
          <cell r="V76">
            <v>5.9535000000000018</v>
          </cell>
          <cell r="W76">
            <v>8.8452000000000019</v>
          </cell>
          <cell r="X76">
            <v>10.945935000000002</v>
          </cell>
          <cell r="Y76">
            <v>12.040528500000004</v>
          </cell>
          <cell r="AE76">
            <v>0.3</v>
          </cell>
          <cell r="AF76">
            <v>0.6</v>
          </cell>
          <cell r="AG76">
            <v>0.72</v>
          </cell>
          <cell r="AH76">
            <v>0.89999999999999991</v>
          </cell>
        </row>
        <row r="77">
          <cell r="D77" t="str">
            <v>% Margin</v>
          </cell>
          <cell r="T77">
            <v>5.9999999999999991E-2</v>
          </cell>
          <cell r="U77">
            <v>0.06</v>
          </cell>
          <cell r="V77">
            <v>7.0000000000000007E-2</v>
          </cell>
          <cell r="W77">
            <v>0.08</v>
          </cell>
          <cell r="X77">
            <v>0.09</v>
          </cell>
          <cell r="Y77">
            <v>0.09</v>
          </cell>
          <cell r="AE77">
            <v>0.06</v>
          </cell>
          <cell r="AF77">
            <v>0.06</v>
          </cell>
          <cell r="AG77">
            <v>0.06</v>
          </cell>
          <cell r="AH77">
            <v>0.06</v>
          </cell>
        </row>
        <row r="79">
          <cell r="C79" t="str">
            <v>Mobile Broadband</v>
          </cell>
          <cell r="T79">
            <v>2.1816600000000004</v>
          </cell>
          <cell r="U79">
            <v>4.2179972999999995</v>
          </cell>
          <cell r="V79">
            <v>3.924685842000001</v>
          </cell>
          <cell r="W79">
            <v>4.8016418224000015</v>
          </cell>
          <cell r="X79">
            <v>5.7092048919000007</v>
          </cell>
          <cell r="Y79">
            <v>5.4847922978250025</v>
          </cell>
          <cell r="AE79">
            <v>0.42</v>
          </cell>
          <cell r="AF79">
            <v>0.51</v>
          </cell>
          <cell r="AG79">
            <v>0.56999999999999995</v>
          </cell>
          <cell r="AH79">
            <v>0.68166000000000027</v>
          </cell>
        </row>
        <row r="80">
          <cell r="D80" t="str">
            <v>% Margin</v>
          </cell>
          <cell r="T80">
            <v>6.0000000000000005E-2</v>
          </cell>
          <cell r="U80">
            <v>0.06</v>
          </cell>
          <cell r="V80">
            <v>7.0000000000000007E-2</v>
          </cell>
          <cell r="W80">
            <v>0.08</v>
          </cell>
          <cell r="X80">
            <v>0.09</v>
          </cell>
          <cell r="Y80">
            <v>0.09</v>
          </cell>
          <cell r="AE80">
            <v>0.06</v>
          </cell>
          <cell r="AF80">
            <v>0.06</v>
          </cell>
          <cell r="AG80">
            <v>0.06</v>
          </cell>
          <cell r="AH80">
            <v>0.06</v>
          </cell>
        </row>
        <row r="82">
          <cell r="C82" t="str">
            <v>Technology Labs and Other</v>
          </cell>
          <cell r="T82">
            <v>0</v>
          </cell>
          <cell r="U82">
            <v>0.70000000000000007</v>
          </cell>
          <cell r="V82">
            <v>0.70000000000000007</v>
          </cell>
          <cell r="W82">
            <v>0.70000000000000007</v>
          </cell>
          <cell r="X82">
            <v>0.70000000000000007</v>
          </cell>
          <cell r="Y82">
            <v>0.70000000000000007</v>
          </cell>
          <cell r="AE82">
            <v>0</v>
          </cell>
          <cell r="AF82">
            <v>0</v>
          </cell>
          <cell r="AG82">
            <v>0</v>
          </cell>
          <cell r="AH82">
            <v>0</v>
          </cell>
        </row>
        <row r="83">
          <cell r="D83" t="str">
            <v>% Margin</v>
          </cell>
          <cell r="T83">
            <v>0</v>
          </cell>
          <cell r="U83">
            <v>0.02</v>
          </cell>
          <cell r="V83">
            <v>0.02</v>
          </cell>
          <cell r="W83">
            <v>0.02</v>
          </cell>
          <cell r="X83">
            <v>0.02</v>
          </cell>
          <cell r="Y83">
            <v>0.02</v>
          </cell>
          <cell r="AE83">
            <v>0</v>
          </cell>
          <cell r="AF83">
            <v>0</v>
          </cell>
          <cell r="AG83">
            <v>0</v>
          </cell>
          <cell r="AH83">
            <v>0</v>
          </cell>
        </row>
        <row r="85">
          <cell r="C85" t="str">
            <v>Pre-R&amp;D Profit</v>
          </cell>
          <cell r="T85">
            <v>15.501660000000001</v>
          </cell>
          <cell r="U85">
            <v>20.4039973</v>
          </cell>
          <cell r="V85">
            <v>23.668705842000005</v>
          </cell>
          <cell r="W85">
            <v>28.032477422400003</v>
          </cell>
          <cell r="X85">
            <v>31.663864559900002</v>
          </cell>
          <cell r="Y85">
            <v>33.186453205865014</v>
          </cell>
          <cell r="AE85">
            <v>3.1199999999999997</v>
          </cell>
          <cell r="AF85">
            <v>3.75</v>
          </cell>
          <cell r="AG85">
            <v>4.09</v>
          </cell>
          <cell r="AH85">
            <v>4.5416600000000003</v>
          </cell>
        </row>
        <row r="86">
          <cell r="D86" t="str">
            <v>% Margin</v>
          </cell>
          <cell r="T86">
            <v>6.8038378314321205E-2</v>
          </cell>
          <cell r="U86">
            <v>7.0346493589354284E-2</v>
          </cell>
          <cell r="V86">
            <v>7.527054609282742E-2</v>
          </cell>
          <cell r="W86">
            <v>8.007198129149061E-2</v>
          </cell>
          <cell r="X86">
            <v>8.534207188169185E-2</v>
          </cell>
          <cell r="Y86">
            <v>8.5653063350072972E-2</v>
          </cell>
          <cell r="AE86">
            <v>6.8392555733356702E-2</v>
          </cell>
          <cell r="AF86">
            <v>6.8034616012627225E-2</v>
          </cell>
          <cell r="AG86">
            <v>6.8031737054841224E-2</v>
          </cell>
          <cell r="AH86">
            <v>6.7806210809196771E-2</v>
          </cell>
        </row>
        <row r="88">
          <cell r="C88" t="str">
            <v>Company-funded R&amp;D (IRAD)</v>
          </cell>
          <cell r="T88">
            <v>-17.256</v>
          </cell>
          <cell r="U88">
            <v>-20.303496850000002</v>
          </cell>
          <cell r="V88">
            <v>-20.439148639000003</v>
          </cell>
          <cell r="W88">
            <v>-21.005458066800003</v>
          </cell>
          <cell r="X88">
            <v>-20.406260504300004</v>
          </cell>
          <cell r="Y88">
            <v>-19.372601462150008</v>
          </cell>
          <cell r="AE88">
            <v>-4.3140000000000001</v>
          </cell>
          <cell r="AF88">
            <v>-4.3140000000000001</v>
          </cell>
          <cell r="AG88">
            <v>-4.3140000000000001</v>
          </cell>
          <cell r="AH88">
            <v>-4.3140000000000001</v>
          </cell>
        </row>
        <row r="89">
          <cell r="D89" t="str">
            <v>% Sales</v>
          </cell>
          <cell r="T89">
            <v>7.5738356807717802E-2</v>
          </cell>
          <cell r="U89">
            <v>7.0000000000000007E-2</v>
          </cell>
          <cell r="V89">
            <v>6.5000000000000002E-2</v>
          </cell>
          <cell r="W89">
            <v>6.0000000000000005E-2</v>
          </cell>
          <cell r="X89">
            <v>5.5000000000000007E-2</v>
          </cell>
          <cell r="Y89">
            <v>5.000000000000001E-2</v>
          </cell>
          <cell r="AE89">
            <v>9.4565860715929762E-2</v>
          </cell>
          <cell r="AF89">
            <v>7.8267022260926356E-2</v>
          </cell>
          <cell r="AG89">
            <v>7.1757680600143051E-2</v>
          </cell>
          <cell r="AH89">
            <v>6.4407285756942365E-2</v>
          </cell>
        </row>
        <row r="91">
          <cell r="C91" t="str">
            <v>Total Commercial Networks Revenue</v>
          </cell>
          <cell r="T91">
            <v>-1.7543399999999991</v>
          </cell>
          <cell r="U91">
            <v>0.10050044999999841</v>
          </cell>
          <cell r="V91">
            <v>3.2295572030000024</v>
          </cell>
          <cell r="W91">
            <v>7.0270193556000002</v>
          </cell>
          <cell r="X91">
            <v>11.257604055599998</v>
          </cell>
          <cell r="Y91">
            <v>13.813851743715006</v>
          </cell>
          <cell r="AE91">
            <v>-1.1940000000000004</v>
          </cell>
          <cell r="AF91">
            <v>-0.56400000000000006</v>
          </cell>
          <cell r="AG91">
            <v>-0.2240000000000002</v>
          </cell>
          <cell r="AH91">
            <v>0.2276600000000002</v>
          </cell>
        </row>
        <row r="92">
          <cell r="D92" t="str">
            <v>% Margin</v>
          </cell>
          <cell r="T92">
            <v>-7.6999784933965915E-3</v>
          </cell>
          <cell r="U92">
            <v>3.4649358935428349E-4</v>
          </cell>
          <cell r="V92">
            <v>1.0270546092827411E-2</v>
          </cell>
          <cell r="W92">
            <v>2.0071981291490605E-2</v>
          </cell>
          <cell r="X92">
            <v>3.0342071881691843E-2</v>
          </cell>
          <cell r="Y92">
            <v>3.5653063350072969E-2</v>
          </cell>
          <cell r="AE92">
            <v>-2.6173304982573059E-2</v>
          </cell>
          <cell r="AF92">
            <v>-1.0232406248299136E-2</v>
          </cell>
          <cell r="AG92">
            <v>-3.7259435453018213E-3</v>
          </cell>
          <cell r="AH92">
            <v>3.3989250522544071E-3</v>
          </cell>
        </row>
        <row r="93">
          <cell r="D93" t="str">
            <v>Check</v>
          </cell>
          <cell r="T93">
            <v>0</v>
          </cell>
          <cell r="U93">
            <v>0</v>
          </cell>
          <cell r="V93">
            <v>0</v>
          </cell>
          <cell r="W93">
            <v>0</v>
          </cell>
          <cell r="X93">
            <v>0</v>
          </cell>
          <cell r="Y93">
            <v>0</v>
          </cell>
          <cell r="AE93">
            <v>-2.4000000000000465E-2</v>
          </cell>
          <cell r="AF93">
            <v>0</v>
          </cell>
          <cell r="AG93">
            <v>0</v>
          </cell>
          <cell r="AH93">
            <v>2.3999999999999133E-2</v>
          </cell>
        </row>
        <row r="95">
          <cell r="D95" t="str">
            <v>Government Systems IRAD</v>
          </cell>
          <cell r="Q95">
            <v>14.824999999999999</v>
          </cell>
          <cell r="R95">
            <v>17.024999999999999</v>
          </cell>
          <cell r="S95">
            <v>13.625</v>
          </cell>
          <cell r="AA95">
            <v>4</v>
          </cell>
          <cell r="AE95">
            <v>3</v>
          </cell>
        </row>
        <row r="96">
          <cell r="E96" t="str">
            <v>% Government Systems Sales</v>
          </cell>
        </row>
        <row r="98">
          <cell r="D98" t="str">
            <v>Commercial Networks IRAD</v>
          </cell>
          <cell r="Q98">
            <v>17.324999999999999</v>
          </cell>
          <cell r="R98">
            <v>12.525</v>
          </cell>
          <cell r="S98">
            <v>13.625</v>
          </cell>
          <cell r="AA98">
            <v>3.1139999999999999</v>
          </cell>
          <cell r="AE98">
            <v>4.3140000000000001</v>
          </cell>
          <cell r="AF98">
            <v>4.3140000000000001</v>
          </cell>
          <cell r="AG98">
            <v>4.3140000000000001</v>
          </cell>
          <cell r="AH98">
            <v>4.3140000000000001</v>
          </cell>
        </row>
        <row r="99">
          <cell r="E99" t="str">
            <v>% Commercial Networks Sales</v>
          </cell>
          <cell r="Q99">
            <v>6.9775309407685143E-2</v>
          </cell>
          <cell r="R99">
            <v>5.4261181485781622E-2</v>
          </cell>
          <cell r="S99">
            <v>5.9990313490665727E-2</v>
          </cell>
        </row>
        <row r="101">
          <cell r="D101" t="str">
            <v>Total IRAD</v>
          </cell>
          <cell r="K101">
            <v>9.4149999999999991</v>
          </cell>
          <cell r="L101">
            <v>16.047999999999998</v>
          </cell>
          <cell r="M101">
            <v>9.9600000000000009</v>
          </cell>
          <cell r="N101">
            <v>8.0820000000000007</v>
          </cell>
          <cell r="O101">
            <v>15.571</v>
          </cell>
          <cell r="P101">
            <v>21.631</v>
          </cell>
          <cell r="Q101">
            <v>32.273000000000003</v>
          </cell>
          <cell r="R101">
            <v>29.622</v>
          </cell>
          <cell r="S101">
            <v>27.25</v>
          </cell>
          <cell r="T101">
            <v>28</v>
          </cell>
          <cell r="AA101">
            <v>7.0030000000000001</v>
          </cell>
          <cell r="AE101">
            <v>7.3140000000000001</v>
          </cell>
          <cell r="AF101">
            <v>4.3140000000000001</v>
          </cell>
          <cell r="AG101">
            <v>4.3140000000000001</v>
          </cell>
          <cell r="AH101">
            <v>4.3140000000000001</v>
          </cell>
        </row>
        <row r="102">
          <cell r="E102" t="str">
            <v>% Total ViaSat Sales</v>
          </cell>
          <cell r="K102">
            <v>4.8127057476434865E-2</v>
          </cell>
          <cell r="L102">
            <v>8.6735631438423527E-2</v>
          </cell>
          <cell r="M102">
            <v>3.5752874409054523E-2</v>
          </cell>
          <cell r="N102">
            <v>2.3362500325201842E-2</v>
          </cell>
          <cell r="O102">
            <v>3.5892518377310563E-2</v>
          </cell>
          <cell r="P102">
            <v>4.1874610407963357E-2</v>
          </cell>
          <cell r="Q102">
            <v>5.6161141564430521E-2</v>
          </cell>
          <cell r="R102">
            <v>4.715534903268017E-2</v>
          </cell>
          <cell r="S102">
            <v>3.9602953144983147E-2</v>
          </cell>
          <cell r="AA102">
            <v>4.4208625826978439E-2</v>
          </cell>
          <cell r="AE102">
            <v>3.8092956396741734E-2</v>
          </cell>
          <cell r="AF102">
            <v>2.180010005609205E-2</v>
          </cell>
          <cell r="AG102">
            <v>1.9723803276704498E-2</v>
          </cell>
          <cell r="AH102">
            <v>1.7695383469286095E-2</v>
          </cell>
        </row>
        <row r="104">
          <cell r="D104" t="str">
            <v>Change in Government Systems IRAD</v>
          </cell>
          <cell r="R104">
            <v>2.2000000000000002</v>
          </cell>
          <cell r="S104">
            <v>-3.4</v>
          </cell>
          <cell r="AE104">
            <v>-1</v>
          </cell>
        </row>
        <row r="105">
          <cell r="D105" t="str">
            <v>Change in Commercial Networks IRAD</v>
          </cell>
          <cell r="R105">
            <v>-4.8</v>
          </cell>
          <cell r="S105">
            <v>1.1000000000000001</v>
          </cell>
          <cell r="AE105">
            <v>1.2</v>
          </cell>
        </row>
        <row r="106">
          <cell r="D106" t="str">
            <v>Total</v>
          </cell>
          <cell r="R106">
            <v>-2.6510000000000034</v>
          </cell>
          <cell r="S106">
            <v>-2.3719999999999999</v>
          </cell>
          <cell r="AE106">
            <v>0.31099999999999994</v>
          </cell>
        </row>
        <row r="110">
          <cell r="E110" t="str">
            <v>Consumer Broadband Revenue Growth</v>
          </cell>
        </row>
        <row r="111">
          <cell r="E111" t="str">
            <v>Bull Case</v>
          </cell>
          <cell r="U111">
            <v>0.7</v>
          </cell>
          <cell r="V111">
            <v>0.6</v>
          </cell>
          <cell r="W111">
            <v>0.4</v>
          </cell>
          <cell r="X111">
            <v>0.2</v>
          </cell>
          <cell r="Y111">
            <v>0.2</v>
          </cell>
        </row>
        <row r="112">
          <cell r="E112" t="str">
            <v>Base Case</v>
          </cell>
          <cell r="U112">
            <v>0.35</v>
          </cell>
          <cell r="V112">
            <v>0.5</v>
          </cell>
          <cell r="W112">
            <v>0.3</v>
          </cell>
          <cell r="X112">
            <v>0.1</v>
          </cell>
          <cell r="Y112">
            <v>0.1</v>
          </cell>
        </row>
        <row r="113">
          <cell r="E113" t="str">
            <v>Bear Case</v>
          </cell>
          <cell r="U113">
            <v>0.24999999999999997</v>
          </cell>
          <cell r="V113">
            <v>0.4</v>
          </cell>
          <cell r="W113">
            <v>0.19999999999999998</v>
          </cell>
          <cell r="X113">
            <v>0.05</v>
          </cell>
          <cell r="Y113">
            <v>0.05</v>
          </cell>
        </row>
        <row r="114">
          <cell r="E114" t="str">
            <v>Using Base Case</v>
          </cell>
          <cell r="U114">
            <v>0.35</v>
          </cell>
          <cell r="V114">
            <v>0.5</v>
          </cell>
          <cell r="W114">
            <v>0.3</v>
          </cell>
          <cell r="X114">
            <v>0.1</v>
          </cell>
          <cell r="Y114">
            <v>0.1</v>
          </cell>
        </row>
        <row r="115">
          <cell r="E115">
            <v>2</v>
          </cell>
        </row>
        <row r="117">
          <cell r="E117" t="str">
            <v>Mobile Broadband Revenue Growth</v>
          </cell>
        </row>
        <row r="118">
          <cell r="E118" t="str">
            <v>Bull Case</v>
          </cell>
          <cell r="U118">
            <v>0.2</v>
          </cell>
          <cell r="V118">
            <v>0.4</v>
          </cell>
          <cell r="W118">
            <v>0.30000000000000004</v>
          </cell>
          <cell r="X118">
            <v>0.2</v>
          </cell>
          <cell r="Y118">
            <v>0.2</v>
          </cell>
        </row>
        <row r="119">
          <cell r="E119" t="str">
            <v>Base Case</v>
          </cell>
          <cell r="U119">
            <v>0.1</v>
          </cell>
          <cell r="V119">
            <v>0.3</v>
          </cell>
          <cell r="W119">
            <v>0.2</v>
          </cell>
          <cell r="X119">
            <v>0.1</v>
          </cell>
          <cell r="Y119">
            <v>0.1</v>
          </cell>
        </row>
        <row r="120">
          <cell r="E120" t="str">
            <v>Bear Case</v>
          </cell>
          <cell r="U120">
            <v>0.1</v>
          </cell>
          <cell r="V120">
            <v>0.1</v>
          </cell>
          <cell r="W120">
            <v>0.1</v>
          </cell>
          <cell r="X120">
            <v>0.1</v>
          </cell>
          <cell r="Y120">
            <v>0.1</v>
          </cell>
        </row>
        <row r="121">
          <cell r="E121" t="str">
            <v>Using Base Case</v>
          </cell>
          <cell r="U121">
            <v>0.1</v>
          </cell>
          <cell r="V121">
            <v>0.3</v>
          </cell>
          <cell r="W121">
            <v>0.2</v>
          </cell>
          <cell r="X121">
            <v>0.1</v>
          </cell>
          <cell r="Y121">
            <v>0.1</v>
          </cell>
        </row>
        <row r="122">
          <cell r="E122">
            <v>2</v>
          </cell>
        </row>
      </sheetData>
      <sheetData sheetId="6" refreshError="1">
        <row r="1">
          <cell r="A1" t="str">
            <v>ViaSat Inc.</v>
          </cell>
        </row>
        <row r="2">
          <cell r="A2" t="str">
            <v>Satellite Services Segment Model</v>
          </cell>
        </row>
        <row r="3">
          <cell r="A3" t="str">
            <v>Morgan Stanley Research</v>
          </cell>
        </row>
        <row r="4">
          <cell r="A4" t="str">
            <v>($ in Millions Except EPS)</v>
          </cell>
        </row>
        <row r="5">
          <cell r="A5" t="str">
            <v>Fisacl Year Ends March 31</v>
          </cell>
        </row>
        <row r="6">
          <cell r="AA6" t="str">
            <v>2010A</v>
          </cell>
          <cell r="AE6" t="str">
            <v>2011E</v>
          </cell>
        </row>
        <row r="8">
          <cell r="AA8" t="str">
            <v>Q1A</v>
          </cell>
          <cell r="AB8" t="str">
            <v>Q2A</v>
          </cell>
          <cell r="AC8" t="str">
            <v>Q3A</v>
          </cell>
          <cell r="AD8" t="str">
            <v>Q4A</v>
          </cell>
          <cell r="AE8" t="str">
            <v>Q1A</v>
          </cell>
          <cell r="AF8" t="str">
            <v>Q2E</v>
          </cell>
          <cell r="AG8" t="str">
            <v>Q3E</v>
          </cell>
          <cell r="AH8" t="str">
            <v>Q4E</v>
          </cell>
        </row>
        <row r="9">
          <cell r="J9">
            <v>2001</v>
          </cell>
          <cell r="K9">
            <v>2002</v>
          </cell>
          <cell r="L9">
            <v>2003</v>
          </cell>
          <cell r="M9">
            <v>2004</v>
          </cell>
          <cell r="N9">
            <v>2005</v>
          </cell>
          <cell r="O9">
            <v>2006</v>
          </cell>
          <cell r="P9">
            <v>2007</v>
          </cell>
          <cell r="Q9">
            <v>2008</v>
          </cell>
          <cell r="R9">
            <v>2009</v>
          </cell>
          <cell r="S9" t="str">
            <v xml:space="preserve">2010A </v>
          </cell>
          <cell r="T9" t="str">
            <v xml:space="preserve">2011E </v>
          </cell>
          <cell r="U9" t="str">
            <v xml:space="preserve">2012E </v>
          </cell>
          <cell r="V9" t="str">
            <v xml:space="preserve">2013E </v>
          </cell>
          <cell r="W9" t="str">
            <v xml:space="preserve">2014E </v>
          </cell>
          <cell r="X9" t="str">
            <v xml:space="preserve">2015E </v>
          </cell>
          <cell r="Y9" t="str">
            <v xml:space="preserve">2016E </v>
          </cell>
          <cell r="AA9" t="str">
            <v>June</v>
          </cell>
          <cell r="AB9" t="str">
            <v>Sept</v>
          </cell>
          <cell r="AC9" t="str">
            <v>Dec</v>
          </cell>
          <cell r="AD9" t="str">
            <v>Mar</v>
          </cell>
          <cell r="AE9" t="str">
            <v>June</v>
          </cell>
          <cell r="AF9" t="str">
            <v>Sept</v>
          </cell>
          <cell r="AG9" t="str">
            <v>Dec</v>
          </cell>
          <cell r="AH9" t="str">
            <v>Mar</v>
          </cell>
        </row>
        <row r="10">
          <cell r="B10" t="str">
            <v>Summary Financials</v>
          </cell>
        </row>
        <row r="12">
          <cell r="C12" t="str">
            <v>Satellite Services Total Revenue</v>
          </cell>
          <cell r="J12">
            <v>0</v>
          </cell>
          <cell r="K12">
            <v>0</v>
          </cell>
          <cell r="L12">
            <v>0</v>
          </cell>
          <cell r="M12">
            <v>0</v>
          </cell>
          <cell r="N12">
            <v>0</v>
          </cell>
          <cell r="O12">
            <v>0</v>
          </cell>
          <cell r="P12">
            <v>6.6879999999999997</v>
          </cell>
          <cell r="Q12">
            <v>6.8150000000000004</v>
          </cell>
          <cell r="R12">
            <v>8.6950000000000003</v>
          </cell>
          <cell r="S12">
            <v>75.808999999999997</v>
          </cell>
          <cell r="T12">
            <v>231.82389391387972</v>
          </cell>
          <cell r="U12">
            <v>291.74554004439523</v>
          </cell>
          <cell r="V12">
            <v>373.28362452685258</v>
          </cell>
          <cell r="W12">
            <v>449.1053251940877</v>
          </cell>
          <cell r="X12">
            <v>511.04292196640182</v>
          </cell>
          <cell r="Y12">
            <v>563.49353578677744</v>
          </cell>
          <cell r="AA12">
            <v>2.5009999999999999</v>
          </cell>
          <cell r="AB12">
            <v>3.4980000000000002</v>
          </cell>
          <cell r="AC12">
            <v>12.276999999999999</v>
          </cell>
          <cell r="AD12">
            <v>57.533000000000001</v>
          </cell>
          <cell r="AE12">
            <v>57.54</v>
          </cell>
          <cell r="AF12">
            <v>57.83783554288685</v>
          </cell>
          <cell r="AG12">
            <v>58.401494190651526</v>
          </cell>
          <cell r="AH12">
            <v>58.044564180341354</v>
          </cell>
        </row>
        <row r="13">
          <cell r="D13" t="str">
            <v>Y/Y Growth</v>
          </cell>
          <cell r="Q13">
            <v>1.8989234449760861E-2</v>
          </cell>
          <cell r="R13">
            <v>0.27586206896551713</v>
          </cell>
          <cell r="S13">
            <v>7.7186889016676243</v>
          </cell>
          <cell r="T13">
            <v>2.0579996295146978</v>
          </cell>
          <cell r="U13">
            <v>0.25847916329442655</v>
          </cell>
          <cell r="V13">
            <v>0.27948356800947027</v>
          </cell>
          <cell r="W13">
            <v>0.20312088633231973</v>
          </cell>
          <cell r="X13">
            <v>0.13791329850196465</v>
          </cell>
          <cell r="Y13">
            <v>0.10263445899721102</v>
          </cell>
        </row>
        <row r="15">
          <cell r="C15" t="str">
            <v>Satellite Services Operating Profit</v>
          </cell>
          <cell r="J15">
            <v>0</v>
          </cell>
          <cell r="K15">
            <v>0</v>
          </cell>
          <cell r="L15">
            <v>0</v>
          </cell>
          <cell r="M15">
            <v>0</v>
          </cell>
          <cell r="N15">
            <v>0</v>
          </cell>
          <cell r="O15">
            <v>0</v>
          </cell>
          <cell r="P15">
            <v>-1.6990000000000001</v>
          </cell>
          <cell r="Q15">
            <v>-2.851</v>
          </cell>
          <cell r="R15">
            <v>-3.9780000000000002</v>
          </cell>
          <cell r="S15">
            <v>-9.3049999999999997</v>
          </cell>
          <cell r="T15">
            <v>42.809286130225182</v>
          </cell>
          <cell r="U15">
            <v>53.22539523862882</v>
          </cell>
          <cell r="V15">
            <v>100.6503796802657</v>
          </cell>
          <cell r="W15">
            <v>147.36947909391128</v>
          </cell>
          <cell r="X15">
            <v>179.08820288163099</v>
          </cell>
          <cell r="Y15">
            <v>205.08275419644897</v>
          </cell>
          <cell r="AA15">
            <v>-0.70699999999999996</v>
          </cell>
          <cell r="AB15">
            <v>-3.335</v>
          </cell>
          <cell r="AC15">
            <v>-6.1769999999999996</v>
          </cell>
          <cell r="AD15">
            <v>0.91400000000000003</v>
          </cell>
          <cell r="AE15">
            <v>11.461</v>
          </cell>
          <cell r="AF15">
            <v>10.725486537911769</v>
          </cell>
          <cell r="AG15">
            <v>10.201125571070767</v>
          </cell>
          <cell r="AH15">
            <v>10.421674021242653</v>
          </cell>
        </row>
        <row r="16">
          <cell r="D16" t="str">
            <v>% Margin</v>
          </cell>
          <cell r="P16">
            <v>-0.25403708133971292</v>
          </cell>
          <cell r="Q16">
            <v>-0.41834189288334556</v>
          </cell>
          <cell r="R16">
            <v>-0.45750431282346177</v>
          </cell>
          <cell r="S16">
            <v>-0.12274268226727697</v>
          </cell>
          <cell r="T16">
            <v>0.18466295862551774</v>
          </cell>
          <cell r="U16">
            <v>0.18243773402852861</v>
          </cell>
          <cell r="V16">
            <v>0.2696351328238491</v>
          </cell>
          <cell r="W16">
            <v>0.32814012844364143</v>
          </cell>
          <cell r="X16">
            <v>0.35043671516382929</v>
          </cell>
          <cell r="Y16">
            <v>0.36394872553436186</v>
          </cell>
        </row>
        <row r="18">
          <cell r="C18" t="str">
            <v>Total ViaSat Revenue</v>
          </cell>
          <cell r="J18">
            <v>164.35199999999998</v>
          </cell>
          <cell r="K18">
            <v>195.62799999999999</v>
          </cell>
          <cell r="L18">
            <v>185.02199999999999</v>
          </cell>
          <cell r="M18">
            <v>278.57900000000001</v>
          </cell>
          <cell r="N18">
            <v>345.93900000000002</v>
          </cell>
          <cell r="O18">
            <v>433.82299999999998</v>
          </cell>
          <cell r="P18">
            <v>516.56600000000003</v>
          </cell>
          <cell r="Q18">
            <v>574.65000000000009</v>
          </cell>
          <cell r="R18">
            <v>628.17900000000009</v>
          </cell>
          <cell r="S18">
            <v>688.07999999999993</v>
          </cell>
          <cell r="T18">
            <v>852.40589391387971</v>
          </cell>
          <cell r="U18">
            <v>1008.3384950443954</v>
          </cell>
          <cell r="V18">
            <v>1151.0503551268525</v>
          </cell>
          <cell r="W18">
            <v>1290.9946941740877</v>
          </cell>
          <cell r="X18">
            <v>1393.2006559624019</v>
          </cell>
          <cell r="Y18">
            <v>1482.2260108628577</v>
          </cell>
          <cell r="AA18">
            <v>158.40799999999999</v>
          </cell>
          <cell r="AB18">
            <v>160.666</v>
          </cell>
          <cell r="AC18">
            <v>156.36399999999998</v>
          </cell>
          <cell r="AD18">
            <v>212.642</v>
          </cell>
          <cell r="AE18">
            <v>192.00399999999999</v>
          </cell>
          <cell r="AF18">
            <v>197.88900000000001</v>
          </cell>
          <cell r="AG18">
            <v>218.72049419065155</v>
          </cell>
          <cell r="AH18">
            <v>243.79239972322819</v>
          </cell>
        </row>
        <row r="19">
          <cell r="D19" t="str">
            <v>Satellite Services % Total</v>
          </cell>
          <cell r="J19">
            <v>0</v>
          </cell>
          <cell r="K19">
            <v>0</v>
          </cell>
          <cell r="L19">
            <v>0</v>
          </cell>
          <cell r="M19">
            <v>0</v>
          </cell>
          <cell r="N19">
            <v>0</v>
          </cell>
          <cell r="O19">
            <v>0</v>
          </cell>
          <cell r="P19">
            <v>1.2947038713349309E-2</v>
          </cell>
          <cell r="Q19">
            <v>1.1859392673801443E-2</v>
          </cell>
          <cell r="R19">
            <v>1.3841596105568635E-2</v>
          </cell>
          <cell r="S19">
            <v>0.11017468898965238</v>
          </cell>
          <cell r="T19">
            <v>0.27196420809509486</v>
          </cell>
          <cell r="U19">
            <v>0.28933293876829547</v>
          </cell>
          <cell r="V19">
            <v>0.32429825755599939</v>
          </cell>
          <cell r="W19">
            <v>0.34787542289738244</v>
          </cell>
          <cell r="X19">
            <v>0.36681214567285797</v>
          </cell>
          <cell r="Y19">
            <v>0.38016708090201934</v>
          </cell>
          <cell r="AA19">
            <v>1.578834402302914E-2</v>
          </cell>
          <cell r="AB19">
            <v>2.1771874572093661E-2</v>
          </cell>
          <cell r="AC19">
            <v>7.8515515080197495E-2</v>
          </cell>
          <cell r="AD19">
            <v>0.27056272984640856</v>
          </cell>
          <cell r="AE19">
            <v>0.29968125664048667</v>
          </cell>
          <cell r="AF19">
            <v>0.2922741311689222</v>
          </cell>
          <cell r="AG19">
            <v>0.26701427503060066</v>
          </cell>
          <cell r="AH19">
            <v>0.23809013015269545</v>
          </cell>
        </row>
        <row r="22">
          <cell r="B22" t="str">
            <v>Revenue Build</v>
          </cell>
        </row>
        <row r="24">
          <cell r="C24" t="str">
            <v>Period End Subscribers</v>
          </cell>
          <cell r="J24">
            <v>0</v>
          </cell>
          <cell r="K24">
            <v>0</v>
          </cell>
          <cell r="L24">
            <v>0</v>
          </cell>
          <cell r="M24">
            <v>0</v>
          </cell>
          <cell r="N24">
            <v>0</v>
          </cell>
          <cell r="O24">
            <v>95000</v>
          </cell>
          <cell r="P24">
            <v>140000</v>
          </cell>
          <cell r="Q24">
            <v>325000</v>
          </cell>
          <cell r="R24">
            <v>380000</v>
          </cell>
          <cell r="S24">
            <v>424000</v>
          </cell>
          <cell r="T24">
            <v>425400</v>
          </cell>
          <cell r="U24">
            <v>607400</v>
          </cell>
          <cell r="V24">
            <v>789400</v>
          </cell>
          <cell r="W24">
            <v>935000</v>
          </cell>
          <cell r="X24">
            <v>1036920</v>
          </cell>
          <cell r="Y24">
            <v>1108264</v>
          </cell>
          <cell r="AA24">
            <v>390000</v>
          </cell>
          <cell r="AB24">
            <v>405000</v>
          </cell>
          <cell r="AC24">
            <v>423000</v>
          </cell>
          <cell r="AD24">
            <v>424000</v>
          </cell>
          <cell r="AE24">
            <v>415000</v>
          </cell>
          <cell r="AF24">
            <v>416950</v>
          </cell>
          <cell r="AG24">
            <v>420850</v>
          </cell>
          <cell r="AH24">
            <v>425400</v>
          </cell>
        </row>
        <row r="25">
          <cell r="D25" t="str">
            <v>% Change</v>
          </cell>
          <cell r="P25">
            <v>0.47368421052631571</v>
          </cell>
          <cell r="Q25">
            <v>1.3214285714285716</v>
          </cell>
          <cell r="R25">
            <v>0.1692307692307693</v>
          </cell>
          <cell r="S25">
            <v>0.11578947368421044</v>
          </cell>
          <cell r="T25">
            <v>3.3018867924528017E-3</v>
          </cell>
          <cell r="U25">
            <v>0.42783262811471556</v>
          </cell>
          <cell r="V25">
            <v>0.29963780046098121</v>
          </cell>
          <cell r="W25">
            <v>0.18444388142893331</v>
          </cell>
          <cell r="X25">
            <v>0.10900534759358282</v>
          </cell>
          <cell r="Y25">
            <v>6.8803764996335337E-2</v>
          </cell>
        </row>
        <row r="27">
          <cell r="C27" t="str">
            <v>Average Subscribers</v>
          </cell>
          <cell r="J27">
            <v>0</v>
          </cell>
          <cell r="K27">
            <v>0</v>
          </cell>
          <cell r="L27">
            <v>0</v>
          </cell>
          <cell r="M27">
            <v>0</v>
          </cell>
          <cell r="N27">
            <v>0</v>
          </cell>
          <cell r="O27">
            <v>47500</v>
          </cell>
          <cell r="P27">
            <v>117500</v>
          </cell>
          <cell r="Q27">
            <v>232500</v>
          </cell>
          <cell r="R27">
            <v>352500</v>
          </cell>
          <cell r="S27">
            <v>402000</v>
          </cell>
          <cell r="T27">
            <v>424700</v>
          </cell>
          <cell r="U27">
            <v>516400</v>
          </cell>
          <cell r="V27">
            <v>698400</v>
          </cell>
          <cell r="W27">
            <v>862200</v>
          </cell>
          <cell r="X27">
            <v>985960</v>
          </cell>
          <cell r="Y27">
            <v>1072592</v>
          </cell>
          <cell r="AA27">
            <v>385000</v>
          </cell>
          <cell r="AB27">
            <v>397500</v>
          </cell>
          <cell r="AC27">
            <v>414000</v>
          </cell>
          <cell r="AD27">
            <v>423500</v>
          </cell>
          <cell r="AE27">
            <v>419500</v>
          </cell>
          <cell r="AF27">
            <v>415975</v>
          </cell>
          <cell r="AG27">
            <v>418900</v>
          </cell>
          <cell r="AH27">
            <v>423125</v>
          </cell>
        </row>
        <row r="28">
          <cell r="D28" t="str">
            <v>% Change</v>
          </cell>
          <cell r="P28">
            <v>1.4736842105263159</v>
          </cell>
          <cell r="Q28">
            <v>0.97872340425531923</v>
          </cell>
          <cell r="R28">
            <v>0.5161290322580645</v>
          </cell>
          <cell r="S28">
            <v>0.14042553191489371</v>
          </cell>
          <cell r="T28">
            <v>5.646766169154227E-2</v>
          </cell>
          <cell r="U28">
            <v>0.21591711796562274</v>
          </cell>
          <cell r="V28">
            <v>0.35243996901626651</v>
          </cell>
          <cell r="W28">
            <v>0.23453608247422686</v>
          </cell>
          <cell r="X28">
            <v>0.14353978195314321</v>
          </cell>
          <cell r="Y28">
            <v>8.7865633494259354E-2</v>
          </cell>
        </row>
        <row r="30">
          <cell r="C30" t="str">
            <v>Wholesale Revenue</v>
          </cell>
        </row>
        <row r="32">
          <cell r="C32" t="str">
            <v>Avg. Wholesale Subscribers</v>
          </cell>
          <cell r="J32">
            <v>0</v>
          </cell>
          <cell r="K32">
            <v>0</v>
          </cell>
          <cell r="L32">
            <v>0</v>
          </cell>
          <cell r="M32">
            <v>0</v>
          </cell>
          <cell r="N32">
            <v>0</v>
          </cell>
          <cell r="O32">
            <v>25000</v>
          </cell>
          <cell r="P32">
            <v>60000</v>
          </cell>
          <cell r="Q32">
            <v>121853.44827586207</v>
          </cell>
          <cell r="R32">
            <v>188405.1724137931</v>
          </cell>
          <cell r="S32">
            <v>215051.72413793104</v>
          </cell>
          <cell r="T32">
            <v>221000</v>
          </cell>
          <cell r="U32">
            <v>292350</v>
          </cell>
          <cell r="V32">
            <v>447050</v>
          </cell>
          <cell r="W32">
            <v>586280</v>
          </cell>
          <cell r="X32">
            <v>691476</v>
          </cell>
          <cell r="Y32">
            <v>765113.2</v>
          </cell>
          <cell r="AA32">
            <v>205775.86206896554</v>
          </cell>
          <cell r="AB32">
            <v>212456.89655172417</v>
          </cell>
          <cell r="AC32">
            <v>223232.75862068968</v>
          </cell>
          <cell r="AD32">
            <v>228500</v>
          </cell>
          <cell r="AE32">
            <v>220500</v>
          </cell>
          <cell r="AF32">
            <v>213500</v>
          </cell>
          <cell r="AG32">
            <v>213000</v>
          </cell>
          <cell r="AH32">
            <v>214000</v>
          </cell>
        </row>
        <row r="33">
          <cell r="D33" t="str">
            <v>% Change</v>
          </cell>
          <cell r="P33">
            <v>1.4</v>
          </cell>
          <cell r="Q33">
            <v>1.0308908045977012</v>
          </cell>
          <cell r="R33">
            <v>0.54616200919702851</v>
          </cell>
          <cell r="S33">
            <v>0.14143216655227642</v>
          </cell>
          <cell r="T33">
            <v>2.765974504930635E-2</v>
          </cell>
          <cell r="U33">
            <v>0.32285067873303164</v>
          </cell>
          <cell r="V33">
            <v>0.52916025312125869</v>
          </cell>
          <cell r="W33">
            <v>0.3114416731909182</v>
          </cell>
          <cell r="X33">
            <v>0.17942962407041008</v>
          </cell>
          <cell r="Y33">
            <v>0.10649277776813659</v>
          </cell>
        </row>
        <row r="35">
          <cell r="C35" t="str">
            <v>Wholesale ARPU</v>
          </cell>
          <cell r="J35">
            <v>0</v>
          </cell>
          <cell r="K35">
            <v>0</v>
          </cell>
          <cell r="L35">
            <v>0</v>
          </cell>
          <cell r="M35">
            <v>0</v>
          </cell>
          <cell r="N35">
            <v>0</v>
          </cell>
          <cell r="O35">
            <v>28.256823569113919</v>
          </cell>
          <cell r="P35">
            <v>28.256823569113919</v>
          </cell>
          <cell r="Q35">
            <v>28.256823569113919</v>
          </cell>
          <cell r="R35">
            <v>26.867816091954023</v>
          </cell>
          <cell r="S35">
            <v>27.317926260953545</v>
          </cell>
          <cell r="T35">
            <v>26.308706506475271</v>
          </cell>
          <cell r="U35">
            <v>26.308706506475264</v>
          </cell>
          <cell r="V35">
            <v>26.308706506475264</v>
          </cell>
          <cell r="W35">
            <v>26.308706506475264</v>
          </cell>
          <cell r="X35">
            <v>26.308706506475264</v>
          </cell>
          <cell r="Y35">
            <v>26.571793571540017</v>
          </cell>
          <cell r="AA35">
            <v>27.011494252873561</v>
          </cell>
          <cell r="AB35">
            <v>27.011494252873561</v>
          </cell>
          <cell r="AC35">
            <v>27.011494252873561</v>
          </cell>
          <cell r="AD35">
            <v>27.011494252873561</v>
          </cell>
          <cell r="AE35">
            <v>27.011494252873561</v>
          </cell>
          <cell r="AF35">
            <v>27.011494252873561</v>
          </cell>
          <cell r="AG35">
            <v>27.011494252873561</v>
          </cell>
          <cell r="AH35">
            <v>27.011494252873561</v>
          </cell>
        </row>
        <row r="36">
          <cell r="D36" t="str">
            <v>% Change</v>
          </cell>
          <cell r="P36">
            <v>0</v>
          </cell>
          <cell r="Q36">
            <v>0</v>
          </cell>
          <cell r="R36">
            <v>-4.9156532890630711E-2</v>
          </cell>
          <cell r="S36">
            <v>1.6752763509287005E-2</v>
          </cell>
          <cell r="T36">
            <v>-3.6943498010710507E-2</v>
          </cell>
          <cell r="U36">
            <v>0</v>
          </cell>
          <cell r="V36">
            <v>0</v>
          </cell>
          <cell r="W36">
            <v>0</v>
          </cell>
          <cell r="X36">
            <v>0</v>
          </cell>
          <cell r="Y36">
            <v>1.0000000000000009E-2</v>
          </cell>
        </row>
        <row r="38">
          <cell r="C38" t="str">
            <v>Wholesale Revenue</v>
          </cell>
          <cell r="J38">
            <v>0</v>
          </cell>
          <cell r="K38">
            <v>0</v>
          </cell>
          <cell r="L38">
            <v>0</v>
          </cell>
          <cell r="M38">
            <v>0</v>
          </cell>
          <cell r="N38">
            <v>0</v>
          </cell>
          <cell r="O38">
            <v>8.4770470707341765</v>
          </cell>
          <cell r="P38">
            <v>20.344912969762024</v>
          </cell>
          <cell r="Q38">
            <v>41.318296670630204</v>
          </cell>
          <cell r="R38">
            <v>60.744426278240191</v>
          </cell>
          <cell r="S38">
            <v>70.497205707491091</v>
          </cell>
          <cell r="T38">
            <v>69.770689655172418</v>
          </cell>
          <cell r="U38">
            <v>92.296204166016523</v>
          </cell>
          <cell r="V38">
            <v>141.13568692463718</v>
          </cell>
          <cell r="W38">
            <v>185.09122140739584</v>
          </cell>
          <cell r="X38">
            <v>218.30206968325788</v>
          </cell>
          <cell r="Y38">
            <v>243.9651601111249</v>
          </cell>
          <cell r="AA38">
            <v>16.674940546967896</v>
          </cell>
          <cell r="AB38">
            <v>17.21633472057075</v>
          </cell>
          <cell r="AC38">
            <v>18.08955112960761</v>
          </cell>
          <cell r="AD38">
            <v>18.516379310344828</v>
          </cell>
          <cell r="AE38">
            <v>17.868103448275861</v>
          </cell>
          <cell r="AF38">
            <v>17.300862068965518</v>
          </cell>
          <cell r="AG38">
            <v>17.260344827586209</v>
          </cell>
          <cell r="AH38">
            <v>17.341379310344827</v>
          </cell>
        </row>
        <row r="39">
          <cell r="D39" t="str">
            <v>% Change</v>
          </cell>
          <cell r="P39">
            <v>1.4</v>
          </cell>
          <cell r="Q39">
            <v>1.0308908045977012</v>
          </cell>
          <cell r="R39">
            <v>0.47015804553769103</v>
          </cell>
          <cell r="S39">
            <v>0.16055430970041984</v>
          </cell>
          <cell r="T39">
            <v>-1.0305600697609996E-2</v>
          </cell>
          <cell r="U39">
            <v>0.32285067873303142</v>
          </cell>
          <cell r="V39">
            <v>0.52916025312125847</v>
          </cell>
          <cell r="W39">
            <v>0.31144167319091864</v>
          </cell>
          <cell r="X39">
            <v>0.17942962407040985</v>
          </cell>
          <cell r="Y39">
            <v>0.11755770554581768</v>
          </cell>
          <cell r="AE39">
            <v>7.1554252199413249E-2</v>
          </cell>
          <cell r="AF39">
            <v>4.9097179955366332E-3</v>
          </cell>
          <cell r="AG39">
            <v>-4.5838965051168024E-2</v>
          </cell>
          <cell r="AH39">
            <v>-6.3457330415754964E-2</v>
          </cell>
        </row>
        <row r="41">
          <cell r="C41" t="str">
            <v>Retail Revenue</v>
          </cell>
        </row>
        <row r="43">
          <cell r="C43" t="str">
            <v>Avg. Retail Subscribers</v>
          </cell>
          <cell r="J43">
            <v>0</v>
          </cell>
          <cell r="K43">
            <v>0</v>
          </cell>
          <cell r="L43">
            <v>0</v>
          </cell>
          <cell r="M43">
            <v>0</v>
          </cell>
          <cell r="N43">
            <v>0</v>
          </cell>
          <cell r="O43">
            <v>22500</v>
          </cell>
          <cell r="P43">
            <v>57500</v>
          </cell>
          <cell r="Q43">
            <v>121271.55172413793</v>
          </cell>
          <cell r="R43">
            <v>162219.8275862069</v>
          </cell>
          <cell r="S43">
            <v>189948.27586206896</v>
          </cell>
          <cell r="T43">
            <v>198375</v>
          </cell>
          <cell r="U43">
            <v>224050</v>
          </cell>
          <cell r="V43">
            <v>251350</v>
          </cell>
          <cell r="W43">
            <v>275920</v>
          </cell>
          <cell r="X43">
            <v>294484</v>
          </cell>
          <cell r="Y43">
            <v>307478.80000000005</v>
          </cell>
          <cell r="AA43">
            <v>179224.13793103446</v>
          </cell>
          <cell r="AB43">
            <v>185043.10344827583</v>
          </cell>
          <cell r="AC43">
            <v>190767.24137931032</v>
          </cell>
          <cell r="AD43">
            <v>195000</v>
          </cell>
          <cell r="AE43">
            <v>199000</v>
          </cell>
          <cell r="AF43">
            <v>202475</v>
          </cell>
          <cell r="AG43">
            <v>205900</v>
          </cell>
          <cell r="AH43">
            <v>209125</v>
          </cell>
        </row>
        <row r="44">
          <cell r="D44" t="str">
            <v>% Change</v>
          </cell>
          <cell r="P44">
            <v>1.5555555555555554</v>
          </cell>
          <cell r="Q44">
            <v>1.1090704647676159</v>
          </cell>
          <cell r="R44">
            <v>0.33765772169895159</v>
          </cell>
          <cell r="S44">
            <v>0.17093131393649519</v>
          </cell>
          <cell r="T44">
            <v>4.4363256784968774E-2</v>
          </cell>
          <cell r="U44">
            <v>0.12942659105230003</v>
          </cell>
          <cell r="V44">
            <v>0.1218478018299487</v>
          </cell>
          <cell r="W44">
            <v>9.7752138452357196E-2</v>
          </cell>
          <cell r="X44">
            <v>6.728037112206442E-2</v>
          </cell>
          <cell r="Y44">
            <v>4.4127354966653654E-2</v>
          </cell>
        </row>
        <row r="46">
          <cell r="C46" t="str">
            <v>Retail ARPU</v>
          </cell>
          <cell r="J46">
            <v>0</v>
          </cell>
          <cell r="K46">
            <v>0</v>
          </cell>
          <cell r="L46">
            <v>0</v>
          </cell>
          <cell r="M46">
            <v>0</v>
          </cell>
          <cell r="N46">
            <v>0</v>
          </cell>
          <cell r="O46">
            <v>55.839666593490058</v>
          </cell>
          <cell r="P46">
            <v>55.839666593490058</v>
          </cell>
          <cell r="Q46">
            <v>55.839666593490058</v>
          </cell>
          <cell r="R46">
            <v>59.186927062574725</v>
          </cell>
          <cell r="S46">
            <v>57.614050160539271</v>
          </cell>
          <cell r="T46">
            <v>61.261475428988582</v>
          </cell>
          <cell r="U46">
            <v>61.261475428988582</v>
          </cell>
          <cell r="V46">
            <v>61.261475428988582</v>
          </cell>
          <cell r="W46">
            <v>61.261475428988582</v>
          </cell>
          <cell r="X46">
            <v>61.261475428988582</v>
          </cell>
          <cell r="Y46">
            <v>61.874090183278469</v>
          </cell>
          <cell r="AA46">
            <v>58.823529411764703</v>
          </cell>
          <cell r="AB46">
            <v>58.823529411764703</v>
          </cell>
          <cell r="AC46">
            <v>57.369124511809794</v>
          </cell>
          <cell r="AD46">
            <v>58.477556734453294</v>
          </cell>
          <cell r="AE46">
            <v>59.661887021313454</v>
          </cell>
          <cell r="AF46">
            <v>59.661887021313454</v>
          </cell>
          <cell r="AG46">
            <v>59.161887021313454</v>
          </cell>
          <cell r="AH46">
            <v>59.661887021313454</v>
          </cell>
        </row>
        <row r="47">
          <cell r="D47" t="str">
            <v>% Change</v>
          </cell>
          <cell r="P47">
            <v>0</v>
          </cell>
          <cell r="Q47">
            <v>0</v>
          </cell>
          <cell r="R47">
            <v>5.9944134220079714E-2</v>
          </cell>
          <cell r="S47">
            <v>-2.657473499802665E-2</v>
          </cell>
          <cell r="T47">
            <v>6.3307912883852291E-2</v>
          </cell>
          <cell r="U47">
            <v>0</v>
          </cell>
          <cell r="V47">
            <v>0</v>
          </cell>
          <cell r="W47">
            <v>0</v>
          </cell>
          <cell r="X47">
            <v>0</v>
          </cell>
          <cell r="Y47">
            <v>1.0000000000000009E-2</v>
          </cell>
        </row>
        <row r="49">
          <cell r="C49" t="str">
            <v>Retail Revenue</v>
          </cell>
          <cell r="J49">
            <v>0</v>
          </cell>
          <cell r="K49">
            <v>0</v>
          </cell>
          <cell r="L49">
            <v>0</v>
          </cell>
          <cell r="M49">
            <v>0</v>
          </cell>
          <cell r="N49">
            <v>0</v>
          </cell>
          <cell r="O49">
            <v>15.076709980242315</v>
          </cell>
          <cell r="P49">
            <v>38.529369949508137</v>
          </cell>
          <cell r="Q49">
            <v>81.261156186612567</v>
          </cell>
          <cell r="R49">
            <v>115.2155172413793</v>
          </cell>
          <cell r="S49">
            <v>131.3242739211023</v>
          </cell>
          <cell r="T49">
            <v>145.83294225870731</v>
          </cell>
          <cell r="U49">
            <v>164.7076028383787</v>
          </cell>
          <cell r="V49">
            <v>184.77686218891537</v>
          </cell>
          <cell r="W49">
            <v>202.83919560439833</v>
          </cell>
          <cell r="X49">
            <v>216.48629196276329</v>
          </cell>
          <cell r="Y49">
            <v>228.29965200775493</v>
          </cell>
          <cell r="AA49">
            <v>31.627789046653138</v>
          </cell>
          <cell r="AB49">
            <v>32.654665314401612</v>
          </cell>
          <cell r="AC49">
            <v>32.832448870392383</v>
          </cell>
          <cell r="AD49">
            <v>34.209370689655181</v>
          </cell>
          <cell r="AE49">
            <v>35.618146551724138</v>
          </cell>
          <cell r="AF49">
            <v>36.240121723921327</v>
          </cell>
          <cell r="AG49">
            <v>36.544297613065318</v>
          </cell>
          <cell r="AH49">
            <v>37.43037636999653</v>
          </cell>
        </row>
        <row r="50">
          <cell r="D50" t="str">
            <v>% Change</v>
          </cell>
          <cell r="P50">
            <v>1.5555555555555554</v>
          </cell>
          <cell r="Q50">
            <v>1.1090704647676164</v>
          </cell>
          <cell r="R50">
            <v>0.41784245570899925</v>
          </cell>
          <cell r="S50">
            <v>0.13981412456774178</v>
          </cell>
          <cell r="T50">
            <v>0.1104797148646075</v>
          </cell>
          <cell r="U50">
            <v>0.12942659105230003</v>
          </cell>
          <cell r="V50">
            <v>0.1218478018299487</v>
          </cell>
          <cell r="W50">
            <v>9.7752138452356974E-2</v>
          </cell>
          <cell r="X50">
            <v>6.7280371122064642E-2</v>
          </cell>
          <cell r="Y50">
            <v>5.456862851632005E-2</v>
          </cell>
          <cell r="AE50">
            <v>0.12616618566618576</v>
          </cell>
          <cell r="AF50">
            <v>0.10979920862757786</v>
          </cell>
          <cell r="AG50">
            <v>0.11305427619260544</v>
          </cell>
          <cell r="AH50">
            <v>9.4155654296071978E-2</v>
          </cell>
        </row>
        <row r="52">
          <cell r="C52" t="str">
            <v>WildBlue Revenue</v>
          </cell>
          <cell r="J52">
            <v>0</v>
          </cell>
          <cell r="K52">
            <v>0</v>
          </cell>
          <cell r="L52">
            <v>0</v>
          </cell>
          <cell r="M52">
            <v>0</v>
          </cell>
          <cell r="N52">
            <v>0</v>
          </cell>
          <cell r="O52">
            <v>23.55375705097649</v>
          </cell>
          <cell r="P52">
            <v>58.874282919270172</v>
          </cell>
          <cell r="Q52">
            <v>122.57945285724277</v>
          </cell>
          <cell r="R52">
            <v>175.95994351961949</v>
          </cell>
          <cell r="S52">
            <v>201.82147962859341</v>
          </cell>
          <cell r="T52">
            <v>215.60363191387972</v>
          </cell>
          <cell r="U52">
            <v>257.00380700439524</v>
          </cell>
          <cell r="V52">
            <v>325.91254911355259</v>
          </cell>
          <cell r="W52">
            <v>387.93041701179419</v>
          </cell>
          <cell r="X52">
            <v>434.78836164602114</v>
          </cell>
          <cell r="Y52">
            <v>472.26481211887989</v>
          </cell>
          <cell r="AA52">
            <v>48.302729593621038</v>
          </cell>
          <cell r="AB52">
            <v>49.871000034972361</v>
          </cell>
          <cell r="AC52">
            <v>50.921999999999997</v>
          </cell>
          <cell r="AD52">
            <v>52.725750000000005</v>
          </cell>
          <cell r="AE52">
            <v>53.486249999999998</v>
          </cell>
          <cell r="AF52">
            <v>53.540983792886848</v>
          </cell>
          <cell r="AG52">
            <v>53.804642440651527</v>
          </cell>
          <cell r="AH52">
            <v>54.771755680341357</v>
          </cell>
        </row>
        <row r="53">
          <cell r="D53" t="str">
            <v>% Change</v>
          </cell>
          <cell r="O53" t="str">
            <v>NM</v>
          </cell>
          <cell r="P53">
            <v>1.4995707815042341</v>
          </cell>
          <cell r="Q53">
            <v>1.0820542820933658</v>
          </cell>
          <cell r="R53">
            <v>0.43547665957152026</v>
          </cell>
          <cell r="S53">
            <v>0.14697399642032938</v>
          </cell>
          <cell r="T53">
            <v>6.8288827882191816E-2</v>
          </cell>
          <cell r="U53">
            <v>0.19201984086730195</v>
          </cell>
          <cell r="V53">
            <v>0.26812342942444767</v>
          </cell>
          <cell r="W53">
            <v>0.19028990465977325</v>
          </cell>
          <cell r="X53">
            <v>0.12078956065154944</v>
          </cell>
          <cell r="Y53">
            <v>8.6194695577821889E-2</v>
          </cell>
        </row>
        <row r="55">
          <cell r="C55" t="str">
            <v>Wholesale Broadband</v>
          </cell>
          <cell r="J55">
            <v>0</v>
          </cell>
          <cell r="K55">
            <v>0</v>
          </cell>
          <cell r="L55">
            <v>0</v>
          </cell>
          <cell r="M55">
            <v>0</v>
          </cell>
          <cell r="N55">
            <v>0</v>
          </cell>
          <cell r="O55">
            <v>0</v>
          </cell>
          <cell r="P55">
            <v>0</v>
          </cell>
          <cell r="Q55">
            <v>0</v>
          </cell>
          <cell r="R55">
            <v>0</v>
          </cell>
          <cell r="S55">
            <v>63.4</v>
          </cell>
          <cell r="T55">
            <v>215.60363191387972</v>
          </cell>
          <cell r="U55">
            <v>257.00380700439524</v>
          </cell>
          <cell r="V55">
            <v>325.91254911355259</v>
          </cell>
          <cell r="W55">
            <v>387.93041701179419</v>
          </cell>
          <cell r="X55">
            <v>434.78836164602114</v>
          </cell>
          <cell r="Y55">
            <v>472.26481211887989</v>
          </cell>
          <cell r="AA55">
            <v>0</v>
          </cell>
          <cell r="AB55">
            <v>0</v>
          </cell>
          <cell r="AC55">
            <v>9</v>
          </cell>
          <cell r="AD55">
            <v>54.4</v>
          </cell>
          <cell r="AE55">
            <v>53.486249999999998</v>
          </cell>
          <cell r="AF55">
            <v>53.540983792886848</v>
          </cell>
          <cell r="AG55">
            <v>53.804642440651527</v>
          </cell>
          <cell r="AH55">
            <v>54.771755680341357</v>
          </cell>
        </row>
        <row r="56">
          <cell r="D56" t="str">
            <v>% Satellite Service</v>
          </cell>
          <cell r="R56">
            <v>0</v>
          </cell>
          <cell r="S56">
            <v>0.8363123112031553</v>
          </cell>
          <cell r="T56">
            <v>0.93003196639417307</v>
          </cell>
          <cell r="U56">
            <v>0.88091768931681591</v>
          </cell>
          <cell r="V56">
            <v>0.87309629380784071</v>
          </cell>
          <cell r="W56">
            <v>0.86378494141467632</v>
          </cell>
          <cell r="X56">
            <v>0.85078638790854055</v>
          </cell>
          <cell r="Y56">
            <v>0.83810156128850788</v>
          </cell>
          <cell r="AC56">
            <v>0.73307811354565455</v>
          </cell>
          <cell r="AD56">
            <v>0.94554429631689629</v>
          </cell>
          <cell r="AE56">
            <v>0.9295490093847758</v>
          </cell>
          <cell r="AF56">
            <v>0.9257086350194782</v>
          </cell>
          <cell r="AG56">
            <v>0.92128879896473903</v>
          </cell>
          <cell r="AH56">
            <v>0.94361559008641094</v>
          </cell>
        </row>
        <row r="58">
          <cell r="C58" t="str">
            <v>Maritime</v>
          </cell>
          <cell r="T58">
            <v>7.5</v>
          </cell>
          <cell r="U58">
            <v>9</v>
          </cell>
          <cell r="V58">
            <v>10.500299999999999</v>
          </cell>
          <cell r="W58">
            <v>12.000900000000001</v>
          </cell>
          <cell r="X58">
            <v>13.501800000000001</v>
          </cell>
          <cell r="Y58">
            <v>15.003</v>
          </cell>
        </row>
        <row r="59">
          <cell r="C59" t="str">
            <v>Rails</v>
          </cell>
          <cell r="T59">
            <v>1.6220250000000001</v>
          </cell>
          <cell r="U59">
            <v>2.1627000000000001</v>
          </cell>
          <cell r="V59">
            <v>3.2440500000000001</v>
          </cell>
          <cell r="W59">
            <v>4.3254000000000001</v>
          </cell>
          <cell r="X59">
            <v>5.4067500000000006</v>
          </cell>
          <cell r="Y59">
            <v>6.4881000000000002</v>
          </cell>
        </row>
        <row r="60">
          <cell r="C60" t="str">
            <v>Business Jets</v>
          </cell>
          <cell r="T60">
            <v>1.5108300000000001</v>
          </cell>
          <cell r="U60">
            <v>1.8555579000000002</v>
          </cell>
          <cell r="V60">
            <v>2.2910271705</v>
          </cell>
          <cell r="W60">
            <v>2.8385671746375003</v>
          </cell>
          <cell r="X60">
            <v>3.4612212925715631</v>
          </cell>
          <cell r="Y60">
            <v>4.0563548595322745</v>
          </cell>
        </row>
        <row r="61">
          <cell r="C61" t="str">
            <v>Commercial Aircraft</v>
          </cell>
          <cell r="T61">
            <v>0</v>
          </cell>
          <cell r="U61">
            <v>16.024319999999999</v>
          </cell>
          <cell r="V61">
            <v>25.522560000000002</v>
          </cell>
          <cell r="W61">
            <v>36.080640000000002</v>
          </cell>
          <cell r="X61">
            <v>47.836800000000011</v>
          </cell>
          <cell r="Y61">
            <v>59.512320000000003</v>
          </cell>
        </row>
        <row r="62">
          <cell r="C62" t="str">
            <v>Mobile Broadband</v>
          </cell>
          <cell r="J62">
            <v>0</v>
          </cell>
          <cell r="K62">
            <v>0</v>
          </cell>
          <cell r="L62">
            <v>0</v>
          </cell>
          <cell r="M62">
            <v>0</v>
          </cell>
          <cell r="N62">
            <v>0</v>
          </cell>
          <cell r="O62">
            <v>0</v>
          </cell>
          <cell r="P62">
            <v>2.4745599999999999</v>
          </cell>
          <cell r="Q62">
            <v>2.52155</v>
          </cell>
          <cell r="R62">
            <v>3.2171500000000002</v>
          </cell>
          <cell r="S62">
            <v>6.9311500000000015</v>
          </cell>
          <cell r="T62">
            <v>10.632855000000001</v>
          </cell>
          <cell r="U62">
            <v>29.042577900000001</v>
          </cell>
          <cell r="V62">
            <v>41.557937170499997</v>
          </cell>
          <cell r="W62">
            <v>55.24550717463751</v>
          </cell>
          <cell r="X62">
            <v>70.206571292571567</v>
          </cell>
          <cell r="Y62">
            <v>85.059774859532268</v>
          </cell>
          <cell r="AA62">
            <v>1.1315374999999999</v>
          </cell>
          <cell r="AB62">
            <v>2.1285375000000002</v>
          </cell>
          <cell r="AC62">
            <v>1.9075374999999992</v>
          </cell>
          <cell r="AD62">
            <v>1.7635375000000026</v>
          </cell>
          <cell r="AE62">
            <v>2.6568982500000011</v>
          </cell>
          <cell r="AF62">
            <v>2.9</v>
          </cell>
          <cell r="AG62">
            <v>3.2</v>
          </cell>
          <cell r="AH62">
            <v>1.8759567499999994</v>
          </cell>
        </row>
        <row r="63">
          <cell r="D63" t="str">
            <v>% Satellite Service</v>
          </cell>
          <cell r="P63">
            <v>0.37</v>
          </cell>
          <cell r="Q63">
            <v>0.37</v>
          </cell>
          <cell r="R63">
            <v>0.37</v>
          </cell>
          <cell r="S63">
            <v>9.1429117914759481E-2</v>
          </cell>
          <cell r="T63">
            <v>4.5866087487728947E-2</v>
          </cell>
          <cell r="U63">
            <v>9.954763282955606E-2</v>
          </cell>
          <cell r="V63">
            <v>0.11133072666441193</v>
          </cell>
          <cell r="W63">
            <v>0.12301236274756333</v>
          </cell>
          <cell r="X63">
            <v>0.13737901118447982</v>
          </cell>
          <cell r="Y63">
            <v>0.15095075534587565</v>
          </cell>
          <cell r="AA63">
            <v>0.45243402638944419</v>
          </cell>
          <cell r="AB63">
            <v>0.60850128644939971</v>
          </cell>
          <cell r="AC63">
            <v>0.15537488800195481</v>
          </cell>
          <cell r="AD63">
            <v>3.0652625449741934E-2</v>
          </cell>
          <cell r="AE63">
            <v>4.6174804483837352E-2</v>
          </cell>
          <cell r="AF63">
            <v>5.0140188905403373E-2</v>
          </cell>
          <cell r="AG63">
            <v>5.4793118640999297E-2</v>
          </cell>
          <cell r="AH63">
            <v>3.2319249467900255E-2</v>
          </cell>
        </row>
        <row r="64">
          <cell r="D64" t="str">
            <v>% Change</v>
          </cell>
          <cell r="Q64">
            <v>1.8989234449760861E-2</v>
          </cell>
          <cell r="R64">
            <v>0.27586206896551735</v>
          </cell>
          <cell r="S64">
            <v>1.1544379341964164</v>
          </cell>
          <cell r="T64">
            <v>0.53406793966369204</v>
          </cell>
          <cell r="U64">
            <v>1.7313997886738792</v>
          </cell>
          <cell r="V64">
            <v>0.43093141778230359</v>
          </cell>
          <cell r="W64">
            <v>0.329361150626448</v>
          </cell>
          <cell r="X64">
            <v>0.2708105126203364</v>
          </cell>
          <cell r="Y64">
            <v>0.21156429225211704</v>
          </cell>
          <cell r="AE64">
            <v>1.3480425969090741</v>
          </cell>
          <cell r="AF64">
            <v>0.36243782409283343</v>
          </cell>
          <cell r="AG64">
            <v>0.67755548711362246</v>
          </cell>
          <cell r="AH64">
            <v>6.3746447126866723E-2</v>
          </cell>
        </row>
        <row r="66">
          <cell r="C66" t="str">
            <v>Managed Broadband</v>
          </cell>
          <cell r="J66">
            <v>0</v>
          </cell>
          <cell r="K66">
            <v>0</v>
          </cell>
          <cell r="L66">
            <v>0</v>
          </cell>
          <cell r="M66">
            <v>0</v>
          </cell>
          <cell r="N66">
            <v>0</v>
          </cell>
          <cell r="O66">
            <v>0</v>
          </cell>
          <cell r="P66">
            <v>4.2134400000000003</v>
          </cell>
          <cell r="Q66">
            <v>4.29345</v>
          </cell>
          <cell r="R66">
            <v>5.4778500000000001</v>
          </cell>
          <cell r="S66">
            <v>5.4778500000000001</v>
          </cell>
          <cell r="T66">
            <v>5.5874069999999998</v>
          </cell>
          <cell r="U66">
            <v>5.6991551400000002</v>
          </cell>
          <cell r="V66">
            <v>5.8131382428</v>
          </cell>
          <cell r="W66">
            <v>5.9294010076559998</v>
          </cell>
          <cell r="X66">
            <v>6.0479890278091197</v>
          </cell>
          <cell r="Y66">
            <v>6.1689488083653021</v>
          </cell>
          <cell r="AA66">
            <v>1.3694625</v>
          </cell>
          <cell r="AB66">
            <v>1.3694625</v>
          </cell>
          <cell r="AC66">
            <v>1.3694625</v>
          </cell>
          <cell r="AD66">
            <v>1.3694625</v>
          </cell>
          <cell r="AE66">
            <v>1.3968517499999999</v>
          </cell>
          <cell r="AF66">
            <v>1.3968517499999999</v>
          </cell>
          <cell r="AG66">
            <v>1.3968517499999999</v>
          </cell>
          <cell r="AH66">
            <v>1.3968517499999999</v>
          </cell>
        </row>
        <row r="67">
          <cell r="D67" t="str">
            <v>% Satellite Service</v>
          </cell>
          <cell r="P67">
            <v>0.63</v>
          </cell>
          <cell r="Q67">
            <v>0.63</v>
          </cell>
          <cell r="R67">
            <v>0.63</v>
          </cell>
          <cell r="S67">
            <v>7.2258570882085246E-2</v>
          </cell>
          <cell r="T67">
            <v>2.4101946118098017E-2</v>
          </cell>
          <cell r="U67">
            <v>1.953467785362804E-2</v>
          </cell>
          <cell r="V67">
            <v>1.557297952774734E-2</v>
          </cell>
          <cell r="W67">
            <v>1.3202695837760372E-2</v>
          </cell>
          <cell r="X67">
            <v>1.1834600906979671E-2</v>
          </cell>
          <cell r="Y67">
            <v>1.0947683365616452E-2</v>
          </cell>
          <cell r="AA67">
            <v>0.54756597361055581</v>
          </cell>
          <cell r="AB67">
            <v>0.39149871355060034</v>
          </cell>
          <cell r="AC67">
            <v>0.11154699845239066</v>
          </cell>
          <cell r="AD67">
            <v>2.3803078233361724E-2</v>
          </cell>
          <cell r="AE67">
            <v>2.4276186131386861E-2</v>
          </cell>
          <cell r="AF67">
            <v>2.4151176075118373E-2</v>
          </cell>
          <cell r="AG67">
            <v>2.3918082394261714E-2</v>
          </cell>
          <cell r="AH67">
            <v>2.4065160445688873E-2</v>
          </cell>
        </row>
        <row r="68">
          <cell r="D68" t="str">
            <v>% Change</v>
          </cell>
          <cell r="Q68">
            <v>1.8989234449760639E-2</v>
          </cell>
          <cell r="R68">
            <v>0.27586206896551735</v>
          </cell>
          <cell r="S68">
            <v>0</v>
          </cell>
          <cell r="T68">
            <v>2.0000000000000018E-2</v>
          </cell>
          <cell r="U68">
            <v>2.0000000000000018E-2</v>
          </cell>
          <cell r="V68">
            <v>2.0000000000000018E-2</v>
          </cell>
          <cell r="W68">
            <v>2.0000000000000018E-2</v>
          </cell>
          <cell r="X68">
            <v>2.0000000000000018E-2</v>
          </cell>
          <cell r="Y68">
            <v>2.0000000000000018E-2</v>
          </cell>
          <cell r="AE68">
            <v>0.02</v>
          </cell>
          <cell r="AF68">
            <v>0.02</v>
          </cell>
          <cell r="AG68">
            <v>0.02</v>
          </cell>
          <cell r="AH68">
            <v>0.02</v>
          </cell>
        </row>
        <row r="70">
          <cell r="C70" t="str">
            <v>Other Satellite Services</v>
          </cell>
          <cell r="J70">
            <v>0</v>
          </cell>
          <cell r="K70">
            <v>0</v>
          </cell>
          <cell r="L70">
            <v>0</v>
          </cell>
          <cell r="M70">
            <v>0</v>
          </cell>
          <cell r="N70">
            <v>0</v>
          </cell>
          <cell r="O70">
            <v>0</v>
          </cell>
          <cell r="P70">
            <v>6.6879999999999997</v>
          </cell>
          <cell r="Q70">
            <v>6.8150000000000004</v>
          </cell>
          <cell r="R70">
            <v>8.6950000000000003</v>
          </cell>
          <cell r="S70">
            <v>12.408999999999999</v>
          </cell>
          <cell r="T70">
            <v>16.220262000000002</v>
          </cell>
          <cell r="U70">
            <v>34.74173304</v>
          </cell>
          <cell r="V70">
            <v>47.371075413299998</v>
          </cell>
          <cell r="W70">
            <v>61.174908182293507</v>
          </cell>
          <cell r="X70">
            <v>76.254560320380691</v>
          </cell>
          <cell r="Y70">
            <v>91.228723667897569</v>
          </cell>
          <cell r="AA70">
            <v>2.5009999999999999</v>
          </cell>
          <cell r="AB70">
            <v>3.4980000000000002</v>
          </cell>
          <cell r="AC70">
            <v>3.2769999999999992</v>
          </cell>
          <cell r="AD70">
            <v>3.1330000000000027</v>
          </cell>
          <cell r="AE70">
            <v>4.0537500000000009</v>
          </cell>
          <cell r="AF70">
            <v>4.2968517500000001</v>
          </cell>
          <cell r="AG70">
            <v>4.5968517499999999</v>
          </cell>
          <cell r="AH70">
            <v>3.2728084999999991</v>
          </cell>
        </row>
        <row r="71">
          <cell r="D71" t="str">
            <v>% Change</v>
          </cell>
          <cell r="T71">
            <v>0.30713691675396926</v>
          </cell>
          <cell r="U71">
            <v>1.1418724950312145</v>
          </cell>
          <cell r="V71">
            <v>0.36352079381760172</v>
          </cell>
          <cell r="W71">
            <v>0.29139791842508855</v>
          </cell>
          <cell r="X71">
            <v>0.24650060925554196</v>
          </cell>
          <cell r="Y71">
            <v>0.19637072569304048</v>
          </cell>
        </row>
        <row r="73">
          <cell r="C73" t="str">
            <v>Satellite Services Revenue</v>
          </cell>
          <cell r="J73">
            <v>0</v>
          </cell>
          <cell r="K73">
            <v>0</v>
          </cell>
          <cell r="L73">
            <v>0</v>
          </cell>
          <cell r="M73">
            <v>0</v>
          </cell>
          <cell r="N73">
            <v>0</v>
          </cell>
          <cell r="O73">
            <v>0</v>
          </cell>
          <cell r="P73">
            <v>6.6879999999999997</v>
          </cell>
          <cell r="Q73">
            <v>6.8150000000000004</v>
          </cell>
          <cell r="R73">
            <v>8.6950000000000003</v>
          </cell>
          <cell r="S73">
            <v>75.808999999999997</v>
          </cell>
          <cell r="T73">
            <v>231.82389391387972</v>
          </cell>
          <cell r="U73">
            <v>291.74554004439523</v>
          </cell>
          <cell r="V73">
            <v>373.28362452685258</v>
          </cell>
          <cell r="W73">
            <v>449.1053251940877</v>
          </cell>
          <cell r="X73">
            <v>511.04292196640182</v>
          </cell>
          <cell r="Y73">
            <v>563.49353578677744</v>
          </cell>
          <cell r="AA73">
            <v>2.5009999999999999</v>
          </cell>
          <cell r="AB73">
            <v>3.4980000000000002</v>
          </cell>
          <cell r="AC73">
            <v>12.276999999999999</v>
          </cell>
          <cell r="AD73">
            <v>57.533000000000001</v>
          </cell>
          <cell r="AE73">
            <v>57.54</v>
          </cell>
          <cell r="AF73">
            <v>57.83783554288685</v>
          </cell>
          <cell r="AG73">
            <v>58.401494190651526</v>
          </cell>
          <cell r="AH73">
            <v>58.044564180341354</v>
          </cell>
        </row>
        <row r="74">
          <cell r="D74" t="str">
            <v>% Change</v>
          </cell>
          <cell r="Q74">
            <v>1.8989234449760861E-2</v>
          </cell>
          <cell r="R74">
            <v>0.27586206896551713</v>
          </cell>
          <cell r="S74">
            <v>7.7186889016676243</v>
          </cell>
          <cell r="T74">
            <v>2.0579996295146978</v>
          </cell>
          <cell r="U74">
            <v>0.25847916329442655</v>
          </cell>
          <cell r="V74">
            <v>0.27948356800947027</v>
          </cell>
          <cell r="W74">
            <v>0.20312088633231973</v>
          </cell>
          <cell r="X74">
            <v>0.13791329850196465</v>
          </cell>
          <cell r="Y74">
            <v>0.10263445899721102</v>
          </cell>
        </row>
        <row r="75">
          <cell r="D75" t="str">
            <v>Check</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AA75">
            <v>0</v>
          </cell>
          <cell r="AB75">
            <v>0</v>
          </cell>
          <cell r="AC75">
            <v>0</v>
          </cell>
          <cell r="AD75">
            <v>0</v>
          </cell>
          <cell r="AE75">
            <v>0</v>
          </cell>
          <cell r="AF75">
            <v>0</v>
          </cell>
          <cell r="AG75">
            <v>0</v>
          </cell>
          <cell r="AH75">
            <v>0</v>
          </cell>
        </row>
        <row r="77">
          <cell r="B77" t="str">
            <v>Operating Profit Build</v>
          </cell>
        </row>
        <row r="79">
          <cell r="C79" t="str">
            <v>Uplink/Direct Network Expense</v>
          </cell>
          <cell r="J79">
            <v>0</v>
          </cell>
          <cell r="K79">
            <v>0</v>
          </cell>
          <cell r="L79">
            <v>0</v>
          </cell>
          <cell r="M79">
            <v>0</v>
          </cell>
          <cell r="N79">
            <v>0</v>
          </cell>
          <cell r="O79">
            <v>0</v>
          </cell>
          <cell r="P79">
            <v>17.662284875781054</v>
          </cell>
          <cell r="Q79">
            <v>36.773835857172834</v>
          </cell>
          <cell r="R79">
            <v>52.787983055885846</v>
          </cell>
          <cell r="S79">
            <v>60.546443888578018</v>
          </cell>
          <cell r="T79">
            <v>64.68108957416392</v>
          </cell>
          <cell r="U79">
            <v>70.676046926208684</v>
          </cell>
          <cell r="V79">
            <v>78.219011787252612</v>
          </cell>
          <cell r="W79">
            <v>87.284343827653686</v>
          </cell>
          <cell r="X79">
            <v>97.827381370354743</v>
          </cell>
          <cell r="Y79">
            <v>106.25958272674796</v>
          </cell>
          <cell r="AA79">
            <v>14.49081887808631</v>
          </cell>
          <cell r="AB79">
            <v>14.961300010491708</v>
          </cell>
          <cell r="AC79">
            <v>15.276599999999998</v>
          </cell>
          <cell r="AD79">
            <v>15.817725000000001</v>
          </cell>
          <cell r="AE79">
            <v>16.045874999999999</v>
          </cell>
          <cell r="AF79">
            <v>16.062295137866055</v>
          </cell>
          <cell r="AG79">
            <v>16.141392732195456</v>
          </cell>
          <cell r="AH79">
            <v>16.431526704102406</v>
          </cell>
        </row>
        <row r="80">
          <cell r="D80" t="str">
            <v>% of Service Rev.</v>
          </cell>
          <cell r="P80">
            <v>0.30000000000000004</v>
          </cell>
          <cell r="Q80">
            <v>0.30000000000000004</v>
          </cell>
          <cell r="R80">
            <v>0.3</v>
          </cell>
          <cell r="S80">
            <v>0.3</v>
          </cell>
          <cell r="T80">
            <v>0.3</v>
          </cell>
          <cell r="U80">
            <v>0.27499999999999997</v>
          </cell>
          <cell r="V80">
            <v>0.23999999999999996</v>
          </cell>
          <cell r="W80">
            <v>0.22499999999999998</v>
          </cell>
          <cell r="X80">
            <v>0.22499999999999998</v>
          </cell>
          <cell r="Y80">
            <v>0.22499999999999998</v>
          </cell>
          <cell r="AA80">
            <v>0.3</v>
          </cell>
          <cell r="AB80">
            <v>0.3</v>
          </cell>
          <cell r="AC80">
            <v>0.3</v>
          </cell>
          <cell r="AD80">
            <v>0.3</v>
          </cell>
          <cell r="AE80">
            <v>0.3</v>
          </cell>
          <cell r="AF80">
            <v>0.3</v>
          </cell>
          <cell r="AG80">
            <v>0.3</v>
          </cell>
          <cell r="AH80">
            <v>0.3</v>
          </cell>
        </row>
        <row r="82">
          <cell r="C82" t="str">
            <v>WildBlue Gross Margin</v>
          </cell>
          <cell r="J82">
            <v>0</v>
          </cell>
          <cell r="K82">
            <v>0</v>
          </cell>
          <cell r="L82">
            <v>0</v>
          </cell>
          <cell r="M82">
            <v>0</v>
          </cell>
          <cell r="N82">
            <v>0</v>
          </cell>
          <cell r="O82">
            <v>0</v>
          </cell>
          <cell r="P82">
            <v>41.211998043489118</v>
          </cell>
          <cell r="Q82">
            <v>85.80561700006993</v>
          </cell>
          <cell r="R82">
            <v>123.17196046373364</v>
          </cell>
          <cell r="S82">
            <v>141.2750357400154</v>
          </cell>
          <cell r="T82">
            <v>150.92254233971579</v>
          </cell>
          <cell r="U82">
            <v>186.32776007818654</v>
          </cell>
          <cell r="V82">
            <v>247.69353732629997</v>
          </cell>
          <cell r="W82">
            <v>300.6460731841405</v>
          </cell>
          <cell r="X82">
            <v>336.96098027566643</v>
          </cell>
          <cell r="Y82">
            <v>366.00522939213192</v>
          </cell>
          <cell r="AA82">
            <v>33.811910715534729</v>
          </cell>
          <cell r="AB82">
            <v>34.909700024480657</v>
          </cell>
          <cell r="AC82">
            <v>35.645399999999995</v>
          </cell>
          <cell r="AD82">
            <v>36.908025000000002</v>
          </cell>
          <cell r="AE82">
            <v>37.440375000000003</v>
          </cell>
          <cell r="AF82">
            <v>37.47868865502079</v>
          </cell>
          <cell r="AG82">
            <v>37.663249708456071</v>
          </cell>
          <cell r="AH82">
            <v>38.340228976238947</v>
          </cell>
        </row>
        <row r="83">
          <cell r="D83" t="str">
            <v>Gross Margin %</v>
          </cell>
          <cell r="P83">
            <v>0.7</v>
          </cell>
          <cell r="Q83">
            <v>0.7</v>
          </cell>
          <cell r="R83">
            <v>0.7</v>
          </cell>
          <cell r="S83">
            <v>0.70000000000000007</v>
          </cell>
          <cell r="T83">
            <v>0.7</v>
          </cell>
          <cell r="U83">
            <v>0.72499999999999998</v>
          </cell>
          <cell r="V83">
            <v>0.76</v>
          </cell>
          <cell r="W83">
            <v>0.77500000000000002</v>
          </cell>
          <cell r="X83">
            <v>0.77500000000000013</v>
          </cell>
          <cell r="Y83">
            <v>0.77500000000000002</v>
          </cell>
          <cell r="AA83">
            <v>0.70000000000000007</v>
          </cell>
          <cell r="AB83">
            <v>0.70000000000000007</v>
          </cell>
          <cell r="AC83">
            <v>0.7</v>
          </cell>
          <cell r="AD83">
            <v>0.7</v>
          </cell>
          <cell r="AE83">
            <v>0.70000000000000007</v>
          </cell>
          <cell r="AF83">
            <v>0.7</v>
          </cell>
          <cell r="AG83">
            <v>0.70000000000000007</v>
          </cell>
          <cell r="AH83">
            <v>0.7</v>
          </cell>
        </row>
        <row r="85">
          <cell r="C85" t="str">
            <v>WildBlue SG&amp;A</v>
          </cell>
          <cell r="J85">
            <v>0</v>
          </cell>
          <cell r="K85">
            <v>0</v>
          </cell>
          <cell r="L85">
            <v>0</v>
          </cell>
          <cell r="M85">
            <v>0</v>
          </cell>
          <cell r="N85">
            <v>0</v>
          </cell>
          <cell r="O85">
            <v>0</v>
          </cell>
          <cell r="P85">
            <v>32.152949082203023</v>
          </cell>
          <cell r="Q85">
            <v>42.13308016399256</v>
          </cell>
          <cell r="R85">
            <v>46.278129422218328</v>
          </cell>
          <cell r="S85">
            <v>50.904672306550438</v>
          </cell>
          <cell r="T85">
            <v>53.092935896990625</v>
          </cell>
          <cell r="U85">
            <v>60.186096526643276</v>
          </cell>
          <cell r="V85">
            <v>67.203275902874694</v>
          </cell>
          <cell r="W85">
            <v>73.339579008857299</v>
          </cell>
          <cell r="X85">
            <v>79.187333289298635</v>
          </cell>
          <cell r="Y85">
            <v>84.405603171387185</v>
          </cell>
          <cell r="AA85">
            <v>11.319286190992866</v>
          </cell>
          <cell r="AB85">
            <v>12.640941611994647</v>
          </cell>
          <cell r="AC85">
            <v>13.096599653073723</v>
          </cell>
          <cell r="AD85">
            <v>13.847844850489206</v>
          </cell>
          <cell r="AE85">
            <v>12.1</v>
          </cell>
          <cell r="AF85">
            <v>13.039553679609019</v>
          </cell>
          <cell r="AG85">
            <v>13.748475699885304</v>
          </cell>
          <cell r="AH85">
            <v>14.204906517496294</v>
          </cell>
        </row>
        <row r="86">
          <cell r="D86" t="str">
            <v>% of Service Rev.</v>
          </cell>
          <cell r="P86">
            <v>0.54612892909951727</v>
          </cell>
          <cell r="Q86">
            <v>0.34372057618058677</v>
          </cell>
          <cell r="R86">
            <v>0.26300377515782919</v>
          </cell>
          <cell r="S86">
            <v>0.252226236772364</v>
          </cell>
          <cell r="T86">
            <v>0.24625251173040516</v>
          </cell>
          <cell r="U86">
            <v>0.23418367699749282</v>
          </cell>
          <cell r="V86">
            <v>0.20620033222304709</v>
          </cell>
          <cell r="W86">
            <v>0.18905343791752108</v>
          </cell>
          <cell r="X86">
            <v>0.18212845668065111</v>
          </cell>
          <cell r="Y86">
            <v>0.17872515801609279</v>
          </cell>
          <cell r="AA86">
            <v>0.23434050800490819</v>
          </cell>
          <cell r="AB86">
            <v>0.25347279186561539</v>
          </cell>
          <cell r="AC86">
            <v>0.25718942015383772</v>
          </cell>
          <cell r="AD86">
            <v>0.26263912510470133</v>
          </cell>
          <cell r="AE86">
            <v>0.22622636658954404</v>
          </cell>
          <cell r="AF86">
            <v>0.24354340835517821</v>
          </cell>
          <cell r="AG86">
            <v>0.25552582595545303</v>
          </cell>
          <cell r="AH86">
            <v>0.25934729206781132</v>
          </cell>
        </row>
        <row r="88">
          <cell r="C88" t="str">
            <v>WildBlue EBITDA</v>
          </cell>
          <cell r="J88">
            <v>0</v>
          </cell>
          <cell r="K88">
            <v>0</v>
          </cell>
          <cell r="L88">
            <v>0</v>
          </cell>
          <cell r="M88">
            <v>0</v>
          </cell>
          <cell r="N88">
            <v>0</v>
          </cell>
          <cell r="O88">
            <v>0</v>
          </cell>
          <cell r="P88">
            <v>9.0590489612860949</v>
          </cell>
          <cell r="Q88">
            <v>43.67253683607737</v>
          </cell>
          <cell r="R88">
            <v>76.893831041515313</v>
          </cell>
          <cell r="S88">
            <v>90.370363433464959</v>
          </cell>
          <cell r="T88">
            <v>97.829606442725165</v>
          </cell>
          <cell r="U88">
            <v>126.14166355154327</v>
          </cell>
          <cell r="V88">
            <v>180.4902614234253</v>
          </cell>
          <cell r="W88">
            <v>227.30649417528321</v>
          </cell>
          <cell r="X88">
            <v>257.77364698636779</v>
          </cell>
          <cell r="Y88">
            <v>281.59962622074477</v>
          </cell>
          <cell r="AA88">
            <v>22.492624524541863</v>
          </cell>
          <cell r="AB88">
            <v>22.268758412486008</v>
          </cell>
          <cell r="AC88">
            <v>22.548800346926271</v>
          </cell>
          <cell r="AD88">
            <v>23.060180149510796</v>
          </cell>
          <cell r="AE88">
            <v>25.340375000000002</v>
          </cell>
          <cell r="AF88">
            <v>24.439134975411768</v>
          </cell>
          <cell r="AG88">
            <v>23.914774008570767</v>
          </cell>
          <cell r="AH88">
            <v>24.135322458742653</v>
          </cell>
        </row>
        <row r="89">
          <cell r="D89" t="str">
            <v>% Margins</v>
          </cell>
          <cell r="P89">
            <v>0.15387107090048263</v>
          </cell>
          <cell r="Q89">
            <v>0.35627942381941313</v>
          </cell>
          <cell r="R89">
            <v>0.43699622484217082</v>
          </cell>
          <cell r="S89">
            <v>0.44777376322763607</v>
          </cell>
          <cell r="T89">
            <v>0.45374748826959477</v>
          </cell>
          <cell r="U89">
            <v>0.49081632300250722</v>
          </cell>
          <cell r="V89">
            <v>0.553799667776953</v>
          </cell>
          <cell r="W89">
            <v>0.58594656208247897</v>
          </cell>
          <cell r="X89">
            <v>0.59287154331934899</v>
          </cell>
          <cell r="Y89">
            <v>0.59627484198390723</v>
          </cell>
          <cell r="AA89">
            <v>0.46565949199509188</v>
          </cell>
          <cell r="AB89">
            <v>0.44652720813438468</v>
          </cell>
          <cell r="AC89">
            <v>0.44281057984616223</v>
          </cell>
          <cell r="AD89">
            <v>0.43736087489529868</v>
          </cell>
          <cell r="AE89">
            <v>0.47377363341045603</v>
          </cell>
          <cell r="AF89">
            <v>0.45645659164482166</v>
          </cell>
          <cell r="AG89">
            <v>0.44447417404454698</v>
          </cell>
          <cell r="AH89">
            <v>0.44065270793218864</v>
          </cell>
        </row>
        <row r="91">
          <cell r="C91" t="str">
            <v>Wholesale Broadband EBITDA</v>
          </cell>
          <cell r="J91">
            <v>0</v>
          </cell>
          <cell r="K91">
            <v>0</v>
          </cell>
          <cell r="L91">
            <v>0</v>
          </cell>
          <cell r="M91">
            <v>0</v>
          </cell>
          <cell r="N91">
            <v>0</v>
          </cell>
          <cell r="O91">
            <v>0</v>
          </cell>
          <cell r="P91">
            <v>0</v>
          </cell>
          <cell r="Q91">
            <v>0</v>
          </cell>
          <cell r="R91">
            <v>0</v>
          </cell>
          <cell r="S91">
            <v>26.818313540665173</v>
          </cell>
          <cell r="T91">
            <v>97.829606442725179</v>
          </cell>
          <cell r="U91">
            <v>126.14166355154327</v>
          </cell>
          <cell r="V91">
            <v>180.4902614234253</v>
          </cell>
          <cell r="W91">
            <v>227.30649417528321</v>
          </cell>
          <cell r="X91">
            <v>257.77364698636779</v>
          </cell>
          <cell r="Y91">
            <v>281.59962622074477</v>
          </cell>
          <cell r="AA91">
            <v>0</v>
          </cell>
          <cell r="AB91">
            <v>0</v>
          </cell>
          <cell r="AC91">
            <v>3.7581333911543782</v>
          </cell>
          <cell r="AD91">
            <v>23.060180149510796</v>
          </cell>
          <cell r="AE91">
            <v>25.340375000000002</v>
          </cell>
          <cell r="AF91">
            <v>24.439134975411768</v>
          </cell>
          <cell r="AG91">
            <v>23.914774008570767</v>
          </cell>
          <cell r="AH91">
            <v>24.135322458742653</v>
          </cell>
        </row>
        <row r="92">
          <cell r="D92" t="str">
            <v>% Margins</v>
          </cell>
          <cell r="S92">
            <v>0.42300179086222672</v>
          </cell>
          <cell r="T92">
            <v>0.45374748826959482</v>
          </cell>
          <cell r="U92">
            <v>0.49081632300250722</v>
          </cell>
          <cell r="V92">
            <v>0.553799667776953</v>
          </cell>
          <cell r="W92">
            <v>0.58594656208247897</v>
          </cell>
          <cell r="X92">
            <v>0.59287154331934899</v>
          </cell>
          <cell r="Y92">
            <v>0.59627484198390723</v>
          </cell>
        </row>
        <row r="94">
          <cell r="C94" t="str">
            <v>Other Satellite Services EBITDA</v>
          </cell>
          <cell r="J94">
            <v>0</v>
          </cell>
          <cell r="K94">
            <v>0</v>
          </cell>
          <cell r="L94">
            <v>0</v>
          </cell>
          <cell r="M94">
            <v>0</v>
          </cell>
          <cell r="N94">
            <v>0</v>
          </cell>
          <cell r="O94">
            <v>0</v>
          </cell>
          <cell r="P94">
            <v>-1.6990000000000001</v>
          </cell>
          <cell r="Q94">
            <v>-2.851</v>
          </cell>
          <cell r="R94">
            <v>-3.9780000000000002</v>
          </cell>
          <cell r="S94">
            <v>-13.09594895733184</v>
          </cell>
          <cell r="T94">
            <v>0.33427343749999849</v>
          </cell>
          <cell r="U94">
            <v>0</v>
          </cell>
          <cell r="V94">
            <v>0.23685537706650001</v>
          </cell>
          <cell r="W94">
            <v>0.61174908182293508</v>
          </cell>
          <cell r="X94">
            <v>1.1438184048057103</v>
          </cell>
          <cell r="Y94">
            <v>1.8245744733579514</v>
          </cell>
          <cell r="AA94">
            <v>-0.70699999999999996</v>
          </cell>
          <cell r="AB94">
            <v>-0.83499999999999908</v>
          </cell>
          <cell r="AC94">
            <v>-0.97408130782104596</v>
          </cell>
          <cell r="AD94">
            <v>-10.579867649510797</v>
          </cell>
          <cell r="AE94">
            <v>0.33427343749999849</v>
          </cell>
          <cell r="AF94">
            <v>0</v>
          </cell>
          <cell r="AG94">
            <v>0</v>
          </cell>
          <cell r="AH94">
            <v>0</v>
          </cell>
        </row>
        <row r="95">
          <cell r="D95" t="str">
            <v>% Margins</v>
          </cell>
          <cell r="U95">
            <v>0</v>
          </cell>
          <cell r="V95">
            <v>5.0000000000000001E-3</v>
          </cell>
          <cell r="W95">
            <v>0.01</v>
          </cell>
          <cell r="X95">
            <v>1.4999999999999999E-2</v>
          </cell>
          <cell r="Y95">
            <v>0.02</v>
          </cell>
          <cell r="AE95">
            <v>-1.4728054278642129</v>
          </cell>
          <cell r="AF95">
            <v>0</v>
          </cell>
          <cell r="AG95">
            <v>0</v>
          </cell>
          <cell r="AH95">
            <v>0</v>
          </cell>
        </row>
        <row r="97">
          <cell r="C97" t="str">
            <v>Transaction Related Expenses</v>
          </cell>
          <cell r="J97">
            <v>0</v>
          </cell>
          <cell r="K97">
            <v>0</v>
          </cell>
          <cell r="L97">
            <v>0</v>
          </cell>
          <cell r="M97">
            <v>0</v>
          </cell>
          <cell r="N97">
            <v>0</v>
          </cell>
          <cell r="O97">
            <v>0</v>
          </cell>
          <cell r="P97">
            <v>0</v>
          </cell>
          <cell r="Q97">
            <v>0</v>
          </cell>
          <cell r="R97">
            <v>0</v>
          </cell>
          <cell r="S97">
            <v>-11.4</v>
          </cell>
          <cell r="T97">
            <v>-0.5</v>
          </cell>
          <cell r="U97">
            <v>0</v>
          </cell>
          <cell r="V97">
            <v>0</v>
          </cell>
          <cell r="W97">
            <v>0</v>
          </cell>
          <cell r="X97">
            <v>0</v>
          </cell>
          <cell r="Y97">
            <v>0</v>
          </cell>
          <cell r="AA97">
            <v>0</v>
          </cell>
          <cell r="AB97">
            <v>-2.5000000000000009</v>
          </cell>
          <cell r="AC97">
            <v>-7.3</v>
          </cell>
          <cell r="AD97">
            <v>-1.6</v>
          </cell>
          <cell r="AE97">
            <v>-0.5</v>
          </cell>
          <cell r="AF97">
            <v>0</v>
          </cell>
          <cell r="AG97">
            <v>0</v>
          </cell>
          <cell r="AH97">
            <v>0</v>
          </cell>
        </row>
        <row r="99">
          <cell r="C99" t="str">
            <v>Total Satellite Services EBITDA</v>
          </cell>
          <cell r="P99">
            <v>-1.6990000000000001</v>
          </cell>
          <cell r="Q99">
            <v>-2.851</v>
          </cell>
          <cell r="R99">
            <v>-3.9780000000000002</v>
          </cell>
          <cell r="S99">
            <v>2.3223645833333322</v>
          </cell>
          <cell r="T99">
            <v>97.663879880225181</v>
          </cell>
          <cell r="U99">
            <v>126.14166355154327</v>
          </cell>
          <cell r="V99">
            <v>180.72711680049179</v>
          </cell>
          <cell r="W99">
            <v>227.91824325710613</v>
          </cell>
          <cell r="X99">
            <v>258.91746539117349</v>
          </cell>
          <cell r="Y99">
            <v>283.42420069410269</v>
          </cell>
          <cell r="AA99">
            <v>-0.70699999999999996</v>
          </cell>
          <cell r="AB99">
            <v>-3.335</v>
          </cell>
          <cell r="AC99">
            <v>-4.5159479166666667</v>
          </cell>
          <cell r="AD99">
            <v>10.880312499999999</v>
          </cell>
          <cell r="AE99">
            <v>25.1746484375</v>
          </cell>
          <cell r="AF99">
            <v>24.439134975411768</v>
          </cell>
          <cell r="AG99">
            <v>23.914774008570767</v>
          </cell>
          <cell r="AH99">
            <v>24.135322458742653</v>
          </cell>
        </row>
        <row r="100">
          <cell r="D100" t="str">
            <v>% Margins</v>
          </cell>
          <cell r="T100">
            <v>0.42128478747969933</v>
          </cell>
          <cell r="U100">
            <v>0.43236878113834459</v>
          </cell>
          <cell r="V100">
            <v>0.48415495597903191</v>
          </cell>
          <cell r="W100">
            <v>0.50749396738639829</v>
          </cell>
          <cell r="X100">
            <v>0.5066452430158026</v>
          </cell>
          <cell r="Y100">
            <v>0.50297684479800087</v>
          </cell>
        </row>
        <row r="102">
          <cell r="C102" t="str">
            <v>Satellite Depreciation Expense</v>
          </cell>
          <cell r="J102">
            <v>0</v>
          </cell>
          <cell r="K102">
            <v>0</v>
          </cell>
          <cell r="L102">
            <v>0</v>
          </cell>
          <cell r="M102">
            <v>0</v>
          </cell>
          <cell r="N102">
            <v>0</v>
          </cell>
          <cell r="O102">
            <v>0</v>
          </cell>
          <cell r="P102">
            <v>0</v>
          </cell>
          <cell r="Q102">
            <v>0</v>
          </cell>
          <cell r="R102">
            <v>0</v>
          </cell>
          <cell r="S102">
            <v>11.627364583333332</v>
          </cell>
          <cell r="T102">
            <v>54.854593749999999</v>
          </cell>
          <cell r="U102">
            <v>72.916268312914454</v>
          </cell>
          <cell r="V102">
            <v>80.076737120226085</v>
          </cell>
          <cell r="W102">
            <v>80.548764163194846</v>
          </cell>
          <cell r="X102">
            <v>79.829262509542488</v>
          </cell>
          <cell r="Y102">
            <v>78.34144649765372</v>
          </cell>
          <cell r="AA102">
            <v>0</v>
          </cell>
          <cell r="AB102">
            <v>0</v>
          </cell>
          <cell r="AC102">
            <v>1.6610520833333333</v>
          </cell>
          <cell r="AD102">
            <v>9.966312499999999</v>
          </cell>
          <cell r="AE102">
            <v>13.7136484375</v>
          </cell>
          <cell r="AF102">
            <v>13.7136484375</v>
          </cell>
          <cell r="AG102">
            <v>13.7136484375</v>
          </cell>
          <cell r="AH102">
            <v>13.7136484375</v>
          </cell>
        </row>
        <row r="104">
          <cell r="C104" t="str">
            <v>Satellite Services EBITA</v>
          </cell>
          <cell r="N104">
            <v>0</v>
          </cell>
          <cell r="O104">
            <v>0</v>
          </cell>
          <cell r="P104">
            <v>-1.6990000000000001</v>
          </cell>
          <cell r="Q104">
            <v>-2.851</v>
          </cell>
          <cell r="R104">
            <v>-3.9780000000000002</v>
          </cell>
          <cell r="S104">
            <v>-9.3049999999999997</v>
          </cell>
          <cell r="T104">
            <v>42.809286130225182</v>
          </cell>
          <cell r="U104">
            <v>53.22539523862882</v>
          </cell>
          <cell r="V104">
            <v>100.6503796802657</v>
          </cell>
          <cell r="W104">
            <v>147.36947909391128</v>
          </cell>
          <cell r="X104">
            <v>179.08820288163099</v>
          </cell>
          <cell r="Y104">
            <v>205.08275419644897</v>
          </cell>
          <cell r="AA104">
            <v>-0.70699999999999996</v>
          </cell>
          <cell r="AB104">
            <v>-3.335</v>
          </cell>
          <cell r="AC104">
            <v>-6.1769999999999996</v>
          </cell>
          <cell r="AD104">
            <v>0.91400000000000003</v>
          </cell>
          <cell r="AE104">
            <v>11.461</v>
          </cell>
          <cell r="AF104">
            <v>10.725486537911769</v>
          </cell>
          <cell r="AG104">
            <v>10.201125571070767</v>
          </cell>
          <cell r="AH104">
            <v>10.421674021242653</v>
          </cell>
        </row>
        <row r="105">
          <cell r="D105" t="str">
            <v>% Margin</v>
          </cell>
          <cell r="P105">
            <v>-0.25403708133971292</v>
          </cell>
          <cell r="Q105">
            <v>-0.41834189288334556</v>
          </cell>
          <cell r="R105">
            <v>-0.45750431282346177</v>
          </cell>
          <cell r="S105">
            <v>-0.12274268226727697</v>
          </cell>
          <cell r="T105">
            <v>0.18466295862551774</v>
          </cell>
          <cell r="U105">
            <v>0.18243773402852861</v>
          </cell>
          <cell r="V105">
            <v>0.2696351328238491</v>
          </cell>
          <cell r="W105">
            <v>0.32814012844364143</v>
          </cell>
          <cell r="X105">
            <v>0.35043671516382929</v>
          </cell>
          <cell r="Y105">
            <v>0.36394872553436186</v>
          </cell>
          <cell r="AA105">
            <v>-0.28268692522990801</v>
          </cell>
          <cell r="AB105">
            <v>-0.95340194396798161</v>
          </cell>
          <cell r="AC105">
            <v>-0.50313594526350081</v>
          </cell>
          <cell r="AD105">
            <v>1.5886534684441973E-2</v>
          </cell>
          <cell r="AE105">
            <v>0.19918317692040322</v>
          </cell>
          <cell r="AF105">
            <v>0.18544066245284718</v>
          </cell>
          <cell r="AG105">
            <v>0.17467233865231629</v>
          </cell>
          <cell r="AH105">
            <v>0.17954608098810201</v>
          </cell>
        </row>
        <row r="110">
          <cell r="B110" t="str">
            <v>Satellite Capex</v>
          </cell>
        </row>
        <row r="111">
          <cell r="C111" t="str">
            <v>WildBlue-1</v>
          </cell>
          <cell r="P111">
            <v>0</v>
          </cell>
          <cell r="Q111">
            <v>0</v>
          </cell>
          <cell r="R111">
            <v>0</v>
          </cell>
          <cell r="S111">
            <v>0</v>
          </cell>
          <cell r="T111">
            <v>0</v>
          </cell>
          <cell r="U111">
            <v>0</v>
          </cell>
          <cell r="V111">
            <v>0</v>
          </cell>
          <cell r="W111">
            <v>0</v>
          </cell>
          <cell r="X111">
            <v>0</v>
          </cell>
          <cell r="Y111">
            <v>0</v>
          </cell>
        </row>
        <row r="112">
          <cell r="C112" t="str">
            <v>Anik F2</v>
          </cell>
          <cell r="P112">
            <v>0</v>
          </cell>
          <cell r="Q112">
            <v>0</v>
          </cell>
          <cell r="R112">
            <v>0</v>
          </cell>
          <cell r="S112">
            <v>0</v>
          </cell>
          <cell r="T112">
            <v>0</v>
          </cell>
          <cell r="U112">
            <v>0</v>
          </cell>
          <cell r="V112">
            <v>0</v>
          </cell>
          <cell r="W112">
            <v>0</v>
          </cell>
          <cell r="X112">
            <v>0</v>
          </cell>
          <cell r="Y112">
            <v>0</v>
          </cell>
        </row>
        <row r="113">
          <cell r="C113" t="str">
            <v>ViaSat-1</v>
          </cell>
          <cell r="P113">
            <v>0</v>
          </cell>
          <cell r="Q113">
            <v>8.1359999999999992</v>
          </cell>
          <cell r="R113">
            <v>102.452</v>
          </cell>
          <cell r="S113">
            <v>98.843999999999994</v>
          </cell>
          <cell r="T113">
            <v>102</v>
          </cell>
          <cell r="U113">
            <v>34</v>
          </cell>
          <cell r="V113">
            <v>0</v>
          </cell>
          <cell r="W113">
            <v>0</v>
          </cell>
          <cell r="X113">
            <v>0</v>
          </cell>
          <cell r="Y113">
            <v>0</v>
          </cell>
        </row>
        <row r="114">
          <cell r="C114" t="str">
            <v>Total Satellite Capital Expenditures</v>
          </cell>
          <cell r="P114">
            <v>0</v>
          </cell>
          <cell r="Q114">
            <v>8.1359999999999992</v>
          </cell>
          <cell r="R114">
            <v>102.452</v>
          </cell>
          <cell r="S114">
            <v>98.843999999999994</v>
          </cell>
          <cell r="T114">
            <v>102</v>
          </cell>
          <cell r="U114">
            <v>34</v>
          </cell>
          <cell r="V114">
            <v>0</v>
          </cell>
          <cell r="W114">
            <v>0</v>
          </cell>
          <cell r="X114">
            <v>0</v>
          </cell>
          <cell r="Y114">
            <v>0</v>
          </cell>
        </row>
        <row r="115">
          <cell r="C115" t="str">
            <v>Non-Satellite CapEx</v>
          </cell>
          <cell r="Q115">
            <v>0</v>
          </cell>
          <cell r="R115">
            <v>0</v>
          </cell>
          <cell r="S115">
            <v>3.5581896551724164</v>
          </cell>
          <cell r="T115">
            <v>24.547499999999999</v>
          </cell>
          <cell r="U115">
            <v>33.478687499999999</v>
          </cell>
          <cell r="V115">
            <v>32.554753125000005</v>
          </cell>
          <cell r="W115">
            <v>28.341612374999997</v>
          </cell>
          <cell r="X115">
            <v>23.872172229375</v>
          </cell>
          <cell r="Y115">
            <v>60.899994532534365</v>
          </cell>
        </row>
        <row r="116">
          <cell r="C116" t="str">
            <v>Total Capital Expenditures</v>
          </cell>
          <cell r="P116">
            <v>0</v>
          </cell>
          <cell r="Q116">
            <v>8.1359999999999992</v>
          </cell>
          <cell r="R116">
            <v>102.452</v>
          </cell>
          <cell r="S116">
            <v>102.40218965517241</v>
          </cell>
          <cell r="T116">
            <v>126.5475</v>
          </cell>
          <cell r="U116">
            <v>67.478687500000007</v>
          </cell>
          <cell r="V116">
            <v>32.554753125000005</v>
          </cell>
          <cell r="W116">
            <v>28.341612374999997</v>
          </cell>
          <cell r="X116">
            <v>23.872172229375</v>
          </cell>
          <cell r="Y116">
            <v>60.899994532534365</v>
          </cell>
        </row>
        <row r="121">
          <cell r="B121" t="str">
            <v>Mobile Broadband Build - Maritime</v>
          </cell>
        </row>
        <row r="123">
          <cell r="C123" t="str">
            <v>Service Revenue Model</v>
          </cell>
        </row>
        <row r="125">
          <cell r="C125" t="str">
            <v>BOP Subs</v>
          </cell>
          <cell r="T125">
            <v>500</v>
          </cell>
          <cell r="U125">
            <v>625</v>
          </cell>
          <cell r="V125">
            <v>750</v>
          </cell>
          <cell r="W125">
            <v>875.02499999999998</v>
          </cell>
          <cell r="X125">
            <v>1000.075</v>
          </cell>
          <cell r="Y125">
            <v>1125.1500000000001</v>
          </cell>
        </row>
        <row r="126">
          <cell r="C126" t="str">
            <v>Additions</v>
          </cell>
          <cell r="T126">
            <v>250</v>
          </cell>
          <cell r="U126">
            <v>250</v>
          </cell>
          <cell r="V126">
            <v>250.05</v>
          </cell>
          <cell r="W126">
            <v>250.10000000000002</v>
          </cell>
          <cell r="X126">
            <v>250.15000000000003</v>
          </cell>
          <cell r="Y126">
            <v>250.20000000000005</v>
          </cell>
        </row>
        <row r="127">
          <cell r="C127" t="str">
            <v>Disconnects</v>
          </cell>
        </row>
        <row r="128">
          <cell r="C128" t="str">
            <v>Net Additions</v>
          </cell>
          <cell r="T128">
            <v>250</v>
          </cell>
          <cell r="U128">
            <v>250</v>
          </cell>
          <cell r="V128">
            <v>250.05</v>
          </cell>
          <cell r="W128">
            <v>250.10000000000002</v>
          </cell>
          <cell r="X128">
            <v>250.15000000000003</v>
          </cell>
          <cell r="Y128">
            <v>250.20000000000005</v>
          </cell>
        </row>
        <row r="129">
          <cell r="C129" t="str">
            <v>EOP Subs</v>
          </cell>
          <cell r="T129">
            <v>750</v>
          </cell>
          <cell r="U129">
            <v>875</v>
          </cell>
          <cell r="V129">
            <v>1000.05</v>
          </cell>
          <cell r="W129">
            <v>1125.125</v>
          </cell>
          <cell r="X129">
            <v>1250.2250000000001</v>
          </cell>
          <cell r="Y129">
            <v>1375.3500000000001</v>
          </cell>
        </row>
        <row r="130">
          <cell r="C130" t="str">
            <v>Avg. Subs</v>
          </cell>
          <cell r="S130">
            <v>500</v>
          </cell>
          <cell r="T130">
            <v>625</v>
          </cell>
          <cell r="U130">
            <v>750</v>
          </cell>
          <cell r="V130">
            <v>875.02499999999998</v>
          </cell>
          <cell r="W130">
            <v>1000.075</v>
          </cell>
          <cell r="X130">
            <v>1125.1500000000001</v>
          </cell>
          <cell r="Y130">
            <v>1250.25</v>
          </cell>
        </row>
        <row r="131">
          <cell r="D131" t="str">
            <v>Y/Y Chg.</v>
          </cell>
          <cell r="T131">
            <v>0.25</v>
          </cell>
          <cell r="U131">
            <v>0.19999999999999996</v>
          </cell>
          <cell r="V131">
            <v>0.16670000000000007</v>
          </cell>
          <cell r="W131">
            <v>0.14291020256564102</v>
          </cell>
          <cell r="X131">
            <v>0.12506562007849409</v>
          </cell>
          <cell r="Y131">
            <v>0.11118517530995864</v>
          </cell>
        </row>
        <row r="133">
          <cell r="C133" t="str">
            <v>ARPU (Monthly $)</v>
          </cell>
          <cell r="T133">
            <v>2000</v>
          </cell>
          <cell r="U133">
            <v>2000</v>
          </cell>
          <cell r="V133">
            <v>2000</v>
          </cell>
          <cell r="W133">
            <v>2000</v>
          </cell>
          <cell r="X133">
            <v>2000</v>
          </cell>
          <cell r="Y133">
            <v>2000</v>
          </cell>
        </row>
        <row r="134">
          <cell r="D134" t="str">
            <v>Y/Y Chg.</v>
          </cell>
          <cell r="U134">
            <v>0</v>
          </cell>
          <cell r="V134">
            <v>0</v>
          </cell>
          <cell r="W134">
            <v>0</v>
          </cell>
          <cell r="X134">
            <v>0</v>
          </cell>
          <cell r="Y134">
            <v>0</v>
          </cell>
        </row>
        <row r="136">
          <cell r="C136" t="str">
            <v>% ViaSat Share</v>
          </cell>
          <cell r="T136">
            <v>0.5</v>
          </cell>
          <cell r="U136">
            <v>0.5</v>
          </cell>
          <cell r="V136">
            <v>0.5</v>
          </cell>
          <cell r="W136">
            <v>0.5</v>
          </cell>
          <cell r="X136">
            <v>0.5</v>
          </cell>
          <cell r="Y136">
            <v>0.5</v>
          </cell>
        </row>
        <row r="137">
          <cell r="C137" t="str">
            <v>Total Service Revenue ($MM)</v>
          </cell>
          <cell r="T137">
            <v>7.5</v>
          </cell>
          <cell r="U137">
            <v>9</v>
          </cell>
          <cell r="V137">
            <v>10.500299999999999</v>
          </cell>
          <cell r="W137">
            <v>12.000900000000001</v>
          </cell>
          <cell r="X137">
            <v>13.501800000000001</v>
          </cell>
          <cell r="Y137">
            <v>15.003</v>
          </cell>
        </row>
        <row r="140">
          <cell r="C140" t="str">
            <v>Equipment Cost</v>
          </cell>
          <cell r="T140">
            <v>0.05</v>
          </cell>
          <cell r="U140">
            <v>0.05</v>
          </cell>
          <cell r="V140">
            <v>0.05</v>
          </cell>
          <cell r="W140">
            <v>0.05</v>
          </cell>
          <cell r="X140">
            <v>0.05</v>
          </cell>
          <cell r="Y140">
            <v>0.05</v>
          </cell>
        </row>
        <row r="141">
          <cell r="C141" t="str">
            <v>Installation Cost</v>
          </cell>
          <cell r="T141">
            <v>0.05</v>
          </cell>
          <cell r="U141">
            <v>0.05</v>
          </cell>
          <cell r="V141">
            <v>0.05</v>
          </cell>
          <cell r="W141">
            <v>0.05</v>
          </cell>
          <cell r="X141">
            <v>0.05</v>
          </cell>
          <cell r="Y141">
            <v>0.05</v>
          </cell>
        </row>
        <row r="142">
          <cell r="C142" t="str">
            <v>Total Product Revenue per Intsall</v>
          </cell>
          <cell r="T142">
            <v>0.1</v>
          </cell>
          <cell r="U142">
            <v>0.1</v>
          </cell>
          <cell r="V142">
            <v>0.1</v>
          </cell>
          <cell r="W142">
            <v>0.1</v>
          </cell>
          <cell r="X142">
            <v>0.1</v>
          </cell>
          <cell r="Y142">
            <v>0.1</v>
          </cell>
        </row>
        <row r="143">
          <cell r="C143" t="str">
            <v>Total Commercial Networks Revenue ($MM)</v>
          </cell>
          <cell r="T143">
            <v>25</v>
          </cell>
          <cell r="U143">
            <v>25</v>
          </cell>
          <cell r="V143">
            <v>25.005000000000003</v>
          </cell>
          <cell r="W143">
            <v>25.010000000000005</v>
          </cell>
          <cell r="X143">
            <v>25.015000000000004</v>
          </cell>
          <cell r="Y143">
            <v>25.020000000000007</v>
          </cell>
        </row>
        <row r="146">
          <cell r="C146" t="str">
            <v>Merchant Vessels (Less 10% have VSAT today)</v>
          </cell>
          <cell r="T146">
            <v>42000</v>
          </cell>
        </row>
        <row r="147">
          <cell r="C147" t="str">
            <v>Other Commercial Vessels (Fishing, Ferries, CG)</v>
          </cell>
          <cell r="T147">
            <v>40000</v>
          </cell>
        </row>
        <row r="148">
          <cell r="C148" t="str">
            <v>Large Yachts</v>
          </cell>
          <cell r="T148">
            <v>125000</v>
          </cell>
        </row>
        <row r="151">
          <cell r="E151" t="str">
            <v>Additions</v>
          </cell>
        </row>
        <row r="152">
          <cell r="E152" t="str">
            <v>Bull Case</v>
          </cell>
          <cell r="T152">
            <v>750</v>
          </cell>
          <cell r="U152">
            <v>500</v>
          </cell>
          <cell r="V152">
            <v>500</v>
          </cell>
          <cell r="W152">
            <v>500</v>
          </cell>
          <cell r="X152">
            <v>500</v>
          </cell>
          <cell r="Y152">
            <v>500</v>
          </cell>
        </row>
        <row r="153">
          <cell r="E153" t="str">
            <v>Base Case</v>
          </cell>
          <cell r="T153">
            <v>250</v>
          </cell>
          <cell r="U153">
            <v>250</v>
          </cell>
          <cell r="V153">
            <v>250.05</v>
          </cell>
          <cell r="W153">
            <v>250.10000000000002</v>
          </cell>
          <cell r="X153">
            <v>250.15000000000003</v>
          </cell>
          <cell r="Y153">
            <v>250.20000000000005</v>
          </cell>
        </row>
        <row r="154">
          <cell r="E154" t="str">
            <v>Bear Case</v>
          </cell>
          <cell r="T154">
            <v>200</v>
          </cell>
          <cell r="U154">
            <v>200</v>
          </cell>
          <cell r="V154">
            <v>150</v>
          </cell>
          <cell r="W154">
            <v>100</v>
          </cell>
          <cell r="X154">
            <v>100</v>
          </cell>
          <cell r="Y154">
            <v>100</v>
          </cell>
        </row>
        <row r="155">
          <cell r="E155" t="str">
            <v>Using Base Case</v>
          </cell>
          <cell r="T155">
            <v>250</v>
          </cell>
          <cell r="U155">
            <v>250</v>
          </cell>
          <cell r="V155">
            <v>250.05</v>
          </cell>
          <cell r="W155">
            <v>250.10000000000002</v>
          </cell>
          <cell r="X155">
            <v>250.15000000000003</v>
          </cell>
          <cell r="Y155">
            <v>250.20000000000005</v>
          </cell>
        </row>
        <row r="156">
          <cell r="E156">
            <v>2</v>
          </cell>
        </row>
        <row r="158">
          <cell r="E158" t="str">
            <v>Y/Y Chg. ARPU</v>
          </cell>
        </row>
        <row r="159">
          <cell r="E159" t="str">
            <v>Bull Case</v>
          </cell>
          <cell r="U159">
            <v>0.02</v>
          </cell>
          <cell r="V159">
            <v>0.02</v>
          </cell>
          <cell r="W159">
            <v>0.02</v>
          </cell>
          <cell r="X159">
            <v>0.02</v>
          </cell>
          <cell r="Y159">
            <v>0.02</v>
          </cell>
        </row>
        <row r="160">
          <cell r="E160" t="str">
            <v>Base Case</v>
          </cell>
          <cell r="U160">
            <v>0</v>
          </cell>
          <cell r="V160">
            <v>0</v>
          </cell>
          <cell r="W160">
            <v>0</v>
          </cell>
          <cell r="X160">
            <v>0</v>
          </cell>
          <cell r="Y160">
            <v>0</v>
          </cell>
        </row>
        <row r="161">
          <cell r="E161" t="str">
            <v>Bear Case</v>
          </cell>
          <cell r="U161">
            <v>-0.02</v>
          </cell>
          <cell r="V161">
            <v>-0.02</v>
          </cell>
          <cell r="W161">
            <v>-0.02</v>
          </cell>
          <cell r="X161">
            <v>-0.02</v>
          </cell>
          <cell r="Y161">
            <v>-0.02</v>
          </cell>
        </row>
        <row r="162">
          <cell r="E162" t="str">
            <v>Using Base Case</v>
          </cell>
          <cell r="U162">
            <v>0</v>
          </cell>
          <cell r="V162">
            <v>0</v>
          </cell>
          <cell r="W162">
            <v>0</v>
          </cell>
          <cell r="X162">
            <v>0</v>
          </cell>
          <cell r="Y162">
            <v>0</v>
          </cell>
        </row>
        <row r="163">
          <cell r="E163">
            <v>2</v>
          </cell>
        </row>
        <row r="165">
          <cell r="B165" t="str">
            <v>Mobile Broadband Build - Rails</v>
          </cell>
        </row>
        <row r="167">
          <cell r="C167" t="str">
            <v>TGV Model</v>
          </cell>
        </row>
        <row r="169">
          <cell r="C169" t="str">
            <v>Total TGV Fleet</v>
          </cell>
          <cell r="S169">
            <v>400</v>
          </cell>
          <cell r="T169">
            <v>400</v>
          </cell>
          <cell r="U169">
            <v>400</v>
          </cell>
          <cell r="V169">
            <v>400</v>
          </cell>
          <cell r="W169">
            <v>400</v>
          </cell>
          <cell r="X169">
            <v>400</v>
          </cell>
          <cell r="Y169">
            <v>400</v>
          </cell>
        </row>
        <row r="170">
          <cell r="C170" t="str">
            <v>% Fleet Penetration</v>
          </cell>
          <cell r="S170">
            <v>0.15</v>
          </cell>
          <cell r="T170">
            <v>0.15</v>
          </cell>
          <cell r="U170">
            <v>0.2</v>
          </cell>
          <cell r="V170">
            <v>0.3</v>
          </cell>
          <cell r="W170">
            <v>0.4</v>
          </cell>
          <cell r="X170">
            <v>0.5</v>
          </cell>
          <cell r="Y170">
            <v>0.6</v>
          </cell>
        </row>
        <row r="171">
          <cell r="C171" t="str">
            <v>ViaSat WiFi Equipped</v>
          </cell>
          <cell r="S171">
            <v>60</v>
          </cell>
          <cell r="T171">
            <v>60</v>
          </cell>
          <cell r="U171">
            <v>80</v>
          </cell>
          <cell r="V171">
            <v>120</v>
          </cell>
          <cell r="W171">
            <v>160</v>
          </cell>
          <cell r="X171">
            <v>200</v>
          </cell>
          <cell r="Y171">
            <v>240</v>
          </cell>
        </row>
        <row r="172">
          <cell r="C172" t="str">
            <v>Avg. Daily Pax per Train</v>
          </cell>
          <cell r="S172">
            <v>900</v>
          </cell>
          <cell r="T172">
            <v>900</v>
          </cell>
          <cell r="U172">
            <v>900</v>
          </cell>
          <cell r="V172">
            <v>900</v>
          </cell>
          <cell r="W172">
            <v>900</v>
          </cell>
          <cell r="X172">
            <v>900</v>
          </cell>
          <cell r="Y172">
            <v>900</v>
          </cell>
        </row>
        <row r="173">
          <cell r="C173" t="str">
            <v>% Pax Particpation</v>
          </cell>
          <cell r="S173">
            <v>0.05</v>
          </cell>
          <cell r="T173">
            <v>0.05</v>
          </cell>
          <cell r="U173">
            <v>0.05</v>
          </cell>
          <cell r="V173">
            <v>0.05</v>
          </cell>
          <cell r="W173">
            <v>0.05</v>
          </cell>
          <cell r="X173">
            <v>0.05</v>
          </cell>
          <cell r="Y173">
            <v>0.05</v>
          </cell>
        </row>
        <row r="174">
          <cell r="C174" t="str">
            <v>ARPU (Euros Per Useage)</v>
          </cell>
          <cell r="S174">
            <v>5</v>
          </cell>
          <cell r="T174">
            <v>5</v>
          </cell>
          <cell r="U174">
            <v>5</v>
          </cell>
          <cell r="V174">
            <v>5</v>
          </cell>
          <cell r="W174">
            <v>5</v>
          </cell>
          <cell r="X174">
            <v>5</v>
          </cell>
          <cell r="Y174">
            <v>5</v>
          </cell>
        </row>
        <row r="175">
          <cell r="C175" t="str">
            <v>EUR/USD Exchange Rate</v>
          </cell>
          <cell r="S175">
            <v>1.35</v>
          </cell>
          <cell r="T175">
            <v>1.35</v>
          </cell>
          <cell r="U175">
            <v>1.35</v>
          </cell>
          <cell r="V175">
            <v>1.35</v>
          </cell>
          <cell r="W175">
            <v>1.35</v>
          </cell>
          <cell r="X175">
            <v>1.35</v>
          </cell>
          <cell r="Y175">
            <v>1.35</v>
          </cell>
        </row>
        <row r="176">
          <cell r="C176" t="str">
            <v>% ViaSat Revenue Share</v>
          </cell>
          <cell r="S176">
            <v>0.25</v>
          </cell>
          <cell r="T176">
            <v>0.25</v>
          </cell>
          <cell r="U176">
            <v>0.25</v>
          </cell>
          <cell r="V176">
            <v>0.25</v>
          </cell>
          <cell r="W176">
            <v>0.25</v>
          </cell>
          <cell r="X176">
            <v>0.25</v>
          </cell>
          <cell r="Y176">
            <v>0.25</v>
          </cell>
        </row>
        <row r="177">
          <cell r="C177" t="str">
            <v>Total Service Revenue ($MM)</v>
          </cell>
          <cell r="S177">
            <v>1.6220250000000001</v>
          </cell>
          <cell r="T177">
            <v>1.6220250000000001</v>
          </cell>
          <cell r="U177">
            <v>2.1627000000000001</v>
          </cell>
          <cell r="V177">
            <v>3.2440500000000001</v>
          </cell>
          <cell r="W177">
            <v>4.3254000000000001</v>
          </cell>
          <cell r="X177">
            <v>5.4067500000000006</v>
          </cell>
          <cell r="Y177">
            <v>6.4881000000000002</v>
          </cell>
        </row>
        <row r="179">
          <cell r="C179" t="str">
            <v>Installations</v>
          </cell>
          <cell r="T179">
            <v>0</v>
          </cell>
          <cell r="U179">
            <v>20</v>
          </cell>
          <cell r="V179">
            <v>40</v>
          </cell>
          <cell r="W179">
            <v>40</v>
          </cell>
          <cell r="X179">
            <v>40</v>
          </cell>
          <cell r="Y179">
            <v>40</v>
          </cell>
        </row>
        <row r="180">
          <cell r="C180" t="str">
            <v>Revenue per Installation</v>
          </cell>
          <cell r="T180">
            <v>0.3</v>
          </cell>
          <cell r="U180">
            <v>0.3</v>
          </cell>
          <cell r="V180">
            <v>0.3</v>
          </cell>
          <cell r="W180">
            <v>0.3</v>
          </cell>
          <cell r="X180">
            <v>0.3</v>
          </cell>
          <cell r="Y180">
            <v>0.3</v>
          </cell>
        </row>
        <row r="181">
          <cell r="C181" t="str">
            <v>Total Commercial Networks Revenue ($MM)</v>
          </cell>
          <cell r="T181">
            <v>0</v>
          </cell>
          <cell r="U181">
            <v>6</v>
          </cell>
          <cell r="V181">
            <v>12</v>
          </cell>
          <cell r="W181">
            <v>12</v>
          </cell>
          <cell r="X181">
            <v>12</v>
          </cell>
          <cell r="Y181">
            <v>12</v>
          </cell>
        </row>
        <row r="183">
          <cell r="C183" t="str">
            <v>Total Annual TGV System Pax (MM)</v>
          </cell>
          <cell r="J183">
            <v>79.7</v>
          </cell>
          <cell r="K183">
            <v>83.5</v>
          </cell>
          <cell r="L183">
            <v>87.9</v>
          </cell>
          <cell r="M183">
            <v>86.7</v>
          </cell>
          <cell r="N183">
            <v>90.8</v>
          </cell>
          <cell r="O183">
            <v>94</v>
          </cell>
          <cell r="P183">
            <v>97</v>
          </cell>
          <cell r="Q183">
            <v>120</v>
          </cell>
          <cell r="R183">
            <v>128</v>
          </cell>
        </row>
        <row r="184">
          <cell r="D184" t="str">
            <v>Y/Y Chg.</v>
          </cell>
          <cell r="K184">
            <v>4.7678795483061531E-2</v>
          </cell>
          <cell r="L184">
            <v>5.2694610778443174E-2</v>
          </cell>
          <cell r="M184">
            <v>-1.3651877133105783E-2</v>
          </cell>
          <cell r="N184">
            <v>4.7289504036908792E-2</v>
          </cell>
          <cell r="O184">
            <v>3.524229074889873E-2</v>
          </cell>
          <cell r="P184">
            <v>3.1914893617021267E-2</v>
          </cell>
          <cell r="Q184">
            <v>0.23711340206185572</v>
          </cell>
          <cell r="R184">
            <v>6.6666666666666652E-2</v>
          </cell>
        </row>
        <row r="186">
          <cell r="C186" t="str">
            <v>Avg. Daily TGV System Pax</v>
          </cell>
          <cell r="R186">
            <v>359550.5617977528</v>
          </cell>
        </row>
        <row r="187">
          <cell r="C187" t="str">
            <v>Total TGV Fleet</v>
          </cell>
          <cell r="R187">
            <v>400</v>
          </cell>
        </row>
        <row r="188">
          <cell r="C188" t="str">
            <v>Avg. Daily Pax per Train</v>
          </cell>
          <cell r="R188">
            <v>898.87640449438197</v>
          </cell>
        </row>
        <row r="191">
          <cell r="E191" t="str">
            <v>% Fleet Penetration</v>
          </cell>
        </row>
        <row r="192">
          <cell r="E192" t="str">
            <v>Bull Case</v>
          </cell>
          <cell r="T192">
            <v>0.2</v>
          </cell>
          <cell r="U192">
            <v>0.4</v>
          </cell>
          <cell r="V192">
            <v>0.60000000000000009</v>
          </cell>
          <cell r="W192">
            <v>0.8</v>
          </cell>
          <cell r="X192">
            <v>1</v>
          </cell>
          <cell r="Y192">
            <v>1</v>
          </cell>
        </row>
        <row r="193">
          <cell r="E193" t="str">
            <v>Base Case</v>
          </cell>
          <cell r="T193">
            <v>0.15</v>
          </cell>
          <cell r="U193">
            <v>0.2</v>
          </cell>
          <cell r="V193">
            <v>0.3</v>
          </cell>
          <cell r="W193">
            <v>0.4</v>
          </cell>
          <cell r="X193">
            <v>0.5</v>
          </cell>
          <cell r="Y193">
            <v>0.6</v>
          </cell>
        </row>
        <row r="194">
          <cell r="E194" t="str">
            <v>Bear Case</v>
          </cell>
          <cell r="T194">
            <v>0.15</v>
          </cell>
          <cell r="U194">
            <v>0.15</v>
          </cell>
          <cell r="V194">
            <v>0</v>
          </cell>
          <cell r="W194">
            <v>0</v>
          </cell>
          <cell r="X194">
            <v>0</v>
          </cell>
          <cell r="Y194">
            <v>0</v>
          </cell>
        </row>
        <row r="195">
          <cell r="E195" t="str">
            <v>Using Base Case</v>
          </cell>
          <cell r="T195">
            <v>0.15</v>
          </cell>
          <cell r="U195">
            <v>0.2</v>
          </cell>
          <cell r="V195">
            <v>0.3</v>
          </cell>
          <cell r="W195">
            <v>0.4</v>
          </cell>
          <cell r="X195">
            <v>0.5</v>
          </cell>
          <cell r="Y195">
            <v>0.6</v>
          </cell>
        </row>
        <row r="196">
          <cell r="E196">
            <v>2</v>
          </cell>
        </row>
        <row r="198">
          <cell r="E198" t="str">
            <v>Avg. Daily Pax per Train</v>
          </cell>
        </row>
        <row r="199">
          <cell r="E199" t="str">
            <v>Bull Case</v>
          </cell>
          <cell r="S199">
            <v>1000</v>
          </cell>
          <cell r="T199">
            <v>1000</v>
          </cell>
          <cell r="U199">
            <v>1000</v>
          </cell>
          <cell r="V199">
            <v>1000</v>
          </cell>
          <cell r="W199">
            <v>1000</v>
          </cell>
          <cell r="X199">
            <v>1000</v>
          </cell>
          <cell r="Y199">
            <v>1000</v>
          </cell>
        </row>
        <row r="200">
          <cell r="E200" t="str">
            <v>Base Case</v>
          </cell>
          <cell r="S200">
            <v>900</v>
          </cell>
          <cell r="T200">
            <v>900</v>
          </cell>
          <cell r="U200">
            <v>900</v>
          </cell>
          <cell r="V200">
            <v>900</v>
          </cell>
          <cell r="W200">
            <v>900</v>
          </cell>
          <cell r="X200">
            <v>900</v>
          </cell>
          <cell r="Y200">
            <v>900</v>
          </cell>
        </row>
        <row r="201">
          <cell r="E201" t="str">
            <v>Bear Case</v>
          </cell>
          <cell r="S201">
            <v>800</v>
          </cell>
          <cell r="T201">
            <v>800</v>
          </cell>
          <cell r="U201">
            <v>800</v>
          </cell>
          <cell r="V201">
            <v>800</v>
          </cell>
          <cell r="W201">
            <v>800</v>
          </cell>
          <cell r="X201">
            <v>800</v>
          </cell>
          <cell r="Y201">
            <v>800</v>
          </cell>
        </row>
        <row r="202">
          <cell r="E202" t="str">
            <v>Using Base Case</v>
          </cell>
          <cell r="S202">
            <v>900</v>
          </cell>
          <cell r="T202">
            <v>900</v>
          </cell>
          <cell r="U202">
            <v>900</v>
          </cell>
          <cell r="V202">
            <v>900</v>
          </cell>
          <cell r="W202">
            <v>900</v>
          </cell>
          <cell r="X202">
            <v>900</v>
          </cell>
          <cell r="Y202">
            <v>900</v>
          </cell>
        </row>
        <row r="203">
          <cell r="E203">
            <v>2</v>
          </cell>
        </row>
        <row r="205">
          <cell r="E205" t="str">
            <v>% Pax Particpation</v>
          </cell>
        </row>
        <row r="206">
          <cell r="E206" t="str">
            <v>Bull Case</v>
          </cell>
          <cell r="T206">
            <v>0.1</v>
          </cell>
          <cell r="U206">
            <v>0.15000000000000002</v>
          </cell>
          <cell r="V206">
            <v>0.2</v>
          </cell>
          <cell r="W206">
            <v>0.25</v>
          </cell>
          <cell r="X206">
            <v>0.25</v>
          </cell>
          <cell r="Y206">
            <v>0.25</v>
          </cell>
        </row>
        <row r="207">
          <cell r="E207" t="str">
            <v>Base Case</v>
          </cell>
          <cell r="T207">
            <v>0.05</v>
          </cell>
          <cell r="U207">
            <v>0.05</v>
          </cell>
          <cell r="V207">
            <v>0.05</v>
          </cell>
          <cell r="W207">
            <v>0.05</v>
          </cell>
          <cell r="X207">
            <v>0.05</v>
          </cell>
          <cell r="Y207">
            <v>0.05</v>
          </cell>
        </row>
        <row r="208">
          <cell r="E208" t="str">
            <v>Bear Case</v>
          </cell>
          <cell r="T208">
            <v>0.02</v>
          </cell>
          <cell r="U208">
            <v>0.02</v>
          </cell>
          <cell r="V208">
            <v>0.02</v>
          </cell>
          <cell r="W208">
            <v>0.02</v>
          </cell>
          <cell r="X208">
            <v>0.02</v>
          </cell>
          <cell r="Y208">
            <v>0.02</v>
          </cell>
        </row>
        <row r="209">
          <cell r="E209" t="str">
            <v>Using Base Case</v>
          </cell>
          <cell r="T209">
            <v>0.05</v>
          </cell>
          <cell r="U209">
            <v>0.05</v>
          </cell>
          <cell r="V209">
            <v>0.05</v>
          </cell>
          <cell r="W209">
            <v>0.05</v>
          </cell>
          <cell r="X209">
            <v>0.05</v>
          </cell>
          <cell r="Y209">
            <v>0.05</v>
          </cell>
        </row>
        <row r="210">
          <cell r="E210">
            <v>2</v>
          </cell>
        </row>
        <row r="212">
          <cell r="E212" t="str">
            <v>ARPU (Euros Per Useage)</v>
          </cell>
        </row>
        <row r="213">
          <cell r="E213" t="str">
            <v>Bull Case</v>
          </cell>
          <cell r="T213">
            <v>7.5</v>
          </cell>
          <cell r="U213">
            <v>7.5</v>
          </cell>
          <cell r="V213">
            <v>7.5</v>
          </cell>
          <cell r="W213">
            <v>7.5</v>
          </cell>
          <cell r="X213">
            <v>7.5</v>
          </cell>
          <cell r="Y213">
            <v>7.5</v>
          </cell>
        </row>
        <row r="214">
          <cell r="E214" t="str">
            <v>Base Case</v>
          </cell>
          <cell r="T214">
            <v>5</v>
          </cell>
          <cell r="U214">
            <v>5</v>
          </cell>
          <cell r="V214">
            <v>5</v>
          </cell>
          <cell r="W214">
            <v>5</v>
          </cell>
          <cell r="X214">
            <v>5</v>
          </cell>
          <cell r="Y214">
            <v>5</v>
          </cell>
        </row>
        <row r="215">
          <cell r="E215" t="str">
            <v>Bear Case</v>
          </cell>
          <cell r="T215">
            <v>2.5</v>
          </cell>
          <cell r="U215">
            <v>2.5</v>
          </cell>
          <cell r="V215">
            <v>2.5</v>
          </cell>
          <cell r="W215">
            <v>2.5</v>
          </cell>
          <cell r="X215">
            <v>2.5</v>
          </cell>
          <cell r="Y215">
            <v>2.5</v>
          </cell>
        </row>
        <row r="216">
          <cell r="E216" t="str">
            <v>Using Base Case</v>
          </cell>
          <cell r="T216">
            <v>5</v>
          </cell>
          <cell r="U216">
            <v>5</v>
          </cell>
          <cell r="V216">
            <v>5</v>
          </cell>
          <cell r="W216">
            <v>5</v>
          </cell>
          <cell r="X216">
            <v>5</v>
          </cell>
          <cell r="Y216">
            <v>5</v>
          </cell>
        </row>
        <row r="217">
          <cell r="E217">
            <v>2</v>
          </cell>
        </row>
        <row r="220">
          <cell r="B220" t="str">
            <v>Mobile Broadband Build - Business Jets</v>
          </cell>
        </row>
        <row r="222">
          <cell r="C222" t="str">
            <v>Service Revenue Model</v>
          </cell>
        </row>
        <row r="224">
          <cell r="C224" t="str">
            <v>BOP Subs</v>
          </cell>
          <cell r="T224">
            <v>100</v>
          </cell>
          <cell r="U224">
            <v>125.9025</v>
          </cell>
          <cell r="V224">
            <v>154.62982500000001</v>
          </cell>
          <cell r="W224">
            <v>190.918930875</v>
          </cell>
          <cell r="X224">
            <v>236.54726455312502</v>
          </cell>
          <cell r="Y224">
            <v>288.43510771429692</v>
          </cell>
        </row>
        <row r="225">
          <cell r="C225" t="str">
            <v>Additions</v>
          </cell>
          <cell r="T225">
            <v>56.805000000000007</v>
          </cell>
          <cell r="U225">
            <v>63.749775000000014</v>
          </cell>
          <cell r="V225">
            <v>80.309703000000027</v>
          </cell>
          <cell r="W225">
            <v>100.80261390000005</v>
          </cell>
          <cell r="X225">
            <v>115.60304955000007</v>
          </cell>
          <cell r="Y225">
            <v>113.61068321250008</v>
          </cell>
        </row>
        <row r="226">
          <cell r="C226" t="str">
            <v>Disconnects</v>
          </cell>
          <cell r="T226">
            <v>-5</v>
          </cell>
          <cell r="U226">
            <v>-6.2951250000000005</v>
          </cell>
          <cell r="V226">
            <v>-7.7314912500000013</v>
          </cell>
          <cell r="W226">
            <v>-9.5459465437500004</v>
          </cell>
          <cell r="X226">
            <v>-11.827363227656251</v>
          </cell>
          <cell r="Y226">
            <v>-14.421755385714846</v>
          </cell>
        </row>
        <row r="227">
          <cell r="C227" t="str">
            <v>Net Additions</v>
          </cell>
          <cell r="T227">
            <v>51.805000000000007</v>
          </cell>
          <cell r="U227">
            <v>57.454650000000015</v>
          </cell>
          <cell r="V227">
            <v>72.578211750000023</v>
          </cell>
          <cell r="W227">
            <v>91.256667356250048</v>
          </cell>
          <cell r="X227">
            <v>103.77568632234382</v>
          </cell>
          <cell r="Y227">
            <v>99.188927826785232</v>
          </cell>
        </row>
        <row r="228">
          <cell r="C228" t="str">
            <v>EOP Subs</v>
          </cell>
          <cell r="T228">
            <v>151.80500000000001</v>
          </cell>
          <cell r="U228">
            <v>183.35715000000002</v>
          </cell>
          <cell r="V228">
            <v>227.20803675000002</v>
          </cell>
          <cell r="W228">
            <v>282.17559823125004</v>
          </cell>
          <cell r="X228">
            <v>340.32295087546885</v>
          </cell>
          <cell r="Y228">
            <v>387.62403554108215</v>
          </cell>
        </row>
        <row r="229">
          <cell r="C229" t="str">
            <v>Avg. Subs</v>
          </cell>
          <cell r="S229">
            <v>100</v>
          </cell>
          <cell r="T229">
            <v>125.9025</v>
          </cell>
          <cell r="U229">
            <v>154.62982500000001</v>
          </cell>
          <cell r="V229">
            <v>190.918930875</v>
          </cell>
          <cell r="W229">
            <v>236.54726455312502</v>
          </cell>
          <cell r="X229">
            <v>288.43510771429692</v>
          </cell>
          <cell r="Y229">
            <v>338.02957162768951</v>
          </cell>
        </row>
        <row r="230">
          <cell r="D230" t="str">
            <v>Y/Y Chg.</v>
          </cell>
          <cell r="T230">
            <v>0.25902500000000006</v>
          </cell>
          <cell r="U230">
            <v>0.22817120390778589</v>
          </cell>
          <cell r="V230">
            <v>0.23468374147742832</v>
          </cell>
          <cell r="W230">
            <v>0.2389932390099081</v>
          </cell>
          <cell r="X230">
            <v>0.21935507586272962</v>
          </cell>
          <cell r="Y230">
            <v>0.17194322947162632</v>
          </cell>
        </row>
        <row r="232">
          <cell r="C232" t="str">
            <v>ARPU (Monthly $)</v>
          </cell>
          <cell r="T232">
            <v>2000</v>
          </cell>
          <cell r="U232">
            <v>2000</v>
          </cell>
          <cell r="V232">
            <v>2000</v>
          </cell>
          <cell r="W232">
            <v>2000</v>
          </cell>
          <cell r="X232">
            <v>2000</v>
          </cell>
          <cell r="Y232">
            <v>2000</v>
          </cell>
        </row>
        <row r="233">
          <cell r="D233" t="str">
            <v>Y/Y Chg.</v>
          </cell>
          <cell r="U233">
            <v>0</v>
          </cell>
          <cell r="V233">
            <v>0</v>
          </cell>
          <cell r="W233">
            <v>0</v>
          </cell>
          <cell r="X233">
            <v>0</v>
          </cell>
          <cell r="Y233">
            <v>0</v>
          </cell>
        </row>
        <row r="235">
          <cell r="C235" t="str">
            <v>% ViaSat Share</v>
          </cell>
          <cell r="T235">
            <v>0.5</v>
          </cell>
          <cell r="U235">
            <v>0.5</v>
          </cell>
          <cell r="V235">
            <v>0.5</v>
          </cell>
          <cell r="W235">
            <v>0.5</v>
          </cell>
          <cell r="X235">
            <v>0.5</v>
          </cell>
          <cell r="Y235">
            <v>0.5</v>
          </cell>
        </row>
        <row r="236">
          <cell r="C236" t="str">
            <v>Total Service Revenue ($MM)</v>
          </cell>
          <cell r="T236">
            <v>1.5108300000000001</v>
          </cell>
          <cell r="U236">
            <v>1.8555579000000002</v>
          </cell>
          <cell r="V236">
            <v>2.2910271705</v>
          </cell>
          <cell r="W236">
            <v>2.8385671746375003</v>
          </cell>
          <cell r="X236">
            <v>3.4612212925715631</v>
          </cell>
          <cell r="Y236">
            <v>4.0563548595322745</v>
          </cell>
        </row>
        <row r="239">
          <cell r="C239" t="str">
            <v>Installation Model</v>
          </cell>
        </row>
        <row r="241">
          <cell r="C241" t="str">
            <v>Total Biz Jet Industry Deliveries</v>
          </cell>
          <cell r="J241">
            <v>752</v>
          </cell>
          <cell r="K241">
            <v>784</v>
          </cell>
          <cell r="L241">
            <v>676</v>
          </cell>
          <cell r="M241">
            <v>518</v>
          </cell>
          <cell r="N241">
            <v>591</v>
          </cell>
          <cell r="O241">
            <v>750</v>
          </cell>
          <cell r="P241">
            <v>886</v>
          </cell>
          <cell r="Q241">
            <v>1136</v>
          </cell>
          <cell r="R241">
            <v>1313</v>
          </cell>
          <cell r="S241">
            <v>870</v>
          </cell>
          <cell r="T241">
            <v>896.1</v>
          </cell>
          <cell r="U241">
            <v>940.90500000000009</v>
          </cell>
          <cell r="V241">
            <v>1034.9955000000002</v>
          </cell>
          <cell r="W241">
            <v>1138.4950500000004</v>
          </cell>
          <cell r="X241">
            <v>1138.4950500000004</v>
          </cell>
          <cell r="Y241">
            <v>967.72079250000036</v>
          </cell>
        </row>
        <row r="242">
          <cell r="D242" t="str">
            <v>Y/Y Chg</v>
          </cell>
          <cell r="K242">
            <v>4.2553191489361764E-2</v>
          </cell>
          <cell r="L242">
            <v>-0.13775510204081631</v>
          </cell>
          <cell r="M242">
            <v>-0.23372781065088755</v>
          </cell>
          <cell r="N242">
            <v>0.14092664092664098</v>
          </cell>
          <cell r="O242">
            <v>0.26903553299492389</v>
          </cell>
          <cell r="P242">
            <v>0.18133333333333335</v>
          </cell>
          <cell r="Q242">
            <v>0.28216704288939054</v>
          </cell>
          <cell r="R242">
            <v>0.15580985915492951</v>
          </cell>
          <cell r="S242">
            <v>-0.33739527798933744</v>
          </cell>
          <cell r="T242">
            <v>0.03</v>
          </cell>
          <cell r="U242">
            <v>0.05</v>
          </cell>
          <cell r="V242">
            <v>0.1</v>
          </cell>
          <cell r="W242">
            <v>0.1</v>
          </cell>
          <cell r="X242">
            <v>0</v>
          </cell>
          <cell r="Y242">
            <v>-0.15</v>
          </cell>
        </row>
        <row r="244">
          <cell r="C244" t="str">
            <v>% Adopting Mobile Broadband</v>
          </cell>
          <cell r="T244">
            <v>0.5</v>
          </cell>
          <cell r="U244">
            <v>0.55000000000000004</v>
          </cell>
          <cell r="V244">
            <v>0.60000000000000009</v>
          </cell>
          <cell r="W244">
            <v>0.65000000000000013</v>
          </cell>
          <cell r="X244">
            <v>0.70000000000000018</v>
          </cell>
          <cell r="Y244">
            <v>0.75000000000000022</v>
          </cell>
        </row>
        <row r="245">
          <cell r="C245" t="str">
            <v>Addressable Market</v>
          </cell>
          <cell r="T245">
            <v>448.05</v>
          </cell>
          <cell r="U245">
            <v>517.49775000000011</v>
          </cell>
          <cell r="V245">
            <v>620.99730000000022</v>
          </cell>
          <cell r="W245">
            <v>740.02178250000043</v>
          </cell>
          <cell r="X245">
            <v>796.94653500000049</v>
          </cell>
          <cell r="Y245">
            <v>725.79059437500052</v>
          </cell>
        </row>
        <row r="246">
          <cell r="C246" t="str">
            <v>% Yonder Market Share</v>
          </cell>
          <cell r="T246">
            <v>0.1</v>
          </cell>
          <cell r="U246">
            <v>0.1</v>
          </cell>
          <cell r="V246">
            <v>0.11</v>
          </cell>
          <cell r="W246">
            <v>0.12</v>
          </cell>
          <cell r="X246">
            <v>0.13</v>
          </cell>
          <cell r="Y246">
            <v>0.14000000000000001</v>
          </cell>
        </row>
        <row r="247">
          <cell r="C247" t="str">
            <v>Yonder OEM Installations</v>
          </cell>
          <cell r="T247">
            <v>44.805000000000007</v>
          </cell>
          <cell r="U247">
            <v>51.749775000000014</v>
          </cell>
          <cell r="V247">
            <v>68.309703000000027</v>
          </cell>
          <cell r="W247">
            <v>88.802613900000054</v>
          </cell>
          <cell r="X247">
            <v>103.60304955000007</v>
          </cell>
          <cell r="Y247">
            <v>101.61068321250008</v>
          </cell>
        </row>
        <row r="248">
          <cell r="C248" t="str">
            <v>Yonder Aftermarket Installations</v>
          </cell>
          <cell r="T248">
            <v>12</v>
          </cell>
          <cell r="U248">
            <v>12</v>
          </cell>
          <cell r="V248">
            <v>12</v>
          </cell>
          <cell r="W248">
            <v>12</v>
          </cell>
          <cell r="X248">
            <v>12</v>
          </cell>
          <cell r="Y248">
            <v>12</v>
          </cell>
        </row>
        <row r="249">
          <cell r="C249" t="str">
            <v>Total Yonder Installations</v>
          </cell>
          <cell r="T249">
            <v>56.805000000000007</v>
          </cell>
          <cell r="U249">
            <v>63.749775000000014</v>
          </cell>
          <cell r="V249">
            <v>80.309703000000027</v>
          </cell>
          <cell r="W249">
            <v>100.80261390000005</v>
          </cell>
          <cell r="X249">
            <v>115.60304955000007</v>
          </cell>
          <cell r="Y249">
            <v>113.61068321250008</v>
          </cell>
        </row>
        <row r="252">
          <cell r="C252" t="str">
            <v>Equipment Cost</v>
          </cell>
          <cell r="T252">
            <v>0.1</v>
          </cell>
          <cell r="U252">
            <v>0.1</v>
          </cell>
          <cell r="V252">
            <v>0.1</v>
          </cell>
          <cell r="W252">
            <v>0.1</v>
          </cell>
          <cell r="X252">
            <v>0.1</v>
          </cell>
          <cell r="Y252">
            <v>0.1</v>
          </cell>
        </row>
        <row r="253">
          <cell r="C253" t="str">
            <v>Installation Cost</v>
          </cell>
          <cell r="T253">
            <v>0.1</v>
          </cell>
          <cell r="U253">
            <v>0.1</v>
          </cell>
          <cell r="V253">
            <v>0.1</v>
          </cell>
          <cell r="W253">
            <v>0.1</v>
          </cell>
          <cell r="X253">
            <v>0.1</v>
          </cell>
          <cell r="Y253">
            <v>0.1</v>
          </cell>
        </row>
        <row r="254">
          <cell r="C254" t="str">
            <v>Total Product Revenue per Intsall</v>
          </cell>
          <cell r="T254">
            <v>0.2</v>
          </cell>
          <cell r="U254">
            <v>0.2</v>
          </cell>
          <cell r="V254">
            <v>0.2</v>
          </cell>
          <cell r="W254">
            <v>0.2</v>
          </cell>
          <cell r="X254">
            <v>0.2</v>
          </cell>
          <cell r="Y254">
            <v>0.2</v>
          </cell>
        </row>
        <row r="255">
          <cell r="C255" t="str">
            <v>Total Commercial Networks Revenue ($MM)</v>
          </cell>
          <cell r="T255">
            <v>11.361000000000002</v>
          </cell>
          <cell r="U255">
            <v>12.749955000000003</v>
          </cell>
          <cell r="V255">
            <v>16.061940600000007</v>
          </cell>
          <cell r="W255">
            <v>20.160522780000012</v>
          </cell>
          <cell r="X255">
            <v>23.120609910000013</v>
          </cell>
          <cell r="Y255">
            <v>22.722136642500018</v>
          </cell>
        </row>
        <row r="259">
          <cell r="E259" t="str">
            <v>Y/Y Chg. ARPU</v>
          </cell>
        </row>
        <row r="260">
          <cell r="E260" t="str">
            <v>Bull Case</v>
          </cell>
          <cell r="U260">
            <v>0.02</v>
          </cell>
          <cell r="V260">
            <v>0.02</v>
          </cell>
          <cell r="W260">
            <v>0.02</v>
          </cell>
          <cell r="X260">
            <v>0.02</v>
          </cell>
          <cell r="Y260">
            <v>0.02</v>
          </cell>
        </row>
        <row r="261">
          <cell r="E261" t="str">
            <v>Base Case</v>
          </cell>
          <cell r="U261">
            <v>0</v>
          </cell>
          <cell r="V261">
            <v>0</v>
          </cell>
          <cell r="W261">
            <v>0</v>
          </cell>
          <cell r="X261">
            <v>0</v>
          </cell>
          <cell r="Y261">
            <v>0</v>
          </cell>
        </row>
        <row r="262">
          <cell r="E262" t="str">
            <v>Bear Case</v>
          </cell>
          <cell r="U262">
            <v>-0.02</v>
          </cell>
          <cell r="V262">
            <v>-0.02</v>
          </cell>
          <cell r="W262">
            <v>-0.02</v>
          </cell>
          <cell r="X262">
            <v>-0.02</v>
          </cell>
          <cell r="Y262">
            <v>-0.02</v>
          </cell>
        </row>
        <row r="263">
          <cell r="E263" t="str">
            <v>Using Base Case</v>
          </cell>
          <cell r="U263">
            <v>0</v>
          </cell>
          <cell r="V263">
            <v>0</v>
          </cell>
          <cell r="W263">
            <v>0</v>
          </cell>
          <cell r="X263">
            <v>0</v>
          </cell>
          <cell r="Y263">
            <v>0</v>
          </cell>
        </row>
        <row r="264">
          <cell r="E264">
            <v>2</v>
          </cell>
        </row>
        <row r="268">
          <cell r="B268" t="str">
            <v>Mobile Broadband Build - Commercial Aircraft</v>
          </cell>
        </row>
        <row r="270">
          <cell r="C270" t="str">
            <v>JetBlue Fleet</v>
          </cell>
        </row>
        <row r="272">
          <cell r="U272" t="str">
            <v xml:space="preserve">2012E </v>
          </cell>
          <cell r="V272" t="str">
            <v xml:space="preserve">2013E </v>
          </cell>
          <cell r="W272" t="str">
            <v xml:space="preserve">2014E </v>
          </cell>
          <cell r="X272" t="str">
            <v xml:space="preserve">2015E </v>
          </cell>
          <cell r="Y272" t="str">
            <v xml:space="preserve">2016E </v>
          </cell>
        </row>
        <row r="274">
          <cell r="C274" t="str">
            <v>Airbus 320</v>
          </cell>
        </row>
        <row r="275">
          <cell r="C275" t="str">
            <v>BOP Fleet</v>
          </cell>
          <cell r="U275">
            <v>191</v>
          </cell>
          <cell r="V275">
            <v>202</v>
          </cell>
          <cell r="W275">
            <v>215</v>
          </cell>
          <cell r="X275">
            <v>227</v>
          </cell>
          <cell r="Y275">
            <v>242</v>
          </cell>
        </row>
        <row r="276">
          <cell r="C276" t="str">
            <v>Firm Orders</v>
          </cell>
          <cell r="U276">
            <v>11</v>
          </cell>
          <cell r="V276">
            <v>13</v>
          </cell>
          <cell r="W276">
            <v>12</v>
          </cell>
          <cell r="X276">
            <v>15</v>
          </cell>
          <cell r="Y276">
            <v>0</v>
          </cell>
        </row>
        <row r="277">
          <cell r="C277" t="str">
            <v>Retirements</v>
          </cell>
          <cell r="U277">
            <v>0</v>
          </cell>
          <cell r="V277">
            <v>0</v>
          </cell>
          <cell r="W277">
            <v>0</v>
          </cell>
          <cell r="X277">
            <v>0</v>
          </cell>
          <cell r="Y277">
            <v>0</v>
          </cell>
        </row>
        <row r="278">
          <cell r="C278" t="str">
            <v>EOP Fleet</v>
          </cell>
          <cell r="U278">
            <v>202</v>
          </cell>
          <cell r="V278">
            <v>215</v>
          </cell>
          <cell r="W278">
            <v>227</v>
          </cell>
          <cell r="X278">
            <v>242</v>
          </cell>
          <cell r="Y278">
            <v>242</v>
          </cell>
        </row>
        <row r="279">
          <cell r="C279" t="str">
            <v>Avg. Fleet</v>
          </cell>
          <cell r="U279">
            <v>196.5</v>
          </cell>
          <cell r="V279">
            <v>208.5</v>
          </cell>
          <cell r="W279">
            <v>221</v>
          </cell>
          <cell r="X279">
            <v>234.5</v>
          </cell>
          <cell r="Y279">
            <v>242</v>
          </cell>
        </row>
        <row r="280">
          <cell r="C280" t="str">
            <v>Seats</v>
          </cell>
          <cell r="U280">
            <v>150</v>
          </cell>
          <cell r="V280">
            <v>150</v>
          </cell>
          <cell r="W280">
            <v>150</v>
          </cell>
          <cell r="X280">
            <v>150</v>
          </cell>
          <cell r="Y280">
            <v>150</v>
          </cell>
        </row>
        <row r="281">
          <cell r="C281" t="str">
            <v>Avg. Daily Flights</v>
          </cell>
          <cell r="U281">
            <v>4</v>
          </cell>
          <cell r="V281">
            <v>4</v>
          </cell>
          <cell r="W281">
            <v>4</v>
          </cell>
          <cell r="X281">
            <v>4</v>
          </cell>
          <cell r="Y281">
            <v>4</v>
          </cell>
        </row>
        <row r="282">
          <cell r="C282" t="str">
            <v>Load Factor</v>
          </cell>
          <cell r="U282">
            <v>0.8</v>
          </cell>
          <cell r="V282">
            <v>0.8</v>
          </cell>
          <cell r="W282">
            <v>0.8</v>
          </cell>
          <cell r="X282">
            <v>0.8</v>
          </cell>
          <cell r="Y282">
            <v>0.8</v>
          </cell>
        </row>
        <row r="283">
          <cell r="C283" t="str">
            <v>% Pax Participation</v>
          </cell>
          <cell r="U283">
            <v>0.1</v>
          </cell>
          <cell r="V283">
            <v>0.15000000000000002</v>
          </cell>
          <cell r="W283">
            <v>0.2</v>
          </cell>
          <cell r="X283">
            <v>0.25</v>
          </cell>
          <cell r="Y283">
            <v>0.3</v>
          </cell>
        </row>
        <row r="284">
          <cell r="C284" t="str">
            <v>Monthly Pax Subs (000s)</v>
          </cell>
          <cell r="U284">
            <v>282.95999999999998</v>
          </cell>
          <cell r="V284">
            <v>450.36000000000007</v>
          </cell>
          <cell r="W284">
            <v>636.48</v>
          </cell>
          <cell r="X284">
            <v>844.2</v>
          </cell>
          <cell r="Y284">
            <v>1045.44</v>
          </cell>
        </row>
        <row r="285">
          <cell r="C285" t="str">
            <v>ARPU (Per Flight)</v>
          </cell>
          <cell r="U285">
            <v>8</v>
          </cell>
          <cell r="V285">
            <v>8</v>
          </cell>
          <cell r="W285">
            <v>8</v>
          </cell>
          <cell r="X285">
            <v>8</v>
          </cell>
          <cell r="Y285">
            <v>8</v>
          </cell>
        </row>
        <row r="286">
          <cell r="C286" t="str">
            <v>% ViaSat Revenue Share (Illustrative)</v>
          </cell>
          <cell r="U286">
            <v>0.5</v>
          </cell>
          <cell r="V286">
            <v>0.5</v>
          </cell>
          <cell r="W286">
            <v>0.5</v>
          </cell>
          <cell r="X286">
            <v>0.5</v>
          </cell>
          <cell r="Y286">
            <v>0.5</v>
          </cell>
        </row>
        <row r="287">
          <cell r="C287" t="str">
            <v>Annual ViaSat Service Revenue ($MM) - A320</v>
          </cell>
          <cell r="U287">
            <v>13.582079999999998</v>
          </cell>
          <cell r="V287">
            <v>21.617280000000001</v>
          </cell>
          <cell r="W287">
            <v>30.55104</v>
          </cell>
          <cell r="X287">
            <v>40.521600000000007</v>
          </cell>
          <cell r="Y287">
            <v>50.18112</v>
          </cell>
        </row>
        <row r="288">
          <cell r="D288" t="str">
            <v>Y/Y Chg.</v>
          </cell>
          <cell r="V288">
            <v>0.59160305343511488</v>
          </cell>
          <cell r="W288">
            <v>0.41326938449240602</v>
          </cell>
          <cell r="X288">
            <v>0.32635746606334859</v>
          </cell>
          <cell r="Y288">
            <v>0.23837953091684416</v>
          </cell>
        </row>
        <row r="290">
          <cell r="C290" t="str">
            <v>Embraer 190</v>
          </cell>
        </row>
        <row r="291">
          <cell r="C291" t="str">
            <v>BOP Fleet</v>
          </cell>
          <cell r="U291">
            <v>100</v>
          </cell>
          <cell r="V291">
            <v>106</v>
          </cell>
          <cell r="W291">
            <v>113</v>
          </cell>
          <cell r="X291">
            <v>120</v>
          </cell>
          <cell r="Y291">
            <v>127</v>
          </cell>
        </row>
        <row r="292">
          <cell r="C292" t="str">
            <v>Firm Orders</v>
          </cell>
          <cell r="U292">
            <v>6</v>
          </cell>
          <cell r="V292">
            <v>7</v>
          </cell>
          <cell r="W292">
            <v>7</v>
          </cell>
          <cell r="X292">
            <v>7</v>
          </cell>
          <cell r="Y292">
            <v>8</v>
          </cell>
        </row>
        <row r="293">
          <cell r="C293" t="str">
            <v>Retirements</v>
          </cell>
          <cell r="U293">
            <v>0</v>
          </cell>
          <cell r="V293">
            <v>0</v>
          </cell>
          <cell r="W293">
            <v>0</v>
          </cell>
          <cell r="X293">
            <v>0</v>
          </cell>
          <cell r="Y293">
            <v>0</v>
          </cell>
        </row>
        <row r="294">
          <cell r="C294" t="str">
            <v>EOP Fleet</v>
          </cell>
          <cell r="U294">
            <v>106</v>
          </cell>
          <cell r="V294">
            <v>113</v>
          </cell>
          <cell r="W294">
            <v>120</v>
          </cell>
          <cell r="X294">
            <v>127</v>
          </cell>
          <cell r="Y294">
            <v>135</v>
          </cell>
        </row>
        <row r="295">
          <cell r="C295" t="str">
            <v>Avg. Fleet</v>
          </cell>
          <cell r="U295">
            <v>53</v>
          </cell>
          <cell r="V295">
            <v>56.5</v>
          </cell>
          <cell r="W295">
            <v>60</v>
          </cell>
          <cell r="X295">
            <v>63.5</v>
          </cell>
          <cell r="Y295">
            <v>67.5</v>
          </cell>
        </row>
        <row r="296">
          <cell r="C296" t="str">
            <v>Seats</v>
          </cell>
          <cell r="U296">
            <v>100</v>
          </cell>
          <cell r="V296">
            <v>100</v>
          </cell>
          <cell r="W296">
            <v>100</v>
          </cell>
          <cell r="X296">
            <v>100</v>
          </cell>
          <cell r="Y296">
            <v>100</v>
          </cell>
        </row>
        <row r="297">
          <cell r="C297" t="str">
            <v>Avg. Daily Flights</v>
          </cell>
          <cell r="U297">
            <v>4</v>
          </cell>
          <cell r="V297">
            <v>4</v>
          </cell>
          <cell r="W297">
            <v>4</v>
          </cell>
          <cell r="X297">
            <v>4</v>
          </cell>
          <cell r="Y297">
            <v>4</v>
          </cell>
        </row>
        <row r="298">
          <cell r="C298" t="str">
            <v>Load Factor</v>
          </cell>
          <cell r="U298">
            <v>0.8</v>
          </cell>
          <cell r="V298">
            <v>0.8</v>
          </cell>
          <cell r="W298">
            <v>0.8</v>
          </cell>
          <cell r="X298">
            <v>0.8</v>
          </cell>
          <cell r="Y298">
            <v>0.8</v>
          </cell>
        </row>
        <row r="299">
          <cell r="C299" t="str">
            <v>% Pax Participation</v>
          </cell>
          <cell r="U299">
            <v>0.1</v>
          </cell>
          <cell r="V299">
            <v>0.15000000000000002</v>
          </cell>
          <cell r="W299">
            <v>0.2</v>
          </cell>
          <cell r="X299">
            <v>0.25</v>
          </cell>
          <cell r="Y299">
            <v>0.3</v>
          </cell>
        </row>
        <row r="300">
          <cell r="C300" t="str">
            <v>Monthly Pax Subs (000s)</v>
          </cell>
          <cell r="U300">
            <v>50.88</v>
          </cell>
          <cell r="V300">
            <v>81.360000000000014</v>
          </cell>
          <cell r="W300">
            <v>115.2</v>
          </cell>
          <cell r="X300">
            <v>152.4</v>
          </cell>
          <cell r="Y300">
            <v>194.4</v>
          </cell>
        </row>
        <row r="301">
          <cell r="C301" t="str">
            <v>ARPU (Per Flight)</v>
          </cell>
          <cell r="U301">
            <v>8</v>
          </cell>
          <cell r="V301">
            <v>8</v>
          </cell>
          <cell r="W301">
            <v>8</v>
          </cell>
          <cell r="X301">
            <v>8</v>
          </cell>
          <cell r="Y301">
            <v>8</v>
          </cell>
        </row>
        <row r="302">
          <cell r="C302" t="str">
            <v>% ViaSat Revenue Share (Illustrative)</v>
          </cell>
          <cell r="U302">
            <v>0.5</v>
          </cell>
          <cell r="V302">
            <v>0.5</v>
          </cell>
          <cell r="W302">
            <v>0.5</v>
          </cell>
          <cell r="X302">
            <v>0.5</v>
          </cell>
          <cell r="Y302">
            <v>0.5</v>
          </cell>
        </row>
        <row r="303">
          <cell r="C303" t="str">
            <v>Annual ViaSat Service Revenue ($MM) - E190</v>
          </cell>
          <cell r="U303">
            <v>2.4422400000000004</v>
          </cell>
          <cell r="V303">
            <v>3.9052800000000008</v>
          </cell>
          <cell r="W303">
            <v>5.5296000000000003</v>
          </cell>
          <cell r="X303">
            <v>7.3152000000000008</v>
          </cell>
          <cell r="Y303">
            <v>9.3312000000000008</v>
          </cell>
        </row>
        <row r="304">
          <cell r="D304" t="str">
            <v>Y/Y Chg.</v>
          </cell>
          <cell r="V304">
            <v>0.59905660377358494</v>
          </cell>
          <cell r="W304">
            <v>0.41592920353982277</v>
          </cell>
          <cell r="X304">
            <v>0.32291666666666674</v>
          </cell>
          <cell r="Y304">
            <v>0.27559055118110232</v>
          </cell>
        </row>
        <row r="306">
          <cell r="C306" t="str">
            <v>Total Service Revenue ($MM)</v>
          </cell>
          <cell r="U306">
            <v>16.024319999999999</v>
          </cell>
          <cell r="V306">
            <v>25.522560000000002</v>
          </cell>
          <cell r="W306">
            <v>36.080640000000002</v>
          </cell>
          <cell r="X306">
            <v>47.836800000000011</v>
          </cell>
          <cell r="Y306">
            <v>59.512320000000003</v>
          </cell>
        </row>
        <row r="307">
          <cell r="D307" t="str">
            <v>Y/Y Chg.</v>
          </cell>
          <cell r="V307">
            <v>0.59273903666427041</v>
          </cell>
          <cell r="W307">
            <v>0.41367637102234256</v>
          </cell>
          <cell r="X307">
            <v>0.325830140485313</v>
          </cell>
          <cell r="Y307">
            <v>0.24406983744732069</v>
          </cell>
        </row>
        <row r="309">
          <cell r="C309" t="str">
            <v>Equipment/Installation Revenue ($000s)</v>
          </cell>
        </row>
        <row r="310">
          <cell r="C310" t="str">
            <v>Ka-band Antenna</v>
          </cell>
          <cell r="U310">
            <v>50</v>
          </cell>
          <cell r="V310">
            <v>50</v>
          </cell>
          <cell r="W310">
            <v>50</v>
          </cell>
          <cell r="X310">
            <v>50</v>
          </cell>
          <cell r="Y310">
            <v>50</v>
          </cell>
        </row>
        <row r="311">
          <cell r="C311" t="str">
            <v>SurfBeam Modem</v>
          </cell>
          <cell r="U311">
            <v>50</v>
          </cell>
          <cell r="V311">
            <v>50</v>
          </cell>
          <cell r="W311">
            <v>50</v>
          </cell>
          <cell r="X311">
            <v>50</v>
          </cell>
          <cell r="Y311">
            <v>50</v>
          </cell>
        </row>
        <row r="312">
          <cell r="C312" t="str">
            <v>Installation Fee</v>
          </cell>
          <cell r="U312">
            <v>50</v>
          </cell>
          <cell r="V312">
            <v>50</v>
          </cell>
          <cell r="W312">
            <v>50</v>
          </cell>
          <cell r="X312">
            <v>50</v>
          </cell>
          <cell r="Y312">
            <v>50</v>
          </cell>
        </row>
        <row r="313">
          <cell r="C313" t="str">
            <v>Total per Aircraft ($000s)</v>
          </cell>
          <cell r="U313">
            <v>150</v>
          </cell>
          <cell r="V313">
            <v>150</v>
          </cell>
          <cell r="W313">
            <v>150</v>
          </cell>
          <cell r="X313">
            <v>150</v>
          </cell>
          <cell r="Y313">
            <v>150</v>
          </cell>
        </row>
        <row r="315">
          <cell r="C315" t="str">
            <v>New Planes</v>
          </cell>
          <cell r="U315">
            <v>177</v>
          </cell>
          <cell r="V315">
            <v>20</v>
          </cell>
          <cell r="W315">
            <v>19</v>
          </cell>
          <cell r="X315">
            <v>22</v>
          </cell>
          <cell r="Y315">
            <v>8</v>
          </cell>
        </row>
        <row r="316">
          <cell r="C316" t="str">
            <v>Total Commercial Networks Revenue ($MM)</v>
          </cell>
          <cell r="U316">
            <v>26.55</v>
          </cell>
          <cell r="V316">
            <v>3</v>
          </cell>
          <cell r="W316">
            <v>2.85</v>
          </cell>
          <cell r="X316">
            <v>3.3</v>
          </cell>
          <cell r="Y316">
            <v>1.2</v>
          </cell>
        </row>
        <row r="319">
          <cell r="E319" t="str">
            <v>% Pax Participation</v>
          </cell>
        </row>
        <row r="320">
          <cell r="E320" t="str">
            <v>Bull Case</v>
          </cell>
          <cell r="U320">
            <v>0.1</v>
          </cell>
          <cell r="V320">
            <v>0.2</v>
          </cell>
          <cell r="W320">
            <v>0.30000000000000004</v>
          </cell>
          <cell r="X320">
            <v>0.4</v>
          </cell>
          <cell r="Y320">
            <v>0.5</v>
          </cell>
        </row>
        <row r="321">
          <cell r="E321" t="str">
            <v>Base Case</v>
          </cell>
          <cell r="U321">
            <v>0.1</v>
          </cell>
          <cell r="V321">
            <v>0.15000000000000002</v>
          </cell>
          <cell r="W321">
            <v>0.2</v>
          </cell>
          <cell r="X321">
            <v>0.25</v>
          </cell>
          <cell r="Y321">
            <v>0.3</v>
          </cell>
        </row>
        <row r="322">
          <cell r="E322" t="str">
            <v>Bear Case</v>
          </cell>
          <cell r="U322">
            <v>0.05</v>
          </cell>
          <cell r="V322">
            <v>0.1</v>
          </cell>
          <cell r="W322">
            <v>0.15000000000000002</v>
          </cell>
          <cell r="X322">
            <v>0.2</v>
          </cell>
          <cell r="Y322">
            <v>0.2</v>
          </cell>
        </row>
        <row r="323">
          <cell r="E323" t="str">
            <v>Using Base Case</v>
          </cell>
          <cell r="U323">
            <v>0.1</v>
          </cell>
          <cell r="V323">
            <v>0.15000000000000002</v>
          </cell>
          <cell r="W323">
            <v>0.2</v>
          </cell>
          <cell r="X323">
            <v>0.25</v>
          </cell>
          <cell r="Y323">
            <v>0.3</v>
          </cell>
        </row>
        <row r="324">
          <cell r="E324">
            <v>2</v>
          </cell>
        </row>
        <row r="326">
          <cell r="E326" t="str">
            <v>ARPU (Per Flight)</v>
          </cell>
        </row>
        <row r="327">
          <cell r="E327" t="str">
            <v>Bull Case</v>
          </cell>
          <cell r="U327">
            <v>10</v>
          </cell>
          <cell r="V327">
            <v>10</v>
          </cell>
          <cell r="W327">
            <v>10</v>
          </cell>
          <cell r="X327">
            <v>10</v>
          </cell>
          <cell r="Y327">
            <v>10</v>
          </cell>
        </row>
        <row r="328">
          <cell r="E328" t="str">
            <v>Base Case</v>
          </cell>
          <cell r="U328">
            <v>8</v>
          </cell>
          <cell r="V328">
            <v>8</v>
          </cell>
          <cell r="W328">
            <v>8</v>
          </cell>
          <cell r="X328">
            <v>8</v>
          </cell>
          <cell r="Y328">
            <v>8</v>
          </cell>
        </row>
        <row r="329">
          <cell r="E329" t="str">
            <v>Bear Case</v>
          </cell>
          <cell r="U329">
            <v>5</v>
          </cell>
          <cell r="V329">
            <v>5</v>
          </cell>
          <cell r="W329">
            <v>5</v>
          </cell>
          <cell r="X329">
            <v>5</v>
          </cell>
          <cell r="Y329">
            <v>5</v>
          </cell>
        </row>
        <row r="330">
          <cell r="E330" t="str">
            <v>Using Base Case</v>
          </cell>
          <cell r="U330">
            <v>8</v>
          </cell>
          <cell r="V330">
            <v>8</v>
          </cell>
          <cell r="W330">
            <v>8</v>
          </cell>
          <cell r="X330">
            <v>8</v>
          </cell>
          <cell r="Y330">
            <v>8</v>
          </cell>
        </row>
        <row r="331">
          <cell r="E331">
            <v>2</v>
          </cell>
        </row>
      </sheetData>
      <sheetData sheetId="7" refreshError="1"/>
      <sheetData sheetId="8" refreshError="1"/>
      <sheetData sheetId="9" refreshError="1">
        <row r="1">
          <cell r="A1" t="str">
            <v>ViaSat Inc.</v>
          </cell>
        </row>
        <row r="2">
          <cell r="A2" t="str">
            <v>Sum-of-the-Parts Valuation Analysis</v>
          </cell>
        </row>
        <row r="3">
          <cell r="A3" t="str">
            <v>Morgan Stanley Research</v>
          </cell>
        </row>
        <row r="4">
          <cell r="A4" t="str">
            <v>($ in Millions Except EPS)</v>
          </cell>
        </row>
        <row r="5">
          <cell r="G5" t="str">
            <v>EBITDA Check</v>
          </cell>
        </row>
        <row r="6">
          <cell r="B6" t="str">
            <v>Price Date</v>
          </cell>
          <cell r="E6">
            <v>40492</v>
          </cell>
          <cell r="G6">
            <v>0</v>
          </cell>
          <cell r="H6">
            <v>0</v>
          </cell>
        </row>
        <row r="8">
          <cell r="B8" t="str">
            <v>Sum-of-the-Parts Valuation</v>
          </cell>
        </row>
        <row r="10">
          <cell r="G10" t="str">
            <v>EBITDA</v>
          </cell>
          <cell r="J10" t="str">
            <v>Peer</v>
          </cell>
          <cell r="L10" t="str">
            <v>Implied Value</v>
          </cell>
        </row>
        <row r="11">
          <cell r="G11" t="str">
            <v>FY13</v>
          </cell>
          <cell r="H11" t="str">
            <v>FY14</v>
          </cell>
          <cell r="I11" t="str">
            <v>CY13</v>
          </cell>
          <cell r="J11" t="str">
            <v>Multiple</v>
          </cell>
          <cell r="L11" t="str">
            <v>Low</v>
          </cell>
          <cell r="M11" t="str">
            <v>High</v>
          </cell>
          <cell r="N11" t="str">
            <v>% Total</v>
          </cell>
          <cell r="O11" t="str">
            <v>Best Trading Comps</v>
          </cell>
        </row>
        <row r="12">
          <cell r="C12" t="str">
            <v>Segment EBITDA</v>
          </cell>
        </row>
        <row r="13">
          <cell r="C13" t="str">
            <v>Government Systems</v>
          </cell>
          <cell r="G13">
            <v>91.505362274999996</v>
          </cell>
          <cell r="H13">
            <v>95.900688233999986</v>
          </cell>
          <cell r="I13">
            <v>94.801856744249989</v>
          </cell>
          <cell r="J13">
            <v>5.5</v>
          </cell>
          <cell r="K13">
            <v>7.5</v>
          </cell>
          <cell r="L13">
            <v>521.41021209337498</v>
          </cell>
          <cell r="M13">
            <v>711.0139255818749</v>
          </cell>
          <cell r="N13">
            <v>0.27479406437465242</v>
          </cell>
          <cell r="O13" t="str">
            <v xml:space="preserve">   Harris, Rockwell Collins</v>
          </cell>
        </row>
        <row r="14">
          <cell r="C14" t="str">
            <v>Commercial Networks</v>
          </cell>
          <cell r="G14">
            <v>25.240948045000003</v>
          </cell>
          <cell r="H14">
            <v>31.533387100200002</v>
          </cell>
          <cell r="I14">
            <v>29.960277336400004</v>
          </cell>
          <cell r="J14">
            <v>3.3</v>
          </cell>
          <cell r="K14">
            <v>4</v>
          </cell>
          <cell r="L14">
            <v>98.868915210120008</v>
          </cell>
          <cell r="M14">
            <v>119.84110934560002</v>
          </cell>
          <cell r="N14">
            <v>4.876585481400484E-2</v>
          </cell>
          <cell r="O14" t="str">
            <v xml:space="preserve">   Hughes Communications</v>
          </cell>
        </row>
        <row r="15">
          <cell r="C15" t="str">
            <v>Satellite Services</v>
          </cell>
          <cell r="G15">
            <v>188.19278929102884</v>
          </cell>
          <cell r="H15">
            <v>236.90034976098789</v>
          </cell>
          <cell r="I15">
            <v>224.72345964349813</v>
          </cell>
          <cell r="J15">
            <v>5.5</v>
          </cell>
          <cell r="K15">
            <v>8</v>
          </cell>
          <cell r="L15">
            <v>1235.9790280392397</v>
          </cell>
          <cell r="M15">
            <v>1797.7876771479851</v>
          </cell>
          <cell r="N15">
            <v>0.67644008081134288</v>
          </cell>
          <cell r="O15" t="str">
            <v xml:space="preserve">   DirecTV, Inmarsat, Eutelsat</v>
          </cell>
        </row>
        <row r="16">
          <cell r="C16" t="str">
            <v>Total</v>
          </cell>
          <cell r="G16">
            <v>304.93909961102884</v>
          </cell>
          <cell r="H16">
            <v>364.3344250951879</v>
          </cell>
          <cell r="I16">
            <v>349.48559372414809</v>
          </cell>
          <cell r="J16">
            <v>5.3114010668144873</v>
          </cell>
          <cell r="K16">
            <v>7.5214622842229923</v>
          </cell>
          <cell r="L16">
            <v>1856.2581553427347</v>
          </cell>
          <cell r="M16">
            <v>2628.6427120754597</v>
          </cell>
          <cell r="N16">
            <v>1.0000000000000002</v>
          </cell>
        </row>
        <row r="17">
          <cell r="C17" t="str">
            <v>Less: Net Debt (Cash)</v>
          </cell>
          <cell r="L17">
            <v>268.923</v>
          </cell>
          <cell r="M17">
            <v>268.923</v>
          </cell>
        </row>
        <row r="18">
          <cell r="C18" t="str">
            <v>Equity Value</v>
          </cell>
          <cell r="L18">
            <v>1587.3351553427347</v>
          </cell>
          <cell r="M18">
            <v>2359.7197120754599</v>
          </cell>
        </row>
        <row r="19">
          <cell r="C19" t="str">
            <v>Diluted Shares</v>
          </cell>
          <cell r="L19">
            <v>43.401849094171482</v>
          </cell>
          <cell r="M19">
            <v>43.401849094171482</v>
          </cell>
        </row>
        <row r="20">
          <cell r="C20" t="str">
            <v>Equity Value per Share</v>
          </cell>
          <cell r="L20">
            <v>36.572984526502601</v>
          </cell>
          <cell r="M20">
            <v>54.369105494916603</v>
          </cell>
        </row>
        <row r="21">
          <cell r="C21" t="str">
            <v>Upside (Downside) vs. current</v>
          </cell>
          <cell r="G21">
            <v>41.52</v>
          </cell>
          <cell r="L21">
            <v>-0.11914777151968692</v>
          </cell>
          <cell r="M21">
            <v>0.30946785874076577</v>
          </cell>
        </row>
        <row r="24">
          <cell r="B24" t="str">
            <v>Public Comps</v>
          </cell>
          <cell r="AC24" t="str">
            <v>Consensus Estimates</v>
          </cell>
          <cell r="AM24" t="str">
            <v>10-12</v>
          </cell>
          <cell r="AN24" t="str">
            <v>LTG</v>
          </cell>
          <cell r="AO24" t="str">
            <v>Margins</v>
          </cell>
        </row>
        <row r="25">
          <cell r="AC25" t="str">
            <v>Sales</v>
          </cell>
          <cell r="AE25" t="str">
            <v>EBITDA</v>
          </cell>
          <cell r="AH25" t="str">
            <v>EBIT</v>
          </cell>
          <cell r="AJ25" t="str">
            <v>EPS</v>
          </cell>
          <cell r="AM25" t="str">
            <v>CAGR</v>
          </cell>
          <cell r="AN25" t="str">
            <v>Rate</v>
          </cell>
          <cell r="AO25" t="str">
            <v>EBITDA</v>
          </cell>
          <cell r="AQ25" t="str">
            <v>EBIT</v>
          </cell>
        </row>
        <row r="26">
          <cell r="J26" t="str">
            <v>Ent Val</v>
          </cell>
          <cell r="K26" t="str">
            <v>EV / EBITDA</v>
          </cell>
          <cell r="N26" t="str">
            <v>EBITDA Margin</v>
          </cell>
          <cell r="P26" t="str">
            <v>CY P/E</v>
          </cell>
          <cell r="R26" t="str">
            <v>PEG</v>
          </cell>
          <cell r="S26" t="str">
            <v>EV / Sales</v>
          </cell>
          <cell r="AB26" t="str">
            <v>Ent Val</v>
          </cell>
        </row>
        <row r="27">
          <cell r="D27" t="str">
            <v>Ticker</v>
          </cell>
          <cell r="F27" t="str">
            <v>Company</v>
          </cell>
          <cell r="J27" t="str">
            <v>($B)</v>
          </cell>
          <cell r="K27">
            <v>2011</v>
          </cell>
          <cell r="L27">
            <v>2012</v>
          </cell>
          <cell r="M27">
            <v>2013</v>
          </cell>
          <cell r="N27">
            <v>2011</v>
          </cell>
          <cell r="O27">
            <v>2012</v>
          </cell>
          <cell r="P27">
            <v>2011</v>
          </cell>
          <cell r="Q27">
            <v>2012</v>
          </cell>
          <cell r="R27">
            <v>2012</v>
          </cell>
          <cell r="S27">
            <v>2011</v>
          </cell>
          <cell r="T27">
            <v>2012</v>
          </cell>
          <cell r="U27" t="str">
            <v>Comments</v>
          </cell>
          <cell r="AA27" t="str">
            <v xml:space="preserve">Price </v>
          </cell>
          <cell r="AB27" t="str">
            <v>$MM</v>
          </cell>
          <cell r="AC27">
            <v>2011</v>
          </cell>
          <cell r="AD27">
            <v>2012</v>
          </cell>
          <cell r="AE27">
            <v>2011</v>
          </cell>
          <cell r="AF27">
            <v>2012</v>
          </cell>
          <cell r="AG27">
            <v>2013</v>
          </cell>
          <cell r="AH27">
            <v>2011</v>
          </cell>
          <cell r="AI27">
            <v>2012</v>
          </cell>
          <cell r="AJ27">
            <v>2010</v>
          </cell>
          <cell r="AK27">
            <v>2011</v>
          </cell>
          <cell r="AL27">
            <v>2012</v>
          </cell>
          <cell r="AO27">
            <v>2011</v>
          </cell>
          <cell r="AP27">
            <v>2012</v>
          </cell>
          <cell r="AQ27">
            <v>2011</v>
          </cell>
          <cell r="AR27">
            <v>2012</v>
          </cell>
          <cell r="AT27" t="str">
            <v>FYE</v>
          </cell>
        </row>
        <row r="29">
          <cell r="D29" t="str">
            <v>VSAT-US</v>
          </cell>
          <cell r="F29" t="str">
            <v>ViaSat Inc.</v>
          </cell>
          <cell r="G29" t="str">
            <v>Morgan Stanley estimates</v>
          </cell>
          <cell r="J29" t="e">
            <v>#VALUE!</v>
          </cell>
          <cell r="K29" t="e">
            <v>#VALUE!</v>
          </cell>
          <cell r="L29" t="e">
            <v>#VALUE!</v>
          </cell>
          <cell r="M29" t="e">
            <v>#VALUE!</v>
          </cell>
          <cell r="N29">
            <v>0.23233763407087488</v>
          </cell>
          <cell r="O29">
            <v>0.25858773283235698</v>
          </cell>
          <cell r="P29">
            <v>24.698272023597479</v>
          </cell>
          <cell r="Q29">
            <v>18.439896028306134</v>
          </cell>
          <cell r="R29">
            <v>1.1148541478154756</v>
          </cell>
          <cell r="S29" t="e">
            <v>#VALUE!</v>
          </cell>
          <cell r="T29" t="e">
            <v>#VALUE!</v>
          </cell>
          <cell r="U29" t="str">
            <v>Morgan Stanley estimates</v>
          </cell>
          <cell r="AA29">
            <v>41.6</v>
          </cell>
          <cell r="AB29" t="str">
            <v>#Calc</v>
          </cell>
          <cell r="AC29">
            <v>969.35534476176645</v>
          </cell>
          <cell r="AD29">
            <v>1115.3723901062383</v>
          </cell>
          <cell r="AE29">
            <v>225.21772737590604</v>
          </cell>
          <cell r="AF29">
            <v>288.42161762137937</v>
          </cell>
          <cell r="AG29">
            <v>349.78059372414816</v>
          </cell>
          <cell r="AJ29">
            <v>1.6610528158058511</v>
          </cell>
          <cell r="AK29">
            <v>1.6843283595003771</v>
          </cell>
          <cell r="AL29">
            <v>2.2559780128988791</v>
          </cell>
          <cell r="AM29">
            <v>0.16540186951305313</v>
          </cell>
          <cell r="AN29">
            <v>9.8666669999999998E-2</v>
          </cell>
          <cell r="AO29">
            <v>0.23233763407087488</v>
          </cell>
          <cell r="AP29">
            <v>0.25858773283235698</v>
          </cell>
          <cell r="AQ29">
            <v>0</v>
          </cell>
          <cell r="AR29">
            <v>0</v>
          </cell>
          <cell r="AT29" t="str">
            <v>03/2011</v>
          </cell>
        </row>
        <row r="30">
          <cell r="D30" t="str">
            <v>VSAT-US</v>
          </cell>
          <cell r="F30" t="str">
            <v>ViaSat Inc.</v>
          </cell>
          <cell r="G30" t="str">
            <v>Consensus estimates</v>
          </cell>
          <cell r="J30" t="e">
            <v>#VALUE!</v>
          </cell>
          <cell r="K30" t="e">
            <v>#VALUE!</v>
          </cell>
          <cell r="L30" t="e">
            <v>#VALUE!</v>
          </cell>
          <cell r="M30" t="e">
            <v>#VALUE!</v>
          </cell>
          <cell r="N30">
            <v>0.20868941044078546</v>
          </cell>
          <cell r="O30">
            <v>0.26185001618040299</v>
          </cell>
          <cell r="P30">
            <v>25.763140130425896</v>
          </cell>
          <cell r="Q30">
            <v>17.392278664440234</v>
          </cell>
          <cell r="R30">
            <v>0.82459818260516449</v>
          </cell>
          <cell r="S30" t="e">
            <v>#VALUE!</v>
          </cell>
          <cell r="T30" t="e">
            <v>#VALUE!</v>
          </cell>
          <cell r="U30" t="str">
            <v>Consensus estimates</v>
          </cell>
          <cell r="AA30">
            <v>41.6</v>
          </cell>
          <cell r="AB30" t="str">
            <v>#Calc</v>
          </cell>
          <cell r="AC30">
            <v>1012.6786000000001</v>
          </cell>
          <cell r="AD30">
            <v>1174.26</v>
          </cell>
          <cell r="AE30">
            <v>211.33530000000002</v>
          </cell>
          <cell r="AF30">
            <v>307.48</v>
          </cell>
          <cell r="AG30">
            <v>441.6866</v>
          </cell>
          <cell r="AH30">
            <v>101.61586000000001</v>
          </cell>
          <cell r="AI30">
            <v>157.6138</v>
          </cell>
          <cell r="AJ30">
            <v>1.6312</v>
          </cell>
          <cell r="AK30">
            <v>1.6147100000000001</v>
          </cell>
          <cell r="AL30">
            <v>2.3918659999999998</v>
          </cell>
          <cell r="AM30">
            <v>0.21091822697804849</v>
          </cell>
          <cell r="AN30">
            <v>9.8666669999999998E-2</v>
          </cell>
          <cell r="AO30">
            <v>0.20868941044078546</v>
          </cell>
          <cell r="AP30">
            <v>0.26185001618040299</v>
          </cell>
          <cell r="AQ30">
            <v>0.10034364308676021</v>
          </cell>
          <cell r="AR30">
            <v>0.13422393677720437</v>
          </cell>
          <cell r="AT30" t="str">
            <v>03/2011</v>
          </cell>
        </row>
        <row r="32">
          <cell r="C32" t="str">
            <v>Government Systems</v>
          </cell>
        </row>
        <row r="33">
          <cell r="C33" t="str">
            <v>Tier 1 Comps</v>
          </cell>
        </row>
        <row r="34">
          <cell r="D34" t="str">
            <v>COL-US</v>
          </cell>
          <cell r="F34" t="str">
            <v>Rockwell Collins Inc.</v>
          </cell>
          <cell r="J34" t="e">
            <v>#VALUE!</v>
          </cell>
          <cell r="K34" t="e">
            <v>#VALUE!</v>
          </cell>
          <cell r="L34" t="e">
            <v>#VALUE!</v>
          </cell>
          <cell r="M34" t="e">
            <v>#VALUE!</v>
          </cell>
          <cell r="N34">
            <v>0.21887902453283092</v>
          </cell>
          <cell r="O34">
            <v>0.22478009418790582</v>
          </cell>
          <cell r="P34">
            <v>14.735683272428455</v>
          </cell>
          <cell r="Q34">
            <v>12.888068899128053</v>
          </cell>
          <cell r="R34">
            <v>0.96106462391698877</v>
          </cell>
          <cell r="S34" t="e">
            <v>#VALUE!</v>
          </cell>
          <cell r="T34" t="e">
            <v>#VALUE!</v>
          </cell>
          <cell r="AA34">
            <v>60.18</v>
          </cell>
          <cell r="AB34" t="str">
            <v>#Calc</v>
          </cell>
          <cell r="AC34">
            <v>5035.8640000000005</v>
          </cell>
          <cell r="AD34">
            <v>5434.0309999999999</v>
          </cell>
          <cell r="AE34">
            <v>1102.2450000000001</v>
          </cell>
          <cell r="AF34">
            <v>1221.462</v>
          </cell>
          <cell r="AG34">
            <v>1312.367</v>
          </cell>
          <cell r="AH34">
            <v>967.82090000000005</v>
          </cell>
          <cell r="AI34">
            <v>1088.345</v>
          </cell>
          <cell r="AJ34">
            <v>3.6304469999999998</v>
          </cell>
          <cell r="AK34">
            <v>4.0839639999999999</v>
          </cell>
          <cell r="AL34">
            <v>4.669435</v>
          </cell>
          <cell r="AM34">
            <v>0.13410200082696261</v>
          </cell>
          <cell r="AN34">
            <v>8.8249999999999995E-2</v>
          </cell>
          <cell r="AO34">
            <v>0.21887902453283092</v>
          </cell>
          <cell r="AP34">
            <v>0.22478009418790582</v>
          </cell>
          <cell r="AQ34">
            <v>0.1921856706217642</v>
          </cell>
          <cell r="AR34">
            <v>0.20028317836243481</v>
          </cell>
          <cell r="AT34" t="str">
            <v>09/2010</v>
          </cell>
        </row>
        <row r="35">
          <cell r="D35" t="str">
            <v>HRS-US</v>
          </cell>
          <cell r="E35" t="str">
            <v>*</v>
          </cell>
          <cell r="F35" t="str">
            <v>Harris Corp.</v>
          </cell>
          <cell r="J35" t="e">
            <v>#VALUE!</v>
          </cell>
          <cell r="K35" t="e">
            <v>#VALUE!</v>
          </cell>
          <cell r="L35" t="e">
            <v>#VALUE!</v>
          </cell>
          <cell r="M35" t="e">
            <v>#VALUE!</v>
          </cell>
          <cell r="N35">
            <v>0.19734987125409884</v>
          </cell>
          <cell r="O35">
            <v>0.18403395521110194</v>
          </cell>
          <cell r="P35">
            <v>9.405200883627824</v>
          </cell>
          <cell r="Q35">
            <v>8.7270121140033918</v>
          </cell>
          <cell r="R35">
            <v>1.4781011652842881</v>
          </cell>
          <cell r="S35" t="e">
            <v>#VALUE!</v>
          </cell>
          <cell r="T35" t="e">
            <v>#VALUE!</v>
          </cell>
          <cell r="AA35">
            <v>44.47</v>
          </cell>
          <cell r="AB35" t="str">
            <v>#Calc</v>
          </cell>
          <cell r="AC35">
            <v>6004.4629999999997</v>
          </cell>
          <cell r="AD35">
            <v>6336.3469999999998</v>
          </cell>
          <cell r="AE35">
            <v>1184.98</v>
          </cell>
          <cell r="AF35">
            <v>1166.1030000000001</v>
          </cell>
          <cell r="AG35">
            <v>1161.886</v>
          </cell>
          <cell r="AH35">
            <v>997.32420000000002</v>
          </cell>
          <cell r="AI35">
            <v>1047.529</v>
          </cell>
          <cell r="AJ35">
            <v>4.5433389999999996</v>
          </cell>
          <cell r="AK35">
            <v>4.7282349999999997</v>
          </cell>
          <cell r="AL35">
            <v>5.0956729999999997</v>
          </cell>
          <cell r="AM35">
            <v>5.9042048805400253E-2</v>
          </cell>
          <cell r="AN35">
            <v>5.5E-2</v>
          </cell>
          <cell r="AO35">
            <v>0.19734987125409884</v>
          </cell>
          <cell r="AP35">
            <v>0.18403395521110194</v>
          </cell>
          <cell r="AQ35">
            <v>0.16609715140221534</v>
          </cell>
          <cell r="AR35">
            <v>0.16532064926368459</v>
          </cell>
          <cell r="AT35" t="str">
            <v>06/2011</v>
          </cell>
        </row>
        <row r="36">
          <cell r="D36" t="str">
            <v>CMTL-US</v>
          </cell>
          <cell r="E36" t="str">
            <v>*</v>
          </cell>
          <cell r="F36" t="str">
            <v>Comtech Telecommunications Corp.</v>
          </cell>
          <cell r="J36" t="e">
            <v>#VALUE!</v>
          </cell>
          <cell r="K36" t="e">
            <v>#VALUE!</v>
          </cell>
          <cell r="L36" t="e">
            <v>#VALUE!</v>
          </cell>
          <cell r="N36">
            <v>0.18765513649368559</v>
          </cell>
          <cell r="O36">
            <v>0.19106399805556595</v>
          </cell>
          <cell r="P36">
            <v>16.191953400310215</v>
          </cell>
          <cell r="Q36">
            <v>20.182093978861449</v>
          </cell>
          <cell r="R36">
            <v>-1.5039093067520461</v>
          </cell>
          <cell r="S36" t="e">
            <v>#VALUE!</v>
          </cell>
          <cell r="T36" t="e">
            <v>#VALUE!</v>
          </cell>
          <cell r="AA36">
            <v>29.71</v>
          </cell>
          <cell r="AB36" t="str">
            <v>#Calc</v>
          </cell>
          <cell r="AC36">
            <v>620.53420000000006</v>
          </cell>
          <cell r="AD36">
            <v>534.86</v>
          </cell>
          <cell r="AE36">
            <v>116.44643000000001</v>
          </cell>
          <cell r="AF36">
            <v>102.19249000000001</v>
          </cell>
          <cell r="AG36" t="str">
            <v>-</v>
          </cell>
          <cell r="AH36">
            <v>89.373570000000001</v>
          </cell>
          <cell r="AI36">
            <v>74.849430000000012</v>
          </cell>
          <cell r="AJ36">
            <v>1.9638069999999999</v>
          </cell>
          <cell r="AK36">
            <v>1.834862</v>
          </cell>
          <cell r="AL36">
            <v>1.472097</v>
          </cell>
          <cell r="AM36">
            <v>-0.13419754694149871</v>
          </cell>
          <cell r="AN36">
            <v>0.14000000000000001</v>
          </cell>
          <cell r="AO36">
            <v>0.18765513649368559</v>
          </cell>
          <cell r="AP36">
            <v>0.19106399805556595</v>
          </cell>
          <cell r="AQ36">
            <v>0.1440268239848827</v>
          </cell>
          <cell r="AR36">
            <v>0.13994209699734511</v>
          </cell>
          <cell r="AT36" t="str">
            <v>07/2011</v>
          </cell>
        </row>
        <row r="37">
          <cell r="D37" t="str">
            <v>Average</v>
          </cell>
          <cell r="J37" t="e">
            <v>#VALUE!</v>
          </cell>
          <cell r="K37" t="e">
            <v>#VALUE!</v>
          </cell>
          <cell r="L37" t="e">
            <v>#VALUE!</v>
          </cell>
          <cell r="M37" t="e">
            <v>#VALUE!</v>
          </cell>
          <cell r="N37">
            <v>0.20129467742687179</v>
          </cell>
          <cell r="O37">
            <v>0.19995934915152458</v>
          </cell>
          <cell r="P37">
            <v>13.4442791854555</v>
          </cell>
          <cell r="Q37">
            <v>13.932391663997629</v>
          </cell>
          <cell r="R37">
            <v>0.31175216081641022</v>
          </cell>
          <cell r="S37" t="e">
            <v>#VALUE!</v>
          </cell>
          <cell r="T37" t="e">
            <v>#VALUE!</v>
          </cell>
        </row>
        <row r="39">
          <cell r="C39" t="str">
            <v>Tier 2 Comps</v>
          </cell>
        </row>
        <row r="40">
          <cell r="D40" t="str">
            <v>GD-US</v>
          </cell>
          <cell r="F40" t="str">
            <v>General Dynamics Corp.</v>
          </cell>
          <cell r="J40" t="e">
            <v>#VALUE!</v>
          </cell>
          <cell r="K40" t="e">
            <v>#VALUE!</v>
          </cell>
          <cell r="L40" t="e">
            <v>#VALUE!</v>
          </cell>
          <cell r="M40" t="e">
            <v>#VALUE!</v>
          </cell>
          <cell r="N40">
            <v>0.1315775820626954</v>
          </cell>
          <cell r="O40">
            <v>0.13150848259039977</v>
          </cell>
          <cell r="P40">
            <v>9.0609584376543566</v>
          </cell>
          <cell r="Q40">
            <v>8.4325239798664082</v>
          </cell>
          <cell r="R40">
            <v>1.2779975863619926</v>
          </cell>
          <cell r="S40" t="e">
            <v>#VALUE!</v>
          </cell>
          <cell r="T40" t="e">
            <v>#VALUE!</v>
          </cell>
          <cell r="AA40">
            <v>63.93</v>
          </cell>
          <cell r="AB40" t="str">
            <v>#Calc</v>
          </cell>
          <cell r="AC40">
            <v>34655.82</v>
          </cell>
          <cell r="AD40">
            <v>36249.54</v>
          </cell>
          <cell r="AE40">
            <v>4559.9290000000001</v>
          </cell>
          <cell r="AF40">
            <v>4767.1220000000003</v>
          </cell>
          <cell r="AG40">
            <v>4332.3330000000005</v>
          </cell>
          <cell r="AH40">
            <v>4050.01</v>
          </cell>
          <cell r="AI40">
            <v>4265.9719999999998</v>
          </cell>
          <cell r="AJ40">
            <v>6.6718630000000001</v>
          </cell>
          <cell r="AK40">
            <v>7.0555449999999995</v>
          </cell>
          <cell r="AL40">
            <v>7.581360000000001</v>
          </cell>
          <cell r="AM40">
            <v>6.5982315380350778E-2</v>
          </cell>
          <cell r="AN40">
            <v>8.5000000000000006E-2</v>
          </cell>
          <cell r="AO40">
            <v>0.1315775820626954</v>
          </cell>
          <cell r="AP40">
            <v>0.13150848259039977</v>
          </cell>
          <cell r="AQ40">
            <v>0.11686377641619793</v>
          </cell>
          <cell r="AR40">
            <v>0.11768347956967178</v>
          </cell>
          <cell r="AT40" t="str">
            <v>12/2010</v>
          </cell>
        </row>
        <row r="41">
          <cell r="D41" t="str">
            <v>LLL-US</v>
          </cell>
          <cell r="F41" t="str">
            <v>L-3 Communications Holdings Inc.</v>
          </cell>
          <cell r="J41" t="e">
            <v>#VALUE!</v>
          </cell>
          <cell r="K41" t="e">
            <v>#VALUE!</v>
          </cell>
          <cell r="L41" t="e">
            <v>#VALUE!</v>
          </cell>
          <cell r="N41">
            <v>0.12360513977043688</v>
          </cell>
          <cell r="O41">
            <v>0.12211850275266259</v>
          </cell>
          <cell r="P41">
            <v>8.0549783734317444</v>
          </cell>
          <cell r="Q41">
            <v>7.5424628450106157</v>
          </cell>
          <cell r="R41">
            <v>1.0289892791783741</v>
          </cell>
          <cell r="S41" t="e">
            <v>#VALUE!</v>
          </cell>
          <cell r="T41" t="e">
            <v>#VALUE!</v>
          </cell>
          <cell r="AA41">
            <v>71.05</v>
          </cell>
          <cell r="AB41" t="str">
            <v>#Calc</v>
          </cell>
          <cell r="AC41">
            <v>16437.310000000001</v>
          </cell>
          <cell r="AD41">
            <v>16707.46</v>
          </cell>
          <cell r="AE41">
            <v>2031.7360000000001</v>
          </cell>
          <cell r="AF41">
            <v>2040.29</v>
          </cell>
          <cell r="AG41" t="str">
            <v>-</v>
          </cell>
          <cell r="AH41">
            <v>1797.3420000000001</v>
          </cell>
          <cell r="AI41">
            <v>1823.5070000000001</v>
          </cell>
          <cell r="AJ41">
            <v>8.1772800000000014</v>
          </cell>
          <cell r="AK41">
            <v>8.8206319999999998</v>
          </cell>
          <cell r="AL41">
            <v>9.42</v>
          </cell>
          <cell r="AM41">
            <v>7.3299722335621514E-2</v>
          </cell>
          <cell r="AN41">
            <v>9.3166670000000007E-2</v>
          </cell>
          <cell r="AO41">
            <v>0.12360513977043688</v>
          </cell>
          <cell r="AP41">
            <v>0.12211850275266259</v>
          </cell>
          <cell r="AQ41">
            <v>0.10934526391483765</v>
          </cell>
          <cell r="AR41">
            <v>0.10914328090565532</v>
          </cell>
          <cell r="AT41" t="str">
            <v>12/2010</v>
          </cell>
        </row>
        <row r="42">
          <cell r="D42" t="str">
            <v>Average</v>
          </cell>
          <cell r="J42" t="e">
            <v>#VALUE!</v>
          </cell>
          <cell r="K42" t="e">
            <v>#VALUE!</v>
          </cell>
          <cell r="L42" t="e">
            <v>#VALUE!</v>
          </cell>
          <cell r="M42" t="e">
            <v>#VALUE!</v>
          </cell>
          <cell r="N42">
            <v>0.12759136091656614</v>
          </cell>
          <cell r="O42">
            <v>0.12681349267153119</v>
          </cell>
          <cell r="P42">
            <v>8.5579684055430505</v>
          </cell>
          <cell r="Q42">
            <v>7.9874934124385124</v>
          </cell>
          <cell r="R42">
            <v>1.1534934327701833</v>
          </cell>
          <cell r="S42" t="e">
            <v>#VALUE!</v>
          </cell>
          <cell r="T42" t="e">
            <v>#VALUE!</v>
          </cell>
        </row>
        <row r="44">
          <cell r="C44" t="str">
            <v>Commercial Networks</v>
          </cell>
        </row>
        <row r="45">
          <cell r="C45" t="str">
            <v>Tier 1 Comps</v>
          </cell>
        </row>
        <row r="46">
          <cell r="D46" t="str">
            <v>HUGH-US</v>
          </cell>
          <cell r="E46" t="str">
            <v>*</v>
          </cell>
          <cell r="F46" t="str">
            <v>Hughes Communications Inc.</v>
          </cell>
          <cell r="J46" t="e">
            <v>#VALUE!</v>
          </cell>
          <cell r="K46" t="e">
            <v>#VALUE!</v>
          </cell>
          <cell r="L46" t="e">
            <v>#VALUE!</v>
          </cell>
          <cell r="M46" t="e">
            <v>#VALUE!</v>
          </cell>
          <cell r="N46">
            <v>0.23448802304696531</v>
          </cell>
          <cell r="O46">
            <v>0.23917122114364953</v>
          </cell>
          <cell r="P46">
            <v>15.565100671140938</v>
          </cell>
          <cell r="S46" t="e">
            <v>#VALUE!</v>
          </cell>
          <cell r="T46" t="e">
            <v>#VALUE!</v>
          </cell>
          <cell r="AA46">
            <v>28.99</v>
          </cell>
          <cell r="AB46" t="str">
            <v>#Calc</v>
          </cell>
          <cell r="AC46">
            <v>1124.6600000000001</v>
          </cell>
          <cell r="AD46">
            <v>1225.9000000000001</v>
          </cell>
          <cell r="AE46">
            <v>263.71930000000003</v>
          </cell>
          <cell r="AF46">
            <v>293.2</v>
          </cell>
          <cell r="AG46">
            <v>339.40000000000003</v>
          </cell>
          <cell r="AH46">
            <v>114.83933</v>
          </cell>
          <cell r="AI46">
            <v>136.5</v>
          </cell>
          <cell r="AJ46">
            <v>0.39500000000000002</v>
          </cell>
          <cell r="AK46">
            <v>1.8625</v>
          </cell>
          <cell r="AL46">
            <v>2.61</v>
          </cell>
          <cell r="AM46">
            <v>1.5705242532817505</v>
          </cell>
          <cell r="AN46">
            <v>0.1</v>
          </cell>
          <cell r="AO46">
            <v>0.23448802304696531</v>
          </cell>
          <cell r="AP46">
            <v>0.23917122114364953</v>
          </cell>
          <cell r="AQ46">
            <v>0.10211026443547383</v>
          </cell>
          <cell r="AR46">
            <v>0.11134676564156945</v>
          </cell>
          <cell r="AT46" t="str">
            <v>12/2010</v>
          </cell>
        </row>
        <row r="47">
          <cell r="D47" t="str">
            <v>IRDM-US</v>
          </cell>
          <cell r="E47" t="str">
            <v>*</v>
          </cell>
          <cell r="F47" t="str">
            <v>Iridium Communications Inc.</v>
          </cell>
          <cell r="J47" t="e">
            <v>#VALUE!</v>
          </cell>
          <cell r="K47" t="e">
            <v>#VALUE!</v>
          </cell>
          <cell r="L47" t="e">
            <v>#VALUE!</v>
          </cell>
          <cell r="M47" t="e">
            <v>#VALUE!</v>
          </cell>
          <cell r="N47">
            <v>0.46460151409716544</v>
          </cell>
          <cell r="P47">
            <v>9.5505617977528097</v>
          </cell>
          <cell r="S47" t="e">
            <v>#VALUE!</v>
          </cell>
          <cell r="AA47">
            <v>8.5</v>
          </cell>
          <cell r="AB47" t="str">
            <v>#Calc</v>
          </cell>
          <cell r="AC47">
            <v>380.53040000000004</v>
          </cell>
          <cell r="AD47">
            <v>416.14</v>
          </cell>
          <cell r="AE47">
            <v>176.79500000000002</v>
          </cell>
          <cell r="AF47">
            <v>231.33</v>
          </cell>
          <cell r="AG47">
            <v>273.06</v>
          </cell>
          <cell r="AH47">
            <v>106.414</v>
          </cell>
          <cell r="AI47">
            <v>129.74</v>
          </cell>
          <cell r="AJ47">
            <v>0.36333329999999997</v>
          </cell>
          <cell r="AK47">
            <v>0.89</v>
          </cell>
          <cell r="AL47">
            <v>0.84</v>
          </cell>
          <cell r="AM47">
            <v>0.5205021596853997</v>
          </cell>
          <cell r="AN47" t="e">
            <v>#N/A</v>
          </cell>
          <cell r="AO47">
            <v>0.46460151409716544</v>
          </cell>
          <cell r="AP47">
            <v>0.55589465083866008</v>
          </cell>
          <cell r="AQ47">
            <v>0.27964651444404964</v>
          </cell>
          <cell r="AR47">
            <v>0.3117700773778056</v>
          </cell>
          <cell r="AT47" t="str">
            <v>12/2010</v>
          </cell>
        </row>
        <row r="48">
          <cell r="D48" t="str">
            <v>GILT-US</v>
          </cell>
          <cell r="E48" t="str">
            <v>*</v>
          </cell>
          <cell r="F48" t="str">
            <v>Gilat Satellite Networks Ltd.</v>
          </cell>
          <cell r="J48" t="e">
            <v>#VALUE!</v>
          </cell>
          <cell r="AA48">
            <v>5.7</v>
          </cell>
          <cell r="AB48" t="str">
            <v>#Calc</v>
          </cell>
          <cell r="AC48" t="str">
            <v>-</v>
          </cell>
          <cell r="AD48" t="str">
            <v>-</v>
          </cell>
          <cell r="AH48" t="str">
            <v>-</v>
          </cell>
          <cell r="AI48" t="str">
            <v>-</v>
          </cell>
          <cell r="AJ48">
            <v>-0.02</v>
          </cell>
          <cell r="AK48" t="str">
            <v>-</v>
          </cell>
          <cell r="AL48" t="str">
            <v>-</v>
          </cell>
          <cell r="AT48" t="str">
            <v>12/2010</v>
          </cell>
        </row>
        <row r="49">
          <cell r="D49" t="str">
            <v>Average</v>
          </cell>
          <cell r="J49" t="e">
            <v>#VALUE!</v>
          </cell>
          <cell r="K49" t="e">
            <v>#VALUE!</v>
          </cell>
          <cell r="L49" t="e">
            <v>#VALUE!</v>
          </cell>
          <cell r="M49" t="e">
            <v>#VALUE!</v>
          </cell>
          <cell r="N49">
            <v>0.3495447685720654</v>
          </cell>
          <cell r="O49">
            <v>0.23917122114364953</v>
          </cell>
          <cell r="P49">
            <v>12.557831234446873</v>
          </cell>
          <cell r="S49" t="e">
            <v>#VALUE!</v>
          </cell>
          <cell r="T49" t="e">
            <v>#VALUE!</v>
          </cell>
        </row>
        <row r="51">
          <cell r="C51" t="str">
            <v>Satellite Services</v>
          </cell>
        </row>
        <row r="52">
          <cell r="C52" t="str">
            <v>Tier 1 Comps</v>
          </cell>
        </row>
        <row r="53">
          <cell r="D53" t="str">
            <v>DTV-US</v>
          </cell>
          <cell r="F53" t="str">
            <v>DIRECTV</v>
          </cell>
          <cell r="J53" t="e">
            <v>#VALUE!</v>
          </cell>
          <cell r="K53" t="e">
            <v>#VALUE!</v>
          </cell>
          <cell r="L53" t="e">
            <v>#VALUE!</v>
          </cell>
          <cell r="M53" t="e">
            <v>#VALUE!</v>
          </cell>
          <cell r="N53">
            <v>0.27461284020349341</v>
          </cell>
          <cell r="O53">
            <v>0.27835302819035196</v>
          </cell>
          <cell r="P53">
            <v>13.260442870809708</v>
          </cell>
          <cell r="Q53">
            <v>10.096610237702375</v>
          </cell>
          <cell r="R53">
            <v>0.30201450029109878</v>
          </cell>
          <cell r="S53" t="e">
            <v>#VALUE!</v>
          </cell>
          <cell r="T53" t="e">
            <v>#VALUE!</v>
          </cell>
          <cell r="AA53">
            <v>42.65</v>
          </cell>
          <cell r="AB53" t="str">
            <v>#Calc</v>
          </cell>
          <cell r="AC53">
            <v>25848.5</v>
          </cell>
          <cell r="AD53">
            <v>27689.97</v>
          </cell>
          <cell r="AE53">
            <v>7098.33</v>
          </cell>
          <cell r="AF53">
            <v>7707.5870000000004</v>
          </cell>
          <cell r="AG53">
            <v>8029.3</v>
          </cell>
          <cell r="AH53">
            <v>4653.0810000000001</v>
          </cell>
          <cell r="AI53">
            <v>5348.1080000000002</v>
          </cell>
          <cell r="AJ53">
            <v>2.3726339999999997</v>
          </cell>
          <cell r="AK53">
            <v>3.2163329999999997</v>
          </cell>
          <cell r="AL53">
            <v>4.2241900000000001</v>
          </cell>
          <cell r="AM53">
            <v>0.33430879073589798</v>
          </cell>
          <cell r="AN53">
            <v>0.25773932999999999</v>
          </cell>
          <cell r="AO53">
            <v>0.27461284020349341</v>
          </cell>
          <cell r="AP53">
            <v>0.27835302819035196</v>
          </cell>
          <cell r="AQ53">
            <v>0.18001357912451399</v>
          </cell>
          <cell r="AR53">
            <v>0.19314242666207293</v>
          </cell>
          <cell r="AT53" t="str">
            <v>12/2010</v>
          </cell>
        </row>
        <row r="54">
          <cell r="D54" t="str">
            <v>DISH-US</v>
          </cell>
          <cell r="F54" t="str">
            <v>DISH Network Corp. (Cl A)</v>
          </cell>
          <cell r="J54" t="e">
            <v>#VALUE!</v>
          </cell>
          <cell r="K54" t="e">
            <v>#VALUE!</v>
          </cell>
          <cell r="L54" t="e">
            <v>#VALUE!</v>
          </cell>
          <cell r="M54" t="e">
            <v>#VALUE!</v>
          </cell>
          <cell r="N54">
            <v>0.22994151636309676</v>
          </cell>
          <cell r="O54">
            <v>0.22709832104617186</v>
          </cell>
          <cell r="P54">
            <v>8.774776778795399</v>
          </cell>
          <cell r="Q54">
            <v>8.3942186726668986</v>
          </cell>
          <cell r="R54">
            <v>1.0801174847068935</v>
          </cell>
          <cell r="S54" t="e">
            <v>#VALUE!</v>
          </cell>
          <cell r="T54" t="e">
            <v>#VALUE!</v>
          </cell>
          <cell r="AA54">
            <v>19.25</v>
          </cell>
          <cell r="AB54" t="str">
            <v>#Calc</v>
          </cell>
          <cell r="AC54">
            <v>13107.085000000001</v>
          </cell>
          <cell r="AD54">
            <v>13737.781000000001</v>
          </cell>
          <cell r="AE54">
            <v>3013.8630000000003</v>
          </cell>
          <cell r="AF54">
            <v>3119.8270000000002</v>
          </cell>
          <cell r="AG54">
            <v>3217.1750000000002</v>
          </cell>
          <cell r="AH54">
            <v>1958.67</v>
          </cell>
          <cell r="AI54">
            <v>2075.3830000000003</v>
          </cell>
          <cell r="AJ54">
            <v>1.9744309999999998</v>
          </cell>
          <cell r="AK54">
            <v>2.1937880000000001</v>
          </cell>
          <cell r="AL54">
            <v>2.2932449999999998</v>
          </cell>
          <cell r="AM54">
            <v>7.7715792879186646E-2</v>
          </cell>
          <cell r="AN54">
            <v>3.3659000000000001E-2</v>
          </cell>
          <cell r="AO54">
            <v>0.22994151636309676</v>
          </cell>
          <cell r="AP54">
            <v>0.22709832104617186</v>
          </cell>
          <cell r="AQ54">
            <v>0.14943597298712871</v>
          </cell>
          <cell r="AR54">
            <v>0.15107119555916637</v>
          </cell>
          <cell r="AT54" t="str">
            <v>12/2010</v>
          </cell>
        </row>
        <row r="55">
          <cell r="D55" t="str">
            <v>Average</v>
          </cell>
          <cell r="J55" t="e">
            <v>#VALUE!</v>
          </cell>
          <cell r="K55" t="e">
            <v>#VALUE!</v>
          </cell>
          <cell r="L55" t="e">
            <v>#VALUE!</v>
          </cell>
          <cell r="M55" t="e">
            <v>#VALUE!</v>
          </cell>
          <cell r="N55">
            <v>0.2522771782832951</v>
          </cell>
          <cell r="O55">
            <v>0.2527256746182619</v>
          </cell>
          <cell r="P55">
            <v>11.017609824802554</v>
          </cell>
          <cell r="Q55">
            <v>9.2454144551846369</v>
          </cell>
          <cell r="R55">
            <v>0.69106599249899614</v>
          </cell>
          <cell r="S55" t="e">
            <v>#VALUE!</v>
          </cell>
          <cell r="T55" t="e">
            <v>#VALUE!</v>
          </cell>
        </row>
        <row r="57">
          <cell r="C57" t="str">
            <v>Tier 2 Comps</v>
          </cell>
        </row>
        <row r="58">
          <cell r="D58" t="str">
            <v>ISAT-GB</v>
          </cell>
          <cell r="F58" t="str">
            <v>Inmarsat PLC</v>
          </cell>
          <cell r="J58" t="e">
            <v>#VALUE!</v>
          </cell>
          <cell r="K58" t="e">
            <v>#VALUE!</v>
          </cell>
          <cell r="L58" t="e">
            <v>#VALUE!</v>
          </cell>
          <cell r="M58" t="e">
            <v>#VALUE!</v>
          </cell>
          <cell r="N58">
            <v>0.58428119665647504</v>
          </cell>
          <cell r="O58">
            <v>0.59479669738323415</v>
          </cell>
          <cell r="P58">
            <v>17.332064178956358</v>
          </cell>
          <cell r="Q58">
            <v>16.115888836757744</v>
          </cell>
          <cell r="R58">
            <v>1.4659688688148138</v>
          </cell>
          <cell r="S58" t="e">
            <v>#VALUE!</v>
          </cell>
          <cell r="T58" t="e">
            <v>#VALUE!</v>
          </cell>
          <cell r="AA58">
            <v>6.2</v>
          </cell>
          <cell r="AB58" t="str">
            <v>#Calc</v>
          </cell>
          <cell r="AC58">
            <v>762.97919999999999</v>
          </cell>
          <cell r="AD58">
            <v>795.26030000000003</v>
          </cell>
          <cell r="AE58">
            <v>445.7944</v>
          </cell>
          <cell r="AF58">
            <v>473.01820000000004</v>
          </cell>
          <cell r="AG58">
            <v>476.19</v>
          </cell>
          <cell r="AH58">
            <v>305.37</v>
          </cell>
          <cell r="AI58">
            <v>329.64410000000004</v>
          </cell>
          <cell r="AJ58">
            <v>0.31227959999999999</v>
          </cell>
          <cell r="AK58">
            <v>0.35771849999999999</v>
          </cell>
          <cell r="AL58">
            <v>0.38471349999999999</v>
          </cell>
          <cell r="AM58">
            <v>0.10993336338572383</v>
          </cell>
          <cell r="AN58">
            <v>0.18074999999999999</v>
          </cell>
          <cell r="AO58">
            <v>0.58428119665647504</v>
          </cell>
          <cell r="AP58">
            <v>0.59479669738323415</v>
          </cell>
          <cell r="AQ58">
            <v>0.40023371541452246</v>
          </cell>
          <cell r="AR58">
            <v>0.41451094691888934</v>
          </cell>
          <cell r="AT58" t="str">
            <v>12/2010</v>
          </cell>
        </row>
        <row r="59">
          <cell r="D59" t="str">
            <v>KVHI-US</v>
          </cell>
          <cell r="E59" t="str">
            <v>*</v>
          </cell>
          <cell r="F59" t="str">
            <v>KVH Industries Inc.</v>
          </cell>
          <cell r="J59" t="e">
            <v>#VALUE!</v>
          </cell>
          <cell r="K59" t="e">
            <v>#VALUE!</v>
          </cell>
          <cell r="N59">
            <v>0.18865807302259688</v>
          </cell>
          <cell r="P59">
            <v>19.916960241570205</v>
          </cell>
          <cell r="S59" t="e">
            <v>#VALUE!</v>
          </cell>
          <cell r="T59" t="e">
            <v>#VALUE!</v>
          </cell>
          <cell r="AA59">
            <v>15.83</v>
          </cell>
          <cell r="AB59" t="str">
            <v>#Calc</v>
          </cell>
          <cell r="AC59">
            <v>142.58600000000001</v>
          </cell>
          <cell r="AD59">
            <v>163.947</v>
          </cell>
          <cell r="AE59">
            <v>26.900000000000002</v>
          </cell>
          <cell r="AF59" t="str">
            <v>-</v>
          </cell>
          <cell r="AG59" t="str">
            <v>-</v>
          </cell>
          <cell r="AH59">
            <v>19.408760000000001</v>
          </cell>
          <cell r="AI59">
            <v>26.794</v>
          </cell>
          <cell r="AJ59">
            <v>0.64400000000000002</v>
          </cell>
          <cell r="AK59">
            <v>0.79480000000000006</v>
          </cell>
          <cell r="AL59">
            <v>1.1100000000000001</v>
          </cell>
          <cell r="AM59">
            <v>0.31286042078810089</v>
          </cell>
          <cell r="AN59" t="e">
            <v>#N/A</v>
          </cell>
          <cell r="AO59">
            <v>0.18865807302259688</v>
          </cell>
          <cell r="AQ59">
            <v>0.13611967514342221</v>
          </cell>
          <cell r="AR59">
            <v>0.16343086485266581</v>
          </cell>
          <cell r="AT59" t="str">
            <v>12/2010</v>
          </cell>
        </row>
        <row r="60">
          <cell r="D60" t="str">
            <v>SESG-FR</v>
          </cell>
          <cell r="F60" t="str">
            <v>SES S.A.</v>
          </cell>
          <cell r="J60" t="e">
            <v>#VALUE!</v>
          </cell>
          <cell r="K60" t="e">
            <v>#VALUE!</v>
          </cell>
          <cell r="L60" t="e">
            <v>#VALUE!</v>
          </cell>
          <cell r="M60" t="e">
            <v>#VALUE!</v>
          </cell>
          <cell r="N60">
            <v>0.73331010108741024</v>
          </cell>
          <cell r="O60">
            <v>0.73468139194454729</v>
          </cell>
          <cell r="P60">
            <v>13.102977915829582</v>
          </cell>
          <cell r="Q60">
            <v>12.22083938325382</v>
          </cell>
          <cell r="R60">
            <v>1.3507120167701629</v>
          </cell>
          <cell r="S60" t="e">
            <v>#VALUE!</v>
          </cell>
          <cell r="T60" t="e">
            <v>#VALUE!</v>
          </cell>
          <cell r="AA60">
            <v>17.675000000000001</v>
          </cell>
          <cell r="AB60" t="str">
            <v>#Calc</v>
          </cell>
          <cell r="AC60">
            <v>1842.2670000000001</v>
          </cell>
          <cell r="AD60">
            <v>1927.117</v>
          </cell>
          <cell r="AE60">
            <v>1350.953</v>
          </cell>
          <cell r="AF60">
            <v>1415.817</v>
          </cell>
          <cell r="AG60">
            <v>1501.4</v>
          </cell>
          <cell r="AH60">
            <v>814.91110000000003</v>
          </cell>
          <cell r="AI60">
            <v>866.96950000000004</v>
          </cell>
          <cell r="AJ60">
            <v>1.2162569999999999</v>
          </cell>
          <cell r="AK60">
            <v>1.3489300000000002</v>
          </cell>
          <cell r="AL60">
            <v>1.4463000000000001</v>
          </cell>
          <cell r="AM60">
            <v>9.0477016799453844E-2</v>
          </cell>
          <cell r="AN60">
            <v>8.6704500000000004E-2</v>
          </cell>
          <cell r="AO60">
            <v>0.73331010108741024</v>
          </cell>
          <cell r="AP60">
            <v>0.73468139194454729</v>
          </cell>
          <cell r="AQ60">
            <v>0.44234147384716765</v>
          </cell>
          <cell r="AR60">
            <v>0.44987901616767434</v>
          </cell>
          <cell r="AT60" t="str">
            <v>12/2010</v>
          </cell>
        </row>
        <row r="61">
          <cell r="D61" t="str">
            <v>ETL-FR</v>
          </cell>
          <cell r="F61" t="str">
            <v>Eutelsat Communications</v>
          </cell>
          <cell r="J61" t="e">
            <v>#VALUE!</v>
          </cell>
          <cell r="K61" t="e">
            <v>#VALUE!</v>
          </cell>
          <cell r="L61" t="e">
            <v>#VALUE!</v>
          </cell>
          <cell r="M61" t="e">
            <v>#VALUE!</v>
          </cell>
          <cell r="N61">
            <v>0.78586870246633866</v>
          </cell>
          <cell r="O61">
            <v>0.78733522015788082</v>
          </cell>
          <cell r="P61">
            <v>18.454399880634238</v>
          </cell>
          <cell r="Q61">
            <v>16.189626367615841</v>
          </cell>
          <cell r="R61">
            <v>1.2607822945006213</v>
          </cell>
          <cell r="S61" t="e">
            <v>#VALUE!</v>
          </cell>
          <cell r="T61" t="e">
            <v>#VALUE!</v>
          </cell>
          <cell r="AA61">
            <v>27.704999999999998</v>
          </cell>
          <cell r="AB61" t="str">
            <v>#Calc</v>
          </cell>
          <cell r="AC61">
            <v>1177.981</v>
          </cell>
          <cell r="AD61">
            <v>1273.7450000000001</v>
          </cell>
          <cell r="AE61">
            <v>925.73840000000007</v>
          </cell>
          <cell r="AF61">
            <v>1002.8643000000001</v>
          </cell>
          <cell r="AG61">
            <v>1069.2139999999999</v>
          </cell>
          <cell r="AH61">
            <v>598.25110000000006</v>
          </cell>
          <cell r="AI61">
            <v>664.50160000000005</v>
          </cell>
          <cell r="AJ61">
            <v>1.3439649999999999</v>
          </cell>
          <cell r="AK61">
            <v>1.5012679999999998</v>
          </cell>
          <cell r="AL61">
            <v>1.7112809999999998</v>
          </cell>
          <cell r="AM61">
            <v>0.12840937280157738</v>
          </cell>
          <cell r="AN61">
            <v>0.10455600000000001</v>
          </cell>
          <cell r="AO61">
            <v>0.78586870246633866</v>
          </cell>
          <cell r="AP61">
            <v>0.78733522015788082</v>
          </cell>
          <cell r="AQ61">
            <v>0.50786141711963106</v>
          </cell>
          <cell r="AR61">
            <v>0.52169123333163225</v>
          </cell>
          <cell r="AT61" t="str">
            <v>06/2011</v>
          </cell>
        </row>
        <row r="62">
          <cell r="D62" t="str">
            <v>Average</v>
          </cell>
          <cell r="J62" t="e">
            <v>#VALUE!</v>
          </cell>
          <cell r="K62" t="e">
            <v>#VALUE!</v>
          </cell>
          <cell r="L62" t="e">
            <v>#VALUE!</v>
          </cell>
          <cell r="M62" t="e">
            <v>#VALUE!</v>
          </cell>
          <cell r="N62">
            <v>0.57302951830820525</v>
          </cell>
          <cell r="O62">
            <v>0.70560443649522087</v>
          </cell>
          <cell r="P62">
            <v>17.201600554247598</v>
          </cell>
          <cell r="Q62">
            <v>14.842118195875804</v>
          </cell>
          <cell r="R62">
            <v>1.3591543933618659</v>
          </cell>
          <cell r="S62" t="e">
            <v>#VALUE!</v>
          </cell>
          <cell r="T62" t="e">
            <v>#VALUE!</v>
          </cell>
        </row>
        <row r="64">
          <cell r="C64" t="str">
            <v>Avg. of Tier 1 and 2</v>
          </cell>
          <cell r="K64" t="e">
            <v>#VALUE!</v>
          </cell>
          <cell r="L64" t="e">
            <v>#VALUE!</v>
          </cell>
          <cell r="M64" t="e">
            <v>#VALUE!</v>
          </cell>
          <cell r="P64">
            <v>14.109605189525077</v>
          </cell>
          <cell r="Q64">
            <v>12.043766325530221</v>
          </cell>
          <cell r="R64">
            <v>1.0251101929304309</v>
          </cell>
          <cell r="S64" t="e">
            <v>#VALUE!</v>
          </cell>
          <cell r="T64" t="e">
            <v>#VALUE!</v>
          </cell>
        </row>
        <row r="66">
          <cell r="D66" t="str">
            <v>Note: * indicates company not covered by Morgan Stanley Research.</v>
          </cell>
        </row>
      </sheetData>
      <sheetData sheetId="10" refreshError="1"/>
      <sheetData sheetId="11" refreshError="1"/>
      <sheetData sheetId="12" refreshError="1"/>
      <sheetData sheetId="13" refreshError="1">
        <row r="4">
          <cell r="R4">
            <v>0.15</v>
          </cell>
        </row>
        <row r="5">
          <cell r="L5" t="str">
            <v>ViaSat-1 Capitalization</v>
          </cell>
          <cell r="Q5" t="str">
            <v>Gross</v>
          </cell>
          <cell r="R5" t="str">
            <v>Loral</v>
          </cell>
          <cell r="S5" t="str">
            <v>VSAT</v>
          </cell>
        </row>
        <row r="7">
          <cell r="L7" t="str">
            <v>Purchase Price</v>
          </cell>
          <cell r="Q7">
            <v>246</v>
          </cell>
          <cell r="R7">
            <v>-36.9</v>
          </cell>
          <cell r="S7">
            <v>209.1</v>
          </cell>
        </row>
        <row r="9">
          <cell r="L9" t="str">
            <v xml:space="preserve">    International Launch Services</v>
          </cell>
          <cell r="Q9">
            <v>80</v>
          </cell>
          <cell r="R9">
            <v>-12</v>
          </cell>
          <cell r="S9">
            <v>68</v>
          </cell>
        </row>
        <row r="11">
          <cell r="L11" t="str">
            <v xml:space="preserve">    Launch Insurance</v>
          </cell>
          <cell r="Q11">
            <v>70</v>
          </cell>
          <cell r="R11">
            <v>-10.5</v>
          </cell>
          <cell r="S11">
            <v>59.5</v>
          </cell>
        </row>
        <row r="13">
          <cell r="L13" t="str">
            <v>Total Launch and Launch Insurance</v>
          </cell>
          <cell r="Q13">
            <v>150</v>
          </cell>
          <cell r="R13">
            <v>-22.5</v>
          </cell>
          <cell r="S13">
            <v>127.5</v>
          </cell>
        </row>
        <row r="14">
          <cell r="I14" t="str">
            <v>adj for stock comp etc</v>
          </cell>
        </row>
        <row r="15">
          <cell r="L15" t="str">
            <v>Total ViaSat-1 Cost</v>
          </cell>
          <cell r="Q15">
            <v>400</v>
          </cell>
          <cell r="R15">
            <v>-60</v>
          </cell>
          <cell r="S15">
            <v>340</v>
          </cell>
        </row>
        <row r="20">
          <cell r="I20" t="str">
            <v>VSAT stock performance since announcement of ViaSat-1 (prestock drop)</v>
          </cell>
        </row>
        <row r="21">
          <cell r="I21">
            <v>39454</v>
          </cell>
          <cell r="J21">
            <v>32.15</v>
          </cell>
          <cell r="K21">
            <v>375.09</v>
          </cell>
        </row>
        <row r="22">
          <cell r="I22">
            <v>40464</v>
          </cell>
          <cell r="J22">
            <v>41.89</v>
          </cell>
          <cell r="K22">
            <v>375</v>
          </cell>
        </row>
        <row r="23">
          <cell r="I23" t="str">
            <v>Abs</v>
          </cell>
          <cell r="J23">
            <v>0.30295489891135308</v>
          </cell>
          <cell r="K23">
            <v>-2.3994241382063741E-4</v>
          </cell>
        </row>
        <row r="24">
          <cell r="I24" t="str">
            <v>Rel</v>
          </cell>
          <cell r="J24">
            <v>0.30319484132517371</v>
          </cell>
        </row>
        <row r="26">
          <cell r="I26" t="str">
            <v>VSAT stock performance since announcement of ViaSat-1 (post stock drop)</v>
          </cell>
        </row>
        <row r="27">
          <cell r="I27">
            <v>39458</v>
          </cell>
          <cell r="J27">
            <v>22.72</v>
          </cell>
          <cell r="K27">
            <v>364.54</v>
          </cell>
        </row>
        <row r="28">
          <cell r="I28">
            <v>40464</v>
          </cell>
          <cell r="J28">
            <v>41.89</v>
          </cell>
          <cell r="K28">
            <v>375</v>
          </cell>
        </row>
        <row r="29">
          <cell r="I29" t="str">
            <v>Abs</v>
          </cell>
          <cell r="J29">
            <v>0.84375000000000022</v>
          </cell>
          <cell r="K29">
            <v>2.8693696165029925E-2</v>
          </cell>
        </row>
        <row r="30">
          <cell r="I30" t="str">
            <v>Rel</v>
          </cell>
          <cell r="J30">
            <v>0.8150563038349703</v>
          </cell>
        </row>
        <row r="32">
          <cell r="I32" t="str">
            <v>VSAT stock performance since announcement of WildBlue acquisition</v>
          </cell>
        </row>
        <row r="33">
          <cell r="I33">
            <v>40087</v>
          </cell>
          <cell r="J33">
            <v>27</v>
          </cell>
          <cell r="K33">
            <v>307.52999999999997</v>
          </cell>
        </row>
        <row r="34">
          <cell r="E34" t="str">
            <v>VSAT</v>
          </cell>
          <cell r="I34">
            <v>40464</v>
          </cell>
          <cell r="J34">
            <v>41.89</v>
          </cell>
          <cell r="K34">
            <v>375</v>
          </cell>
        </row>
        <row r="35">
          <cell r="D35">
            <v>39454</v>
          </cell>
          <cell r="E35">
            <v>977.27359999999999</v>
          </cell>
          <cell r="I35" t="str">
            <v>Abs</v>
          </cell>
          <cell r="J35">
            <v>0.55148148148148146</v>
          </cell>
          <cell r="K35">
            <v>0.21939322992878751</v>
          </cell>
        </row>
        <row r="36">
          <cell r="D36">
            <v>39455</v>
          </cell>
          <cell r="E36">
            <v>811.91219999999998</v>
          </cell>
          <cell r="F36">
            <v>-165.3614</v>
          </cell>
          <cell r="I36" t="str">
            <v>Rel</v>
          </cell>
          <cell r="J36">
            <v>0.33208825155269395</v>
          </cell>
        </row>
        <row r="37">
          <cell r="D37">
            <v>39456</v>
          </cell>
          <cell r="E37">
            <v>744.12616000000003</v>
          </cell>
          <cell r="F37">
            <v>-233.14743999999996</v>
          </cell>
        </row>
        <row r="38">
          <cell r="D38">
            <v>39457</v>
          </cell>
          <cell r="E38">
            <v>714.64080000000001</v>
          </cell>
          <cell r="F38">
            <v>-262.63279999999997</v>
          </cell>
          <cell r="I38" t="str">
            <v>VSAT stock performance since disclosure of 25% Baupost stake</v>
          </cell>
        </row>
        <row r="39">
          <cell r="D39">
            <v>39458</v>
          </cell>
          <cell r="E39">
            <v>690.62689999999998</v>
          </cell>
          <cell r="F39">
            <v>-286.64670000000001</v>
          </cell>
          <cell r="J39" t="str">
            <v>VSAT</v>
          </cell>
          <cell r="K39" t="str">
            <v>SML</v>
          </cell>
        </row>
        <row r="40">
          <cell r="D40">
            <v>39461</v>
          </cell>
          <cell r="E40">
            <v>692.45079999999996</v>
          </cell>
          <cell r="F40">
            <v>-284.82280000000003</v>
          </cell>
          <cell r="I40">
            <v>40087</v>
          </cell>
          <cell r="J40">
            <v>27</v>
          </cell>
          <cell r="K40">
            <v>307.52999999999997</v>
          </cell>
        </row>
        <row r="41">
          <cell r="D41">
            <v>39462</v>
          </cell>
          <cell r="E41">
            <v>683.63556000000005</v>
          </cell>
          <cell r="F41">
            <v>-293.63803999999993</v>
          </cell>
          <cell r="I41">
            <v>40493</v>
          </cell>
        </row>
        <row r="42">
          <cell r="I42" t="str">
            <v>Abs</v>
          </cell>
          <cell r="J42">
            <v>-1</v>
          </cell>
          <cell r="K42">
            <v>-1</v>
          </cell>
        </row>
        <row r="43">
          <cell r="E43" t="str">
            <v>VSAT</v>
          </cell>
          <cell r="I43" t="str">
            <v>Rel</v>
          </cell>
          <cell r="J43">
            <v>0</v>
          </cell>
        </row>
        <row r="44">
          <cell r="D44">
            <v>39454</v>
          </cell>
          <cell r="E44">
            <v>32.15</v>
          </cell>
        </row>
        <row r="45">
          <cell r="D45">
            <v>39455</v>
          </cell>
          <cell r="E45">
            <v>26.71</v>
          </cell>
          <cell r="F45">
            <v>-0.16920684292379462</v>
          </cell>
          <cell r="I45" t="str">
            <v>Past Year</v>
          </cell>
        </row>
        <row r="46">
          <cell r="D46">
            <v>39456</v>
          </cell>
          <cell r="E46">
            <v>24.48</v>
          </cell>
          <cell r="F46">
            <v>-0.23856920684292371</v>
          </cell>
          <cell r="J46" t="str">
            <v>VSAT</v>
          </cell>
          <cell r="K46" t="str">
            <v>SML</v>
          </cell>
        </row>
        <row r="47">
          <cell r="D47">
            <v>39457</v>
          </cell>
          <cell r="E47">
            <v>23.51</v>
          </cell>
          <cell r="F47">
            <v>-0.26874027993779148</v>
          </cell>
          <cell r="I47">
            <v>39734</v>
          </cell>
          <cell r="J47">
            <v>19.8</v>
          </cell>
          <cell r="K47">
            <v>306.08999999999997</v>
          </cell>
        </row>
        <row r="48">
          <cell r="D48">
            <v>39458</v>
          </cell>
          <cell r="E48">
            <v>22.72</v>
          </cell>
          <cell r="F48">
            <v>-0.29331259720062208</v>
          </cell>
          <cell r="I48">
            <v>40464</v>
          </cell>
          <cell r="J48">
            <v>41.89</v>
          </cell>
          <cell r="K48">
            <v>375</v>
          </cell>
        </row>
        <row r="49">
          <cell r="D49">
            <v>39461</v>
          </cell>
          <cell r="E49">
            <v>22.78</v>
          </cell>
          <cell r="F49">
            <v>-0.29144634525660962</v>
          </cell>
          <cell r="I49" t="str">
            <v>Abs</v>
          </cell>
          <cell r="J49">
            <v>1.1156565656565656</v>
          </cell>
          <cell r="K49">
            <v>0.22512986376555921</v>
          </cell>
        </row>
        <row r="50">
          <cell r="D50">
            <v>39462</v>
          </cell>
          <cell r="E50">
            <v>22.49</v>
          </cell>
          <cell r="F50">
            <v>-0.30046656298600316</v>
          </cell>
          <cell r="I50" t="str">
            <v>Rel</v>
          </cell>
          <cell r="J50">
            <v>0.89052670189100636</v>
          </cell>
        </row>
        <row r="51">
          <cell r="D51">
            <v>39463</v>
          </cell>
          <cell r="E51">
            <v>23.15</v>
          </cell>
          <cell r="F51">
            <v>-0.27993779160186627</v>
          </cell>
        </row>
        <row r="52">
          <cell r="D52">
            <v>39464</v>
          </cell>
          <cell r="E52">
            <v>22.35</v>
          </cell>
          <cell r="F52">
            <v>-0.30482115085536543</v>
          </cell>
          <cell r="I52" t="str">
            <v xml:space="preserve">CY13 Valuation - Market Implied Satellite Value </v>
          </cell>
          <cell r="R52" t="str">
            <v xml:space="preserve">CY13 Valuation - Market Implied Satellite Value </v>
          </cell>
        </row>
        <row r="53">
          <cell r="M53" t="str">
            <v>Firm</v>
          </cell>
          <cell r="V53" t="str">
            <v>Firm</v>
          </cell>
        </row>
        <row r="54">
          <cell r="M54" t="str">
            <v>Value</v>
          </cell>
          <cell r="N54" t="str">
            <v xml:space="preserve">Debt </v>
          </cell>
          <cell r="O54" t="str">
            <v>Equity</v>
          </cell>
          <cell r="P54" t="str">
            <v>Per Share</v>
          </cell>
          <cell r="V54" t="str">
            <v>Value</v>
          </cell>
          <cell r="W54" t="str">
            <v xml:space="preserve">Debt </v>
          </cell>
          <cell r="X54" t="str">
            <v>Equity</v>
          </cell>
          <cell r="Y54" t="str">
            <v>Per Share</v>
          </cell>
        </row>
        <row r="56">
          <cell r="I56" t="str">
            <v>Current VSAT Market Value</v>
          </cell>
          <cell r="M56">
            <v>2070.9677743900002</v>
          </cell>
          <cell r="N56">
            <v>268.923</v>
          </cell>
          <cell r="O56">
            <v>1802.0447743900002</v>
          </cell>
          <cell r="P56">
            <v>41.52</v>
          </cell>
          <cell r="R56" t="str">
            <v>Current VSAT Market Value</v>
          </cell>
          <cell r="V56">
            <v>2439.015454708574</v>
          </cell>
          <cell r="W56">
            <v>268.923</v>
          </cell>
          <cell r="X56">
            <v>2170.0924547085742</v>
          </cell>
          <cell r="Y56">
            <v>50</v>
          </cell>
        </row>
        <row r="58">
          <cell r="I58" t="str">
            <v>Assuming a peer value for Government Systems…</v>
          </cell>
          <cell r="R58" t="str">
            <v>Assuming a peer value for Government Systems…</v>
          </cell>
        </row>
        <row r="59">
          <cell r="I59" t="str">
            <v>Government Systems EBITDA</v>
          </cell>
          <cell r="M59">
            <v>94.801856744249989</v>
          </cell>
          <cell r="R59" t="str">
            <v>Government Systems EBITDA</v>
          </cell>
          <cell r="V59">
            <v>94.801856744249989</v>
          </cell>
        </row>
        <row r="60">
          <cell r="I60" t="str">
            <v>Harris Corp EV / EBITDA</v>
          </cell>
          <cell r="M60" t="e">
            <v>#VALUE!</v>
          </cell>
          <cell r="R60" t="str">
            <v>Harris Corp EV / EBITDA</v>
          </cell>
          <cell r="V60">
            <v>5</v>
          </cell>
        </row>
        <row r="61">
          <cell r="I61" t="str">
            <v>Government Systems Value</v>
          </cell>
          <cell r="M61" t="e">
            <v>#VALUE!</v>
          </cell>
          <cell r="N61">
            <v>0</v>
          </cell>
          <cell r="O61" t="e">
            <v>#VALUE!</v>
          </cell>
          <cell r="P61" t="e">
            <v>#VALUE!</v>
          </cell>
          <cell r="R61" t="str">
            <v>Government Systems Value</v>
          </cell>
          <cell r="V61">
            <v>474.00928372124997</v>
          </cell>
          <cell r="W61">
            <v>0</v>
          </cell>
          <cell r="X61">
            <v>474.00928372124997</v>
          </cell>
          <cell r="Y61">
            <v>10.921407580878981</v>
          </cell>
        </row>
        <row r="63">
          <cell r="I63" t="str">
            <v>...How is the market valuing the satellite businesses?</v>
          </cell>
          <cell r="R63" t="str">
            <v>...How is the market valuing the satellite businesses?</v>
          </cell>
        </row>
        <row r="64">
          <cell r="I64" t="str">
            <v>Implied Satellite Business Value</v>
          </cell>
          <cell r="M64" t="e">
            <v>#VALUE!</v>
          </cell>
          <cell r="N64">
            <v>268.923</v>
          </cell>
          <cell r="O64" t="e">
            <v>#VALUE!</v>
          </cell>
          <cell r="P64" t="e">
            <v>#VALUE!</v>
          </cell>
          <cell r="R64" t="str">
            <v>Implied Satellite Business Value</v>
          </cell>
          <cell r="V64">
            <v>1965.0061709873239</v>
          </cell>
          <cell r="W64">
            <v>268.923</v>
          </cell>
          <cell r="X64">
            <v>1696.0831709873239</v>
          </cell>
          <cell r="Y64">
            <v>39.078592419121016</v>
          </cell>
        </row>
        <row r="65">
          <cell r="I65" t="str">
            <v>Satellite Business EBITDA</v>
          </cell>
          <cell r="M65">
            <v>254.68373697989813</v>
          </cell>
          <cell r="R65" t="str">
            <v>Satellite Business EBITDA</v>
          </cell>
          <cell r="V65">
            <v>254.68373697989813</v>
          </cell>
        </row>
        <row r="66">
          <cell r="I66" t="str">
            <v>Satellite Business EV / EBITDA</v>
          </cell>
          <cell r="M66" t="e">
            <v>#VALUE!</v>
          </cell>
          <cell r="R66" t="str">
            <v>Satellite Business EV / EBITDA</v>
          </cell>
          <cell r="V66">
            <v>7.7154756494813777</v>
          </cell>
        </row>
        <row r="68">
          <cell r="I68" t="str">
            <v>Diluted Shares</v>
          </cell>
          <cell r="M68">
            <v>43.401849094171482</v>
          </cell>
          <cell r="R68" t="str">
            <v>Diluted Shares</v>
          </cell>
          <cell r="V68">
            <v>43.401849094171482</v>
          </cell>
        </row>
        <row r="69">
          <cell r="F69">
            <v>0.21091822697804849</v>
          </cell>
        </row>
        <row r="70">
          <cell r="F70">
            <v>22</v>
          </cell>
          <cell r="M70" t="str">
            <v>FY11</v>
          </cell>
        </row>
        <row r="71">
          <cell r="F71">
            <v>2.3918659999999998</v>
          </cell>
        </row>
        <row r="72">
          <cell r="F72">
            <v>52.621051999999999</v>
          </cell>
          <cell r="M72">
            <v>67.830465000000004</v>
          </cell>
          <cell r="N72">
            <v>85.308600000000013</v>
          </cell>
          <cell r="O72">
            <v>91.505362274999996</v>
          </cell>
          <cell r="P72">
            <v>95.900688233999986</v>
          </cell>
        </row>
        <row r="73">
          <cell r="F73">
            <v>41.384967989086448</v>
          </cell>
          <cell r="M73">
            <v>14.649923999999999</v>
          </cell>
          <cell r="N73">
            <v>20.4039973</v>
          </cell>
          <cell r="O73">
            <v>25.240948045000003</v>
          </cell>
          <cell r="P73">
            <v>31.533387100200002</v>
          </cell>
        </row>
        <row r="74">
          <cell r="M74">
            <v>102.76400554633054</v>
          </cell>
          <cell r="N74">
            <v>131.97657435243119</v>
          </cell>
          <cell r="O74">
            <v>188.19278929102884</v>
          </cell>
          <cell r="P74">
            <v>236.90034976098789</v>
          </cell>
        </row>
        <row r="76">
          <cell r="N76" t="str">
            <v>CY11</v>
          </cell>
          <cell r="O76" t="str">
            <v>CY12</v>
          </cell>
          <cell r="P76" t="str">
            <v>CY13</v>
          </cell>
        </row>
        <row r="77">
          <cell r="F77">
            <v>41274</v>
          </cell>
          <cell r="N77">
            <v>80.93906625000001</v>
          </cell>
          <cell r="O77">
            <v>89.956171706250004</v>
          </cell>
          <cell r="P77">
            <v>94.801856744249989</v>
          </cell>
        </row>
        <row r="78">
          <cell r="F78">
            <v>40493</v>
          </cell>
          <cell r="N78">
            <v>18.965478975</v>
          </cell>
          <cell r="O78">
            <v>24.031710358750001</v>
          </cell>
          <cell r="P78">
            <v>29.960277336400004</v>
          </cell>
        </row>
        <row r="79">
          <cell r="F79">
            <v>0.11879999999999999</v>
          </cell>
          <cell r="N79">
            <v>124.67343215090602</v>
          </cell>
          <cell r="O79">
            <v>174.13873555637943</v>
          </cell>
          <cell r="P79">
            <v>224.72345964349813</v>
          </cell>
        </row>
        <row r="110">
          <cell r="H110" t="str">
            <v>1Q08</v>
          </cell>
        </row>
        <row r="111">
          <cell r="H111" t="str">
            <v>2Q08</v>
          </cell>
        </row>
        <row r="112">
          <cell r="H112" t="str">
            <v>3Q08</v>
          </cell>
        </row>
        <row r="113">
          <cell r="H113" t="str">
            <v>4Q08</v>
          </cell>
        </row>
        <row r="114">
          <cell r="H114" t="str">
            <v>1Q09</v>
          </cell>
        </row>
        <row r="115">
          <cell r="H115" t="str">
            <v>2Q09</v>
          </cell>
        </row>
        <row r="116">
          <cell r="H116" t="str">
            <v>3Q09</v>
          </cell>
        </row>
        <row r="117">
          <cell r="H117" t="str">
            <v>4Q09</v>
          </cell>
        </row>
        <row r="118">
          <cell r="H118" t="str">
            <v>1Q10</v>
          </cell>
        </row>
        <row r="119">
          <cell r="H119" t="str">
            <v>2Q10</v>
          </cell>
        </row>
        <row r="120">
          <cell r="H120" t="str">
            <v>3Q10</v>
          </cell>
        </row>
        <row r="121">
          <cell r="H121" t="str">
            <v>4Q10</v>
          </cell>
        </row>
        <row r="122">
          <cell r="H122" t="str">
            <v>1Q11</v>
          </cell>
        </row>
        <row r="123">
          <cell r="H123" t="str">
            <v>2Q11E</v>
          </cell>
        </row>
        <row r="124">
          <cell r="H124" t="str">
            <v>3Q11E</v>
          </cell>
        </row>
        <row r="125">
          <cell r="H125" t="str">
            <v>4Q11E</v>
          </cell>
        </row>
        <row r="134">
          <cell r="H134" t="str">
            <v>FYE March 31</v>
          </cell>
        </row>
        <row r="135">
          <cell r="H135" t="str">
            <v xml:space="preserve">FY08 </v>
          </cell>
          <cell r="I135" t="str">
            <v xml:space="preserve">FY09 </v>
          </cell>
          <cell r="J135" t="str">
            <v xml:space="preserve">FY10 </v>
          </cell>
          <cell r="K135" t="str">
            <v xml:space="preserve">FY11 </v>
          </cell>
          <cell r="L135" t="str">
            <v xml:space="preserve">FY12 </v>
          </cell>
        </row>
        <row r="137">
          <cell r="F137" t="str">
            <v>Tactical Data Links</v>
          </cell>
          <cell r="H137">
            <v>137.91600000000003</v>
          </cell>
          <cell r="I137">
            <v>131.91759000000002</v>
          </cell>
          <cell r="J137">
            <v>127.98287999999998</v>
          </cell>
          <cell r="K137">
            <v>112</v>
          </cell>
          <cell r="L137">
            <v>112</v>
          </cell>
          <cell r="N137">
            <v>118.81018000000002</v>
          </cell>
        </row>
        <row r="138">
          <cell r="F138" t="str">
            <v xml:space="preserve">  Y/Y Chg.</v>
          </cell>
          <cell r="H138">
            <v>0.16080962085908812</v>
          </cell>
          <cell r="I138">
            <v>-4.3493213260245356E-2</v>
          </cell>
          <cell r="J138">
            <v>-2.9827030648452824E-2</v>
          </cell>
          <cell r="K138">
            <v>-0.12488295309497632</v>
          </cell>
          <cell r="L138">
            <v>0</v>
          </cell>
        </row>
        <row r="140">
          <cell r="F140" t="str">
            <v>UAV Video Links</v>
          </cell>
          <cell r="H140">
            <v>13.2</v>
          </cell>
          <cell r="I140">
            <v>19.2</v>
          </cell>
          <cell r="J140">
            <v>20.5</v>
          </cell>
          <cell r="K140">
            <v>20.6</v>
          </cell>
          <cell r="L140">
            <v>21.218000000000004</v>
          </cell>
          <cell r="N140">
            <v>9.1</v>
          </cell>
        </row>
        <row r="141">
          <cell r="F141" t="str">
            <v xml:space="preserve">  Y/Y Chg.</v>
          </cell>
          <cell r="H141">
            <v>0.4505494505494505</v>
          </cell>
          <cell r="I141">
            <v>0.45454545454545459</v>
          </cell>
          <cell r="J141">
            <v>6.7708333333333481E-2</v>
          </cell>
          <cell r="K141">
            <v>4.8780487804878092E-3</v>
          </cell>
          <cell r="L141">
            <v>3.0000000000000027E-2</v>
          </cell>
        </row>
        <row r="143">
          <cell r="F143" t="str">
            <v>Info Assurance</v>
          </cell>
          <cell r="H143">
            <v>78.869920000000008</v>
          </cell>
          <cell r="I143">
            <v>124.36992000000001</v>
          </cell>
          <cell r="J143">
            <v>107.96992</v>
          </cell>
          <cell r="K143">
            <v>102</v>
          </cell>
          <cell r="L143">
            <v>112.2</v>
          </cell>
          <cell r="N143">
            <v>76.469920000000002</v>
          </cell>
        </row>
        <row r="144">
          <cell r="F144" t="str">
            <v xml:space="preserve">  Y/Y Chg.</v>
          </cell>
          <cell r="H144">
            <v>3.1384889640266422E-2</v>
          </cell>
          <cell r="I144">
            <v>0.5768992792182368</v>
          </cell>
          <cell r="J144">
            <v>-0.13186468239265581</v>
          </cell>
          <cell r="K144">
            <v>-5.5292437004676898E-2</v>
          </cell>
          <cell r="L144">
            <v>0.10000000000000009</v>
          </cell>
        </row>
        <row r="146">
          <cell r="F146" t="str">
            <v>Govt SatCom</v>
          </cell>
          <cell r="H146">
            <v>83.110240000000005</v>
          </cell>
          <cell r="I146">
            <v>112.71024</v>
          </cell>
          <cell r="J146">
            <v>128.61024</v>
          </cell>
          <cell r="K146">
            <v>157.5</v>
          </cell>
          <cell r="L146">
            <v>181.125</v>
          </cell>
          <cell r="N146">
            <v>57.810240000000007</v>
          </cell>
        </row>
        <row r="147">
          <cell r="F147" t="str">
            <v xml:space="preserve">  Y/Y Chg.</v>
          </cell>
          <cell r="H147">
            <v>0.4376387297475326</v>
          </cell>
          <cell r="I147">
            <v>0.35615346556573524</v>
          </cell>
          <cell r="J147">
            <v>0.14106970227372417</v>
          </cell>
          <cell r="K147">
            <v>0.22463032492591561</v>
          </cell>
          <cell r="L147">
            <v>0.14999999999999991</v>
          </cell>
        </row>
        <row r="149">
          <cell r="F149" t="str">
            <v>Other/Rounding</v>
          </cell>
          <cell r="H149">
            <v>6.4418399999999849</v>
          </cell>
          <cell r="I149">
            <v>0.45825000000004934</v>
          </cell>
          <cell r="J149">
            <v>8.7960000000094851E-2</v>
          </cell>
          <cell r="K149">
            <v>0.64499999999998181</v>
          </cell>
          <cell r="L149">
            <v>0</v>
          </cell>
        </row>
        <row r="150">
          <cell r="F150" t="str">
            <v>Total</v>
          </cell>
          <cell r="H150">
            <v>319.53800000000001</v>
          </cell>
          <cell r="I150">
            <v>388.65600000000006</v>
          </cell>
          <cell r="J150">
            <v>385.15100000000007</v>
          </cell>
          <cell r="K150">
            <v>392.745</v>
          </cell>
          <cell r="L150">
            <v>426.54300000000001</v>
          </cell>
          <cell r="N150">
            <v>278.35199999999998</v>
          </cell>
        </row>
        <row r="151">
          <cell r="F151" t="str">
            <v xml:space="preserve">  Y/Y Chg.</v>
          </cell>
          <cell r="H151">
            <v>0.14796372937862867</v>
          </cell>
          <cell r="I151">
            <v>0.21630604184791813</v>
          </cell>
          <cell r="J151">
            <v>-9.018257790951334E-3</v>
          </cell>
          <cell r="K151">
            <v>1.9716942186311259E-2</v>
          </cell>
          <cell r="L151">
            <v>8.6055837757323506E-2</v>
          </cell>
        </row>
      </sheetData>
      <sheetData sheetId="14" refreshError="1"/>
      <sheetData sheetId="15" refreshError="1"/>
      <sheetData sheetId="16" refreshError="1"/>
      <sheetData sheetId="17" refreshError="1"/>
      <sheetData sheetId="18"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__FDSCACHE__"/>
      <sheetName val="TXT Tables"/>
      <sheetName val="Output"/>
      <sheetName val="TCFC Liquid analysis"/>
      <sheetName val="Fin, Output"/>
      <sheetName val="Debt"/>
      <sheetName val="Capital Raise"/>
      <sheetName val="Variance Analysis"/>
      <sheetName val="Quarterly P&amp;L"/>
      <sheetName val="Finance"/>
      <sheetName val="TFC Roll-Off Analysis"/>
      <sheetName val="Finance Senario Analysis"/>
      <sheetName val="Cessna"/>
      <sheetName val="Bell"/>
      <sheetName val="Industrial"/>
      <sheetName val="TXT Systems"/>
      <sheetName val="Valuation- Multiples (2)"/>
      <sheetName val="MWA RR"/>
      <sheetName val="Open Platform- Assumptions"/>
      <sheetName val="Covenant Checks"/>
      <sheetName val="Debt Schedule"/>
      <sheetName val="Valuation- Sum of Parts"/>
      <sheetName val="Valuation- Multiples"/>
      <sheetName val="DCF"/>
      <sheetName val="Key Ratios"/>
      <sheetName val="MW-Cache"/>
      <sheetName val="CessnaDetail"/>
      <sheetName val="Bell-Detail"/>
      <sheetName val="Revenue by Segment"/>
      <sheetName val="Backlog- Time to Fill"/>
      <sheetName val="Backlog- Govt. vs Commerical"/>
      <sheetName val="R&amp;D Spend"/>
      <sheetName val="Revs, Assets Per Employee"/>
      <sheetName val="Revs &amp; Manufacturing Space "/>
      <sheetName val="Historical"/>
      <sheetName val="Management"/>
      <sheetName val="mwareDates"/>
      <sheetName val="Roll off Speed"/>
      <sheetName val="Chart1"/>
      <sheetName val="Chart2"/>
      <sheetName val="Chart3"/>
      <sheetName val="Chart4"/>
      <sheetName val="Chart5"/>
      <sheetName val="SOTP Guidance"/>
      <sheetName val="SOTP Guidance (2)"/>
      <sheetName val="mwareSettings"/>
      <sheetName val="XO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ow r="12">
          <cell r="W12">
            <v>0.25</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ercial Traffic&gt;&gt;"/>
      <sheetName val="Instructions"/>
      <sheetName val="Monthly_Traffic_Summary"/>
      <sheetName val="Annual Traffic Summary"/>
      <sheetName val="Comm. Traffic Charts"/>
      <sheetName val="US Traffic Data"/>
      <sheetName val="Europe Traffic Data"/>
      <sheetName val="Asia Traffic Data"/>
      <sheetName val="#REF"/>
      <sheetName val="Sheet1"/>
      <sheetName val="Mai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Biz Jets Takeoffs Landings&gt;&gt;"/>
      <sheetName val="Deliveries"/>
      <sheetName val="Biz Jet Output Data"/>
      <sheetName val="Quart. &amp; Annual Summary"/>
      <sheetName val="BJs charts"/>
      <sheetName val="__FDSCACHE__"/>
      <sheetName val="Source Data All Biz Jets"/>
      <sheetName val="Source Data Gulfstream "/>
      <sheetName val="Source Data Cessna"/>
      <sheetName val="Source Data Bombardier"/>
      <sheetName val="Delivs Condensed"/>
      <sheetName val="Amstat Inventories"/>
      <sheetName val="Sheet1"/>
      <sheetName val="BizJet Deliveries"/>
      <sheetName val="BBD Data"/>
      <sheetName val="AFOSHEET"/>
      <sheetName val="#REF"/>
      <sheetName val="Annual Traffic Summary"/>
      <sheetName val="Monthly_Traffic_Summary"/>
    </sheetNames>
    <sheetDataSet>
      <sheetData sheetId="0"/>
      <sheetData sheetId="1"/>
      <sheetData sheetId="2"/>
      <sheetData sheetId="3">
        <row r="1">
          <cell r="A1" t="str">
            <v>FAA Biz Jets Arrivals / Departures</v>
          </cell>
        </row>
      </sheetData>
      <sheetData sheetId="4"/>
      <sheetData sheetId="5">
        <row r="1">
          <cell r="A1" t="str">
            <v>Biz Jet Traffic Charts</v>
          </cell>
        </row>
      </sheetData>
      <sheetData sheetId="6"/>
      <sheetData sheetId="7"/>
      <sheetData sheetId="8"/>
      <sheetData sheetId="9"/>
      <sheetData sheetId="10"/>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 val="BizJet Deliveri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ain"/>
      <sheetName val="Short Form"/>
      <sheetName val="Boeing Monthly"/>
      <sheetName val="Airbus Monthly"/>
      <sheetName val="Boeing Del Schedule- Reported"/>
      <sheetName val="Boeing Del Schedule"/>
      <sheetName val="Airbus Del Schedule"/>
      <sheetName val="BA Monthly Del by Airline"/>
      <sheetName val="Airbus Monthly Del by Airline"/>
      <sheetName val="Monthly Note"/>
      <sheetName val="Regional"/>
      <sheetName val="Orders"/>
      <sheetName val="Asia"/>
      <sheetName val="747 "/>
      <sheetName val="787 vs A350 Orders"/>
      <sheetName val="A380 Buildup"/>
      <sheetName val="__FDSCACHE__"/>
      <sheetName val="New Tables 2006"/>
      <sheetName val="Airbus Del Schedule 2"/>
      <sheetName val="Graphs"/>
      <sheetName val="Paris 05 Orders"/>
      <sheetName val="Paris 07 Orders"/>
      <sheetName val="Dubai 07 Orders"/>
      <sheetName val="F'boro 08 Orders"/>
      <sheetName val="Tables"/>
      <sheetName val="BA for Note"/>
      <sheetName val="Airbus for Note"/>
      <sheetName val="projected fleet size"/>
      <sheetName val="747 Data"/>
      <sheetName val="Summary Sheet"/>
      <sheetName val="777vA340"/>
      <sheetName val="Airclaims"/>
      <sheetName val="2005 Paris Air Show Orders"/>
    </sheetNames>
    <sheetDataSet>
      <sheetData sheetId="0" refreshError="1"/>
      <sheetData sheetId="1">
        <row r="1">
          <cell r="A1" t="str">
            <v>COMMERCIAL AIRCRAFT QUARTERLY ORDER/BACKLOG SCORECARD</v>
          </cell>
        </row>
      </sheetData>
      <sheetData sheetId="2" refreshError="1"/>
      <sheetData sheetId="3" refreshError="1"/>
      <sheetData sheetId="4" refreshError="1"/>
      <sheetData sheetId="5">
        <row r="3">
          <cell r="A3" t="str">
            <v>Boeing Aircraft Delivery Schedule</v>
          </cell>
        </row>
      </sheetData>
      <sheetData sheetId="6">
        <row r="1">
          <cell r="A1" t="str">
            <v>(Announced Orders, per press releases; all orders not currently reflected in official backlog)</v>
          </cell>
        </row>
      </sheetData>
      <sheetData sheetId="7" refreshError="1"/>
      <sheetData sheetId="8" refreshError="1"/>
      <sheetData sheetId="9" refreshError="1"/>
      <sheetData sheetId="10">
        <row r="1">
          <cell r="B1" t="str">
            <v>Tables/Figures for Monthly Note</v>
          </cell>
        </row>
      </sheetData>
      <sheetData sheetId="11" refreshError="1"/>
      <sheetData sheetId="12" refreshError="1"/>
      <sheetData sheetId="13" refreshError="1"/>
      <sheetData sheetId="14" refreshError="1"/>
      <sheetData sheetId="15">
        <row r="2">
          <cell r="A2" t="str">
            <v>As of 13 July, 2007</v>
          </cell>
        </row>
      </sheetData>
      <sheetData sheetId="16" refreshError="1"/>
      <sheetData sheetId="17" refreshError="1"/>
      <sheetData sheetId="18">
        <row r="1">
          <cell r="A1">
            <v>32873</v>
          </cell>
        </row>
      </sheetData>
      <sheetData sheetId="19" refreshError="1"/>
      <sheetData sheetId="20">
        <row r="2">
          <cell r="A2" t="str">
            <v>Order, Backlog- Data</v>
          </cell>
        </row>
        <row r="4">
          <cell r="B4" t="str">
            <v>Orders</v>
          </cell>
          <cell r="S4" t="str">
            <v>Backlog</v>
          </cell>
        </row>
        <row r="5">
          <cell r="B5" t="str">
            <v>A300</v>
          </cell>
          <cell r="C5" t="str">
            <v>A310</v>
          </cell>
          <cell r="D5" t="str">
            <v>A318</v>
          </cell>
          <cell r="E5" t="str">
            <v>A319</v>
          </cell>
          <cell r="F5" t="str">
            <v>A320</v>
          </cell>
          <cell r="G5" t="str">
            <v>A321</v>
          </cell>
          <cell r="H5" t="str">
            <v>A330</v>
          </cell>
          <cell r="I5" t="str">
            <v>A340</v>
          </cell>
          <cell r="J5" t="str">
            <v>A350</v>
          </cell>
          <cell r="K5" t="str">
            <v>A380</v>
          </cell>
          <cell r="L5">
            <v>717</v>
          </cell>
          <cell r="M5">
            <v>737</v>
          </cell>
          <cell r="N5">
            <v>747</v>
          </cell>
          <cell r="O5">
            <v>757</v>
          </cell>
          <cell r="P5">
            <v>767</v>
          </cell>
          <cell r="Q5">
            <v>777</v>
          </cell>
          <cell r="R5">
            <v>787</v>
          </cell>
          <cell r="S5" t="str">
            <v>A300</v>
          </cell>
          <cell r="T5" t="str">
            <v>A310</v>
          </cell>
          <cell r="U5" t="str">
            <v>A318</v>
          </cell>
          <cell r="V5" t="str">
            <v>A319</v>
          </cell>
          <cell r="W5" t="str">
            <v>A320</v>
          </cell>
          <cell r="X5" t="str">
            <v>A321</v>
          </cell>
          <cell r="Y5" t="str">
            <v>A330</v>
          </cell>
          <cell r="Z5" t="str">
            <v>A340</v>
          </cell>
          <cell r="AA5" t="str">
            <v>A350</v>
          </cell>
          <cell r="AB5" t="str">
            <v>A380</v>
          </cell>
          <cell r="AC5">
            <v>717</v>
          </cell>
          <cell r="AD5">
            <v>737</v>
          </cell>
          <cell r="AE5">
            <v>747</v>
          </cell>
          <cell r="AF5">
            <v>757</v>
          </cell>
          <cell r="AG5">
            <v>767</v>
          </cell>
          <cell r="AH5">
            <v>777</v>
          </cell>
          <cell r="AI5">
            <v>787</v>
          </cell>
        </row>
        <row r="6">
          <cell r="A6">
            <v>1990</v>
          </cell>
          <cell r="B6">
            <v>31</v>
          </cell>
          <cell r="C6">
            <v>40</v>
          </cell>
          <cell r="E6">
            <v>0</v>
          </cell>
          <cell r="F6">
            <v>73</v>
          </cell>
          <cell r="G6">
            <v>53</v>
          </cell>
          <cell r="H6">
            <v>25</v>
          </cell>
          <cell r="I6">
            <v>8</v>
          </cell>
          <cell r="M6">
            <v>162</v>
          </cell>
          <cell r="N6">
            <v>172</v>
          </cell>
          <cell r="O6">
            <v>97</v>
          </cell>
          <cell r="P6">
            <v>52</v>
          </cell>
          <cell r="Q6">
            <v>49</v>
          </cell>
          <cell r="S6">
            <v>78</v>
          </cell>
          <cell r="T6">
            <v>78</v>
          </cell>
          <cell r="W6">
            <v>531</v>
          </cell>
          <cell r="X6">
            <v>137</v>
          </cell>
          <cell r="Y6">
            <v>138</v>
          </cell>
          <cell r="Z6">
            <v>92</v>
          </cell>
          <cell r="AD6">
            <v>1001</v>
          </cell>
          <cell r="AE6">
            <v>305</v>
          </cell>
          <cell r="AF6">
            <v>417</v>
          </cell>
          <cell r="AG6">
            <v>195</v>
          </cell>
          <cell r="AH6">
            <v>49</v>
          </cell>
        </row>
        <row r="7">
          <cell r="A7">
            <v>1991</v>
          </cell>
          <cell r="B7">
            <v>40</v>
          </cell>
          <cell r="C7">
            <v>12</v>
          </cell>
          <cell r="E7">
            <v>0</v>
          </cell>
          <cell r="F7">
            <v>14</v>
          </cell>
          <cell r="G7">
            <v>3</v>
          </cell>
          <cell r="H7">
            <v>5</v>
          </cell>
          <cell r="I7">
            <v>26</v>
          </cell>
          <cell r="M7">
            <v>72</v>
          </cell>
          <cell r="N7">
            <v>38</v>
          </cell>
          <cell r="O7">
            <v>43</v>
          </cell>
          <cell r="P7">
            <v>72</v>
          </cell>
          <cell r="Q7">
            <v>27</v>
          </cell>
          <cell r="S7">
            <v>93</v>
          </cell>
          <cell r="T7">
            <v>56</v>
          </cell>
          <cell r="W7">
            <v>416</v>
          </cell>
          <cell r="X7">
            <v>140</v>
          </cell>
          <cell r="Y7">
            <v>143</v>
          </cell>
          <cell r="Z7">
            <v>118</v>
          </cell>
          <cell r="AD7">
            <v>837</v>
          </cell>
          <cell r="AE7">
            <v>280</v>
          </cell>
          <cell r="AF7">
            <v>381</v>
          </cell>
          <cell r="AG7">
            <v>205</v>
          </cell>
          <cell r="AH7">
            <v>76</v>
          </cell>
        </row>
        <row r="8">
          <cell r="A8">
            <v>1992</v>
          </cell>
          <cell r="B8">
            <v>18</v>
          </cell>
          <cell r="C8">
            <v>14</v>
          </cell>
          <cell r="E8">
            <v>6</v>
          </cell>
          <cell r="F8">
            <v>59</v>
          </cell>
          <cell r="G8">
            <v>8</v>
          </cell>
          <cell r="H8">
            <v>1</v>
          </cell>
          <cell r="I8">
            <v>22</v>
          </cell>
          <cell r="M8">
            <v>114</v>
          </cell>
          <cell r="N8">
            <v>28</v>
          </cell>
          <cell r="O8">
            <v>38</v>
          </cell>
          <cell r="P8">
            <v>21</v>
          </cell>
          <cell r="Q8">
            <v>42</v>
          </cell>
          <cell r="S8">
            <v>89</v>
          </cell>
          <cell r="T8">
            <v>44</v>
          </cell>
          <cell r="V8">
            <v>6</v>
          </cell>
          <cell r="W8">
            <v>296</v>
          </cell>
          <cell r="X8">
            <v>153</v>
          </cell>
          <cell r="Y8">
            <v>144</v>
          </cell>
          <cell r="Z8">
            <v>112</v>
          </cell>
          <cell r="AD8">
            <v>701</v>
          </cell>
          <cell r="AE8">
            <v>242</v>
          </cell>
          <cell r="AF8">
            <v>321</v>
          </cell>
          <cell r="AG8">
            <v>158</v>
          </cell>
          <cell r="AH8">
            <v>116</v>
          </cell>
        </row>
        <row r="9">
          <cell r="A9">
            <v>1993</v>
          </cell>
          <cell r="B9">
            <v>6</v>
          </cell>
          <cell r="C9">
            <v>3</v>
          </cell>
          <cell r="E9">
            <v>0</v>
          </cell>
          <cell r="F9">
            <v>13</v>
          </cell>
          <cell r="G9">
            <v>0</v>
          </cell>
          <cell r="H9">
            <v>1</v>
          </cell>
          <cell r="I9">
            <v>15</v>
          </cell>
          <cell r="M9">
            <v>107</v>
          </cell>
          <cell r="N9">
            <v>0</v>
          </cell>
          <cell r="O9">
            <v>35</v>
          </cell>
          <cell r="P9">
            <v>65</v>
          </cell>
          <cell r="Q9">
            <v>26</v>
          </cell>
          <cell r="S9">
            <v>71</v>
          </cell>
          <cell r="T9">
            <v>15</v>
          </cell>
          <cell r="V9">
            <v>6</v>
          </cell>
          <cell r="W9">
            <v>212</v>
          </cell>
          <cell r="X9">
            <v>153</v>
          </cell>
          <cell r="Y9">
            <v>117</v>
          </cell>
          <cell r="Z9">
            <v>96</v>
          </cell>
          <cell r="AD9">
            <v>526</v>
          </cell>
          <cell r="AE9">
            <v>158</v>
          </cell>
          <cell r="AF9">
            <v>272</v>
          </cell>
          <cell r="AG9">
            <v>151</v>
          </cell>
          <cell r="AH9">
            <v>145</v>
          </cell>
        </row>
        <row r="10">
          <cell r="A10">
            <v>1994</v>
          </cell>
          <cell r="B10">
            <v>0</v>
          </cell>
          <cell r="C10">
            <v>0</v>
          </cell>
          <cell r="E10">
            <v>44</v>
          </cell>
          <cell r="F10">
            <v>42</v>
          </cell>
          <cell r="G10">
            <v>20</v>
          </cell>
          <cell r="H10">
            <v>0</v>
          </cell>
          <cell r="I10">
            <v>30</v>
          </cell>
          <cell r="M10">
            <v>69</v>
          </cell>
          <cell r="N10">
            <v>16</v>
          </cell>
          <cell r="O10">
            <v>12</v>
          </cell>
          <cell r="P10">
            <v>22</v>
          </cell>
          <cell r="Q10">
            <v>0</v>
          </cell>
          <cell r="S10">
            <v>41</v>
          </cell>
          <cell r="T10">
            <v>9</v>
          </cell>
          <cell r="V10">
            <v>51</v>
          </cell>
          <cell r="W10">
            <v>177</v>
          </cell>
          <cell r="X10">
            <v>131</v>
          </cell>
          <cell r="Y10">
            <v>108</v>
          </cell>
          <cell r="Z10">
            <v>98</v>
          </cell>
          <cell r="AD10">
            <v>424</v>
          </cell>
          <cell r="AE10">
            <v>112</v>
          </cell>
          <cell r="AF10">
            <v>190</v>
          </cell>
          <cell r="AG10">
            <v>127</v>
          </cell>
          <cell r="AH10">
            <v>145</v>
          </cell>
        </row>
        <row r="11">
          <cell r="A11">
            <v>1995</v>
          </cell>
          <cell r="B11">
            <v>2</v>
          </cell>
          <cell r="C11">
            <v>4</v>
          </cell>
          <cell r="E11">
            <v>30</v>
          </cell>
          <cell r="F11">
            <v>29</v>
          </cell>
          <cell r="G11">
            <v>7</v>
          </cell>
          <cell r="H11">
            <v>9</v>
          </cell>
          <cell r="I11">
            <v>10</v>
          </cell>
          <cell r="L11">
            <v>50</v>
          </cell>
          <cell r="M11">
            <v>176</v>
          </cell>
          <cell r="N11">
            <v>20</v>
          </cell>
          <cell r="O11">
            <v>13</v>
          </cell>
          <cell r="P11">
            <v>26</v>
          </cell>
          <cell r="Q11">
            <v>95</v>
          </cell>
          <cell r="S11">
            <v>26</v>
          </cell>
          <cell r="T11">
            <v>11</v>
          </cell>
          <cell r="V11">
            <v>81</v>
          </cell>
          <cell r="W11">
            <v>172</v>
          </cell>
          <cell r="X11">
            <v>120</v>
          </cell>
          <cell r="Y11">
            <v>81</v>
          </cell>
          <cell r="Z11">
            <v>87</v>
          </cell>
          <cell r="AC11">
            <v>50</v>
          </cell>
          <cell r="AD11">
            <v>474</v>
          </cell>
          <cell r="AE11">
            <v>123</v>
          </cell>
          <cell r="AF11">
            <v>138</v>
          </cell>
          <cell r="AG11">
            <v>118</v>
          </cell>
          <cell r="AH11">
            <v>215</v>
          </cell>
        </row>
        <row r="12">
          <cell r="A12">
            <v>1996</v>
          </cell>
          <cell r="B12">
            <v>13</v>
          </cell>
          <cell r="C12">
            <v>12</v>
          </cell>
          <cell r="E12">
            <v>48</v>
          </cell>
          <cell r="F12">
            <v>124</v>
          </cell>
          <cell r="G12">
            <v>33</v>
          </cell>
          <cell r="H12">
            <v>40</v>
          </cell>
          <cell r="I12">
            <v>31</v>
          </cell>
          <cell r="L12">
            <v>0</v>
          </cell>
          <cell r="M12">
            <v>300</v>
          </cell>
          <cell r="N12">
            <v>72</v>
          </cell>
          <cell r="O12">
            <v>49</v>
          </cell>
          <cell r="P12">
            <v>35</v>
          </cell>
          <cell r="Q12">
            <v>102</v>
          </cell>
          <cell r="S12">
            <v>23</v>
          </cell>
          <cell r="T12">
            <v>9</v>
          </cell>
          <cell r="V12">
            <v>120</v>
          </cell>
          <cell r="W12">
            <v>260</v>
          </cell>
          <cell r="X12">
            <v>141</v>
          </cell>
          <cell r="Y12">
            <v>114</v>
          </cell>
          <cell r="Z12">
            <v>87</v>
          </cell>
          <cell r="AC12">
            <v>50</v>
          </cell>
          <cell r="AD12">
            <v>755</v>
          </cell>
          <cell r="AE12">
            <v>165</v>
          </cell>
          <cell r="AF12">
            <v>136</v>
          </cell>
          <cell r="AG12">
            <v>85</v>
          </cell>
          <cell r="AH12">
            <v>271</v>
          </cell>
        </row>
        <row r="13">
          <cell r="A13">
            <v>1997</v>
          </cell>
          <cell r="B13">
            <v>6</v>
          </cell>
          <cell r="C13">
            <v>1</v>
          </cell>
          <cell r="E13">
            <v>185</v>
          </cell>
          <cell r="F13">
            <v>98</v>
          </cell>
          <cell r="G13">
            <v>37</v>
          </cell>
          <cell r="H13">
            <v>64</v>
          </cell>
          <cell r="I13">
            <v>25</v>
          </cell>
          <cell r="L13">
            <v>0</v>
          </cell>
          <cell r="M13">
            <v>320</v>
          </cell>
          <cell r="N13">
            <v>37</v>
          </cell>
          <cell r="O13">
            <v>45</v>
          </cell>
          <cell r="P13">
            <v>98</v>
          </cell>
          <cell r="Q13">
            <v>51</v>
          </cell>
          <cell r="S13">
            <v>20</v>
          </cell>
          <cell r="T13">
            <v>7</v>
          </cell>
          <cell r="V13">
            <v>306</v>
          </cell>
          <cell r="W13">
            <v>297</v>
          </cell>
          <cell r="X13">
            <v>140</v>
          </cell>
          <cell r="Y13">
            <v>162</v>
          </cell>
          <cell r="Z13">
            <v>77</v>
          </cell>
          <cell r="AC13">
            <v>50</v>
          </cell>
          <cell r="AD13">
            <v>920</v>
          </cell>
          <cell r="AE13">
            <v>163</v>
          </cell>
          <cell r="AF13">
            <v>135</v>
          </cell>
          <cell r="AG13">
            <v>141</v>
          </cell>
          <cell r="AH13">
            <v>259</v>
          </cell>
        </row>
        <row r="14">
          <cell r="A14">
            <v>1998</v>
          </cell>
          <cell r="B14">
            <v>32</v>
          </cell>
          <cell r="C14">
            <v>0</v>
          </cell>
          <cell r="E14">
            <v>139</v>
          </cell>
          <cell r="F14">
            <v>201</v>
          </cell>
          <cell r="G14">
            <v>45</v>
          </cell>
          <cell r="H14">
            <v>24</v>
          </cell>
          <cell r="I14">
            <v>63</v>
          </cell>
          <cell r="L14">
            <v>65</v>
          </cell>
          <cell r="M14">
            <v>373</v>
          </cell>
          <cell r="N14">
            <v>14</v>
          </cell>
          <cell r="O14">
            <v>50</v>
          </cell>
          <cell r="P14">
            <v>42</v>
          </cell>
          <cell r="Q14">
            <v>71</v>
          </cell>
          <cell r="S14">
            <v>39</v>
          </cell>
          <cell r="T14">
            <v>6</v>
          </cell>
          <cell r="V14">
            <v>435</v>
          </cell>
          <cell r="W14">
            <v>416</v>
          </cell>
          <cell r="X14">
            <v>141</v>
          </cell>
          <cell r="Y14">
            <v>161</v>
          </cell>
          <cell r="Z14">
            <v>116</v>
          </cell>
          <cell r="AC14">
            <v>55</v>
          </cell>
          <cell r="AD14">
            <v>981</v>
          </cell>
          <cell r="AE14">
            <v>103</v>
          </cell>
          <cell r="AF14">
            <v>129</v>
          </cell>
          <cell r="AG14">
            <v>133</v>
          </cell>
          <cell r="AH14">
            <v>249</v>
          </cell>
        </row>
        <row r="15">
          <cell r="A15">
            <v>1999</v>
          </cell>
          <cell r="B15">
            <v>0</v>
          </cell>
          <cell r="C15">
            <v>0</v>
          </cell>
          <cell r="D15">
            <v>120</v>
          </cell>
          <cell r="E15">
            <v>66</v>
          </cell>
          <cell r="F15">
            <v>188</v>
          </cell>
          <cell r="G15">
            <v>66</v>
          </cell>
          <cell r="H15">
            <v>32</v>
          </cell>
          <cell r="I15">
            <v>36</v>
          </cell>
          <cell r="L15">
            <v>15</v>
          </cell>
          <cell r="M15">
            <v>263</v>
          </cell>
          <cell r="N15">
            <v>35</v>
          </cell>
          <cell r="O15">
            <v>18</v>
          </cell>
          <cell r="P15">
            <v>37</v>
          </cell>
          <cell r="Q15">
            <v>23</v>
          </cell>
          <cell r="S15">
            <v>31</v>
          </cell>
          <cell r="T15">
            <v>5</v>
          </cell>
          <cell r="U15">
            <v>120</v>
          </cell>
          <cell r="V15">
            <v>380</v>
          </cell>
          <cell r="W15">
            <v>493</v>
          </cell>
          <cell r="X15">
            <v>169</v>
          </cell>
          <cell r="Y15">
            <v>134</v>
          </cell>
          <cell r="Z15">
            <v>119</v>
          </cell>
          <cell r="AC15">
            <v>119</v>
          </cell>
          <cell r="AD15">
            <v>912</v>
          </cell>
          <cell r="AE15">
            <v>76</v>
          </cell>
          <cell r="AF15">
            <v>80</v>
          </cell>
          <cell r="AG15">
            <v>122</v>
          </cell>
          <cell r="AH15">
            <v>188</v>
          </cell>
        </row>
        <row r="16">
          <cell r="A16">
            <v>2000</v>
          </cell>
          <cell r="B16">
            <v>2</v>
          </cell>
          <cell r="C16">
            <v>0</v>
          </cell>
          <cell r="D16">
            <v>41</v>
          </cell>
          <cell r="E16">
            <v>135</v>
          </cell>
          <cell r="F16">
            <v>177</v>
          </cell>
          <cell r="G16">
            <v>72</v>
          </cell>
          <cell r="H16">
            <v>110</v>
          </cell>
          <cell r="I16">
            <v>20</v>
          </cell>
          <cell r="L16">
            <v>21</v>
          </cell>
          <cell r="M16">
            <v>391</v>
          </cell>
          <cell r="N16">
            <v>27</v>
          </cell>
          <cell r="O16">
            <v>43</v>
          </cell>
          <cell r="P16">
            <v>12</v>
          </cell>
          <cell r="Q16">
            <v>117</v>
          </cell>
          <cell r="S16">
            <v>25</v>
          </cell>
          <cell r="T16">
            <v>5</v>
          </cell>
          <cell r="U16">
            <v>161</v>
          </cell>
          <cell r="V16">
            <v>385</v>
          </cell>
          <cell r="W16">
            <v>534</v>
          </cell>
          <cell r="X16">
            <v>207</v>
          </cell>
          <cell r="Y16">
            <v>193</v>
          </cell>
          <cell r="Z16">
            <v>126</v>
          </cell>
          <cell r="AC16">
            <v>108</v>
          </cell>
          <cell r="AD16">
            <v>1019</v>
          </cell>
          <cell r="AE16">
            <v>82</v>
          </cell>
          <cell r="AF16">
            <v>79</v>
          </cell>
          <cell r="AG16">
            <v>84</v>
          </cell>
          <cell r="AH16">
            <v>247</v>
          </cell>
        </row>
        <row r="17">
          <cell r="A17">
            <v>2001</v>
          </cell>
          <cell r="B17">
            <v>61</v>
          </cell>
          <cell r="C17">
            <v>0</v>
          </cell>
          <cell r="D17">
            <v>0</v>
          </cell>
          <cell r="E17">
            <v>57</v>
          </cell>
          <cell r="F17">
            <v>131</v>
          </cell>
          <cell r="G17">
            <v>47</v>
          </cell>
          <cell r="H17">
            <v>52</v>
          </cell>
          <cell r="I17">
            <v>2</v>
          </cell>
          <cell r="K17">
            <v>85</v>
          </cell>
          <cell r="L17">
            <v>6</v>
          </cell>
          <cell r="M17">
            <v>188</v>
          </cell>
          <cell r="N17">
            <v>16</v>
          </cell>
          <cell r="O17">
            <v>44</v>
          </cell>
          <cell r="P17">
            <v>51</v>
          </cell>
          <cell r="Q17">
            <v>30</v>
          </cell>
          <cell r="S17">
            <v>75</v>
          </cell>
          <cell r="T17">
            <v>5</v>
          </cell>
          <cell r="U17">
            <v>114</v>
          </cell>
          <cell r="V17">
            <v>287</v>
          </cell>
          <cell r="W17">
            <v>532</v>
          </cell>
          <cell r="X17">
            <v>195</v>
          </cell>
          <cell r="Y17">
            <v>198</v>
          </cell>
          <cell r="Z17">
            <v>84</v>
          </cell>
          <cell r="AB17">
            <v>85</v>
          </cell>
          <cell r="AC17">
            <v>45</v>
          </cell>
          <cell r="AD17">
            <v>889</v>
          </cell>
          <cell r="AE17">
            <v>59</v>
          </cell>
          <cell r="AF17">
            <v>55</v>
          </cell>
          <cell r="AG17">
            <v>67</v>
          </cell>
          <cell r="AH17">
            <v>204</v>
          </cell>
        </row>
        <row r="18">
          <cell r="A18">
            <v>2002</v>
          </cell>
          <cell r="B18">
            <v>0</v>
          </cell>
          <cell r="C18">
            <v>0</v>
          </cell>
          <cell r="D18">
            <v>0</v>
          </cell>
          <cell r="E18">
            <v>173</v>
          </cell>
          <cell r="F18">
            <v>16</v>
          </cell>
          <cell r="G18">
            <v>21</v>
          </cell>
          <cell r="H18">
            <v>24</v>
          </cell>
          <cell r="I18">
            <v>31</v>
          </cell>
          <cell r="K18">
            <v>10</v>
          </cell>
          <cell r="L18">
            <v>23</v>
          </cell>
          <cell r="M18">
            <v>162</v>
          </cell>
          <cell r="N18">
            <v>17</v>
          </cell>
          <cell r="O18">
            <v>0</v>
          </cell>
          <cell r="P18">
            <v>8</v>
          </cell>
          <cell r="Q18">
            <v>32</v>
          </cell>
          <cell r="S18">
            <v>66</v>
          </cell>
          <cell r="T18">
            <v>5</v>
          </cell>
          <cell r="U18">
            <v>84</v>
          </cell>
          <cell r="V18">
            <v>367</v>
          </cell>
          <cell r="W18">
            <v>483</v>
          </cell>
          <cell r="X18">
            <v>166</v>
          </cell>
          <cell r="Y18">
            <v>168</v>
          </cell>
          <cell r="Z18">
            <v>90</v>
          </cell>
          <cell r="AB18">
            <v>95</v>
          </cell>
          <cell r="AC18">
            <v>40</v>
          </cell>
          <cell r="AD18">
            <v>778</v>
          </cell>
          <cell r="AE18">
            <v>52</v>
          </cell>
          <cell r="AF18">
            <v>28</v>
          </cell>
          <cell r="AG18">
            <v>39</v>
          </cell>
          <cell r="AH18">
            <v>187</v>
          </cell>
        </row>
        <row r="19">
          <cell r="A19">
            <v>2003</v>
          </cell>
          <cell r="B19">
            <v>6</v>
          </cell>
          <cell r="C19">
            <v>0</v>
          </cell>
          <cell r="D19">
            <v>0</v>
          </cell>
          <cell r="E19">
            <v>78</v>
          </cell>
          <cell r="F19">
            <v>117</v>
          </cell>
          <cell r="G19">
            <v>13</v>
          </cell>
          <cell r="H19">
            <v>54</v>
          </cell>
          <cell r="I19">
            <v>35</v>
          </cell>
          <cell r="K19">
            <v>34</v>
          </cell>
          <cell r="L19">
            <v>8</v>
          </cell>
          <cell r="M19">
            <v>207</v>
          </cell>
          <cell r="N19">
            <v>4</v>
          </cell>
          <cell r="O19">
            <v>7</v>
          </cell>
          <cell r="P19">
            <v>11</v>
          </cell>
          <cell r="Q19">
            <v>13</v>
          </cell>
          <cell r="S19">
            <v>64</v>
          </cell>
          <cell r="T19">
            <v>5</v>
          </cell>
          <cell r="U19">
            <v>70</v>
          </cell>
          <cell r="V19">
            <v>361</v>
          </cell>
          <cell r="W19">
            <v>445</v>
          </cell>
          <cell r="X19">
            <v>120</v>
          </cell>
          <cell r="Y19">
            <v>187</v>
          </cell>
          <cell r="Z19">
            <v>87</v>
          </cell>
          <cell r="AB19">
            <v>129</v>
          </cell>
          <cell r="AC19">
            <v>36</v>
          </cell>
          <cell r="AD19">
            <v>832</v>
          </cell>
          <cell r="AE19">
            <v>37</v>
          </cell>
          <cell r="AF19">
            <v>13</v>
          </cell>
          <cell r="AG19">
            <v>25</v>
          </cell>
          <cell r="AH19">
            <v>168</v>
          </cell>
        </row>
        <row r="20">
          <cell r="A20">
            <v>2004</v>
          </cell>
          <cell r="B20">
            <v>0</v>
          </cell>
          <cell r="C20">
            <v>0</v>
          </cell>
          <cell r="D20">
            <v>4</v>
          </cell>
          <cell r="E20">
            <v>31</v>
          </cell>
          <cell r="F20">
            <v>21</v>
          </cell>
          <cell r="G20">
            <v>5</v>
          </cell>
          <cell r="H20">
            <v>6</v>
          </cell>
          <cell r="I20">
            <v>3</v>
          </cell>
          <cell r="K20">
            <v>0</v>
          </cell>
          <cell r="L20">
            <v>6</v>
          </cell>
          <cell r="M20">
            <v>50</v>
          </cell>
          <cell r="N20">
            <v>6</v>
          </cell>
          <cell r="O20">
            <v>0</v>
          </cell>
          <cell r="P20">
            <v>2</v>
          </cell>
          <cell r="Q20">
            <v>2</v>
          </cell>
          <cell r="R20">
            <v>56</v>
          </cell>
          <cell r="S20">
            <v>54</v>
          </cell>
          <cell r="T20">
            <v>5</v>
          </cell>
          <cell r="U20">
            <v>42</v>
          </cell>
          <cell r="V20">
            <v>378</v>
          </cell>
          <cell r="W20">
            <v>963</v>
          </cell>
          <cell r="X20">
            <v>92</v>
          </cell>
          <cell r="Y20">
            <v>188</v>
          </cell>
          <cell r="Z20">
            <v>85</v>
          </cell>
          <cell r="AB20">
            <v>139</v>
          </cell>
          <cell r="AC20">
            <v>32</v>
          </cell>
          <cell r="AD20">
            <v>772</v>
          </cell>
          <cell r="AE20">
            <v>32</v>
          </cell>
          <cell r="AF20">
            <v>2</v>
          </cell>
          <cell r="AG20">
            <v>25</v>
          </cell>
          <cell r="AH20">
            <v>174</v>
          </cell>
          <cell r="AI20">
            <v>56</v>
          </cell>
        </row>
        <row r="21">
          <cell r="A21">
            <v>2005</v>
          </cell>
          <cell r="B21">
            <v>7</v>
          </cell>
          <cell r="C21">
            <v>0</v>
          </cell>
          <cell r="D21">
            <v>36</v>
          </cell>
          <cell r="E21">
            <v>211</v>
          </cell>
          <cell r="F21">
            <v>568</v>
          </cell>
          <cell r="G21">
            <v>103</v>
          </cell>
          <cell r="H21">
            <v>64</v>
          </cell>
          <cell r="I21">
            <v>15</v>
          </cell>
          <cell r="J21">
            <v>87</v>
          </cell>
          <cell r="K21">
            <v>20</v>
          </cell>
          <cell r="L21">
            <v>0</v>
          </cell>
          <cell r="M21">
            <v>574</v>
          </cell>
          <cell r="N21">
            <v>48</v>
          </cell>
          <cell r="O21">
            <v>0</v>
          </cell>
          <cell r="P21">
            <v>19</v>
          </cell>
          <cell r="Q21">
            <v>155</v>
          </cell>
          <cell r="R21">
            <v>235</v>
          </cell>
          <cell r="S21">
            <v>15</v>
          </cell>
          <cell r="T21">
            <v>5</v>
          </cell>
          <cell r="U21">
            <v>69</v>
          </cell>
          <cell r="V21">
            <v>444</v>
          </cell>
          <cell r="W21">
            <v>963</v>
          </cell>
          <cell r="X21">
            <v>178</v>
          </cell>
          <cell r="Y21">
            <v>179</v>
          </cell>
          <cell r="Z21">
            <v>73</v>
          </cell>
          <cell r="AA21">
            <v>67</v>
          </cell>
          <cell r="AB21">
            <v>159</v>
          </cell>
          <cell r="AC21">
            <v>5</v>
          </cell>
          <cell r="AD21">
            <v>1122</v>
          </cell>
          <cell r="AE21">
            <v>62</v>
          </cell>
          <cell r="AF21">
            <v>0</v>
          </cell>
          <cell r="AG21">
            <v>30</v>
          </cell>
          <cell r="AH21">
            <v>288</v>
          </cell>
          <cell r="AI21">
            <v>281</v>
          </cell>
        </row>
        <row r="22">
          <cell r="A22">
            <v>2006</v>
          </cell>
          <cell r="B22">
            <v>0</v>
          </cell>
          <cell r="C22">
            <v>0</v>
          </cell>
          <cell r="D22">
            <v>4</v>
          </cell>
          <cell r="E22">
            <v>253</v>
          </cell>
          <cell r="F22">
            <v>312</v>
          </cell>
          <cell r="G22">
            <v>104</v>
          </cell>
          <cell r="H22">
            <v>104</v>
          </cell>
          <cell r="I22">
            <v>15</v>
          </cell>
          <cell r="J22">
            <v>15</v>
          </cell>
          <cell r="K22">
            <v>17</v>
          </cell>
          <cell r="L22">
            <v>0</v>
          </cell>
          <cell r="M22">
            <v>739</v>
          </cell>
          <cell r="N22">
            <v>72</v>
          </cell>
          <cell r="O22">
            <v>0</v>
          </cell>
          <cell r="P22">
            <v>10</v>
          </cell>
          <cell r="Q22">
            <v>77</v>
          </cell>
          <cell r="R22">
            <v>160</v>
          </cell>
          <cell r="S22">
            <v>6</v>
          </cell>
          <cell r="T22">
            <v>5</v>
          </cell>
          <cell r="U22">
            <v>54</v>
          </cell>
          <cell r="V22">
            <v>567</v>
          </cell>
          <cell r="W22">
            <v>1067</v>
          </cell>
          <cell r="X22">
            <v>278</v>
          </cell>
          <cell r="Y22">
            <v>227</v>
          </cell>
          <cell r="Z22">
            <v>61</v>
          </cell>
          <cell r="AA22">
            <v>102</v>
          </cell>
          <cell r="AB22">
            <v>166</v>
          </cell>
          <cell r="AC22">
            <v>0</v>
          </cell>
          <cell r="AD22">
            <v>1545</v>
          </cell>
          <cell r="AE22">
            <v>120</v>
          </cell>
          <cell r="AF22">
            <v>0</v>
          </cell>
          <cell r="AG22">
            <v>28</v>
          </cell>
          <cell r="AH22">
            <v>300</v>
          </cell>
          <cell r="AI22">
            <v>448</v>
          </cell>
        </row>
        <row r="27">
          <cell r="A27" t="str">
            <v>Orders</v>
          </cell>
        </row>
        <row r="77">
          <cell r="A77" t="str">
            <v>Orders vs Backlog</v>
          </cell>
        </row>
        <row r="147">
          <cell r="A147" t="str">
            <v>Commercial Aircraft Orders By Maker</v>
          </cell>
        </row>
        <row r="150">
          <cell r="A150" t="str">
            <v>For graph</v>
          </cell>
        </row>
        <row r="151">
          <cell r="A151" t="str">
            <v>% OF$ Bkgs</v>
          </cell>
          <cell r="B151" t="str">
            <v>1988</v>
          </cell>
          <cell r="C151" t="str">
            <v>1989</v>
          </cell>
          <cell r="D151" t="str">
            <v>1990</v>
          </cell>
          <cell r="E151" t="str">
            <v>1991</v>
          </cell>
          <cell r="F151" t="str">
            <v>1992</v>
          </cell>
          <cell r="G151" t="str">
            <v xml:space="preserve">1993 </v>
          </cell>
          <cell r="H151" t="str">
            <v xml:space="preserve">1994 </v>
          </cell>
          <cell r="I151" t="str">
            <v xml:space="preserve">1995 </v>
          </cell>
          <cell r="J151" t="str">
            <v xml:space="preserve">1996 </v>
          </cell>
          <cell r="K151" t="str">
            <v xml:space="preserve">1997 </v>
          </cell>
          <cell r="L151">
            <v>1998</v>
          </cell>
          <cell r="M151">
            <v>1999</v>
          </cell>
          <cell r="N151">
            <v>2000</v>
          </cell>
          <cell r="O151">
            <v>2001</v>
          </cell>
          <cell r="P151">
            <v>2002</v>
          </cell>
          <cell r="Q151">
            <v>2003</v>
          </cell>
          <cell r="R151">
            <v>2004</v>
          </cell>
          <cell r="S151">
            <v>2005</v>
          </cell>
          <cell r="T151">
            <v>2006</v>
          </cell>
        </row>
        <row r="152">
          <cell r="A152" t="str">
            <v xml:space="preserve"> BOEING</v>
          </cell>
          <cell r="B152">
            <v>0.67</v>
          </cell>
          <cell r="C152">
            <v>0.55000000000000004</v>
          </cell>
          <cell r="D152">
            <v>0.7</v>
          </cell>
          <cell r="E152">
            <v>0.81</v>
          </cell>
          <cell r="F152">
            <v>0.70741594467848334</v>
          </cell>
          <cell r="G152">
            <v>0.86822968906720177</v>
          </cell>
          <cell r="H152">
            <v>0.56712185657786729</v>
          </cell>
          <cell r="I152">
            <v>0.82677584006805616</v>
          </cell>
          <cell r="J152">
            <v>0.73044815465729362</v>
          </cell>
          <cell r="K152">
            <v>0.67323119514266838</v>
          </cell>
          <cell r="L152">
            <v>0.59599592229710596</v>
          </cell>
        </row>
        <row r="153">
          <cell r="A153" t="str">
            <v xml:space="preserve"> AIRBUS</v>
          </cell>
          <cell r="B153">
            <v>0.12</v>
          </cell>
          <cell r="C153">
            <v>0.33</v>
          </cell>
          <cell r="D153">
            <v>0.18</v>
          </cell>
          <cell r="E153">
            <v>0.24</v>
          </cell>
          <cell r="F153">
            <v>0.25411334552102377</v>
          </cell>
          <cell r="G153">
            <v>0.137913741223671</v>
          </cell>
          <cell r="H153">
            <v>0.41713304977240506</v>
          </cell>
          <cell r="I153">
            <v>0.12093258188005106</v>
          </cell>
          <cell r="J153">
            <v>0.24810522847100178</v>
          </cell>
          <cell r="K153">
            <v>0.30831786579419257</v>
          </cell>
          <cell r="L153">
            <v>0.37697513733929888</v>
          </cell>
        </row>
        <row r="154">
          <cell r="A154" t="str">
            <v xml:space="preserve"> DOUGLAS</v>
          </cell>
          <cell r="B154">
            <v>0.21</v>
          </cell>
          <cell r="C154">
            <v>0.12</v>
          </cell>
          <cell r="D154">
            <v>0.11</v>
          </cell>
          <cell r="E154">
            <v>-0.05</v>
          </cell>
          <cell r="F154">
            <v>3.8470709800492803E-2</v>
          </cell>
          <cell r="G154">
            <v>-6.1434302908726169E-3</v>
          </cell>
          <cell r="H154">
            <v>1.5745093649727631E-2</v>
          </cell>
          <cell r="I154">
            <v>5.2291578051892808E-2</v>
          </cell>
          <cell r="J154">
            <v>2.1446616871704745E-2</v>
          </cell>
          <cell r="K154">
            <v>1.8450939063139021E-2</v>
          </cell>
          <cell r="L154">
            <v>2.7028940363595176E-2</v>
          </cell>
        </row>
        <row r="155">
          <cell r="A155" t="str">
            <v>Units</v>
          </cell>
        </row>
        <row r="156">
          <cell r="A156" t="str">
            <v xml:space="preserve"> BOEING</v>
          </cell>
          <cell r="B156">
            <v>638</v>
          </cell>
          <cell r="C156">
            <v>756</v>
          </cell>
          <cell r="D156">
            <v>483</v>
          </cell>
          <cell r="E156">
            <v>252</v>
          </cell>
          <cell r="F156">
            <v>243</v>
          </cell>
          <cell r="G156">
            <v>233</v>
          </cell>
          <cell r="H156">
            <v>119</v>
          </cell>
          <cell r="I156">
            <v>330</v>
          </cell>
          <cell r="J156">
            <v>558</v>
          </cell>
          <cell r="K156">
            <v>551</v>
          </cell>
          <cell r="L156">
            <v>615</v>
          </cell>
          <cell r="M156">
            <v>391</v>
          </cell>
          <cell r="N156">
            <v>611</v>
          </cell>
          <cell r="O156">
            <v>335</v>
          </cell>
          <cell r="P156">
            <v>251</v>
          </cell>
          <cell r="Q156">
            <v>250</v>
          </cell>
          <cell r="R156">
            <v>272</v>
          </cell>
          <cell r="S156">
            <v>1031</v>
          </cell>
          <cell r="T156">
            <v>1058</v>
          </cell>
        </row>
        <row r="157">
          <cell r="A157" t="str">
            <v xml:space="preserve"> AIRBUS</v>
          </cell>
          <cell r="B157">
            <v>163</v>
          </cell>
          <cell r="C157">
            <v>390</v>
          </cell>
          <cell r="D157">
            <v>287</v>
          </cell>
          <cell r="E157">
            <v>101</v>
          </cell>
          <cell r="F157">
            <v>136</v>
          </cell>
          <cell r="G157">
            <v>38</v>
          </cell>
          <cell r="H157">
            <v>125</v>
          </cell>
          <cell r="I157">
            <v>106</v>
          </cell>
          <cell r="J157">
            <v>428</v>
          </cell>
          <cell r="K157">
            <v>460</v>
          </cell>
          <cell r="L157">
            <v>556</v>
          </cell>
          <cell r="M157">
            <v>476</v>
          </cell>
          <cell r="N157">
            <v>520</v>
          </cell>
          <cell r="O157">
            <v>375</v>
          </cell>
          <cell r="P157">
            <v>300</v>
          </cell>
          <cell r="Q157">
            <v>284</v>
          </cell>
          <cell r="R157">
            <v>370</v>
          </cell>
          <cell r="S157">
            <v>1111</v>
          </cell>
          <cell r="T157">
            <v>824</v>
          </cell>
        </row>
        <row r="158">
          <cell r="A158" t="str">
            <v xml:space="preserve"> DOUGLAS</v>
          </cell>
          <cell r="B158">
            <v>246</v>
          </cell>
          <cell r="C158">
            <v>233</v>
          </cell>
          <cell r="D158">
            <v>168</v>
          </cell>
          <cell r="E158">
            <v>-33</v>
          </cell>
          <cell r="F158">
            <v>36</v>
          </cell>
          <cell r="G158">
            <v>-2</v>
          </cell>
          <cell r="H158">
            <v>3</v>
          </cell>
          <cell r="I158">
            <v>95</v>
          </cell>
          <cell r="J158">
            <v>38</v>
          </cell>
          <cell r="K158">
            <v>17</v>
          </cell>
          <cell r="L158">
            <v>41</v>
          </cell>
          <cell r="T158">
            <v>0</v>
          </cell>
        </row>
        <row r="159">
          <cell r="R159">
            <v>52</v>
          </cell>
        </row>
        <row r="183">
          <cell r="A183" t="str">
            <v>Commercial Aircraft Deliveries By Maker</v>
          </cell>
        </row>
        <row r="185">
          <cell r="T185" t="str">
            <v>= Estimate: Airbus yet to release 2007 numbers</v>
          </cell>
        </row>
        <row r="186">
          <cell r="A186" t="str">
            <v>Large Commercial Aircraft Deliveries</v>
          </cell>
        </row>
        <row r="187">
          <cell r="B187">
            <v>1990</v>
          </cell>
          <cell r="C187">
            <v>1991</v>
          </cell>
          <cell r="D187">
            <v>1992</v>
          </cell>
          <cell r="E187">
            <v>1993</v>
          </cell>
          <cell r="F187">
            <v>1994</v>
          </cell>
          <cell r="G187">
            <v>1995</v>
          </cell>
          <cell r="H187">
            <v>1996</v>
          </cell>
          <cell r="I187">
            <v>1997</v>
          </cell>
          <cell r="J187">
            <v>1998</v>
          </cell>
          <cell r="K187">
            <v>1999</v>
          </cell>
          <cell r="L187">
            <v>2000</v>
          </cell>
          <cell r="M187">
            <v>2001</v>
          </cell>
          <cell r="N187">
            <v>2002</v>
          </cell>
          <cell r="O187">
            <v>2003</v>
          </cell>
          <cell r="P187">
            <v>2004</v>
          </cell>
          <cell r="Q187">
            <v>2005</v>
          </cell>
          <cell r="R187">
            <v>2006</v>
          </cell>
          <cell r="S187" t="str">
            <v>2007A</v>
          </cell>
          <cell r="T187" t="str">
            <v>2008E</v>
          </cell>
          <cell r="U187" t="str">
            <v>2009E</v>
          </cell>
          <cell r="V187" t="str">
            <v>2010E</v>
          </cell>
        </row>
        <row r="188">
          <cell r="A188" t="str">
            <v>Airbus</v>
          </cell>
          <cell r="B188">
            <v>95</v>
          </cell>
          <cell r="C188">
            <v>163</v>
          </cell>
          <cell r="D188">
            <v>157</v>
          </cell>
          <cell r="E188">
            <v>138</v>
          </cell>
          <cell r="F188">
            <v>126</v>
          </cell>
          <cell r="G188">
            <v>121</v>
          </cell>
          <cell r="H188">
            <v>126</v>
          </cell>
          <cell r="I188">
            <v>182</v>
          </cell>
          <cell r="J188">
            <v>229</v>
          </cell>
          <cell r="K188">
            <v>294</v>
          </cell>
          <cell r="L188">
            <v>310</v>
          </cell>
          <cell r="M188">
            <v>325</v>
          </cell>
          <cell r="N188">
            <v>303</v>
          </cell>
          <cell r="O188">
            <v>305</v>
          </cell>
          <cell r="P188">
            <v>320</v>
          </cell>
          <cell r="Q188">
            <v>378</v>
          </cell>
          <cell r="R188">
            <v>434</v>
          </cell>
          <cell r="S188">
            <v>453</v>
          </cell>
          <cell r="T188">
            <v>500</v>
          </cell>
          <cell r="U188">
            <v>543</v>
          </cell>
          <cell r="V188">
            <v>554</v>
          </cell>
        </row>
        <row r="189">
          <cell r="A189" t="str">
            <v>Boeing</v>
          </cell>
          <cell r="B189">
            <v>527</v>
          </cell>
          <cell r="C189">
            <v>606</v>
          </cell>
          <cell r="D189">
            <v>567</v>
          </cell>
          <cell r="E189">
            <v>397</v>
          </cell>
          <cell r="F189">
            <v>309</v>
          </cell>
          <cell r="G189">
            <v>256</v>
          </cell>
          <cell r="H189">
            <v>264</v>
          </cell>
          <cell r="I189">
            <v>361</v>
          </cell>
          <cell r="J189">
            <v>559</v>
          </cell>
          <cell r="K189">
            <v>620</v>
          </cell>
          <cell r="L189">
            <v>489</v>
          </cell>
          <cell r="M189">
            <v>527</v>
          </cell>
          <cell r="N189">
            <v>381</v>
          </cell>
          <cell r="O189">
            <v>281</v>
          </cell>
          <cell r="P189">
            <v>285</v>
          </cell>
          <cell r="Q189">
            <v>290</v>
          </cell>
          <cell r="R189">
            <v>398</v>
          </cell>
          <cell r="S189">
            <v>441</v>
          </cell>
          <cell r="T189">
            <v>520</v>
          </cell>
          <cell r="U189">
            <v>585</v>
          </cell>
          <cell r="V189">
            <v>635</v>
          </cell>
        </row>
        <row r="190">
          <cell r="A190" t="str">
            <v>Total</v>
          </cell>
          <cell r="B190">
            <v>622</v>
          </cell>
          <cell r="C190">
            <v>769</v>
          </cell>
          <cell r="D190">
            <v>724</v>
          </cell>
          <cell r="E190">
            <v>535</v>
          </cell>
          <cell r="F190">
            <v>435</v>
          </cell>
          <cell r="G190">
            <v>377</v>
          </cell>
          <cell r="H190">
            <v>390</v>
          </cell>
          <cell r="I190">
            <v>543</v>
          </cell>
          <cell r="J190">
            <v>788</v>
          </cell>
          <cell r="K190">
            <v>914</v>
          </cell>
          <cell r="L190">
            <v>799</v>
          </cell>
          <cell r="M190">
            <v>852</v>
          </cell>
          <cell r="N190">
            <v>684</v>
          </cell>
          <cell r="O190">
            <v>586</v>
          </cell>
          <cell r="P190">
            <v>605</v>
          </cell>
          <cell r="Q190">
            <v>668</v>
          </cell>
          <cell r="R190">
            <v>832</v>
          </cell>
          <cell r="S190">
            <v>894</v>
          </cell>
          <cell r="T190">
            <v>1020</v>
          </cell>
          <cell r="U190">
            <v>1128</v>
          </cell>
          <cell r="V190">
            <v>1189</v>
          </cell>
        </row>
        <row r="191">
          <cell r="A191" t="str">
            <v>% ch y/y</v>
          </cell>
          <cell r="C191">
            <v>0.2363344051446945</v>
          </cell>
          <cell r="D191">
            <v>-5.8517555266579979E-2</v>
          </cell>
          <cell r="E191">
            <v>-0.26104972375690605</v>
          </cell>
          <cell r="F191">
            <v>-0.18691588785046731</v>
          </cell>
          <cell r="G191">
            <v>-0.1333333333333333</v>
          </cell>
          <cell r="H191">
            <v>3.4482758620689724E-2</v>
          </cell>
          <cell r="I191">
            <v>0.39230769230769225</v>
          </cell>
          <cell r="J191">
            <v>0.45119705340699823</v>
          </cell>
          <cell r="K191">
            <v>0.15989847715736039</v>
          </cell>
          <cell r="L191">
            <v>-0.12582056892778992</v>
          </cell>
          <cell r="M191">
            <v>6.6332916145181553E-2</v>
          </cell>
          <cell r="N191">
            <v>-0.19718309859154926</v>
          </cell>
          <cell r="O191">
            <v>-0.14327485380116955</v>
          </cell>
          <cell r="P191">
            <v>3.2423208191126207E-2</v>
          </cell>
          <cell r="Q191">
            <v>0.10413223140495864</v>
          </cell>
          <cell r="R191">
            <v>0.24550898203592819</v>
          </cell>
          <cell r="S191">
            <v>7.4519230769230838E-2</v>
          </cell>
          <cell r="T191">
            <v>0.14093959731543615</v>
          </cell>
          <cell r="U191">
            <v>0.10588235294117654</v>
          </cell>
          <cell r="V191">
            <v>5.4078014184397061E-2</v>
          </cell>
        </row>
        <row r="192">
          <cell r="A192" t="str">
            <v>% Airbus</v>
          </cell>
          <cell r="B192">
            <v>0.15273311897106109</v>
          </cell>
          <cell r="C192">
            <v>0.21196358907672302</v>
          </cell>
          <cell r="D192">
            <v>0.21685082872928177</v>
          </cell>
          <cell r="E192">
            <v>0.25794392523364484</v>
          </cell>
          <cell r="F192">
            <v>0.28965517241379313</v>
          </cell>
          <cell r="G192">
            <v>0.32095490716180369</v>
          </cell>
          <cell r="H192">
            <v>0.32307692307692309</v>
          </cell>
          <cell r="I192">
            <v>0.33517495395948432</v>
          </cell>
          <cell r="J192">
            <v>0.29060913705583757</v>
          </cell>
          <cell r="K192">
            <v>0.32166301969365424</v>
          </cell>
          <cell r="L192">
            <v>0.38798498122653319</v>
          </cell>
          <cell r="M192">
            <v>0.38145539906103287</v>
          </cell>
          <cell r="N192">
            <v>0.44298245614035087</v>
          </cell>
          <cell r="O192">
            <v>0.52047781569965867</v>
          </cell>
          <cell r="P192">
            <v>0.52892561983471076</v>
          </cell>
          <cell r="Q192">
            <v>0.56586826347305386</v>
          </cell>
          <cell r="R192">
            <v>0.52163461538461542</v>
          </cell>
          <cell r="S192">
            <v>0.50671140939597314</v>
          </cell>
          <cell r="T192">
            <v>0.49019607843137253</v>
          </cell>
          <cell r="U192">
            <v>0.48138297872340424</v>
          </cell>
          <cell r="V192">
            <v>0.4659377628259041</v>
          </cell>
        </row>
        <row r="193">
          <cell r="A193" t="str">
            <v>% Boeing</v>
          </cell>
          <cell r="B193">
            <v>0.84726688102893888</v>
          </cell>
          <cell r="C193">
            <v>0.78803641092327703</v>
          </cell>
          <cell r="D193">
            <v>0.78314917127071826</v>
          </cell>
          <cell r="E193">
            <v>0.74205607476635516</v>
          </cell>
          <cell r="F193">
            <v>0.71034482758620687</v>
          </cell>
          <cell r="G193">
            <v>0.67904509283819625</v>
          </cell>
          <cell r="H193">
            <v>0.67692307692307696</v>
          </cell>
          <cell r="I193">
            <v>0.66482504604051562</v>
          </cell>
          <cell r="J193">
            <v>0.70939086294416243</v>
          </cell>
          <cell r="K193">
            <v>0.6783369803063457</v>
          </cell>
          <cell r="L193">
            <v>0.61201501877346687</v>
          </cell>
          <cell r="M193">
            <v>0.61854460093896713</v>
          </cell>
          <cell r="N193">
            <v>0.55701754385964908</v>
          </cell>
          <cell r="O193">
            <v>0.47952218430034127</v>
          </cell>
          <cell r="P193">
            <v>0.47107438016528924</v>
          </cell>
          <cell r="Q193">
            <v>0.43413173652694609</v>
          </cell>
          <cell r="R193">
            <v>0.47836538461538464</v>
          </cell>
          <cell r="S193">
            <v>0.49328859060402686</v>
          </cell>
          <cell r="T193">
            <v>0.50980392156862742</v>
          </cell>
          <cell r="U193">
            <v>0.5186170212765957</v>
          </cell>
          <cell r="V193">
            <v>0.53406223717409584</v>
          </cell>
        </row>
        <row r="221">
          <cell r="A221" t="str">
            <v>Aggregate Backlog By Maker</v>
          </cell>
        </row>
        <row r="224">
          <cell r="A224" t="str">
            <v>Backlog</v>
          </cell>
          <cell r="B224">
            <v>1990</v>
          </cell>
          <cell r="C224">
            <v>1991</v>
          </cell>
          <cell r="D224">
            <v>1992</v>
          </cell>
          <cell r="E224">
            <v>1993</v>
          </cell>
          <cell r="F224">
            <v>1994</v>
          </cell>
          <cell r="G224">
            <v>1995</v>
          </cell>
          <cell r="H224">
            <v>1996</v>
          </cell>
          <cell r="I224">
            <v>1997</v>
          </cell>
          <cell r="J224">
            <v>1998</v>
          </cell>
          <cell r="K224">
            <v>1999</v>
          </cell>
          <cell r="L224">
            <v>2000</v>
          </cell>
          <cell r="M224">
            <v>2001</v>
          </cell>
          <cell r="N224">
            <v>2002</v>
          </cell>
          <cell r="O224">
            <v>2003</v>
          </cell>
          <cell r="P224">
            <v>2004</v>
          </cell>
          <cell r="Q224">
            <v>2005</v>
          </cell>
          <cell r="R224">
            <v>2006</v>
          </cell>
          <cell r="S224">
            <v>2007</v>
          </cell>
        </row>
        <row r="225">
          <cell r="A225" t="str">
            <v>Airbus</v>
          </cell>
          <cell r="B225">
            <v>1034</v>
          </cell>
          <cell r="C225">
            <v>950</v>
          </cell>
          <cell r="D225">
            <v>836</v>
          </cell>
          <cell r="E225">
            <v>667</v>
          </cell>
          <cell r="F225">
            <v>615</v>
          </cell>
          <cell r="G225">
            <v>578</v>
          </cell>
          <cell r="H225">
            <v>753</v>
          </cell>
          <cell r="I225">
            <v>1009</v>
          </cell>
          <cell r="J225">
            <v>1309</v>
          </cell>
          <cell r="K225">
            <v>1445</v>
          </cell>
          <cell r="L225">
            <v>1626</v>
          </cell>
          <cell r="M225">
            <v>1575</v>
          </cell>
          <cell r="N225">
            <v>1505</v>
          </cell>
          <cell r="O225">
            <v>1454</v>
          </cell>
          <cell r="P225">
            <v>1511</v>
          </cell>
          <cell r="Q225">
            <v>2177</v>
          </cell>
          <cell r="R225">
            <v>2533</v>
          </cell>
          <cell r="S225">
            <v>3636</v>
          </cell>
        </row>
        <row r="226">
          <cell r="A226" t="str">
            <v>Boeing</v>
          </cell>
          <cell r="B226">
            <v>2479</v>
          </cell>
          <cell r="C226">
            <v>2078</v>
          </cell>
          <cell r="D226">
            <v>1733</v>
          </cell>
          <cell r="E226">
            <v>1360</v>
          </cell>
          <cell r="F226">
            <v>1126</v>
          </cell>
          <cell r="G226">
            <v>1290</v>
          </cell>
          <cell r="H226">
            <v>1616</v>
          </cell>
          <cell r="I226">
            <v>1652</v>
          </cell>
          <cell r="J226">
            <v>1706</v>
          </cell>
          <cell r="K226">
            <v>1503</v>
          </cell>
          <cell r="L226">
            <v>1610</v>
          </cell>
          <cell r="M226">
            <v>1357</v>
          </cell>
          <cell r="N226">
            <v>1152</v>
          </cell>
          <cell r="O226">
            <v>1112</v>
          </cell>
          <cell r="P226">
            <v>1097</v>
          </cell>
          <cell r="Q226">
            <v>1809</v>
          </cell>
          <cell r="R226">
            <v>2455</v>
          </cell>
          <cell r="S226">
            <v>3427</v>
          </cell>
        </row>
        <row r="227">
          <cell r="A227" t="str">
            <v>Total</v>
          </cell>
          <cell r="B227">
            <v>3513</v>
          </cell>
          <cell r="C227">
            <v>3028</v>
          </cell>
          <cell r="D227">
            <v>2569</v>
          </cell>
          <cell r="E227">
            <v>2027</v>
          </cell>
          <cell r="F227">
            <v>1741</v>
          </cell>
          <cell r="G227">
            <v>1868</v>
          </cell>
          <cell r="H227">
            <v>2369</v>
          </cell>
          <cell r="I227">
            <v>2661</v>
          </cell>
          <cell r="J227">
            <v>3015</v>
          </cell>
          <cell r="K227">
            <v>2948</v>
          </cell>
          <cell r="L227">
            <v>3236</v>
          </cell>
          <cell r="M227">
            <v>2932</v>
          </cell>
          <cell r="N227">
            <v>2657</v>
          </cell>
          <cell r="O227">
            <v>2566</v>
          </cell>
          <cell r="P227">
            <v>2608</v>
          </cell>
          <cell r="Q227">
            <v>3986</v>
          </cell>
          <cell r="R227">
            <v>4988</v>
          </cell>
          <cell r="S227">
            <v>7063</v>
          </cell>
        </row>
        <row r="228">
          <cell r="A228" t="str">
            <v>Deliveries</v>
          </cell>
        </row>
        <row r="229">
          <cell r="A229" t="str">
            <v>Airbus</v>
          </cell>
          <cell r="B229">
            <v>98</v>
          </cell>
          <cell r="C229">
            <v>163</v>
          </cell>
          <cell r="D229">
            <v>157</v>
          </cell>
          <cell r="E229">
            <v>138</v>
          </cell>
          <cell r="F229">
            <v>126</v>
          </cell>
          <cell r="G229">
            <v>121</v>
          </cell>
          <cell r="H229">
            <v>126</v>
          </cell>
          <cell r="I229">
            <v>182</v>
          </cell>
          <cell r="J229">
            <v>229</v>
          </cell>
          <cell r="K229">
            <v>294</v>
          </cell>
          <cell r="L229">
            <v>311</v>
          </cell>
          <cell r="M229">
            <v>325</v>
          </cell>
          <cell r="N229">
            <v>303</v>
          </cell>
          <cell r="O229">
            <v>305</v>
          </cell>
          <cell r="P229">
            <v>320</v>
          </cell>
          <cell r="Q229">
            <v>378</v>
          </cell>
          <cell r="R229">
            <v>434</v>
          </cell>
          <cell r="S229">
            <v>453</v>
          </cell>
        </row>
        <row r="230">
          <cell r="A230" t="str">
            <v>Boeing</v>
          </cell>
          <cell r="B230">
            <v>520</v>
          </cell>
          <cell r="C230">
            <v>590</v>
          </cell>
          <cell r="D230">
            <v>567</v>
          </cell>
          <cell r="E230">
            <v>397</v>
          </cell>
          <cell r="F230">
            <v>309</v>
          </cell>
          <cell r="G230">
            <v>256</v>
          </cell>
          <cell r="H230">
            <v>264</v>
          </cell>
          <cell r="I230">
            <v>361</v>
          </cell>
          <cell r="J230">
            <v>559</v>
          </cell>
          <cell r="K230">
            <v>620</v>
          </cell>
          <cell r="L230">
            <v>489</v>
          </cell>
          <cell r="M230">
            <v>527</v>
          </cell>
          <cell r="N230">
            <v>381</v>
          </cell>
          <cell r="O230">
            <v>281</v>
          </cell>
          <cell r="P230">
            <v>285</v>
          </cell>
          <cell r="Q230">
            <v>290</v>
          </cell>
          <cell r="R230">
            <v>398</v>
          </cell>
          <cell r="S230">
            <v>475</v>
          </cell>
        </row>
        <row r="231">
          <cell r="A231" t="str">
            <v>Total</v>
          </cell>
          <cell r="B231">
            <v>618</v>
          </cell>
          <cell r="C231">
            <v>753</v>
          </cell>
          <cell r="D231">
            <v>724</v>
          </cell>
          <cell r="E231">
            <v>535</v>
          </cell>
          <cell r="F231">
            <v>435</v>
          </cell>
          <cell r="G231">
            <v>377</v>
          </cell>
          <cell r="H231">
            <v>390</v>
          </cell>
          <cell r="I231">
            <v>543</v>
          </cell>
          <cell r="J231">
            <v>788</v>
          </cell>
          <cell r="K231">
            <v>914</v>
          </cell>
          <cell r="L231">
            <v>800</v>
          </cell>
          <cell r="M231">
            <v>852</v>
          </cell>
          <cell r="N231">
            <v>684</v>
          </cell>
          <cell r="O231">
            <v>586</v>
          </cell>
          <cell r="P231">
            <v>605</v>
          </cell>
          <cell r="Q231">
            <v>668</v>
          </cell>
          <cell r="R231">
            <v>832</v>
          </cell>
          <cell r="S231">
            <v>928</v>
          </cell>
        </row>
        <row r="233">
          <cell r="A233" t="str">
            <v>Backlog/Delivs</v>
          </cell>
          <cell r="B233">
            <v>5.6844660194174761</v>
          </cell>
          <cell r="C233">
            <v>4.0212483399734396</v>
          </cell>
          <cell r="D233">
            <v>3.548342541436464</v>
          </cell>
          <cell r="E233">
            <v>3.7887850467289721</v>
          </cell>
          <cell r="F233">
            <v>4.0022988505747126</v>
          </cell>
          <cell r="G233">
            <v>4.9549071618037139</v>
          </cell>
          <cell r="H233">
            <v>6.0743589743589741</v>
          </cell>
          <cell r="I233">
            <v>4.9005524861878449</v>
          </cell>
          <cell r="J233">
            <v>3.8261421319796955</v>
          </cell>
          <cell r="K233">
            <v>3.2253829321663021</v>
          </cell>
          <cell r="L233">
            <v>4.0449999999999999</v>
          </cell>
          <cell r="M233">
            <v>3.4413145539906105</v>
          </cell>
          <cell r="N233">
            <v>3.884502923976608</v>
          </cell>
          <cell r="O233">
            <v>4.3788395904436861</v>
          </cell>
          <cell r="P233">
            <v>4.3107438016528929</v>
          </cell>
          <cell r="Q233">
            <v>5.9670658682634734</v>
          </cell>
          <cell r="R233">
            <v>5.9951923076923075</v>
          </cell>
          <cell r="S233">
            <v>7.6109913793103452</v>
          </cell>
        </row>
        <row r="285">
          <cell r="A285" t="str">
            <v>Aggregate Orders by Maker</v>
          </cell>
        </row>
        <row r="287">
          <cell r="C287" t="str">
            <v>Large Commercial Orders</v>
          </cell>
          <cell r="S287" t="str">
            <v>Net</v>
          </cell>
        </row>
        <row r="288">
          <cell r="B288">
            <v>1988</v>
          </cell>
          <cell r="C288">
            <v>1989</v>
          </cell>
          <cell r="D288">
            <v>1990</v>
          </cell>
          <cell r="E288">
            <v>1991</v>
          </cell>
          <cell r="F288">
            <v>1992</v>
          </cell>
          <cell r="G288">
            <v>1993</v>
          </cell>
          <cell r="H288">
            <v>1994</v>
          </cell>
          <cell r="I288">
            <v>1995</v>
          </cell>
          <cell r="J288">
            <v>1996</v>
          </cell>
          <cell r="K288">
            <v>1997</v>
          </cell>
          <cell r="L288">
            <v>1998</v>
          </cell>
          <cell r="M288">
            <v>1999</v>
          </cell>
          <cell r="N288">
            <v>2000</v>
          </cell>
          <cell r="O288">
            <v>2001</v>
          </cell>
          <cell r="P288">
            <v>2002</v>
          </cell>
          <cell r="Q288">
            <v>2003</v>
          </cell>
          <cell r="R288">
            <v>2004</v>
          </cell>
          <cell r="S288">
            <v>2005</v>
          </cell>
          <cell r="T288">
            <v>2006</v>
          </cell>
          <cell r="U288">
            <v>2007</v>
          </cell>
        </row>
        <row r="289">
          <cell r="A289" t="str">
            <v>Airbus</v>
          </cell>
          <cell r="B289">
            <v>163</v>
          </cell>
          <cell r="C289">
            <v>390</v>
          </cell>
          <cell r="D289">
            <v>287</v>
          </cell>
          <cell r="E289">
            <v>101</v>
          </cell>
          <cell r="F289">
            <v>136</v>
          </cell>
          <cell r="G289">
            <v>38</v>
          </cell>
          <cell r="H289">
            <v>125</v>
          </cell>
          <cell r="I289">
            <v>106</v>
          </cell>
          <cell r="J289">
            <v>428</v>
          </cell>
          <cell r="K289">
            <v>460</v>
          </cell>
          <cell r="L289">
            <v>556</v>
          </cell>
          <cell r="M289">
            <v>476</v>
          </cell>
          <cell r="N289">
            <v>524</v>
          </cell>
          <cell r="O289">
            <v>375</v>
          </cell>
          <cell r="P289">
            <v>300</v>
          </cell>
          <cell r="Q289">
            <v>284</v>
          </cell>
          <cell r="R289">
            <v>370</v>
          </cell>
          <cell r="S289">
            <v>1111</v>
          </cell>
          <cell r="T289">
            <v>824</v>
          </cell>
          <cell r="U289">
            <v>1341</v>
          </cell>
        </row>
        <row r="290">
          <cell r="A290" t="str">
            <v>Boeing</v>
          </cell>
          <cell r="B290">
            <v>638</v>
          </cell>
          <cell r="C290">
            <v>756</v>
          </cell>
          <cell r="D290">
            <v>651</v>
          </cell>
          <cell r="E290">
            <v>219</v>
          </cell>
          <cell r="F290">
            <v>279</v>
          </cell>
          <cell r="G290">
            <v>231</v>
          </cell>
          <cell r="H290">
            <v>122</v>
          </cell>
          <cell r="I290">
            <v>425</v>
          </cell>
          <cell r="J290">
            <v>596</v>
          </cell>
          <cell r="K290">
            <v>568</v>
          </cell>
          <cell r="L290">
            <v>656</v>
          </cell>
          <cell r="M290">
            <v>391</v>
          </cell>
          <cell r="N290">
            <v>611</v>
          </cell>
          <cell r="O290">
            <v>335</v>
          </cell>
          <cell r="P290">
            <v>251</v>
          </cell>
          <cell r="Q290">
            <v>250</v>
          </cell>
          <cell r="R290">
            <v>272</v>
          </cell>
          <cell r="S290">
            <v>1031</v>
          </cell>
          <cell r="T290">
            <v>1058</v>
          </cell>
          <cell r="U290">
            <v>1423</v>
          </cell>
        </row>
        <row r="291">
          <cell r="A291" t="str">
            <v>Total</v>
          </cell>
          <cell r="B291">
            <v>801</v>
          </cell>
          <cell r="C291">
            <v>1146</v>
          </cell>
          <cell r="D291">
            <v>938</v>
          </cell>
          <cell r="E291">
            <v>320</v>
          </cell>
          <cell r="F291">
            <v>415</v>
          </cell>
          <cell r="G291">
            <v>269</v>
          </cell>
          <cell r="H291">
            <v>247</v>
          </cell>
          <cell r="I291">
            <v>531</v>
          </cell>
          <cell r="J291">
            <v>1024</v>
          </cell>
          <cell r="K291">
            <v>1028</v>
          </cell>
          <cell r="L291">
            <v>1212</v>
          </cell>
          <cell r="M291">
            <v>867</v>
          </cell>
          <cell r="N291">
            <v>1135</v>
          </cell>
          <cell r="O291">
            <v>710</v>
          </cell>
          <cell r="P291">
            <v>551</v>
          </cell>
          <cell r="Q291">
            <v>534</v>
          </cell>
          <cell r="R291">
            <v>642</v>
          </cell>
          <cell r="S291">
            <v>2142</v>
          </cell>
          <cell r="T291">
            <v>1882</v>
          </cell>
          <cell r="U291">
            <v>2764</v>
          </cell>
        </row>
        <row r="292">
          <cell r="A292" t="str">
            <v>% ch y/y</v>
          </cell>
          <cell r="C292">
            <v>0.43071161048689133</v>
          </cell>
          <cell r="D292">
            <v>-0.18150087260034908</v>
          </cell>
          <cell r="E292">
            <v>-0.65884861407249473</v>
          </cell>
          <cell r="F292">
            <v>0.296875</v>
          </cell>
          <cell r="G292">
            <v>-0.35180722891566263</v>
          </cell>
          <cell r="H292">
            <v>-8.1784386617100413E-2</v>
          </cell>
          <cell r="I292">
            <v>1.1497975708502026</v>
          </cell>
          <cell r="J292">
            <v>0.92843691148775886</v>
          </cell>
          <cell r="K292">
            <v>3.90625E-3</v>
          </cell>
          <cell r="L292">
            <v>0.17898832684824906</v>
          </cell>
          <cell r="M292">
            <v>-0.28465346534653468</v>
          </cell>
          <cell r="N292">
            <v>0.3091118800461361</v>
          </cell>
          <cell r="O292">
            <v>-0.37444933920704848</v>
          </cell>
          <cell r="P292">
            <v>-0.22394366197183102</v>
          </cell>
          <cell r="Q292">
            <v>-3.0852994555353952E-2</v>
          </cell>
          <cell r="R292">
            <v>0.202247191011236</v>
          </cell>
          <cell r="S292">
            <v>2.3364485981308412</v>
          </cell>
          <cell r="T292">
            <v>-0.12138188608776845</v>
          </cell>
          <cell r="U292">
            <v>0.46865037194473969</v>
          </cell>
        </row>
        <row r="293">
          <cell r="A293" t="str">
            <v>% Airbus</v>
          </cell>
          <cell r="B293">
            <v>0.20349563046192259</v>
          </cell>
          <cell r="C293">
            <v>0.34031413612565448</v>
          </cell>
          <cell r="D293">
            <v>0.30597014925373134</v>
          </cell>
          <cell r="E293">
            <v>0.31562499999999999</v>
          </cell>
          <cell r="F293">
            <v>0.32771084337349399</v>
          </cell>
          <cell r="G293">
            <v>0.14126394052044611</v>
          </cell>
          <cell r="H293">
            <v>0.50607287449392713</v>
          </cell>
          <cell r="I293">
            <v>0.19962335216572505</v>
          </cell>
          <cell r="J293">
            <v>0.41796875</v>
          </cell>
          <cell r="K293">
            <v>0.44747081712062259</v>
          </cell>
          <cell r="L293">
            <v>0.45874587458745875</v>
          </cell>
          <cell r="M293">
            <v>0.5490196078431373</v>
          </cell>
          <cell r="N293">
            <v>0.46167400881057269</v>
          </cell>
          <cell r="O293">
            <v>0.528169014084507</v>
          </cell>
          <cell r="P293">
            <v>0.54446460980036293</v>
          </cell>
          <cell r="Q293">
            <v>0.53183520599250933</v>
          </cell>
          <cell r="R293">
            <v>0.57632398753894076</v>
          </cell>
          <cell r="S293">
            <v>0.51867413632119519</v>
          </cell>
          <cell r="T293">
            <v>0.43783209351753455</v>
          </cell>
          <cell r="U293">
            <v>0.48516642547033284</v>
          </cell>
        </row>
        <row r="294">
          <cell r="A294" t="str">
            <v>% Boeing</v>
          </cell>
          <cell r="B294">
            <v>0.79650436953807735</v>
          </cell>
          <cell r="C294">
            <v>0.65968586387434558</v>
          </cell>
          <cell r="D294">
            <v>0.69402985074626866</v>
          </cell>
          <cell r="E294">
            <v>0.68437499999999996</v>
          </cell>
          <cell r="F294">
            <v>0.67228915662650601</v>
          </cell>
          <cell r="G294">
            <v>0.85873605947955389</v>
          </cell>
          <cell r="H294">
            <v>0.49392712550607287</v>
          </cell>
          <cell r="I294">
            <v>0.80037664783427498</v>
          </cell>
          <cell r="J294">
            <v>0.58203125</v>
          </cell>
          <cell r="K294">
            <v>0.55252918287937747</v>
          </cell>
          <cell r="L294">
            <v>0.54125412541254125</v>
          </cell>
          <cell r="M294">
            <v>0.45098039215686275</v>
          </cell>
          <cell r="N294">
            <v>0.53832599118942737</v>
          </cell>
          <cell r="O294">
            <v>0.47183098591549294</v>
          </cell>
          <cell r="P294">
            <v>0.45553539019963701</v>
          </cell>
          <cell r="Q294">
            <v>0.46816479400749061</v>
          </cell>
          <cell r="R294">
            <v>0.42367601246105918</v>
          </cell>
          <cell r="S294">
            <v>0.48132586367880487</v>
          </cell>
          <cell r="T294">
            <v>0.56216790648246551</v>
          </cell>
          <cell r="U294">
            <v>0.51483357452966716</v>
          </cell>
        </row>
        <row r="320">
          <cell r="A320" t="str">
            <v>Aggregate Book:Bill</v>
          </cell>
        </row>
        <row r="322">
          <cell r="A322" t="str">
            <v>Book: Bill</v>
          </cell>
        </row>
        <row r="323">
          <cell r="B323">
            <v>1990</v>
          </cell>
          <cell r="C323">
            <v>1991</v>
          </cell>
          <cell r="D323" t="str">
            <v>1992</v>
          </cell>
          <cell r="E323" t="str">
            <v>1993</v>
          </cell>
          <cell r="F323" t="str">
            <v>1994</v>
          </cell>
          <cell r="G323" t="str">
            <v>1995</v>
          </cell>
          <cell r="H323" t="str">
            <v>1996</v>
          </cell>
          <cell r="I323" t="str">
            <v>1997</v>
          </cell>
          <cell r="J323" t="str">
            <v>1998</v>
          </cell>
          <cell r="K323">
            <v>1999</v>
          </cell>
          <cell r="L323">
            <v>2000</v>
          </cell>
          <cell r="M323">
            <v>2001</v>
          </cell>
          <cell r="N323">
            <v>2002</v>
          </cell>
          <cell r="O323">
            <v>2003</v>
          </cell>
          <cell r="P323">
            <v>2004</v>
          </cell>
          <cell r="Q323">
            <v>2005</v>
          </cell>
          <cell r="R323">
            <v>2006</v>
          </cell>
          <cell r="S323">
            <v>2007</v>
          </cell>
        </row>
        <row r="324">
          <cell r="A324" t="str">
            <v>Airbus</v>
          </cell>
          <cell r="B324">
            <v>3.0210526315789474</v>
          </cell>
          <cell r="C324">
            <v>0.61963190184049077</v>
          </cell>
          <cell r="D324">
            <v>0.86624203821656054</v>
          </cell>
          <cell r="E324">
            <v>0.27536231884057971</v>
          </cell>
          <cell r="F324">
            <v>0.99206349206349209</v>
          </cell>
          <cell r="G324">
            <v>0.87603305785123964</v>
          </cell>
          <cell r="H324">
            <v>3.3968253968253967</v>
          </cell>
          <cell r="I324">
            <v>2.5274725274725274</v>
          </cell>
          <cell r="J324">
            <v>2.427947598253275</v>
          </cell>
          <cell r="K324">
            <v>1.6190476190476191</v>
          </cell>
          <cell r="L324">
            <v>1.6903225806451614</v>
          </cell>
          <cell r="M324">
            <v>1.1538461538461537</v>
          </cell>
          <cell r="N324">
            <v>0.99009900990099009</v>
          </cell>
          <cell r="O324">
            <v>0.93114754098360653</v>
          </cell>
          <cell r="P324">
            <v>1.15625</v>
          </cell>
          <cell r="Q324">
            <v>2.9391534391534391</v>
          </cell>
          <cell r="R324">
            <v>1.8986175115207373</v>
          </cell>
          <cell r="S324">
            <v>2.9602649006622515</v>
          </cell>
        </row>
        <row r="325">
          <cell r="A325" t="str">
            <v>Boeing</v>
          </cell>
          <cell r="B325">
            <v>1.2352941176470589</v>
          </cell>
          <cell r="C325">
            <v>0.36138613861386137</v>
          </cell>
          <cell r="D325">
            <v>0.49206349206349204</v>
          </cell>
          <cell r="E325">
            <v>0.58186397984886651</v>
          </cell>
          <cell r="F325">
            <v>0.39482200647249188</v>
          </cell>
          <cell r="G325">
            <v>1.66015625</v>
          </cell>
          <cell r="H325">
            <v>2.2575757575757578</v>
          </cell>
          <cell r="I325">
            <v>1.5734072022160666</v>
          </cell>
          <cell r="J325">
            <v>1.1735241502683362</v>
          </cell>
          <cell r="K325">
            <v>0.63064516129032255</v>
          </cell>
          <cell r="L325">
            <v>1.2494887525562373</v>
          </cell>
          <cell r="M325">
            <v>0.635673624288425</v>
          </cell>
          <cell r="N325">
            <v>0.65879265091863515</v>
          </cell>
          <cell r="O325">
            <v>0.88967971530249113</v>
          </cell>
          <cell r="P325">
            <v>0.95438596491228067</v>
          </cell>
          <cell r="Q325">
            <v>3.5551724137931036</v>
          </cell>
          <cell r="R325">
            <v>2.658291457286432</v>
          </cell>
          <cell r="S325">
            <v>3.2267573696145124</v>
          </cell>
        </row>
        <row r="326">
          <cell r="A326" t="str">
            <v>YTD</v>
          </cell>
        </row>
        <row r="350">
          <cell r="R350" t="str">
            <v>Large Commercial OEs Order/Delivery History</v>
          </cell>
        </row>
        <row r="352">
          <cell r="S352">
            <v>2000</v>
          </cell>
          <cell r="T352">
            <v>2001</v>
          </cell>
          <cell r="U352">
            <v>2002</v>
          </cell>
          <cell r="V352">
            <v>2003</v>
          </cell>
          <cell r="W352">
            <v>2004</v>
          </cell>
          <cell r="X352">
            <v>2005</v>
          </cell>
          <cell r="Y352">
            <v>2006</v>
          </cell>
          <cell r="Z352">
            <v>2007</v>
          </cell>
          <cell r="AA352" t="str">
            <v>2008E</v>
          </cell>
        </row>
        <row r="353">
          <cell r="R353" t="str">
            <v>Orders</v>
          </cell>
          <cell r="S353">
            <v>1135</v>
          </cell>
          <cell r="T353">
            <v>710</v>
          </cell>
          <cell r="U353">
            <v>551</v>
          </cell>
          <cell r="V353">
            <v>534</v>
          </cell>
          <cell r="W353">
            <v>642</v>
          </cell>
          <cell r="X353">
            <v>2142</v>
          </cell>
          <cell r="Y353">
            <v>1882</v>
          </cell>
          <cell r="Z353">
            <v>2764</v>
          </cell>
          <cell r="AA353">
            <v>1600</v>
          </cell>
        </row>
        <row r="354">
          <cell r="R354" t="str">
            <v>Deliveries</v>
          </cell>
          <cell r="S354">
            <v>799</v>
          </cell>
          <cell r="T354">
            <v>852</v>
          </cell>
          <cell r="U354">
            <v>684</v>
          </cell>
          <cell r="V354">
            <v>586</v>
          </cell>
          <cell r="W354">
            <v>605</v>
          </cell>
          <cell r="X354">
            <v>668</v>
          </cell>
          <cell r="Y354">
            <v>832</v>
          </cell>
          <cell r="Z354">
            <v>894</v>
          </cell>
          <cell r="AA354">
            <v>1020</v>
          </cell>
        </row>
        <row r="355">
          <cell r="R355" t="str">
            <v>Book:Bill</v>
          </cell>
          <cell r="S355">
            <v>1.4205256570713392</v>
          </cell>
          <cell r="T355">
            <v>0.83333333333333337</v>
          </cell>
          <cell r="U355">
            <v>0.80555555555555558</v>
          </cell>
          <cell r="V355">
            <v>0.9112627986348123</v>
          </cell>
          <cell r="W355">
            <v>1.0611570247933884</v>
          </cell>
          <cell r="X355">
            <v>3.2065868263473054</v>
          </cell>
          <cell r="Y355">
            <v>2.2620192307692308</v>
          </cell>
          <cell r="Z355">
            <v>3.0917225950782998</v>
          </cell>
          <cell r="AA355">
            <v>1.5686274509803921</v>
          </cell>
        </row>
      </sheetData>
      <sheetData sheetId="21">
        <row r="4">
          <cell r="B4" t="str">
            <v>2005 Paris Air Show Orders</v>
          </cell>
        </row>
      </sheetData>
      <sheetData sheetId="22" refreshError="1"/>
      <sheetData sheetId="23" refreshError="1"/>
      <sheetData sheetId="24">
        <row r="2">
          <cell r="C2" t="str">
            <v>Boeing Farnborough 2008 Air Show Orders</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MW-Cache"/>
      <sheetName val="mStartup"/>
      <sheetName val="AFOSHEET"/>
      <sheetName val="Main"/>
      <sheetName val="Output"/>
      <sheetName val="Aerospace"/>
      <sheetName val="QTR Variance Analysis"/>
      <sheetName val="QTR Analysis"/>
      <sheetName val="Guidance History"/>
      <sheetName val="Combat"/>
      <sheetName val="Marine"/>
      <sheetName val="IST"/>
      <sheetName val="__FDSCACHE__"/>
      <sheetName val="FRPT"/>
      <sheetName val="BBB Cases"/>
      <sheetName val="4Q11SegCons"/>
      <sheetName val="Valuation"/>
      <sheetName val="DCF_SOTP"/>
      <sheetName val="Dividends"/>
      <sheetName val="Acquisitions"/>
      <sheetName val="Marine Old"/>
      <sheetName val="Charts"/>
      <sheetName val="Scratch"/>
      <sheetName val="NOC Shipping"/>
      <sheetName val="Tables"/>
      <sheetName val="MWA RR"/>
      <sheetName val="mwareDates"/>
      <sheetName val="10KDetail"/>
      <sheetName val="TOC"/>
      <sheetName val="TR Convert"/>
      <sheetName val="mwareSettings"/>
      <sheetName val="Roll off Speed"/>
    </sheetNames>
    <sheetDataSet>
      <sheetData sheetId="0"/>
      <sheetData sheetId="1"/>
      <sheetData sheetId="2" refreshError="1"/>
      <sheetData sheetId="3"/>
      <sheetData sheetId="4">
        <row r="48">
          <cell r="AR48">
            <v>2</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hina"/>
      <sheetName val="Corp Profits"/>
      <sheetName val="Backlogs"/>
      <sheetName val="Plane Models"/>
      <sheetName val="Biz Jets Takeoffs Landings&gt;&gt;"/>
      <sheetName val="Sheet1"/>
      <sheetName val="GAMA Annual Data"/>
      <sheetName val="Delivs Condensed"/>
      <sheetName val="Deliveries"/>
      <sheetName val="BizJet Deliveries"/>
      <sheetName val="Biz Jet Output Data"/>
      <sheetName val="Quart. &amp; Annual Summary"/>
      <sheetName val="Sheet2"/>
      <sheetName val="BJs charts"/>
      <sheetName val="__FDSCACHE__"/>
      <sheetName val="BBD Data"/>
      <sheetName val="AFOSHEET"/>
      <sheetName val="Source Data All Biz Jets"/>
      <sheetName val="Source Data Gulfstream "/>
      <sheetName val="Source Data Cessna"/>
      <sheetName val="Source Data Bombardier"/>
      <sheetName val="Source Data Embraer"/>
      <sheetName val="Source Data Hawker-Beechcraft"/>
      <sheetName val="Amstat Inventories"/>
      <sheetName val="Delivs by Regions"/>
      <sheetName val="Feb"/>
      <sheetName val="mwareDates"/>
      <sheetName val="Model"/>
      <sheetName val="Exclusion List"/>
    </sheetNames>
    <sheetDataSet>
      <sheetData sheetId="0"/>
      <sheetData sheetId="1"/>
      <sheetData sheetId="2"/>
      <sheetData sheetId="3"/>
      <sheetData sheetId="4"/>
      <sheetData sheetId="5"/>
      <sheetData sheetId="6"/>
      <sheetData sheetId="7"/>
      <sheetData sheetId="8"/>
      <sheetData sheetId="9">
        <row r="1">
          <cell r="A1" t="str">
            <v>Annual Deliveries</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S"/>
      <sheetName val="Analysis"/>
    </sheetNames>
    <sheetDataSet>
      <sheetData sheetId="0" refreshError="1">
        <row r="4">
          <cell r="C4">
            <v>3</v>
          </cell>
        </row>
        <row r="5">
          <cell r="C5">
            <v>5</v>
          </cell>
        </row>
        <row r="6">
          <cell r="C6">
            <v>7</v>
          </cell>
        </row>
        <row r="7">
          <cell r="C7">
            <v>10</v>
          </cell>
        </row>
        <row r="8">
          <cell r="C8">
            <v>15</v>
          </cell>
        </row>
      </sheetData>
      <sheetData sheetId="1" refreshError="1">
        <row r="2">
          <cell r="C2">
            <v>3</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Quarterly"/>
      <sheetName val="Combo Box"/>
      <sheetName val="MMD"/>
      <sheetName val="Model"/>
      <sheetName val="MATQTRS"/>
      <sheetName val="UNIV-EBS DATA"/>
      <sheetName val="Ratios"/>
      <sheetName val="MATINC"/>
      <sheetName val="MATBAL"/>
      <sheetName val="Macro1"/>
      <sheetName val="Macro2"/>
      <sheetName val="Valuation"/>
      <sheetName val="yearly"/>
      <sheetName val="OnAir"/>
      <sheetName val="Analysis"/>
      <sheetName val="MACRS"/>
      <sheetName val="FutureAcq"/>
      <sheetName val="Credit Output"/>
      <sheetName val="CalcsMO"/>
      <sheetName val=" Capital"/>
      <sheetName val="New Business"/>
      <sheetName val="LXK"/>
      <sheetName val="RELPE"/>
      <sheetName val="SALESCAT"/>
      <sheetName val="MATCASH"/>
      <sheetName val="FinSum"/>
      <sheetName val="Scenario"/>
      <sheetName val="Aladdin Macro1"/>
      <sheetName val="DATA"/>
      <sheetName val="Gas"/>
      <sheetName val="Off Peak"/>
      <sheetName val="Peak"/>
      <sheetName val="WY"/>
      <sheetName val="changes in EST"/>
      <sheetName val="US peers EBIT Margins"/>
      <sheetName val="Sheet7"/>
      <sheetName val="Model (Euro)"/>
      <sheetName val="Monthly Spot"/>
      <sheetName val="NKEBALST"/>
      <sheetName val="NKEQTRIN"/>
      <sheetName val="main"/>
      <sheetName val="Sheet1"/>
      <sheetName val="premium detail - P&amp;C"/>
      <sheetName val="DMK"/>
      <sheetName val="Monthly figures"/>
      <sheetName val="Cashflow 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s>
    <sheetDataSet>
      <sheetData sheetId="0"/>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sheetData sheetId="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TOS"/>
      <sheetName val="BS"/>
      <sheetName val="Nymex"/>
      <sheetName val="Stats"/>
      <sheetName val="Variance"/>
      <sheetName val="quarterly"/>
      <sheetName val="ROCE"/>
      <sheetName val="XON Acq."/>
      <sheetName val="Wood R. Avon"/>
      <sheetName val="Alliance"/>
      <sheetName val="Cork"/>
      <sheetName val="INPC-Whitegate"/>
      <sheetName val="Retail"/>
      <sheetName val="WACC"/>
      <sheetName val="Book Value"/>
      <sheetName val="Chart"/>
      <sheetName val="E PWR"/>
      <sheetName val="Acq."/>
      <sheetName val="UCL"/>
      <sheetName val="Notes"/>
      <sheetName val="Old - Refineries"/>
      <sheetName val="Debt"/>
      <sheetName val="Data"/>
      <sheetName val="GE Data"/>
      <sheetName val="IndexInformation"/>
      <sheetName val="MainCode"/>
      <sheetName val="NY UPLOAD.bak"/>
      <sheetName val="NY UPLOAD Shadow.bak"/>
      <sheetName val="NY UPLOAD"/>
      <sheetName val="NY UPLOAD Shadow"/>
      <sheetName val="P"/>
      <sheetName val="DCF + ROCE"/>
      <sheetName val="Report Stats"/>
      <sheetName val="Report CFBS"/>
      <sheetName val="VLOVAL"/>
      <sheetName val="R-Stats1"/>
      <sheetName val="Diffs"/>
      <sheetName val="NEWREF"/>
      <sheetName val="REPLCOST"/>
      <sheetName val="PBook"/>
      <sheetName val="CAPEX"/>
      <sheetName val="VLOVAL1"/>
      <sheetName val="VLO"/>
      <sheetName val="Front Page"/>
      <sheetName val="Report Income Statement"/>
      <sheetName val="Divisional Comps"/>
    </sheetNames>
    <definedNames>
      <definedName name="Update_Thi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heetViews>
  <sheetFormatPr defaultRowHeight="12.75"/>
  <sheetData>
    <row r="1" spans="1:1">
      <c r="A1" s="2"/>
    </row>
  </sheetData>
  <phoneticPr fontId="4"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Z2"/>
  <sheetViews>
    <sheetView workbookViewId="0"/>
  </sheetViews>
  <sheetFormatPr defaultRowHeight="12.75"/>
  <sheetData>
    <row r="1" spans="1:78">
      <c r="A1" t="s">
        <v>20</v>
      </c>
    </row>
    <row r="2" spans="1:78">
      <c r="A2" s="1" t="s">
        <v>214</v>
      </c>
      <c r="B2" s="1" t="s">
        <v>157</v>
      </c>
      <c r="C2" s="1" t="s">
        <v>239</v>
      </c>
      <c r="D2" s="1" t="s">
        <v>246</v>
      </c>
      <c r="E2" s="1" t="s">
        <v>224</v>
      </c>
      <c r="F2" s="1" t="s">
        <v>11</v>
      </c>
      <c r="G2" s="1" t="s">
        <v>219</v>
      </c>
      <c r="H2" s="1" t="s">
        <v>11</v>
      </c>
      <c r="I2" s="1" t="s">
        <v>151</v>
      </c>
      <c r="J2" s="1" t="s">
        <v>423</v>
      </c>
      <c r="K2" s="1" t="s">
        <v>216</v>
      </c>
      <c r="L2" s="1" t="s">
        <v>227</v>
      </c>
      <c r="M2" s="1" t="s">
        <v>241</v>
      </c>
      <c r="N2" s="1" t="s">
        <v>11</v>
      </c>
      <c r="O2" s="1" t="s">
        <v>110</v>
      </c>
      <c r="P2" s="1" t="s">
        <v>113</v>
      </c>
      <c r="Q2" s="1" t="s">
        <v>235</v>
      </c>
      <c r="R2" s="1" t="s">
        <v>247</v>
      </c>
      <c r="S2" s="1" t="s">
        <v>240</v>
      </c>
      <c r="T2" s="1" t="s">
        <v>247</v>
      </c>
      <c r="U2" s="1" t="s">
        <v>236</v>
      </c>
      <c r="V2" s="1" t="s">
        <v>247</v>
      </c>
      <c r="W2" s="1" t="s">
        <v>242</v>
      </c>
      <c r="X2" s="1" t="s">
        <v>247</v>
      </c>
      <c r="Y2" s="1" t="s">
        <v>18</v>
      </c>
      <c r="Z2" s="1" t="s">
        <v>11</v>
      </c>
      <c r="AA2" s="1" t="s">
        <v>223</v>
      </c>
      <c r="AB2" s="1" t="s">
        <v>229</v>
      </c>
      <c r="AC2" s="1" t="s">
        <v>243</v>
      </c>
      <c r="AD2" s="1" t="s">
        <v>11</v>
      </c>
      <c r="AE2" s="1" t="s">
        <v>234</v>
      </c>
      <c r="AF2" s="1" t="s">
        <v>246</v>
      </c>
      <c r="AG2" s="1" t="s">
        <v>215</v>
      </c>
      <c r="AH2" s="1" t="s">
        <v>227</v>
      </c>
      <c r="AI2" s="1" t="s">
        <v>53</v>
      </c>
      <c r="AJ2" s="1" t="s">
        <v>64</v>
      </c>
      <c r="AK2" s="1" t="s">
        <v>19</v>
      </c>
      <c r="AL2" s="1" t="s">
        <v>11</v>
      </c>
      <c r="AM2" s="1" t="s">
        <v>218</v>
      </c>
      <c r="AN2" s="1" t="s">
        <v>11</v>
      </c>
      <c r="AO2" s="1" t="s">
        <v>52</v>
      </c>
      <c r="AP2" s="1" t="s">
        <v>11</v>
      </c>
      <c r="AQ2" s="1" t="s">
        <v>150</v>
      </c>
      <c r="AR2" s="1" t="s">
        <v>64</v>
      </c>
      <c r="AS2" s="1" t="s">
        <v>112</v>
      </c>
      <c r="AT2" s="1" t="s">
        <v>64</v>
      </c>
      <c r="AU2" s="1" t="s">
        <v>54</v>
      </c>
      <c r="AV2" s="1" t="s">
        <v>55</v>
      </c>
      <c r="AW2" s="1" t="s">
        <v>16</v>
      </c>
      <c r="AX2" s="1" t="s">
        <v>213</v>
      </c>
      <c r="AY2" s="1" t="s">
        <v>152</v>
      </c>
      <c r="AZ2" s="1" t="s">
        <v>352</v>
      </c>
      <c r="BA2" s="1" t="s">
        <v>237</v>
      </c>
      <c r="BB2" s="1" t="s">
        <v>247</v>
      </c>
      <c r="BC2" s="1" t="s">
        <v>221</v>
      </c>
      <c r="BD2" s="1" t="s">
        <v>11</v>
      </c>
      <c r="BE2" s="1" t="s">
        <v>222</v>
      </c>
      <c r="BF2" s="1" t="s">
        <v>11</v>
      </c>
      <c r="BG2" s="1" t="s">
        <v>232</v>
      </c>
      <c r="BH2" s="1" t="s">
        <v>244</v>
      </c>
      <c r="BI2" s="1" t="s">
        <v>225</v>
      </c>
      <c r="BJ2" s="1" t="s">
        <v>227</v>
      </c>
      <c r="BK2" s="1" t="s">
        <v>217</v>
      </c>
      <c r="BL2" s="1" t="s">
        <v>11</v>
      </c>
      <c r="BM2" s="1" t="s">
        <v>226</v>
      </c>
      <c r="BN2" s="1" t="s">
        <v>11</v>
      </c>
      <c r="BO2" s="1" t="s">
        <v>233</v>
      </c>
      <c r="BP2" s="1" t="s">
        <v>245</v>
      </c>
      <c r="BQ2" s="1" t="s">
        <v>111</v>
      </c>
      <c r="BR2" s="1" t="s">
        <v>114</v>
      </c>
      <c r="BS2" s="1" t="s">
        <v>230</v>
      </c>
      <c r="BT2" s="1" t="s">
        <v>231</v>
      </c>
      <c r="BU2" s="1" t="s">
        <v>238</v>
      </c>
      <c r="BV2" s="1" t="s">
        <v>11</v>
      </c>
      <c r="BW2" s="1" t="s">
        <v>220</v>
      </c>
      <c r="BX2" s="1" t="s">
        <v>228</v>
      </c>
      <c r="BY2" s="1" t="s">
        <v>17</v>
      </c>
      <c r="BZ2" s="1" t="s">
        <v>11</v>
      </c>
    </row>
  </sheetData>
  <phoneticPr fontId="4"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4"/>
  <sheetViews>
    <sheetView showGridLines="0" tabSelected="1" workbookViewId="0">
      <selection activeCell="Z1" sqref="Z1"/>
    </sheetView>
  </sheetViews>
  <sheetFormatPr defaultRowHeight="12.75"/>
  <cols>
    <col min="1" max="1" width="25.7109375" style="1361" customWidth="1"/>
    <col min="2" max="5" width="9.140625" style="1361"/>
    <col min="6" max="6" width="18.7109375" style="1361" customWidth="1"/>
    <col min="7" max="256" width="9.140625" style="1361"/>
    <col min="257" max="257" width="100.7109375" style="1361" customWidth="1"/>
    <col min="258" max="512" width="9.140625" style="1361"/>
    <col min="513" max="513" width="100.7109375" style="1361" customWidth="1"/>
    <col min="514" max="768" width="9.140625" style="1361"/>
    <col min="769" max="769" width="100.7109375" style="1361" customWidth="1"/>
    <col min="770" max="1024" width="9.140625" style="1361"/>
    <col min="1025" max="1025" width="100.7109375" style="1361" customWidth="1"/>
    <col min="1026" max="1280" width="9.140625" style="1361"/>
    <col min="1281" max="1281" width="100.7109375" style="1361" customWidth="1"/>
    <col min="1282" max="1536" width="9.140625" style="1361"/>
    <col min="1537" max="1537" width="100.7109375" style="1361" customWidth="1"/>
    <col min="1538" max="1792" width="9.140625" style="1361"/>
    <col min="1793" max="1793" width="100.7109375" style="1361" customWidth="1"/>
    <col min="1794" max="2048" width="9.140625" style="1361"/>
    <col min="2049" max="2049" width="100.7109375" style="1361" customWidth="1"/>
    <col min="2050" max="2304" width="9.140625" style="1361"/>
    <col min="2305" max="2305" width="100.7109375" style="1361" customWidth="1"/>
    <col min="2306" max="2560" width="9.140625" style="1361"/>
    <col min="2561" max="2561" width="100.7109375" style="1361" customWidth="1"/>
    <col min="2562" max="2816" width="9.140625" style="1361"/>
    <col min="2817" max="2817" width="100.7109375" style="1361" customWidth="1"/>
    <col min="2818" max="3072" width="9.140625" style="1361"/>
    <col min="3073" max="3073" width="100.7109375" style="1361" customWidth="1"/>
    <col min="3074" max="3328" width="9.140625" style="1361"/>
    <col min="3329" max="3329" width="100.7109375" style="1361" customWidth="1"/>
    <col min="3330" max="3584" width="9.140625" style="1361"/>
    <col min="3585" max="3585" width="100.7109375" style="1361" customWidth="1"/>
    <col min="3586" max="3840" width="9.140625" style="1361"/>
    <col min="3841" max="3841" width="100.7109375" style="1361" customWidth="1"/>
    <col min="3842" max="4096" width="9.140625" style="1361"/>
    <col min="4097" max="4097" width="100.7109375" style="1361" customWidth="1"/>
    <col min="4098" max="4352" width="9.140625" style="1361"/>
    <col min="4353" max="4353" width="100.7109375" style="1361" customWidth="1"/>
    <col min="4354" max="4608" width="9.140625" style="1361"/>
    <col min="4609" max="4609" width="100.7109375" style="1361" customWidth="1"/>
    <col min="4610" max="4864" width="9.140625" style="1361"/>
    <col min="4865" max="4865" width="100.7109375" style="1361" customWidth="1"/>
    <col min="4866" max="5120" width="9.140625" style="1361"/>
    <col min="5121" max="5121" width="100.7109375" style="1361" customWidth="1"/>
    <col min="5122" max="5376" width="9.140625" style="1361"/>
    <col min="5377" max="5377" width="100.7109375" style="1361" customWidth="1"/>
    <col min="5378" max="5632" width="9.140625" style="1361"/>
    <col min="5633" max="5633" width="100.7109375" style="1361" customWidth="1"/>
    <col min="5634" max="5888" width="9.140625" style="1361"/>
    <col min="5889" max="5889" width="100.7109375" style="1361" customWidth="1"/>
    <col min="5890" max="6144" width="9.140625" style="1361"/>
    <col min="6145" max="6145" width="100.7109375" style="1361" customWidth="1"/>
    <col min="6146" max="6400" width="9.140625" style="1361"/>
    <col min="6401" max="6401" width="100.7109375" style="1361" customWidth="1"/>
    <col min="6402" max="6656" width="9.140625" style="1361"/>
    <col min="6657" max="6657" width="100.7109375" style="1361" customWidth="1"/>
    <col min="6658" max="6912" width="9.140625" style="1361"/>
    <col min="6913" max="6913" width="100.7109375" style="1361" customWidth="1"/>
    <col min="6914" max="7168" width="9.140625" style="1361"/>
    <col min="7169" max="7169" width="100.7109375" style="1361" customWidth="1"/>
    <col min="7170" max="7424" width="9.140625" style="1361"/>
    <col min="7425" max="7425" width="100.7109375" style="1361" customWidth="1"/>
    <col min="7426" max="7680" width="9.140625" style="1361"/>
    <col min="7681" max="7681" width="100.7109375" style="1361" customWidth="1"/>
    <col min="7682" max="7936" width="9.140625" style="1361"/>
    <col min="7937" max="7937" width="100.7109375" style="1361" customWidth="1"/>
    <col min="7938" max="8192" width="9.140625" style="1361"/>
    <col min="8193" max="8193" width="100.7109375" style="1361" customWidth="1"/>
    <col min="8194" max="8448" width="9.140625" style="1361"/>
    <col min="8449" max="8449" width="100.7109375" style="1361" customWidth="1"/>
    <col min="8450" max="8704" width="9.140625" style="1361"/>
    <col min="8705" max="8705" width="100.7109375" style="1361" customWidth="1"/>
    <col min="8706" max="8960" width="9.140625" style="1361"/>
    <col min="8961" max="8961" width="100.7109375" style="1361" customWidth="1"/>
    <col min="8962" max="9216" width="9.140625" style="1361"/>
    <col min="9217" max="9217" width="100.7109375" style="1361" customWidth="1"/>
    <col min="9218" max="9472" width="9.140625" style="1361"/>
    <col min="9473" max="9473" width="100.7109375" style="1361" customWidth="1"/>
    <col min="9474" max="9728" width="9.140625" style="1361"/>
    <col min="9729" max="9729" width="100.7109375" style="1361" customWidth="1"/>
    <col min="9730" max="9984" width="9.140625" style="1361"/>
    <col min="9985" max="9985" width="100.7109375" style="1361" customWidth="1"/>
    <col min="9986" max="10240" width="9.140625" style="1361"/>
    <col min="10241" max="10241" width="100.7109375" style="1361" customWidth="1"/>
    <col min="10242" max="10496" width="9.140625" style="1361"/>
    <col min="10497" max="10497" width="100.7109375" style="1361" customWidth="1"/>
    <col min="10498" max="10752" width="9.140625" style="1361"/>
    <col min="10753" max="10753" width="100.7109375" style="1361" customWidth="1"/>
    <col min="10754" max="11008" width="9.140625" style="1361"/>
    <col min="11009" max="11009" width="100.7109375" style="1361" customWidth="1"/>
    <col min="11010" max="11264" width="9.140625" style="1361"/>
    <col min="11265" max="11265" width="100.7109375" style="1361" customWidth="1"/>
    <col min="11266" max="11520" width="9.140625" style="1361"/>
    <col min="11521" max="11521" width="100.7109375" style="1361" customWidth="1"/>
    <col min="11522" max="11776" width="9.140625" style="1361"/>
    <col min="11777" max="11777" width="100.7109375" style="1361" customWidth="1"/>
    <col min="11778" max="12032" width="9.140625" style="1361"/>
    <col min="12033" max="12033" width="100.7109375" style="1361" customWidth="1"/>
    <col min="12034" max="12288" width="9.140625" style="1361"/>
    <col min="12289" max="12289" width="100.7109375" style="1361" customWidth="1"/>
    <col min="12290" max="12544" width="9.140625" style="1361"/>
    <col min="12545" max="12545" width="100.7109375" style="1361" customWidth="1"/>
    <col min="12546" max="12800" width="9.140625" style="1361"/>
    <col min="12801" max="12801" width="100.7109375" style="1361" customWidth="1"/>
    <col min="12802" max="13056" width="9.140625" style="1361"/>
    <col min="13057" max="13057" width="100.7109375" style="1361" customWidth="1"/>
    <col min="13058" max="13312" width="9.140625" style="1361"/>
    <col min="13313" max="13313" width="100.7109375" style="1361" customWidth="1"/>
    <col min="13314" max="13568" width="9.140625" style="1361"/>
    <col min="13569" max="13569" width="100.7109375" style="1361" customWidth="1"/>
    <col min="13570" max="13824" width="9.140625" style="1361"/>
    <col min="13825" max="13825" width="100.7109375" style="1361" customWidth="1"/>
    <col min="13826" max="14080" width="9.140625" style="1361"/>
    <col min="14081" max="14081" width="100.7109375" style="1361" customWidth="1"/>
    <col min="14082" max="14336" width="9.140625" style="1361"/>
    <col min="14337" max="14337" width="100.7109375" style="1361" customWidth="1"/>
    <col min="14338" max="14592" width="9.140625" style="1361"/>
    <col min="14593" max="14593" width="100.7109375" style="1361" customWidth="1"/>
    <col min="14594" max="14848" width="9.140625" style="1361"/>
    <col min="14849" max="14849" width="100.7109375" style="1361" customWidth="1"/>
    <col min="14850" max="15104" width="9.140625" style="1361"/>
    <col min="15105" max="15105" width="100.7109375" style="1361" customWidth="1"/>
    <col min="15106" max="15360" width="9.140625" style="1361"/>
    <col min="15361" max="15361" width="100.7109375" style="1361" customWidth="1"/>
    <col min="15362" max="15616" width="9.140625" style="1361"/>
    <col min="15617" max="15617" width="100.7109375" style="1361" customWidth="1"/>
    <col min="15618" max="15872" width="9.140625" style="1361"/>
    <col min="15873" max="15873" width="100.7109375" style="1361" customWidth="1"/>
    <col min="15874" max="16128" width="9.140625" style="1361"/>
    <col min="16129" max="16129" width="100.7109375" style="1361" customWidth="1"/>
    <col min="16130" max="16384" width="9.140625" style="1361"/>
  </cols>
  <sheetData>
    <row r="1" spans="1:8" ht="30" customHeight="1">
      <c r="A1" s="1359"/>
      <c r="B1" s="1360"/>
      <c r="C1" s="1360"/>
      <c r="D1" s="1360"/>
      <c r="E1" s="1360"/>
      <c r="F1" s="1360"/>
      <c r="G1" s="1360"/>
      <c r="H1" s="1360"/>
    </row>
    <row r="2" spans="1:8" ht="14.25">
      <c r="A2" s="1362" t="s">
        <v>433</v>
      </c>
      <c r="B2" s="1360"/>
      <c r="C2" s="1360"/>
      <c r="D2" s="1360"/>
      <c r="E2" s="1360"/>
      <c r="F2" s="1360"/>
      <c r="G2" s="1360"/>
      <c r="H2" s="1360"/>
    </row>
    <row r="3" spans="1:8" ht="14.25">
      <c r="A3" s="1362" t="s">
        <v>434</v>
      </c>
      <c r="B3" s="1360"/>
      <c r="C3" s="1360"/>
      <c r="D3" s="1360"/>
      <c r="E3" s="1360"/>
      <c r="F3" s="1360"/>
      <c r="G3" s="1360"/>
      <c r="H3" s="1360"/>
    </row>
    <row r="4" spans="1:8" ht="14.25">
      <c r="A4" s="1362" t="s">
        <v>435</v>
      </c>
      <c r="B4" s="1360"/>
      <c r="C4" s="1360"/>
      <c r="D4" s="1360"/>
      <c r="E4" s="1360"/>
      <c r="F4" s="1360"/>
      <c r="G4" s="1360"/>
      <c r="H4" s="1360"/>
    </row>
    <row r="5" spans="1:8" ht="14.25">
      <c r="A5" s="1362" t="s">
        <v>436</v>
      </c>
      <c r="B5" s="1360"/>
      <c r="C5" s="1360"/>
      <c r="D5" s="1360"/>
      <c r="E5" s="1360"/>
      <c r="F5" s="1360"/>
      <c r="G5" s="1360"/>
      <c r="H5" s="1360"/>
    </row>
    <row r="6" spans="1:8" ht="14.25">
      <c r="A6" s="1362"/>
      <c r="B6" s="1360"/>
      <c r="C6" s="1360"/>
      <c r="D6" s="1360"/>
      <c r="E6" s="1360"/>
      <c r="F6" s="1360"/>
      <c r="G6" s="1360"/>
      <c r="H6" s="1360"/>
    </row>
    <row r="7" spans="1:8">
      <c r="A7" s="1359" t="s">
        <v>437</v>
      </c>
      <c r="B7" s="1360"/>
      <c r="C7" s="1360"/>
      <c r="D7" s="1360"/>
      <c r="E7" s="1360"/>
      <c r="F7" s="1360"/>
      <c r="G7" s="1360"/>
      <c r="H7" s="1360"/>
    </row>
    <row r="8" spans="1:8">
      <c r="A8" s="1359" t="s">
        <v>438</v>
      </c>
      <c r="B8" s="1360"/>
      <c r="C8" s="1360"/>
      <c r="D8" s="1360"/>
      <c r="E8" s="1360"/>
      <c r="F8" s="1360"/>
      <c r="G8" s="1360"/>
      <c r="H8" s="1360"/>
    </row>
    <row r="9" spans="1:8">
      <c r="A9" s="1359"/>
      <c r="B9" s="1360"/>
      <c r="C9" s="1360"/>
      <c r="D9" s="1360"/>
      <c r="E9" s="1360"/>
      <c r="F9" s="1360"/>
      <c r="G9" s="1360"/>
      <c r="H9" s="1360"/>
    </row>
    <row r="10" spans="1:8">
      <c r="A10" s="1363" t="s">
        <v>439</v>
      </c>
      <c r="B10" s="1360"/>
      <c r="C10" s="1360"/>
      <c r="D10" s="1360"/>
      <c r="E10" s="1360"/>
      <c r="F10" s="1360"/>
      <c r="G10" s="1360"/>
      <c r="H10" s="1360"/>
    </row>
    <row r="11" spans="1:8">
      <c r="A11" s="1363" t="s">
        <v>440</v>
      </c>
      <c r="B11" s="1360"/>
      <c r="C11" s="1360"/>
      <c r="D11" s="1360"/>
      <c r="E11" s="1360"/>
      <c r="F11" s="1360"/>
      <c r="G11" s="1360"/>
      <c r="H11" s="1360"/>
    </row>
    <row r="12" spans="1:8">
      <c r="A12" s="1363" t="s">
        <v>441</v>
      </c>
      <c r="B12" s="1360"/>
      <c r="C12" s="1360"/>
      <c r="D12" s="1360"/>
      <c r="E12" s="1360"/>
      <c r="F12" s="1360"/>
      <c r="G12" s="1360"/>
      <c r="H12" s="1360"/>
    </row>
    <row r="13" spans="1:8">
      <c r="A13" s="1363" t="s">
        <v>442</v>
      </c>
      <c r="B13" s="1360"/>
      <c r="C13" s="1360"/>
      <c r="D13" s="1360"/>
      <c r="E13" s="1360"/>
      <c r="F13" s="1360"/>
      <c r="G13" s="1360"/>
      <c r="H13" s="1360"/>
    </row>
    <row r="14" spans="1:8">
      <c r="A14" s="1363" t="s">
        <v>443</v>
      </c>
      <c r="B14" s="1360"/>
      <c r="C14" s="1360"/>
      <c r="D14" s="1360"/>
      <c r="E14" s="1360"/>
      <c r="F14" s="1360"/>
      <c r="G14" s="1360"/>
      <c r="H14" s="1360"/>
    </row>
    <row r="15" spans="1:8">
      <c r="A15" s="1363" t="s">
        <v>444</v>
      </c>
      <c r="B15" s="1360"/>
      <c r="C15" s="1360"/>
      <c r="D15" s="1360"/>
      <c r="E15" s="1360"/>
      <c r="F15" s="1360"/>
      <c r="G15" s="1360"/>
      <c r="H15" s="1360"/>
    </row>
    <row r="16" spans="1:8">
      <c r="A16" s="1363"/>
      <c r="B16" s="1360"/>
      <c r="C16" s="1360"/>
      <c r="D16" s="1360"/>
      <c r="E16" s="1360"/>
      <c r="F16" s="1360"/>
      <c r="G16" s="1360"/>
      <c r="H16" s="1360"/>
    </row>
    <row r="17" spans="1:8">
      <c r="A17" s="1363" t="s">
        <v>430</v>
      </c>
      <c r="B17" s="1360"/>
      <c r="C17" s="1360"/>
      <c r="D17" s="1360"/>
      <c r="E17" s="1360"/>
      <c r="F17" s="1360"/>
      <c r="G17" s="1360"/>
      <c r="H17" s="1360"/>
    </row>
    <row r="18" spans="1:8">
      <c r="A18" s="1363"/>
      <c r="B18" s="1360"/>
      <c r="C18" s="1360"/>
      <c r="D18" s="1360"/>
      <c r="E18" s="1360"/>
      <c r="F18" s="1360"/>
      <c r="G18" s="1360"/>
      <c r="H18" s="1360"/>
    </row>
    <row r="19" spans="1:8">
      <c r="A19" s="1363" t="s">
        <v>431</v>
      </c>
      <c r="B19" s="1360"/>
      <c r="C19" s="1360"/>
      <c r="D19" s="1360"/>
      <c r="E19" s="1360"/>
      <c r="F19" s="1360"/>
      <c r="G19" s="1360"/>
      <c r="H19" s="1360"/>
    </row>
    <row r="20" spans="1:8">
      <c r="A20" s="1359"/>
      <c r="B20" s="1360"/>
      <c r="C20" s="1360"/>
      <c r="D20" s="1360"/>
      <c r="E20" s="1360"/>
      <c r="F20" s="1360"/>
      <c r="G20" s="1360"/>
      <c r="H20" s="1360"/>
    </row>
    <row r="21" spans="1:8">
      <c r="A21" s="1364" t="s">
        <v>432</v>
      </c>
      <c r="B21" s="1360"/>
      <c r="C21" s="1360"/>
      <c r="D21" s="1360"/>
      <c r="E21" s="1360"/>
      <c r="F21" s="1360"/>
      <c r="G21" s="1360"/>
      <c r="H21" s="1360"/>
    </row>
    <row r="22" spans="1:8">
      <c r="A22" s="1365"/>
      <c r="B22" s="1365"/>
      <c r="C22" s="1365"/>
      <c r="D22" s="1365"/>
      <c r="E22" s="1365"/>
      <c r="F22" s="1365"/>
      <c r="G22" s="1365"/>
      <c r="H22" s="1365"/>
    </row>
    <row r="23" spans="1:8">
      <c r="A23" s="1366" t="s">
        <v>717</v>
      </c>
      <c r="B23" s="1365"/>
      <c r="C23" s="1365"/>
      <c r="D23" s="1365"/>
      <c r="E23" s="1365"/>
      <c r="F23" s="1365"/>
      <c r="G23" s="1365"/>
      <c r="H23" s="1365"/>
    </row>
    <row r="24" spans="1:8">
      <c r="A24" s="1366" t="s">
        <v>718</v>
      </c>
      <c r="B24" s="1365"/>
      <c r="C24" s="1365"/>
      <c r="D24" s="1365"/>
      <c r="E24" s="1365"/>
      <c r="F24" s="1365"/>
      <c r="G24" s="1365"/>
      <c r="H24" s="1365"/>
    </row>
    <row r="25" spans="1:8">
      <c r="A25" s="1366" t="s">
        <v>719</v>
      </c>
      <c r="B25" s="1365"/>
      <c r="C25" s="1365"/>
      <c r="D25" s="1365"/>
      <c r="E25" s="1365"/>
      <c r="F25" s="1365"/>
      <c r="G25" s="1365"/>
      <c r="H25" s="1365"/>
    </row>
    <row r="26" spans="1:8">
      <c r="A26" s="1366" t="s">
        <v>720</v>
      </c>
      <c r="B26" s="1365"/>
      <c r="C26" s="1365"/>
      <c r="D26" s="1365"/>
      <c r="E26" s="1365"/>
      <c r="F26" s="1365"/>
      <c r="G26" s="1365"/>
      <c r="H26" s="1365"/>
    </row>
    <row r="27" spans="1:8">
      <c r="A27" s="1365"/>
      <c r="B27" s="1365"/>
      <c r="C27" s="1365"/>
      <c r="D27" s="1365"/>
      <c r="E27" s="1365"/>
      <c r="F27" s="1365"/>
      <c r="G27" s="1365"/>
      <c r="H27" s="1365"/>
    </row>
    <row r="28" spans="1:8">
      <c r="A28" s="1365"/>
      <c r="B28" s="1365"/>
      <c r="C28" s="1365"/>
      <c r="D28" s="1365"/>
      <c r="E28" s="1365"/>
      <c r="F28" s="1365"/>
      <c r="G28" s="1365"/>
      <c r="H28" s="1365"/>
    </row>
    <row r="29" spans="1:8">
      <c r="A29" s="1366" t="s">
        <v>712</v>
      </c>
      <c r="B29" s="1365"/>
      <c r="C29" s="1365"/>
      <c r="D29" s="1365"/>
      <c r="E29" s="1365"/>
      <c r="F29" s="1365"/>
      <c r="G29" s="1365"/>
      <c r="H29" s="1365"/>
    </row>
    <row r="30" spans="1:8">
      <c r="A30" s="1366" t="s">
        <v>713</v>
      </c>
      <c r="B30" s="1365"/>
      <c r="C30" s="1365"/>
      <c r="D30" s="1365"/>
      <c r="E30" s="1365"/>
      <c r="F30" s="1365"/>
      <c r="G30" s="1365"/>
      <c r="H30" s="1365"/>
    </row>
    <row r="31" spans="1:8">
      <c r="A31" s="1366" t="s">
        <v>714</v>
      </c>
      <c r="B31" s="1365"/>
      <c r="C31" s="1365"/>
      <c r="D31" s="1365"/>
      <c r="E31" s="1365"/>
      <c r="F31" s="1365"/>
      <c r="G31" s="1365"/>
      <c r="H31" s="1365"/>
    </row>
    <row r="32" spans="1:8">
      <c r="A32" s="1366" t="s">
        <v>715</v>
      </c>
      <c r="B32" s="1365"/>
      <c r="C32" s="1365"/>
      <c r="D32" s="1365"/>
      <c r="E32" s="1365"/>
      <c r="F32" s="1365"/>
      <c r="G32" s="1365"/>
      <c r="H32" s="1365"/>
    </row>
    <row r="33" spans="1:8">
      <c r="A33" s="1366" t="s">
        <v>716</v>
      </c>
      <c r="B33" s="1365"/>
      <c r="C33" s="1365"/>
      <c r="D33" s="1365"/>
      <c r="E33" s="1365"/>
      <c r="F33" s="1365"/>
      <c r="G33" s="1365"/>
      <c r="H33" s="1365"/>
    </row>
    <row r="34" spans="1:8">
      <c r="A34" s="1365"/>
      <c r="B34" s="1365"/>
      <c r="C34" s="1365"/>
      <c r="D34" s="1365"/>
      <c r="E34" s="1365"/>
      <c r="F34" s="1365"/>
      <c r="G34" s="1365"/>
      <c r="H34" s="1365"/>
    </row>
    <row r="35" spans="1:8">
      <c r="A35" s="1366" t="s">
        <v>708</v>
      </c>
      <c r="B35" s="1365"/>
      <c r="C35" s="1365"/>
      <c r="D35" s="1365"/>
      <c r="E35" s="1365"/>
      <c r="F35" s="1365"/>
      <c r="G35" s="1365"/>
      <c r="H35" s="1365"/>
    </row>
    <row r="36" spans="1:8">
      <c r="A36" s="1366" t="s">
        <v>709</v>
      </c>
      <c r="B36" s="1365"/>
      <c r="C36" s="1365"/>
      <c r="D36" s="1365"/>
      <c r="E36" s="1365"/>
      <c r="F36" s="1365"/>
      <c r="G36" s="1365"/>
      <c r="H36" s="1365"/>
    </row>
    <row r="37" spans="1:8">
      <c r="A37" s="1366" t="s">
        <v>710</v>
      </c>
      <c r="B37" s="1365"/>
      <c r="C37" s="1365"/>
      <c r="D37" s="1365"/>
      <c r="E37" s="1365"/>
      <c r="F37" s="1365"/>
      <c r="G37" s="1365"/>
      <c r="H37" s="1365"/>
    </row>
    <row r="38" spans="1:8">
      <c r="A38" s="1366" t="s">
        <v>711</v>
      </c>
      <c r="B38" s="1365"/>
      <c r="C38" s="1365"/>
      <c r="D38" s="1365"/>
      <c r="E38" s="1365"/>
      <c r="F38" s="1365"/>
      <c r="G38" s="1365"/>
      <c r="H38" s="1365"/>
    </row>
    <row r="39" spans="1:8">
      <c r="A39" s="1365"/>
      <c r="B39" s="1365"/>
      <c r="C39" s="1365"/>
      <c r="D39" s="1365"/>
      <c r="E39" s="1365"/>
      <c r="F39" s="1365"/>
      <c r="G39" s="1365"/>
      <c r="H39" s="1365"/>
    </row>
    <row r="40" spans="1:8">
      <c r="A40" s="1366" t="s">
        <v>702</v>
      </c>
      <c r="B40" s="1365"/>
      <c r="C40" s="1365"/>
      <c r="D40" s="1365"/>
      <c r="E40" s="1365"/>
      <c r="F40" s="1365"/>
      <c r="G40" s="1365"/>
      <c r="H40" s="1365"/>
    </row>
    <row r="41" spans="1:8">
      <c r="A41" s="1366" t="s">
        <v>703</v>
      </c>
      <c r="B41" s="1365"/>
      <c r="C41" s="1365"/>
      <c r="D41" s="1365"/>
      <c r="E41" s="1365"/>
      <c r="F41" s="1365"/>
      <c r="G41" s="1365"/>
      <c r="H41" s="1365"/>
    </row>
    <row r="42" spans="1:8">
      <c r="A42" s="1366" t="s">
        <v>704</v>
      </c>
      <c r="B42" s="1365"/>
      <c r="C42" s="1365"/>
      <c r="D42" s="1365"/>
      <c r="E42" s="1365"/>
      <c r="F42" s="1365"/>
      <c r="G42" s="1365"/>
      <c r="H42" s="1365"/>
    </row>
    <row r="43" spans="1:8">
      <c r="A43" s="1366" t="s">
        <v>705</v>
      </c>
      <c r="B43" s="1365"/>
      <c r="C43" s="1365"/>
      <c r="D43" s="1365"/>
      <c r="E43" s="1365"/>
      <c r="F43" s="1365"/>
      <c r="G43" s="1365"/>
      <c r="H43" s="1365"/>
    </row>
    <row r="44" spans="1:8">
      <c r="A44" s="1366" t="s">
        <v>706</v>
      </c>
      <c r="B44" s="1365"/>
      <c r="C44" s="1365"/>
      <c r="D44" s="1365"/>
      <c r="E44" s="1365"/>
      <c r="F44" s="1365"/>
      <c r="G44" s="1365"/>
      <c r="H44" s="1365"/>
    </row>
    <row r="45" spans="1:8">
      <c r="A45" s="1366" t="s">
        <v>707</v>
      </c>
      <c r="B45" s="1365"/>
      <c r="C45" s="1365"/>
      <c r="D45" s="1365"/>
      <c r="E45" s="1365"/>
      <c r="F45" s="1365"/>
      <c r="G45" s="1365"/>
      <c r="H45" s="1365"/>
    </row>
    <row r="46" spans="1:8">
      <c r="A46" s="1365"/>
      <c r="B46" s="1365"/>
      <c r="C46" s="1365"/>
      <c r="D46" s="1365"/>
      <c r="E46" s="1365"/>
      <c r="F46" s="1365"/>
      <c r="G46" s="1365"/>
      <c r="H46" s="1365"/>
    </row>
    <row r="47" spans="1:8" ht="15.75">
      <c r="A47" s="1367" t="s">
        <v>445</v>
      </c>
      <c r="B47" s="1365"/>
      <c r="C47" s="1365"/>
      <c r="D47" s="1365"/>
      <c r="E47" s="1365"/>
      <c r="F47" s="1365"/>
      <c r="G47" s="1365"/>
      <c r="H47" s="1365"/>
    </row>
    <row r="48" spans="1:8">
      <c r="A48" s="1365"/>
      <c r="B48" s="1365"/>
      <c r="C48" s="1365"/>
      <c r="D48" s="1365"/>
      <c r="E48" s="1365"/>
      <c r="F48" s="1365"/>
      <c r="G48" s="1365"/>
      <c r="H48" s="1365"/>
    </row>
    <row r="49" spans="1:8">
      <c r="A49" s="1366" t="s">
        <v>698</v>
      </c>
      <c r="B49" s="1365"/>
      <c r="C49" s="1365"/>
      <c r="D49" s="1365"/>
      <c r="E49" s="1365"/>
      <c r="F49" s="1365"/>
      <c r="G49" s="1365"/>
      <c r="H49" s="1365"/>
    </row>
    <row r="50" spans="1:8">
      <c r="A50" s="1366" t="s">
        <v>699</v>
      </c>
      <c r="B50" s="1365"/>
      <c r="C50" s="1365"/>
      <c r="D50" s="1365"/>
      <c r="E50" s="1365"/>
      <c r="F50" s="1365"/>
      <c r="G50" s="1365"/>
      <c r="H50" s="1365"/>
    </row>
    <row r="51" spans="1:8">
      <c r="A51" s="1366" t="s">
        <v>700</v>
      </c>
      <c r="B51" s="1365"/>
      <c r="C51" s="1365"/>
      <c r="D51" s="1365"/>
      <c r="E51" s="1365"/>
      <c r="F51" s="1365"/>
      <c r="G51" s="1365"/>
      <c r="H51" s="1365"/>
    </row>
    <row r="52" spans="1:8">
      <c r="A52" s="1366" t="s">
        <v>701</v>
      </c>
      <c r="B52" s="1365"/>
      <c r="C52" s="1365"/>
      <c r="D52" s="1365"/>
      <c r="E52" s="1365"/>
      <c r="F52" s="1365"/>
      <c r="G52" s="1365"/>
      <c r="H52" s="1365"/>
    </row>
    <row r="53" spans="1:8">
      <c r="A53" s="1365"/>
      <c r="B53" s="1365"/>
      <c r="C53" s="1365"/>
      <c r="D53" s="1365"/>
      <c r="E53" s="1365"/>
      <c r="F53" s="1365"/>
      <c r="G53" s="1365"/>
      <c r="H53" s="1365"/>
    </row>
    <row r="54" spans="1:8">
      <c r="A54" s="1366" t="s">
        <v>446</v>
      </c>
      <c r="B54" s="1365"/>
      <c r="C54" s="1365"/>
      <c r="D54" s="1365"/>
      <c r="E54" s="1365"/>
      <c r="F54" s="1365"/>
      <c r="G54" s="1365"/>
      <c r="H54" s="1365"/>
    </row>
    <row r="55" spans="1:8">
      <c r="A55" s="1365"/>
      <c r="B55" s="1365"/>
      <c r="C55" s="1365"/>
      <c r="D55" s="1365"/>
      <c r="E55" s="1365"/>
      <c r="F55" s="1365"/>
      <c r="G55" s="1365"/>
      <c r="H55" s="1365"/>
    </row>
    <row r="56" spans="1:8" ht="15.75">
      <c r="A56" s="1367" t="s">
        <v>447</v>
      </c>
      <c r="B56" s="1365"/>
      <c r="C56" s="1365"/>
      <c r="D56" s="1365"/>
      <c r="E56" s="1365"/>
      <c r="F56" s="1365"/>
      <c r="G56" s="1365"/>
      <c r="H56" s="1365"/>
    </row>
    <row r="57" spans="1:8">
      <c r="A57" s="1365"/>
      <c r="B57" s="1365"/>
      <c r="C57" s="1365"/>
      <c r="D57" s="1365"/>
      <c r="E57" s="1365"/>
      <c r="F57" s="1365"/>
      <c r="G57" s="1365"/>
      <c r="H57" s="1365"/>
    </row>
    <row r="58" spans="1:8">
      <c r="A58" s="1366" t="s">
        <v>696</v>
      </c>
      <c r="B58" s="1365"/>
      <c r="C58" s="1365"/>
      <c r="D58" s="1365"/>
      <c r="E58" s="1365"/>
      <c r="F58" s="1365"/>
      <c r="G58" s="1365"/>
      <c r="H58" s="1365"/>
    </row>
    <row r="59" spans="1:8">
      <c r="A59" s="1366" t="s">
        <v>697</v>
      </c>
      <c r="B59" s="1365"/>
      <c r="C59" s="1365"/>
      <c r="D59" s="1365"/>
      <c r="E59" s="1365"/>
      <c r="F59" s="1365"/>
      <c r="G59" s="1365"/>
      <c r="H59" s="1365"/>
    </row>
    <row r="60" spans="1:8">
      <c r="A60" s="1365"/>
      <c r="B60" s="1365"/>
      <c r="C60" s="1365"/>
      <c r="D60" s="1365"/>
      <c r="E60" s="1365"/>
      <c r="F60" s="1365"/>
      <c r="G60" s="1365"/>
      <c r="H60" s="1365"/>
    </row>
    <row r="61" spans="1:8" ht="15.75">
      <c r="A61" s="1367" t="s">
        <v>448</v>
      </c>
      <c r="B61" s="1365"/>
      <c r="C61" s="1365"/>
      <c r="D61" s="1365"/>
      <c r="E61" s="1365"/>
      <c r="F61" s="1365"/>
      <c r="G61" s="1365"/>
      <c r="H61" s="1365"/>
    </row>
    <row r="62" spans="1:8">
      <c r="A62" s="1365"/>
      <c r="B62" s="1365"/>
      <c r="C62" s="1365"/>
      <c r="D62" s="1365"/>
      <c r="E62" s="1365"/>
      <c r="F62" s="1365"/>
      <c r="G62" s="1365"/>
      <c r="H62" s="1365"/>
    </row>
    <row r="63" spans="1:8">
      <c r="A63" s="1366" t="s">
        <v>694</v>
      </c>
      <c r="B63" s="1365"/>
      <c r="C63" s="1365"/>
      <c r="D63" s="1365"/>
      <c r="E63" s="1365"/>
      <c r="F63" s="1365"/>
      <c r="G63" s="1365"/>
      <c r="H63" s="1365"/>
    </row>
    <row r="64" spans="1:8">
      <c r="A64" s="1366" t="s">
        <v>695</v>
      </c>
      <c r="B64" s="1365"/>
      <c r="C64" s="1365"/>
      <c r="D64" s="1365"/>
      <c r="E64" s="1365"/>
      <c r="F64" s="1365"/>
      <c r="G64" s="1365"/>
      <c r="H64" s="1365"/>
    </row>
    <row r="65" spans="1:8">
      <c r="A65" s="1365"/>
      <c r="B65" s="1365"/>
      <c r="C65" s="1365"/>
      <c r="D65" s="1365"/>
      <c r="E65" s="1365"/>
      <c r="F65" s="1365"/>
      <c r="G65" s="1365"/>
      <c r="H65" s="1365"/>
    </row>
    <row r="66" spans="1:8">
      <c r="A66" s="1366" t="s">
        <v>692</v>
      </c>
      <c r="B66" s="1365"/>
      <c r="C66" s="1365"/>
      <c r="D66" s="1365"/>
      <c r="E66" s="1365"/>
      <c r="F66" s="1365"/>
      <c r="G66" s="1365"/>
      <c r="H66" s="1365"/>
    </row>
    <row r="67" spans="1:8">
      <c r="A67" s="1366" t="s">
        <v>693</v>
      </c>
      <c r="B67" s="1365"/>
      <c r="C67" s="1365"/>
      <c r="D67" s="1365"/>
      <c r="E67" s="1365"/>
      <c r="F67" s="1365"/>
      <c r="G67" s="1365"/>
      <c r="H67" s="1365"/>
    </row>
    <row r="68" spans="1:8">
      <c r="A68" s="1365"/>
      <c r="B68" s="1365"/>
      <c r="C68" s="1365"/>
      <c r="D68" s="1365"/>
      <c r="E68" s="1365"/>
      <c r="F68" s="1365"/>
      <c r="G68" s="1365"/>
      <c r="H68" s="1365"/>
    </row>
    <row r="69" spans="1:8">
      <c r="A69" s="1366" t="s">
        <v>449</v>
      </c>
      <c r="B69" s="1365"/>
      <c r="C69" s="1365"/>
      <c r="D69" s="1365"/>
      <c r="E69" s="1365"/>
      <c r="F69" s="1365"/>
      <c r="G69" s="1365"/>
      <c r="H69" s="1365"/>
    </row>
    <row r="70" spans="1:8">
      <c r="A70" s="1365"/>
      <c r="B70" s="1365"/>
      <c r="C70" s="1365"/>
      <c r="D70" s="1365"/>
      <c r="E70" s="1365"/>
      <c r="F70" s="1365"/>
      <c r="G70" s="1365"/>
      <c r="H70" s="1365"/>
    </row>
    <row r="71" spans="1:8">
      <c r="A71" s="1366" t="s">
        <v>687</v>
      </c>
      <c r="B71" s="1365"/>
      <c r="C71" s="1365"/>
      <c r="D71" s="1365"/>
      <c r="E71" s="1365"/>
      <c r="F71" s="1365"/>
      <c r="G71" s="1365"/>
      <c r="H71" s="1365"/>
    </row>
    <row r="72" spans="1:8">
      <c r="A72" s="1366" t="s">
        <v>688</v>
      </c>
      <c r="B72" s="1365"/>
      <c r="C72" s="1365"/>
      <c r="D72" s="1365"/>
      <c r="E72" s="1365"/>
      <c r="F72" s="1365"/>
      <c r="G72" s="1365"/>
      <c r="H72" s="1365"/>
    </row>
    <row r="73" spans="1:8">
      <c r="A73" s="1366" t="s">
        <v>689</v>
      </c>
      <c r="B73" s="1365"/>
      <c r="C73" s="1365"/>
      <c r="D73" s="1365"/>
      <c r="E73" s="1365"/>
      <c r="F73" s="1365"/>
      <c r="G73" s="1365"/>
      <c r="H73" s="1365"/>
    </row>
    <row r="74" spans="1:8">
      <c r="A74" s="1366" t="s">
        <v>690</v>
      </c>
      <c r="B74" s="1365"/>
      <c r="C74" s="1365"/>
      <c r="D74" s="1365"/>
      <c r="E74" s="1365"/>
      <c r="F74" s="1365"/>
      <c r="G74" s="1365"/>
      <c r="H74" s="1365"/>
    </row>
    <row r="75" spans="1:8">
      <c r="A75" s="1366" t="s">
        <v>691</v>
      </c>
      <c r="B75" s="1365"/>
      <c r="C75" s="1365"/>
      <c r="D75" s="1365"/>
      <c r="E75" s="1365"/>
      <c r="F75" s="1365"/>
      <c r="G75" s="1365"/>
      <c r="H75" s="1365"/>
    </row>
    <row r="76" spans="1:8">
      <c r="A76" s="1366" t="s">
        <v>574</v>
      </c>
      <c r="B76" s="1365"/>
      <c r="C76" s="1365"/>
      <c r="D76" s="1365"/>
      <c r="E76" s="1365"/>
      <c r="F76" s="1365"/>
      <c r="G76" s="1365"/>
      <c r="H76" s="1365"/>
    </row>
    <row r="77" spans="1:8">
      <c r="A77" s="1365"/>
      <c r="B77" s="1365"/>
      <c r="C77" s="1365"/>
      <c r="D77" s="1365"/>
      <c r="E77" s="1365"/>
      <c r="F77" s="1365"/>
      <c r="G77" s="1365"/>
      <c r="H77" s="1365"/>
    </row>
    <row r="78" spans="1:8">
      <c r="A78" s="1366" t="s">
        <v>680</v>
      </c>
      <c r="B78" s="1365"/>
      <c r="C78" s="1365"/>
      <c r="D78" s="1365"/>
      <c r="E78" s="1365"/>
      <c r="F78" s="1365"/>
      <c r="G78" s="1365"/>
      <c r="H78" s="1365"/>
    </row>
    <row r="79" spans="1:8">
      <c r="A79" s="1366" t="s">
        <v>681</v>
      </c>
      <c r="B79" s="1365"/>
      <c r="C79" s="1365"/>
      <c r="D79" s="1365"/>
      <c r="E79" s="1365"/>
      <c r="F79" s="1365"/>
      <c r="G79" s="1365"/>
      <c r="H79" s="1365"/>
    </row>
    <row r="80" spans="1:8">
      <c r="A80" s="1366" t="s">
        <v>682</v>
      </c>
      <c r="B80" s="1365"/>
      <c r="C80" s="1365"/>
      <c r="D80" s="1365"/>
      <c r="E80" s="1365"/>
      <c r="F80" s="1365"/>
      <c r="G80" s="1365"/>
      <c r="H80" s="1365"/>
    </row>
    <row r="81" spans="1:8">
      <c r="A81" s="1366" t="s">
        <v>683</v>
      </c>
      <c r="B81" s="1365"/>
      <c r="C81" s="1365"/>
      <c r="D81" s="1365"/>
      <c r="E81" s="1365"/>
      <c r="F81" s="1365"/>
      <c r="G81" s="1365"/>
      <c r="H81" s="1365"/>
    </row>
    <row r="82" spans="1:8">
      <c r="A82" s="1366" t="s">
        <v>684</v>
      </c>
      <c r="B82" s="1365"/>
      <c r="C82" s="1365"/>
      <c r="D82" s="1365"/>
      <c r="E82" s="1365"/>
      <c r="F82" s="1365"/>
      <c r="G82" s="1365"/>
      <c r="H82" s="1365"/>
    </row>
    <row r="83" spans="1:8">
      <c r="A83" s="1366" t="s">
        <v>685</v>
      </c>
      <c r="B83" s="1365"/>
      <c r="C83" s="1365"/>
      <c r="D83" s="1365"/>
      <c r="E83" s="1365"/>
      <c r="F83" s="1365"/>
      <c r="G83" s="1365"/>
      <c r="H83" s="1365"/>
    </row>
    <row r="84" spans="1:8">
      <c r="A84" s="1366" t="s">
        <v>686</v>
      </c>
      <c r="B84" s="1365"/>
      <c r="C84" s="1365"/>
      <c r="D84" s="1365"/>
      <c r="E84" s="1365"/>
      <c r="F84" s="1365"/>
      <c r="G84" s="1365"/>
      <c r="H84" s="1365"/>
    </row>
    <row r="85" spans="1:8">
      <c r="A85" s="1365"/>
      <c r="B85" s="1365"/>
      <c r="C85" s="1365"/>
      <c r="D85" s="1365"/>
      <c r="E85" s="1365"/>
      <c r="F85" s="1365"/>
      <c r="G85" s="1365"/>
      <c r="H85" s="1365"/>
    </row>
    <row r="86" spans="1:8">
      <c r="A86" s="1366" t="s">
        <v>678</v>
      </c>
      <c r="B86" s="1365"/>
      <c r="C86" s="1365"/>
      <c r="D86" s="1365"/>
      <c r="E86" s="1365"/>
      <c r="F86" s="1365"/>
      <c r="G86" s="1365"/>
      <c r="H86" s="1365"/>
    </row>
    <row r="87" spans="1:8">
      <c r="A87" s="1366" t="s">
        <v>679</v>
      </c>
      <c r="B87" s="1365"/>
      <c r="C87" s="1365"/>
      <c r="D87" s="1365"/>
      <c r="E87" s="1365"/>
      <c r="F87" s="1365"/>
      <c r="G87" s="1365"/>
      <c r="H87" s="1365"/>
    </row>
    <row r="88" spans="1:8">
      <c r="A88" s="1365"/>
      <c r="B88" s="1365"/>
      <c r="C88" s="1365"/>
      <c r="D88" s="1365"/>
      <c r="E88" s="1365"/>
      <c r="F88" s="1365"/>
      <c r="G88" s="1365"/>
      <c r="H88" s="1365"/>
    </row>
    <row r="89" spans="1:8" ht="15.75">
      <c r="A89" s="1367" t="s">
        <v>450</v>
      </c>
      <c r="B89" s="1365"/>
      <c r="C89" s="1365"/>
      <c r="D89" s="1365"/>
      <c r="E89" s="1365"/>
      <c r="F89" s="1365"/>
      <c r="G89" s="1365"/>
      <c r="H89" s="1365"/>
    </row>
    <row r="90" spans="1:8">
      <c r="A90" s="1365"/>
      <c r="B90" s="1365"/>
      <c r="C90" s="1365"/>
      <c r="D90" s="1365"/>
      <c r="E90" s="1365"/>
      <c r="F90" s="1365"/>
      <c r="G90" s="1365"/>
      <c r="H90" s="1365"/>
    </row>
    <row r="91" spans="1:8">
      <c r="A91" s="1366" t="s">
        <v>669</v>
      </c>
      <c r="B91" s="1365"/>
      <c r="C91" s="1365"/>
      <c r="D91" s="1365"/>
      <c r="E91" s="1365"/>
      <c r="F91" s="1365"/>
      <c r="G91" s="1365"/>
      <c r="H91" s="1365"/>
    </row>
    <row r="92" spans="1:8">
      <c r="A92" s="1366" t="s">
        <v>670</v>
      </c>
      <c r="B92" s="1365"/>
      <c r="C92" s="1365"/>
      <c r="D92" s="1365"/>
      <c r="E92" s="1365"/>
      <c r="F92" s="1365"/>
      <c r="G92" s="1365"/>
      <c r="H92" s="1365"/>
    </row>
    <row r="93" spans="1:8">
      <c r="A93" s="1366" t="s">
        <v>671</v>
      </c>
      <c r="B93" s="1365"/>
      <c r="C93" s="1365"/>
      <c r="D93" s="1365"/>
      <c r="E93" s="1365"/>
      <c r="F93" s="1365"/>
      <c r="G93" s="1365"/>
      <c r="H93" s="1365"/>
    </row>
    <row r="94" spans="1:8">
      <c r="A94" s="1366" t="s">
        <v>672</v>
      </c>
      <c r="B94" s="1365"/>
      <c r="C94" s="1365"/>
      <c r="D94" s="1365"/>
      <c r="E94" s="1365"/>
      <c r="F94" s="1365"/>
      <c r="G94" s="1365"/>
      <c r="H94" s="1365"/>
    </row>
    <row r="95" spans="1:8">
      <c r="A95" s="1366" t="s">
        <v>673</v>
      </c>
      <c r="B95" s="1365"/>
      <c r="C95" s="1365"/>
      <c r="D95" s="1365"/>
      <c r="E95" s="1365"/>
      <c r="F95" s="1365"/>
      <c r="G95" s="1365"/>
      <c r="H95" s="1365"/>
    </row>
    <row r="96" spans="1:8">
      <c r="A96" s="1366" t="s">
        <v>674</v>
      </c>
      <c r="B96" s="1365"/>
      <c r="C96" s="1365"/>
      <c r="D96" s="1365"/>
      <c r="E96" s="1365"/>
      <c r="F96" s="1365"/>
      <c r="G96" s="1365"/>
      <c r="H96" s="1365"/>
    </row>
    <row r="97" spans="1:8">
      <c r="A97" s="1366" t="s">
        <v>675</v>
      </c>
      <c r="B97" s="1365"/>
      <c r="C97" s="1365"/>
      <c r="D97" s="1365"/>
      <c r="E97" s="1365"/>
      <c r="F97" s="1365"/>
      <c r="G97" s="1365"/>
      <c r="H97" s="1365"/>
    </row>
    <row r="98" spans="1:8">
      <c r="A98" s="1366" t="s">
        <v>676</v>
      </c>
      <c r="B98" s="1365"/>
      <c r="C98" s="1365"/>
      <c r="D98" s="1365"/>
      <c r="E98" s="1365"/>
      <c r="F98" s="1365"/>
      <c r="G98" s="1365"/>
      <c r="H98" s="1365"/>
    </row>
    <row r="99" spans="1:8">
      <c r="A99" s="1366" t="s">
        <v>677</v>
      </c>
      <c r="B99" s="1365"/>
      <c r="C99" s="1365"/>
      <c r="D99" s="1365"/>
      <c r="E99" s="1365"/>
      <c r="F99" s="1365"/>
      <c r="G99" s="1365"/>
      <c r="H99" s="1365"/>
    </row>
    <row r="100" spans="1:8">
      <c r="A100" s="1365"/>
      <c r="B100" s="1365"/>
      <c r="C100" s="1365"/>
      <c r="D100" s="1365"/>
      <c r="E100" s="1365"/>
      <c r="F100" s="1365"/>
      <c r="G100" s="1365"/>
      <c r="H100" s="1365"/>
    </row>
    <row r="101" spans="1:8" ht="15.75">
      <c r="A101" s="1368" t="s">
        <v>451</v>
      </c>
      <c r="B101" s="1368"/>
      <c r="C101" s="1368"/>
      <c r="D101" s="1368"/>
      <c r="E101" s="1368"/>
      <c r="F101" s="1368"/>
      <c r="G101" s="1368"/>
      <c r="H101" s="1368"/>
    </row>
    <row r="102" spans="1:8">
      <c r="A102" s="1369" t="s">
        <v>452</v>
      </c>
      <c r="B102" s="1369"/>
      <c r="C102" s="1369"/>
      <c r="D102" s="1369"/>
      <c r="E102" s="1369"/>
      <c r="F102" s="1369"/>
      <c r="G102" s="1369"/>
      <c r="H102" s="1369"/>
    </row>
    <row r="103" spans="1:8">
      <c r="A103" s="1370"/>
      <c r="B103" s="1370"/>
      <c r="C103" s="1370"/>
      <c r="D103" s="1370"/>
      <c r="E103" s="1370"/>
      <c r="F103" s="1370"/>
      <c r="G103" s="1370"/>
      <c r="H103" s="1370"/>
    </row>
    <row r="104" spans="1:8">
      <c r="A104" s="1369" t="s">
        <v>667</v>
      </c>
      <c r="B104" s="1369"/>
      <c r="C104" s="1369"/>
      <c r="D104" s="1369"/>
      <c r="E104" s="1369"/>
      <c r="F104" s="1369"/>
      <c r="G104" s="1369"/>
      <c r="H104" s="1369"/>
    </row>
    <row r="105" spans="1:8">
      <c r="A105" s="1366" t="s">
        <v>668</v>
      </c>
      <c r="B105" s="1366"/>
      <c r="C105" s="1366"/>
      <c r="D105" s="1366"/>
      <c r="E105" s="1366"/>
      <c r="F105" s="1366"/>
      <c r="G105" s="1366"/>
      <c r="H105" s="1366"/>
    </row>
    <row r="106" spans="1:8">
      <c r="A106" s="1370"/>
      <c r="B106" s="1370"/>
      <c r="C106" s="1370"/>
      <c r="D106" s="1370"/>
      <c r="E106" s="1370"/>
      <c r="F106" s="1370"/>
      <c r="G106" s="1370"/>
      <c r="H106" s="1370"/>
    </row>
    <row r="107" spans="1:8">
      <c r="A107" s="1369" t="s">
        <v>660</v>
      </c>
      <c r="B107" s="1369"/>
      <c r="C107" s="1369"/>
      <c r="D107" s="1369"/>
      <c r="E107" s="1369"/>
      <c r="F107" s="1369"/>
      <c r="G107" s="1369"/>
      <c r="H107" s="1369"/>
    </row>
    <row r="108" spans="1:8">
      <c r="A108" s="1366" t="s">
        <v>661</v>
      </c>
      <c r="B108" s="1366"/>
      <c r="C108" s="1366"/>
      <c r="D108" s="1366"/>
      <c r="E108" s="1366"/>
      <c r="F108" s="1366"/>
      <c r="G108" s="1366"/>
      <c r="H108" s="1366"/>
    </row>
    <row r="109" spans="1:8">
      <c r="A109" s="1366" t="s">
        <v>662</v>
      </c>
      <c r="B109" s="1366"/>
      <c r="C109" s="1366"/>
      <c r="D109" s="1366"/>
      <c r="E109" s="1366"/>
      <c r="F109" s="1366"/>
      <c r="G109" s="1366"/>
      <c r="H109" s="1366"/>
    </row>
    <row r="110" spans="1:8">
      <c r="A110" s="1366" t="s">
        <v>663</v>
      </c>
      <c r="B110" s="1366"/>
      <c r="C110" s="1366"/>
      <c r="D110" s="1366"/>
      <c r="E110" s="1366"/>
      <c r="F110" s="1366"/>
      <c r="G110" s="1366"/>
      <c r="H110" s="1366"/>
    </row>
    <row r="111" spans="1:8">
      <c r="A111" s="1366" t="s">
        <v>664</v>
      </c>
      <c r="B111" s="1366"/>
      <c r="C111" s="1366"/>
      <c r="D111" s="1366"/>
      <c r="E111" s="1366"/>
      <c r="F111" s="1366"/>
      <c r="G111" s="1366"/>
      <c r="H111" s="1366"/>
    </row>
    <row r="112" spans="1:8">
      <c r="A112" s="1366" t="s">
        <v>665</v>
      </c>
      <c r="B112" s="1366"/>
      <c r="C112" s="1366"/>
      <c r="D112" s="1366"/>
      <c r="E112" s="1366"/>
      <c r="F112" s="1366"/>
      <c r="G112" s="1366"/>
      <c r="H112" s="1366"/>
    </row>
    <row r="113" spans="1:8">
      <c r="A113" s="1366" t="s">
        <v>666</v>
      </c>
      <c r="B113" s="1366"/>
      <c r="C113" s="1366"/>
      <c r="D113" s="1366"/>
      <c r="E113" s="1366"/>
      <c r="F113" s="1366"/>
      <c r="G113" s="1366"/>
      <c r="H113" s="1366"/>
    </row>
    <row r="114" spans="1:8">
      <c r="A114" s="1371"/>
      <c r="B114" s="1371"/>
      <c r="C114" s="1371"/>
      <c r="D114" s="1371"/>
      <c r="E114" s="1371"/>
      <c r="F114" s="1371"/>
      <c r="G114" s="1371"/>
      <c r="H114" s="1371"/>
    </row>
    <row r="115" spans="1:8">
      <c r="A115" s="1372"/>
      <c r="B115" s="1373" t="s">
        <v>453</v>
      </c>
      <c r="C115" s="1374"/>
      <c r="D115" s="1373" t="s">
        <v>454</v>
      </c>
      <c r="E115" s="1375"/>
      <c r="F115" s="1374"/>
      <c r="G115" s="1373" t="s">
        <v>455</v>
      </c>
      <c r="H115" s="1374"/>
    </row>
    <row r="116" spans="1:8">
      <c r="A116" s="1372" t="s">
        <v>456</v>
      </c>
      <c r="B116" s="1372" t="s">
        <v>143</v>
      </c>
      <c r="C116" s="1372" t="s">
        <v>37</v>
      </c>
      <c r="D116" s="1372" t="s">
        <v>143</v>
      </c>
      <c r="E116" s="1372" t="s">
        <v>457</v>
      </c>
      <c r="F116" s="1372" t="s">
        <v>458</v>
      </c>
      <c r="G116" s="1372" t="s">
        <v>143</v>
      </c>
      <c r="H116" s="1372" t="s">
        <v>459</v>
      </c>
    </row>
    <row r="117" spans="1:8">
      <c r="A117" s="1372" t="s">
        <v>460</v>
      </c>
      <c r="B117" s="1372">
        <v>1189</v>
      </c>
      <c r="C117" s="1376">
        <v>0.38</v>
      </c>
      <c r="D117" s="1372">
        <v>315</v>
      </c>
      <c r="E117" s="1376">
        <v>0.41</v>
      </c>
      <c r="F117" s="1376">
        <v>0.26</v>
      </c>
      <c r="G117" s="1372">
        <v>555</v>
      </c>
      <c r="H117" s="1376">
        <v>0.39</v>
      </c>
    </row>
    <row r="118" spans="1:8">
      <c r="A118" s="1372" t="s">
        <v>461</v>
      </c>
      <c r="B118" s="1372">
        <v>1355</v>
      </c>
      <c r="C118" s="1376">
        <v>0.43</v>
      </c>
      <c r="D118" s="1372">
        <v>364</v>
      </c>
      <c r="E118" s="1376">
        <v>0.47</v>
      </c>
      <c r="F118" s="1376">
        <v>0.27</v>
      </c>
      <c r="G118" s="1372">
        <v>644</v>
      </c>
      <c r="H118" s="1376">
        <v>0.45</v>
      </c>
    </row>
    <row r="119" spans="1:8">
      <c r="A119" s="1372" t="s">
        <v>462</v>
      </c>
      <c r="B119" s="1372">
        <v>53</v>
      </c>
      <c r="C119" s="1376">
        <v>0.02</v>
      </c>
      <c r="D119" s="1372">
        <v>4</v>
      </c>
      <c r="E119" s="1376">
        <v>0.01</v>
      </c>
      <c r="F119" s="1376">
        <v>0.08</v>
      </c>
      <c r="G119" s="1372">
        <v>7</v>
      </c>
      <c r="H119" s="1376">
        <v>0</v>
      </c>
    </row>
    <row r="120" spans="1:8">
      <c r="A120" s="1372" t="s">
        <v>463</v>
      </c>
      <c r="B120" s="1372">
        <v>545</v>
      </c>
      <c r="C120" s="1376">
        <v>0.17</v>
      </c>
      <c r="D120" s="1372">
        <v>84</v>
      </c>
      <c r="E120" s="1376">
        <v>0.11</v>
      </c>
      <c r="F120" s="1376">
        <v>0.15</v>
      </c>
      <c r="G120" s="1372">
        <v>214</v>
      </c>
      <c r="H120" s="1376">
        <v>0.15</v>
      </c>
    </row>
    <row r="121" spans="1:8">
      <c r="A121" s="1372" t="s">
        <v>6</v>
      </c>
      <c r="B121" s="1377">
        <v>3142</v>
      </c>
      <c r="C121" s="1372"/>
      <c r="D121" s="1372">
        <v>767</v>
      </c>
      <c r="E121" s="1372"/>
      <c r="F121" s="1372"/>
      <c r="G121" s="1372">
        <v>1420</v>
      </c>
      <c r="H121" s="1372"/>
    </row>
    <row r="122" spans="1:8">
      <c r="A122" s="1378"/>
      <c r="B122" s="1378"/>
      <c r="C122" s="1378"/>
      <c r="D122" s="1378"/>
      <c r="E122" s="1378"/>
      <c r="F122" s="1378"/>
      <c r="G122" s="1378"/>
      <c r="H122" s="1378"/>
    </row>
    <row r="123" spans="1:8">
      <c r="A123" s="1369" t="s">
        <v>656</v>
      </c>
      <c r="B123" s="1369"/>
      <c r="C123" s="1369"/>
      <c r="D123" s="1369"/>
      <c r="E123" s="1369"/>
      <c r="F123" s="1369"/>
      <c r="G123" s="1369"/>
      <c r="H123" s="1369"/>
    </row>
    <row r="124" spans="1:8">
      <c r="A124" s="1366" t="s">
        <v>657</v>
      </c>
      <c r="B124" s="1366"/>
      <c r="C124" s="1366"/>
      <c r="D124" s="1366"/>
      <c r="E124" s="1366"/>
      <c r="F124" s="1366"/>
      <c r="G124" s="1366"/>
      <c r="H124" s="1366"/>
    </row>
    <row r="125" spans="1:8">
      <c r="A125" s="1366" t="s">
        <v>658</v>
      </c>
      <c r="B125" s="1366"/>
      <c r="C125" s="1366"/>
      <c r="D125" s="1366"/>
      <c r="E125" s="1366"/>
      <c r="F125" s="1366"/>
      <c r="G125" s="1366"/>
      <c r="H125" s="1366"/>
    </row>
    <row r="126" spans="1:8">
      <c r="A126" s="1366" t="s">
        <v>659</v>
      </c>
      <c r="B126" s="1366"/>
      <c r="C126" s="1366"/>
      <c r="D126" s="1366"/>
      <c r="E126" s="1366"/>
      <c r="F126" s="1366"/>
      <c r="G126" s="1366"/>
      <c r="H126" s="1366"/>
    </row>
    <row r="127" spans="1:8">
      <c r="A127" s="1365"/>
      <c r="B127" s="1365"/>
      <c r="C127" s="1365"/>
      <c r="D127" s="1365"/>
      <c r="E127" s="1365"/>
      <c r="F127" s="1365"/>
      <c r="G127" s="1365"/>
      <c r="H127" s="1365"/>
    </row>
    <row r="128" spans="1:8" ht="15.75">
      <c r="A128" s="1367" t="s">
        <v>464</v>
      </c>
      <c r="B128" s="1365"/>
      <c r="C128" s="1365"/>
      <c r="D128" s="1365"/>
      <c r="E128" s="1365"/>
      <c r="F128" s="1365"/>
      <c r="G128" s="1365"/>
      <c r="H128" s="1365"/>
    </row>
    <row r="129" spans="1:8">
      <c r="A129" s="1365"/>
      <c r="B129" s="1365"/>
      <c r="C129" s="1365"/>
      <c r="D129" s="1365"/>
      <c r="E129" s="1365"/>
      <c r="F129" s="1365"/>
      <c r="G129" s="1365"/>
      <c r="H129" s="1365"/>
    </row>
    <row r="130" spans="1:8">
      <c r="A130" s="1366" t="s">
        <v>654</v>
      </c>
      <c r="B130" s="1365"/>
      <c r="C130" s="1365"/>
      <c r="D130" s="1365"/>
      <c r="E130" s="1365"/>
      <c r="F130" s="1365"/>
      <c r="G130" s="1365"/>
      <c r="H130" s="1365"/>
    </row>
    <row r="131" spans="1:8">
      <c r="A131" s="1366" t="s">
        <v>655</v>
      </c>
      <c r="B131" s="1365"/>
      <c r="C131" s="1365"/>
      <c r="D131" s="1365"/>
      <c r="E131" s="1365"/>
      <c r="F131" s="1365"/>
      <c r="G131" s="1365"/>
      <c r="H131" s="1365"/>
    </row>
    <row r="132" spans="1:8">
      <c r="A132" s="1365"/>
      <c r="B132" s="1365"/>
      <c r="C132" s="1365"/>
      <c r="D132" s="1365"/>
      <c r="E132" s="1365"/>
      <c r="F132" s="1365"/>
      <c r="G132" s="1365"/>
      <c r="H132" s="1365"/>
    </row>
    <row r="133" spans="1:8">
      <c r="A133" s="1366" t="s">
        <v>651</v>
      </c>
      <c r="B133" s="1365"/>
      <c r="C133" s="1365"/>
      <c r="D133" s="1365"/>
      <c r="E133" s="1365"/>
      <c r="F133" s="1365"/>
      <c r="G133" s="1365"/>
      <c r="H133" s="1365"/>
    </row>
    <row r="134" spans="1:8">
      <c r="A134" s="1366" t="s">
        <v>652</v>
      </c>
      <c r="B134" s="1365"/>
      <c r="C134" s="1365"/>
      <c r="D134" s="1365"/>
      <c r="E134" s="1365"/>
      <c r="F134" s="1365"/>
      <c r="G134" s="1365"/>
      <c r="H134" s="1365"/>
    </row>
    <row r="135" spans="1:8">
      <c r="A135" s="1366" t="s">
        <v>653</v>
      </c>
      <c r="B135" s="1365"/>
      <c r="C135" s="1365"/>
      <c r="D135" s="1365"/>
      <c r="E135" s="1365"/>
      <c r="F135" s="1365"/>
      <c r="G135" s="1365"/>
      <c r="H135" s="1365"/>
    </row>
    <row r="136" spans="1:8">
      <c r="A136" s="1365"/>
      <c r="B136" s="1365"/>
      <c r="C136" s="1365"/>
      <c r="D136" s="1365"/>
      <c r="E136" s="1365"/>
      <c r="F136" s="1365"/>
      <c r="G136" s="1365"/>
      <c r="H136" s="1365"/>
    </row>
    <row r="137" spans="1:8">
      <c r="A137" s="1366" t="s">
        <v>648</v>
      </c>
      <c r="B137" s="1365"/>
      <c r="C137" s="1365"/>
      <c r="D137" s="1365"/>
      <c r="E137" s="1365"/>
      <c r="F137" s="1365"/>
      <c r="G137" s="1365"/>
      <c r="H137" s="1365"/>
    </row>
    <row r="138" spans="1:8">
      <c r="A138" s="1366" t="s">
        <v>649</v>
      </c>
      <c r="B138" s="1365"/>
      <c r="C138" s="1365"/>
      <c r="D138" s="1365"/>
      <c r="E138" s="1365"/>
      <c r="F138" s="1365"/>
      <c r="G138" s="1365"/>
      <c r="H138" s="1365"/>
    </row>
    <row r="139" spans="1:8">
      <c r="A139" s="1366" t="s">
        <v>650</v>
      </c>
      <c r="B139" s="1365"/>
      <c r="C139" s="1365"/>
      <c r="D139" s="1365"/>
      <c r="E139" s="1365"/>
      <c r="F139" s="1365"/>
      <c r="G139" s="1365"/>
      <c r="H139" s="1365"/>
    </row>
    <row r="140" spans="1:8">
      <c r="A140" s="1365"/>
      <c r="B140" s="1365"/>
      <c r="C140" s="1365"/>
      <c r="D140" s="1365"/>
      <c r="E140" s="1365"/>
      <c r="F140" s="1365"/>
      <c r="G140" s="1365"/>
      <c r="H140" s="1365"/>
    </row>
    <row r="141" spans="1:8">
      <c r="A141" s="1366" t="s">
        <v>645</v>
      </c>
      <c r="B141" s="1365"/>
      <c r="C141" s="1365"/>
      <c r="D141" s="1365"/>
      <c r="E141" s="1365"/>
      <c r="F141" s="1365"/>
      <c r="G141" s="1365"/>
      <c r="H141" s="1365"/>
    </row>
    <row r="142" spans="1:8">
      <c r="A142" s="1366" t="s">
        <v>646</v>
      </c>
      <c r="B142" s="1365"/>
      <c r="C142" s="1365"/>
      <c r="D142" s="1365"/>
      <c r="E142" s="1365"/>
      <c r="F142" s="1365"/>
      <c r="G142" s="1365"/>
      <c r="H142" s="1365"/>
    </row>
    <row r="143" spans="1:8">
      <c r="A143" s="1366" t="s">
        <v>647</v>
      </c>
      <c r="B143" s="1365"/>
      <c r="C143" s="1365"/>
      <c r="D143" s="1365"/>
      <c r="E143" s="1365"/>
      <c r="F143" s="1365"/>
      <c r="G143" s="1365"/>
      <c r="H143" s="1365"/>
    </row>
    <row r="144" spans="1:8">
      <c r="A144" s="1365"/>
      <c r="B144" s="1365"/>
      <c r="C144" s="1365"/>
      <c r="D144" s="1365"/>
      <c r="E144" s="1365"/>
      <c r="F144" s="1365"/>
      <c r="G144" s="1365"/>
      <c r="H144" s="1365"/>
    </row>
    <row r="145" spans="1:8">
      <c r="A145" s="1366" t="s">
        <v>643</v>
      </c>
      <c r="B145" s="1365"/>
      <c r="C145" s="1365"/>
      <c r="D145" s="1365"/>
      <c r="E145" s="1365"/>
      <c r="F145" s="1365"/>
      <c r="G145" s="1365"/>
      <c r="H145" s="1365"/>
    </row>
    <row r="146" spans="1:8">
      <c r="A146" s="1366" t="s">
        <v>644</v>
      </c>
      <c r="B146" s="1365"/>
      <c r="C146" s="1365"/>
      <c r="D146" s="1365"/>
      <c r="E146" s="1365"/>
      <c r="F146" s="1365"/>
      <c r="G146" s="1365"/>
      <c r="H146" s="1365"/>
    </row>
    <row r="147" spans="1:8">
      <c r="A147" s="1365"/>
      <c r="B147" s="1365"/>
      <c r="C147" s="1365"/>
      <c r="D147" s="1365"/>
      <c r="E147" s="1365"/>
      <c r="F147" s="1365"/>
      <c r="G147" s="1365"/>
      <c r="H147" s="1365"/>
    </row>
    <row r="148" spans="1:8" ht="15.75">
      <c r="A148" s="1367" t="s">
        <v>465</v>
      </c>
      <c r="B148" s="1365"/>
      <c r="C148" s="1365"/>
      <c r="D148" s="1365"/>
      <c r="E148" s="1365"/>
      <c r="F148" s="1365"/>
      <c r="G148" s="1365"/>
      <c r="H148" s="1365"/>
    </row>
    <row r="149" spans="1:8">
      <c r="A149" s="1365"/>
      <c r="B149" s="1365"/>
      <c r="C149" s="1365"/>
      <c r="D149" s="1365"/>
      <c r="E149" s="1365"/>
      <c r="F149" s="1365"/>
      <c r="G149" s="1365"/>
      <c r="H149" s="1365"/>
    </row>
    <row r="150" spans="1:8">
      <c r="A150" s="1366" t="s">
        <v>641</v>
      </c>
      <c r="B150" s="1365"/>
      <c r="C150" s="1365"/>
      <c r="D150" s="1365"/>
      <c r="E150" s="1365"/>
      <c r="F150" s="1365"/>
      <c r="G150" s="1365"/>
      <c r="H150" s="1365"/>
    </row>
    <row r="151" spans="1:8">
      <c r="A151" s="1366" t="s">
        <v>642</v>
      </c>
      <c r="B151" s="1365"/>
      <c r="C151" s="1365"/>
      <c r="D151" s="1365"/>
      <c r="E151" s="1365"/>
      <c r="F151" s="1365"/>
      <c r="G151" s="1365"/>
      <c r="H151" s="1365"/>
    </row>
    <row r="152" spans="1:8">
      <c r="A152" s="1365"/>
      <c r="B152" s="1365"/>
      <c r="C152" s="1365"/>
      <c r="D152" s="1365"/>
      <c r="E152" s="1365"/>
      <c r="F152" s="1365"/>
      <c r="G152" s="1365"/>
      <c r="H152" s="1365"/>
    </row>
    <row r="153" spans="1:8">
      <c r="A153" s="1366" t="s">
        <v>639</v>
      </c>
      <c r="B153" s="1365"/>
      <c r="C153" s="1365"/>
      <c r="D153" s="1365"/>
      <c r="E153" s="1365"/>
      <c r="F153" s="1365"/>
      <c r="G153" s="1365"/>
      <c r="H153" s="1365"/>
    </row>
    <row r="154" spans="1:8">
      <c r="A154" s="1366" t="s">
        <v>640</v>
      </c>
      <c r="B154" s="1365"/>
      <c r="C154" s="1365"/>
      <c r="D154" s="1365"/>
      <c r="E154" s="1365"/>
      <c r="F154" s="1365"/>
      <c r="G154" s="1365"/>
      <c r="H154" s="1365"/>
    </row>
    <row r="155" spans="1:8">
      <c r="A155" s="1365"/>
      <c r="B155" s="1365"/>
      <c r="C155" s="1365"/>
      <c r="D155" s="1365"/>
      <c r="E155" s="1365"/>
      <c r="F155" s="1365"/>
      <c r="G155" s="1365"/>
      <c r="H155" s="1365"/>
    </row>
    <row r="156" spans="1:8">
      <c r="A156" s="1366" t="s">
        <v>637</v>
      </c>
      <c r="B156" s="1365"/>
      <c r="C156" s="1365"/>
      <c r="D156" s="1365"/>
      <c r="E156" s="1365"/>
      <c r="F156" s="1365"/>
      <c r="G156" s="1365"/>
      <c r="H156" s="1365"/>
    </row>
    <row r="157" spans="1:8">
      <c r="A157" s="1366" t="s">
        <v>638</v>
      </c>
      <c r="B157" s="1365"/>
      <c r="C157" s="1365"/>
      <c r="D157" s="1365"/>
      <c r="E157" s="1365"/>
      <c r="F157" s="1365"/>
      <c r="G157" s="1365"/>
      <c r="H157" s="1365"/>
    </row>
    <row r="158" spans="1:8">
      <c r="A158" s="1365"/>
      <c r="B158" s="1365"/>
      <c r="C158" s="1365"/>
      <c r="D158" s="1365"/>
      <c r="E158" s="1365"/>
      <c r="F158" s="1365"/>
      <c r="G158" s="1365"/>
      <c r="H158" s="1365"/>
    </row>
    <row r="159" spans="1:8">
      <c r="A159" s="1366" t="s">
        <v>634</v>
      </c>
      <c r="B159" s="1365"/>
      <c r="C159" s="1365"/>
      <c r="D159" s="1365"/>
      <c r="E159" s="1365"/>
      <c r="F159" s="1365"/>
      <c r="G159" s="1365"/>
      <c r="H159" s="1365"/>
    </row>
    <row r="160" spans="1:8">
      <c r="A160" s="1366" t="s">
        <v>635</v>
      </c>
      <c r="B160" s="1365"/>
      <c r="C160" s="1365"/>
      <c r="D160" s="1365"/>
      <c r="E160" s="1365"/>
      <c r="F160" s="1365"/>
      <c r="G160" s="1365"/>
      <c r="H160" s="1365"/>
    </row>
    <row r="161" spans="1:8">
      <c r="A161" s="1366" t="s">
        <v>636</v>
      </c>
      <c r="B161" s="1365"/>
      <c r="C161" s="1365"/>
      <c r="D161" s="1365"/>
      <c r="E161" s="1365"/>
      <c r="F161" s="1365"/>
      <c r="G161" s="1365"/>
      <c r="H161" s="1365"/>
    </row>
    <row r="162" spans="1:8">
      <c r="A162" s="1365"/>
      <c r="B162" s="1365"/>
      <c r="C162" s="1365"/>
      <c r="D162" s="1365"/>
      <c r="E162" s="1365"/>
      <c r="F162" s="1365"/>
      <c r="G162" s="1365"/>
      <c r="H162" s="1365"/>
    </row>
    <row r="163" spans="1:8">
      <c r="A163" s="1365"/>
      <c r="B163" s="1365"/>
      <c r="C163" s="1365"/>
      <c r="D163" s="1365"/>
      <c r="E163" s="1365"/>
      <c r="F163" s="1365"/>
      <c r="G163" s="1365"/>
      <c r="H163" s="1365"/>
    </row>
    <row r="164" spans="1:8">
      <c r="A164" s="1366" t="s">
        <v>466</v>
      </c>
      <c r="B164" s="1365"/>
      <c r="C164" s="1365"/>
      <c r="D164" s="1365"/>
      <c r="E164" s="1365"/>
      <c r="F164" s="1365"/>
      <c r="G164" s="1365"/>
      <c r="H164" s="1365"/>
    </row>
    <row r="165" spans="1:8">
      <c r="A165" s="1365"/>
      <c r="B165" s="1365"/>
      <c r="C165" s="1365"/>
      <c r="D165" s="1365"/>
      <c r="E165" s="1365"/>
      <c r="F165" s="1365"/>
      <c r="G165" s="1365"/>
      <c r="H165" s="1365"/>
    </row>
    <row r="166" spans="1:8" ht="15.75">
      <c r="A166" s="1367" t="s">
        <v>467</v>
      </c>
      <c r="B166" s="1365"/>
      <c r="C166" s="1365"/>
      <c r="D166" s="1365"/>
      <c r="E166" s="1365"/>
      <c r="F166" s="1365"/>
      <c r="G166" s="1365"/>
      <c r="H166" s="1365"/>
    </row>
    <row r="167" spans="1:8">
      <c r="A167" s="1365"/>
      <c r="B167" s="1365"/>
      <c r="C167" s="1365"/>
      <c r="D167" s="1365"/>
      <c r="E167" s="1365"/>
      <c r="F167" s="1365"/>
      <c r="G167" s="1365"/>
      <c r="H167" s="1365"/>
    </row>
    <row r="168" spans="1:8">
      <c r="A168" s="1365"/>
      <c r="B168" s="1365"/>
      <c r="C168" s="1365"/>
      <c r="D168" s="1365"/>
      <c r="E168" s="1365"/>
      <c r="F168" s="1365"/>
      <c r="G168" s="1365"/>
      <c r="H168" s="1365"/>
    </row>
    <row r="169" spans="1:8">
      <c r="A169" s="1365"/>
      <c r="B169" s="1365"/>
      <c r="C169" s="1365"/>
      <c r="D169" s="1365"/>
      <c r="E169" s="1365"/>
      <c r="F169" s="1365"/>
      <c r="G169" s="1365"/>
      <c r="H169" s="1365"/>
    </row>
    <row r="170" spans="1:8">
      <c r="A170" s="1365"/>
      <c r="B170" s="1365"/>
      <c r="C170" s="1365"/>
      <c r="D170" s="1365"/>
      <c r="E170" s="1365"/>
      <c r="F170" s="1365"/>
      <c r="G170" s="1365"/>
      <c r="H170" s="1365"/>
    </row>
    <row r="171" spans="1:8">
      <c r="A171" s="1365"/>
      <c r="B171" s="1365"/>
      <c r="C171" s="1365"/>
      <c r="D171" s="1365"/>
      <c r="E171" s="1365"/>
      <c r="F171" s="1365"/>
      <c r="G171" s="1365"/>
      <c r="H171" s="1365"/>
    </row>
    <row r="172" spans="1:8">
      <c r="A172" s="1365"/>
      <c r="B172" s="1365"/>
      <c r="C172" s="1365"/>
      <c r="D172" s="1365"/>
      <c r="E172" s="1365"/>
      <c r="F172" s="1365"/>
      <c r="G172" s="1365"/>
      <c r="H172" s="1365"/>
    </row>
    <row r="173" spans="1:8">
      <c r="A173" s="1365"/>
      <c r="B173" s="1365"/>
      <c r="C173" s="1365"/>
      <c r="D173" s="1365"/>
      <c r="E173" s="1365"/>
      <c r="F173" s="1365"/>
      <c r="G173" s="1365"/>
      <c r="H173" s="1365"/>
    </row>
    <row r="174" spans="1:8">
      <c r="A174" s="1365"/>
      <c r="B174" s="1365"/>
      <c r="C174" s="1365"/>
      <c r="D174" s="1365"/>
      <c r="E174" s="1365"/>
      <c r="F174" s="1365"/>
      <c r="G174" s="1365"/>
      <c r="H174" s="1365"/>
    </row>
    <row r="175" spans="1:8">
      <c r="A175" s="1365"/>
      <c r="B175" s="1365"/>
      <c r="C175" s="1365"/>
      <c r="D175" s="1365"/>
      <c r="E175" s="1365"/>
      <c r="F175" s="1365"/>
      <c r="G175" s="1365"/>
      <c r="H175" s="1365"/>
    </row>
    <row r="176" spans="1:8">
      <c r="A176" s="1365"/>
      <c r="B176" s="1365"/>
      <c r="C176" s="1365"/>
      <c r="D176" s="1365"/>
      <c r="E176" s="1365"/>
      <c r="F176" s="1365"/>
      <c r="G176" s="1365"/>
      <c r="H176" s="1365"/>
    </row>
    <row r="177" spans="1:8">
      <c r="A177" s="1365"/>
      <c r="B177" s="1365"/>
      <c r="C177" s="1365"/>
      <c r="D177" s="1365"/>
      <c r="E177" s="1365"/>
      <c r="F177" s="1365"/>
      <c r="G177" s="1365"/>
      <c r="H177" s="1365"/>
    </row>
    <row r="178" spans="1:8">
      <c r="A178" s="1365"/>
      <c r="B178" s="1365"/>
      <c r="C178" s="1365"/>
      <c r="D178" s="1365"/>
      <c r="E178" s="1365"/>
      <c r="F178" s="1365"/>
      <c r="G178" s="1365"/>
      <c r="H178" s="1365"/>
    </row>
    <row r="179" spans="1:8">
      <c r="A179" s="1365"/>
      <c r="B179" s="1365"/>
      <c r="C179" s="1365"/>
      <c r="D179" s="1365"/>
      <c r="E179" s="1365"/>
      <c r="F179" s="1365"/>
      <c r="G179" s="1365"/>
      <c r="H179" s="1365"/>
    </row>
    <row r="180" spans="1:8">
      <c r="A180" s="1365"/>
      <c r="B180" s="1365"/>
      <c r="C180" s="1365"/>
      <c r="D180" s="1365"/>
      <c r="E180" s="1365"/>
      <c r="F180" s="1365"/>
      <c r="G180" s="1365"/>
      <c r="H180" s="1365"/>
    </row>
    <row r="181" spans="1:8">
      <c r="A181" s="1365"/>
      <c r="B181" s="1365"/>
      <c r="C181" s="1365"/>
      <c r="D181" s="1365"/>
      <c r="E181" s="1365"/>
      <c r="F181" s="1365"/>
      <c r="G181" s="1365"/>
      <c r="H181" s="1365"/>
    </row>
    <row r="182" spans="1:8">
      <c r="A182" s="1365"/>
      <c r="B182" s="1365"/>
      <c r="C182" s="1365"/>
      <c r="D182" s="1365"/>
      <c r="E182" s="1365"/>
      <c r="F182" s="1365"/>
      <c r="G182" s="1365"/>
      <c r="H182" s="1365"/>
    </row>
    <row r="183" spans="1:8">
      <c r="A183" s="1365"/>
      <c r="B183" s="1365"/>
      <c r="C183" s="1365"/>
      <c r="D183" s="1365"/>
      <c r="E183" s="1365"/>
      <c r="F183" s="1365"/>
      <c r="G183" s="1365"/>
      <c r="H183" s="1365"/>
    </row>
    <row r="184" spans="1:8">
      <c r="A184" s="1365"/>
      <c r="B184" s="1365"/>
      <c r="C184" s="1365"/>
      <c r="D184" s="1365"/>
      <c r="E184" s="1365"/>
      <c r="F184" s="1365"/>
      <c r="G184" s="1365"/>
      <c r="H184" s="1365"/>
    </row>
    <row r="185" spans="1:8">
      <c r="A185" s="1365"/>
      <c r="B185" s="1365"/>
      <c r="C185" s="1365"/>
      <c r="D185" s="1365"/>
      <c r="E185" s="1365"/>
      <c r="F185" s="1365"/>
      <c r="G185" s="1365"/>
      <c r="H185" s="1365"/>
    </row>
    <row r="186" spans="1:8">
      <c r="A186" s="1365"/>
      <c r="B186" s="1365"/>
      <c r="C186" s="1365"/>
      <c r="D186" s="1365"/>
      <c r="E186" s="1365"/>
      <c r="F186" s="1365"/>
      <c r="G186" s="1365"/>
      <c r="H186" s="1365"/>
    </row>
    <row r="187" spans="1:8">
      <c r="A187" s="1365"/>
      <c r="B187" s="1365"/>
      <c r="C187" s="1365"/>
      <c r="D187" s="1365"/>
      <c r="E187" s="1365"/>
      <c r="F187" s="1365"/>
      <c r="G187" s="1365"/>
      <c r="H187" s="1365"/>
    </row>
    <row r="188" spans="1:8">
      <c r="A188" s="1365"/>
      <c r="B188" s="1365"/>
      <c r="C188" s="1365"/>
      <c r="D188" s="1365"/>
      <c r="E188" s="1365"/>
      <c r="F188" s="1365"/>
      <c r="G188" s="1365"/>
      <c r="H188" s="1365"/>
    </row>
    <row r="189" spans="1:8">
      <c r="A189" s="1365"/>
      <c r="B189" s="1365"/>
      <c r="C189" s="1365"/>
      <c r="D189" s="1365"/>
      <c r="E189" s="1365"/>
      <c r="F189" s="1365"/>
      <c r="G189" s="1365"/>
      <c r="H189" s="1365"/>
    </row>
    <row r="190" spans="1:8">
      <c r="A190" s="1365"/>
      <c r="B190" s="1365"/>
      <c r="C190" s="1365"/>
      <c r="D190" s="1365"/>
      <c r="E190" s="1365"/>
      <c r="F190" s="1365"/>
      <c r="G190" s="1365"/>
      <c r="H190" s="1365"/>
    </row>
    <row r="191" spans="1:8">
      <c r="A191" s="1365"/>
      <c r="B191" s="1365"/>
      <c r="C191" s="1365"/>
      <c r="D191" s="1365"/>
      <c r="E191" s="1365"/>
      <c r="F191" s="1365"/>
      <c r="G191" s="1365"/>
      <c r="H191" s="1365"/>
    </row>
    <row r="192" spans="1:8">
      <c r="A192" s="1365"/>
      <c r="B192" s="1365"/>
      <c r="C192" s="1365"/>
      <c r="D192" s="1365"/>
      <c r="E192" s="1365"/>
      <c r="F192" s="1365"/>
      <c r="G192" s="1365"/>
      <c r="H192" s="1365"/>
    </row>
    <row r="193" spans="1:8" ht="15.75">
      <c r="A193" s="1367" t="s">
        <v>468</v>
      </c>
      <c r="B193" s="1365"/>
      <c r="C193" s="1365"/>
      <c r="D193" s="1365"/>
      <c r="E193" s="1365"/>
      <c r="F193" s="1365"/>
      <c r="G193" s="1365"/>
      <c r="H193" s="1365"/>
    </row>
    <row r="194" spans="1:8">
      <c r="A194" s="1365"/>
      <c r="B194" s="1365"/>
      <c r="C194" s="1365"/>
      <c r="D194" s="1365"/>
      <c r="E194" s="1365"/>
      <c r="F194" s="1365"/>
      <c r="G194" s="1365"/>
      <c r="H194" s="1365"/>
    </row>
    <row r="195" spans="1:8">
      <c r="A195" s="1366" t="s">
        <v>629</v>
      </c>
      <c r="B195" s="1365"/>
      <c r="C195" s="1365"/>
      <c r="D195" s="1365"/>
      <c r="E195" s="1365"/>
      <c r="F195" s="1365"/>
      <c r="G195" s="1365"/>
      <c r="H195" s="1365"/>
    </row>
    <row r="196" spans="1:8">
      <c r="A196" s="1366" t="s">
        <v>630</v>
      </c>
      <c r="B196" s="1365"/>
      <c r="C196" s="1365"/>
      <c r="D196" s="1365"/>
      <c r="E196" s="1365"/>
      <c r="F196" s="1365"/>
      <c r="G196" s="1365"/>
      <c r="H196" s="1365"/>
    </row>
    <row r="197" spans="1:8">
      <c r="A197" s="1366" t="s">
        <v>631</v>
      </c>
      <c r="B197" s="1365"/>
      <c r="C197" s="1365"/>
      <c r="D197" s="1365"/>
      <c r="E197" s="1365"/>
      <c r="F197" s="1365"/>
      <c r="G197" s="1365"/>
      <c r="H197" s="1365"/>
    </row>
    <row r="198" spans="1:8">
      <c r="A198" s="1366" t="s">
        <v>632</v>
      </c>
      <c r="B198" s="1365"/>
      <c r="C198" s="1365"/>
      <c r="D198" s="1365"/>
      <c r="E198" s="1365"/>
      <c r="F198" s="1365"/>
      <c r="G198" s="1365"/>
      <c r="H198" s="1365"/>
    </row>
    <row r="199" spans="1:8">
      <c r="A199" s="1366" t="s">
        <v>633</v>
      </c>
      <c r="B199" s="1365"/>
      <c r="C199" s="1365"/>
      <c r="D199" s="1365"/>
      <c r="E199" s="1365"/>
      <c r="F199" s="1365"/>
      <c r="G199" s="1365"/>
      <c r="H199" s="1365"/>
    </row>
    <row r="200" spans="1:8">
      <c r="A200" s="1365"/>
      <c r="B200" s="1365"/>
      <c r="C200" s="1365"/>
      <c r="D200" s="1365"/>
      <c r="E200" s="1365"/>
      <c r="F200" s="1365"/>
      <c r="G200" s="1365"/>
      <c r="H200" s="1365"/>
    </row>
    <row r="201" spans="1:8">
      <c r="A201" s="1366" t="s">
        <v>626</v>
      </c>
      <c r="B201" s="1365"/>
      <c r="C201" s="1365"/>
      <c r="D201" s="1365"/>
      <c r="E201" s="1365"/>
      <c r="F201" s="1365"/>
      <c r="G201" s="1365"/>
      <c r="H201" s="1365"/>
    </row>
    <row r="202" spans="1:8">
      <c r="A202" s="1366" t="s">
        <v>627</v>
      </c>
      <c r="B202" s="1365"/>
      <c r="C202" s="1365"/>
      <c r="D202" s="1365"/>
      <c r="E202" s="1365"/>
      <c r="F202" s="1365"/>
      <c r="G202" s="1365"/>
      <c r="H202" s="1365"/>
    </row>
    <row r="203" spans="1:8">
      <c r="A203" s="1366" t="s">
        <v>628</v>
      </c>
      <c r="B203" s="1365"/>
      <c r="C203" s="1365"/>
      <c r="D203" s="1365"/>
      <c r="E203" s="1365"/>
      <c r="F203" s="1365"/>
      <c r="G203" s="1365"/>
      <c r="H203" s="1365"/>
    </row>
    <row r="204" spans="1:8" ht="15.75">
      <c r="A204" s="1367" t="s">
        <v>469</v>
      </c>
      <c r="B204" s="1365"/>
      <c r="C204" s="1365"/>
      <c r="D204" s="1365"/>
      <c r="E204" s="1365"/>
      <c r="F204" s="1365"/>
      <c r="G204" s="1365"/>
      <c r="H204" s="1365"/>
    </row>
    <row r="205" spans="1:8">
      <c r="A205" s="1365"/>
      <c r="B205" s="1365"/>
      <c r="C205" s="1365"/>
      <c r="D205" s="1365"/>
      <c r="E205" s="1365"/>
      <c r="F205" s="1365"/>
      <c r="G205" s="1365"/>
      <c r="H205" s="1365"/>
    </row>
    <row r="206" spans="1:8">
      <c r="A206" s="1366" t="s">
        <v>624</v>
      </c>
      <c r="B206" s="1365"/>
      <c r="C206" s="1365"/>
      <c r="D206" s="1365"/>
      <c r="E206" s="1365"/>
      <c r="F206" s="1365"/>
      <c r="G206" s="1365"/>
      <c r="H206" s="1365"/>
    </row>
    <row r="207" spans="1:8">
      <c r="A207" s="1366" t="s">
        <v>625</v>
      </c>
      <c r="B207" s="1365"/>
      <c r="C207" s="1365"/>
      <c r="D207" s="1365"/>
      <c r="E207" s="1365"/>
      <c r="F207" s="1365"/>
      <c r="G207" s="1365"/>
      <c r="H207" s="1365"/>
    </row>
    <row r="208" spans="1:8">
      <c r="A208" s="1365"/>
      <c r="B208" s="1365"/>
      <c r="C208" s="1365"/>
      <c r="D208" s="1365"/>
      <c r="E208" s="1365"/>
      <c r="F208" s="1365"/>
      <c r="G208" s="1365"/>
      <c r="H208" s="1365"/>
    </row>
    <row r="209" spans="1:8">
      <c r="A209" s="1366" t="s">
        <v>617</v>
      </c>
      <c r="B209" s="1365"/>
      <c r="C209" s="1365"/>
      <c r="D209" s="1365"/>
      <c r="E209" s="1365"/>
      <c r="F209" s="1365"/>
      <c r="G209" s="1365"/>
      <c r="H209" s="1365"/>
    </row>
    <row r="210" spans="1:8">
      <c r="A210" s="1366" t="s">
        <v>618</v>
      </c>
      <c r="B210" s="1365"/>
      <c r="C210" s="1365"/>
      <c r="D210" s="1365"/>
      <c r="E210" s="1365"/>
      <c r="F210" s="1365"/>
      <c r="G210" s="1365"/>
      <c r="H210" s="1365"/>
    </row>
    <row r="211" spans="1:8">
      <c r="A211" s="1366" t="s">
        <v>619</v>
      </c>
      <c r="B211" s="1365"/>
      <c r="C211" s="1365"/>
      <c r="D211" s="1365"/>
      <c r="E211" s="1365"/>
      <c r="F211" s="1365"/>
      <c r="G211" s="1365"/>
      <c r="H211" s="1365"/>
    </row>
    <row r="212" spans="1:8">
      <c r="A212" s="1366" t="s">
        <v>620</v>
      </c>
      <c r="B212" s="1365"/>
      <c r="C212" s="1365"/>
      <c r="D212" s="1365"/>
      <c r="E212" s="1365"/>
      <c r="F212" s="1365"/>
      <c r="G212" s="1365"/>
      <c r="H212" s="1365"/>
    </row>
    <row r="213" spans="1:8">
      <c r="A213" s="1366" t="s">
        <v>621</v>
      </c>
      <c r="B213" s="1365"/>
      <c r="C213" s="1365"/>
      <c r="D213" s="1365"/>
      <c r="E213" s="1365"/>
      <c r="F213" s="1365"/>
      <c r="G213" s="1365"/>
      <c r="H213" s="1365"/>
    </row>
    <row r="214" spans="1:8">
      <c r="A214" s="1366" t="s">
        <v>622</v>
      </c>
      <c r="B214" s="1365"/>
      <c r="C214" s="1365"/>
      <c r="D214" s="1365"/>
      <c r="E214" s="1365"/>
      <c r="F214" s="1365"/>
      <c r="G214" s="1365"/>
      <c r="H214" s="1365"/>
    </row>
    <row r="215" spans="1:8">
      <c r="A215" s="1366" t="s">
        <v>623</v>
      </c>
      <c r="B215" s="1365"/>
      <c r="C215" s="1365"/>
      <c r="D215" s="1365"/>
      <c r="E215" s="1365"/>
      <c r="F215" s="1365"/>
      <c r="G215" s="1365"/>
      <c r="H215" s="1365"/>
    </row>
    <row r="216" spans="1:8">
      <c r="A216" s="1365"/>
      <c r="B216" s="1365"/>
      <c r="C216" s="1365"/>
      <c r="D216" s="1365"/>
      <c r="E216" s="1365"/>
      <c r="F216" s="1365"/>
      <c r="G216" s="1365"/>
      <c r="H216" s="1365"/>
    </row>
    <row r="217" spans="1:8">
      <c r="A217" s="1366" t="s">
        <v>614</v>
      </c>
      <c r="B217" s="1365"/>
      <c r="C217" s="1365"/>
      <c r="D217" s="1365"/>
      <c r="E217" s="1365"/>
      <c r="F217" s="1365"/>
      <c r="G217" s="1365"/>
      <c r="H217" s="1365"/>
    </row>
    <row r="218" spans="1:8">
      <c r="A218" s="1366" t="s">
        <v>615</v>
      </c>
      <c r="B218" s="1365"/>
      <c r="C218" s="1365"/>
      <c r="D218" s="1365"/>
      <c r="E218" s="1365"/>
      <c r="F218" s="1365"/>
      <c r="G218" s="1365"/>
      <c r="H218" s="1365"/>
    </row>
    <row r="219" spans="1:8">
      <c r="A219" s="1366" t="s">
        <v>616</v>
      </c>
      <c r="B219" s="1365"/>
      <c r="C219" s="1365"/>
      <c r="D219" s="1365"/>
      <c r="E219" s="1365"/>
      <c r="F219" s="1365"/>
      <c r="G219" s="1365"/>
      <c r="H219" s="1365"/>
    </row>
    <row r="220" spans="1:8">
      <c r="A220" s="1365"/>
      <c r="B220" s="1365"/>
      <c r="C220" s="1365"/>
      <c r="D220" s="1365"/>
      <c r="E220" s="1365"/>
      <c r="F220" s="1365"/>
      <c r="G220" s="1365"/>
      <c r="H220" s="1365"/>
    </row>
    <row r="221" spans="1:8">
      <c r="A221" s="1366" t="s">
        <v>609</v>
      </c>
      <c r="B221" s="1365"/>
      <c r="C221" s="1365"/>
      <c r="D221" s="1365"/>
      <c r="E221" s="1365"/>
      <c r="F221" s="1365"/>
      <c r="G221" s="1365"/>
      <c r="H221" s="1365"/>
    </row>
    <row r="222" spans="1:8">
      <c r="A222" s="1366" t="s">
        <v>610</v>
      </c>
      <c r="B222" s="1365"/>
      <c r="C222" s="1365"/>
      <c r="D222" s="1365"/>
      <c r="E222" s="1365"/>
      <c r="F222" s="1365"/>
      <c r="G222" s="1365"/>
      <c r="H222" s="1365"/>
    </row>
    <row r="223" spans="1:8">
      <c r="A223" s="1366" t="s">
        <v>611</v>
      </c>
      <c r="B223" s="1365"/>
      <c r="C223" s="1365"/>
      <c r="D223" s="1365"/>
      <c r="E223" s="1365"/>
      <c r="F223" s="1365"/>
      <c r="G223" s="1365"/>
      <c r="H223" s="1365"/>
    </row>
    <row r="224" spans="1:8">
      <c r="A224" s="1366" t="s">
        <v>612</v>
      </c>
      <c r="B224" s="1365"/>
      <c r="C224" s="1365"/>
      <c r="D224" s="1365"/>
      <c r="E224" s="1365"/>
      <c r="F224" s="1365"/>
      <c r="G224" s="1365"/>
      <c r="H224" s="1365"/>
    </row>
    <row r="225" spans="1:8">
      <c r="A225" s="1366" t="s">
        <v>613</v>
      </c>
      <c r="B225" s="1365"/>
      <c r="C225" s="1365"/>
      <c r="D225" s="1365"/>
      <c r="E225" s="1365"/>
      <c r="F225" s="1365"/>
      <c r="G225" s="1365"/>
      <c r="H225" s="1365"/>
    </row>
    <row r="226" spans="1:8">
      <c r="A226" s="1365"/>
      <c r="B226" s="1365"/>
      <c r="C226" s="1365"/>
      <c r="D226" s="1365"/>
      <c r="E226" s="1365"/>
      <c r="F226" s="1365"/>
      <c r="G226" s="1365"/>
      <c r="H226" s="1365"/>
    </row>
    <row r="227" spans="1:8">
      <c r="A227" s="1366" t="s">
        <v>603</v>
      </c>
      <c r="B227" s="1365"/>
      <c r="C227" s="1365"/>
      <c r="D227" s="1365"/>
      <c r="E227" s="1365"/>
      <c r="F227" s="1365"/>
      <c r="G227" s="1365"/>
      <c r="H227" s="1365"/>
    </row>
    <row r="228" spans="1:8">
      <c r="A228" s="1366" t="s">
        <v>604</v>
      </c>
      <c r="B228" s="1365"/>
      <c r="C228" s="1365"/>
      <c r="D228" s="1365"/>
      <c r="E228" s="1365"/>
      <c r="F228" s="1365"/>
      <c r="G228" s="1365"/>
      <c r="H228" s="1365"/>
    </row>
    <row r="229" spans="1:8">
      <c r="A229" s="1366" t="s">
        <v>605</v>
      </c>
      <c r="B229" s="1365"/>
      <c r="C229" s="1365"/>
      <c r="D229" s="1365"/>
      <c r="E229" s="1365"/>
      <c r="F229" s="1365"/>
      <c r="G229" s="1365"/>
      <c r="H229" s="1365"/>
    </row>
    <row r="230" spans="1:8">
      <c r="A230" s="1366" t="s">
        <v>606</v>
      </c>
      <c r="B230" s="1365"/>
      <c r="C230" s="1365"/>
      <c r="D230" s="1365"/>
      <c r="E230" s="1365"/>
      <c r="F230" s="1365"/>
      <c r="G230" s="1365"/>
      <c r="H230" s="1365"/>
    </row>
    <row r="231" spans="1:8">
      <c r="A231" s="1366" t="s">
        <v>607</v>
      </c>
      <c r="B231" s="1365"/>
      <c r="C231" s="1365"/>
      <c r="D231" s="1365"/>
      <c r="E231" s="1365"/>
      <c r="F231" s="1365"/>
      <c r="G231" s="1365"/>
      <c r="H231" s="1365"/>
    </row>
    <row r="232" spans="1:8">
      <c r="A232" s="1366" t="s">
        <v>608</v>
      </c>
      <c r="B232" s="1365"/>
      <c r="C232" s="1365"/>
      <c r="D232" s="1365"/>
      <c r="E232" s="1365"/>
      <c r="F232" s="1365"/>
      <c r="G232" s="1365"/>
      <c r="H232" s="1365"/>
    </row>
    <row r="233" spans="1:8">
      <c r="A233" s="1365"/>
      <c r="B233" s="1365"/>
      <c r="C233" s="1365"/>
      <c r="D233" s="1365"/>
      <c r="E233" s="1365"/>
      <c r="F233" s="1365"/>
      <c r="G233" s="1365"/>
      <c r="H233" s="1365"/>
    </row>
    <row r="234" spans="1:8">
      <c r="A234" s="1366" t="s">
        <v>593</v>
      </c>
      <c r="B234" s="1365"/>
      <c r="C234" s="1365"/>
      <c r="D234" s="1365"/>
      <c r="E234" s="1365"/>
      <c r="F234" s="1365"/>
      <c r="G234" s="1365"/>
      <c r="H234" s="1365"/>
    </row>
    <row r="235" spans="1:8">
      <c r="A235" s="1366" t="s">
        <v>594</v>
      </c>
      <c r="B235" s="1365"/>
      <c r="C235" s="1365"/>
      <c r="D235" s="1365"/>
      <c r="E235" s="1365"/>
      <c r="F235" s="1365"/>
      <c r="G235" s="1365"/>
      <c r="H235" s="1365"/>
    </row>
    <row r="236" spans="1:8">
      <c r="A236" s="1366" t="s">
        <v>595</v>
      </c>
      <c r="B236" s="1365"/>
      <c r="C236" s="1365"/>
      <c r="D236" s="1365"/>
      <c r="E236" s="1365"/>
      <c r="F236" s="1365"/>
      <c r="G236" s="1365"/>
      <c r="H236" s="1365"/>
    </row>
    <row r="237" spans="1:8">
      <c r="A237" s="1366" t="s">
        <v>596</v>
      </c>
      <c r="B237" s="1365"/>
      <c r="C237" s="1365"/>
      <c r="D237" s="1365"/>
      <c r="E237" s="1365"/>
      <c r="F237" s="1365"/>
      <c r="G237" s="1365"/>
      <c r="H237" s="1365"/>
    </row>
    <row r="238" spans="1:8">
      <c r="A238" s="1366" t="s">
        <v>597</v>
      </c>
      <c r="B238" s="1365"/>
      <c r="C238" s="1365"/>
      <c r="D238" s="1365"/>
      <c r="E238" s="1365"/>
      <c r="F238" s="1365"/>
      <c r="G238" s="1365"/>
      <c r="H238" s="1365"/>
    </row>
    <row r="239" spans="1:8">
      <c r="A239" s="1366" t="s">
        <v>598</v>
      </c>
      <c r="B239" s="1365"/>
      <c r="C239" s="1365"/>
      <c r="D239" s="1365"/>
      <c r="E239" s="1365"/>
      <c r="F239" s="1365"/>
      <c r="G239" s="1365"/>
      <c r="H239" s="1365"/>
    </row>
    <row r="240" spans="1:8">
      <c r="A240" s="1366" t="s">
        <v>599</v>
      </c>
      <c r="B240" s="1365"/>
      <c r="C240" s="1365"/>
      <c r="D240" s="1365"/>
      <c r="E240" s="1365"/>
      <c r="F240" s="1365"/>
      <c r="G240" s="1365"/>
      <c r="H240" s="1365"/>
    </row>
    <row r="241" spans="1:8">
      <c r="A241" s="1366" t="s">
        <v>600</v>
      </c>
      <c r="B241" s="1365"/>
      <c r="C241" s="1365"/>
      <c r="D241" s="1365"/>
      <c r="E241" s="1365"/>
      <c r="F241" s="1365"/>
      <c r="G241" s="1365"/>
      <c r="H241" s="1365"/>
    </row>
    <row r="242" spans="1:8">
      <c r="A242" s="1366" t="s">
        <v>601</v>
      </c>
      <c r="B242" s="1365"/>
      <c r="C242" s="1365"/>
      <c r="D242" s="1365"/>
      <c r="E242" s="1365"/>
      <c r="F242" s="1365"/>
      <c r="G242" s="1365"/>
      <c r="H242" s="1365"/>
    </row>
    <row r="243" spans="1:8">
      <c r="A243" s="1366" t="s">
        <v>602</v>
      </c>
      <c r="B243" s="1365"/>
      <c r="C243" s="1365"/>
      <c r="D243" s="1365"/>
      <c r="E243" s="1365"/>
      <c r="F243" s="1365"/>
      <c r="G243" s="1365"/>
      <c r="H243" s="1365"/>
    </row>
    <row r="244" spans="1:8">
      <c r="A244" s="1365"/>
      <c r="B244" s="1365"/>
      <c r="C244" s="1365"/>
      <c r="D244" s="1365"/>
      <c r="E244" s="1365"/>
      <c r="F244" s="1365"/>
      <c r="G244" s="1365"/>
      <c r="H244" s="1365"/>
    </row>
    <row r="245" spans="1:8">
      <c r="A245" s="1366" t="s">
        <v>591</v>
      </c>
      <c r="B245" s="1365"/>
      <c r="C245" s="1365"/>
      <c r="D245" s="1365"/>
      <c r="E245" s="1365"/>
      <c r="F245" s="1365"/>
      <c r="G245" s="1365"/>
      <c r="H245" s="1365"/>
    </row>
    <row r="246" spans="1:8">
      <c r="A246" s="1366" t="s">
        <v>592</v>
      </c>
      <c r="B246" s="1365"/>
      <c r="C246" s="1365"/>
      <c r="D246" s="1365"/>
      <c r="E246" s="1365"/>
      <c r="F246" s="1365"/>
      <c r="G246" s="1365"/>
      <c r="H246" s="1365"/>
    </row>
    <row r="247" spans="1:8">
      <c r="A247" s="1365"/>
      <c r="B247" s="1365"/>
      <c r="C247" s="1365"/>
      <c r="D247" s="1365"/>
      <c r="E247" s="1365"/>
      <c r="F247" s="1365"/>
      <c r="G247" s="1365"/>
      <c r="H247" s="1365"/>
    </row>
    <row r="248" spans="1:8">
      <c r="A248" s="1366" t="s">
        <v>575</v>
      </c>
      <c r="B248" s="1365"/>
      <c r="C248" s="1365"/>
      <c r="D248" s="1365"/>
      <c r="E248" s="1365"/>
      <c r="F248" s="1365"/>
      <c r="G248" s="1365"/>
      <c r="H248" s="1365"/>
    </row>
    <row r="249" spans="1:8">
      <c r="A249" s="1366" t="s">
        <v>576</v>
      </c>
      <c r="B249" s="1365"/>
      <c r="C249" s="1365"/>
      <c r="D249" s="1365"/>
      <c r="E249" s="1365"/>
      <c r="F249" s="1365"/>
      <c r="G249" s="1365"/>
      <c r="H249" s="1365"/>
    </row>
    <row r="250" spans="1:8">
      <c r="A250" s="1366" t="s">
        <v>577</v>
      </c>
      <c r="B250" s="1365"/>
      <c r="C250" s="1365"/>
      <c r="D250" s="1365"/>
      <c r="E250" s="1365"/>
      <c r="F250" s="1365"/>
      <c r="G250" s="1365"/>
      <c r="H250" s="1365"/>
    </row>
    <row r="251" spans="1:8">
      <c r="A251" s="1366" t="s">
        <v>578</v>
      </c>
      <c r="B251" s="1365"/>
      <c r="C251" s="1365"/>
      <c r="D251" s="1365"/>
      <c r="E251" s="1365"/>
      <c r="F251" s="1365"/>
      <c r="G251" s="1365"/>
      <c r="H251" s="1365"/>
    </row>
    <row r="252" spans="1:8">
      <c r="A252" s="1366" t="s">
        <v>579</v>
      </c>
      <c r="B252" s="1365"/>
      <c r="C252" s="1365"/>
      <c r="D252" s="1365"/>
      <c r="E252" s="1365"/>
      <c r="F252" s="1365"/>
      <c r="G252" s="1365"/>
      <c r="H252" s="1365"/>
    </row>
    <row r="253" spans="1:8">
      <c r="A253" s="1366" t="s">
        <v>580</v>
      </c>
      <c r="B253" s="1365"/>
      <c r="C253" s="1365"/>
      <c r="D253" s="1365"/>
      <c r="E253" s="1365"/>
      <c r="F253" s="1365"/>
      <c r="G253" s="1365"/>
      <c r="H253" s="1365"/>
    </row>
    <row r="254" spans="1:8">
      <c r="A254" s="1366" t="s">
        <v>581</v>
      </c>
      <c r="B254" s="1365"/>
      <c r="C254" s="1365"/>
      <c r="D254" s="1365"/>
      <c r="E254" s="1365"/>
      <c r="F254" s="1365"/>
      <c r="G254" s="1365"/>
      <c r="H254" s="1365"/>
    </row>
    <row r="255" spans="1:8">
      <c r="A255" s="1366" t="s">
        <v>582</v>
      </c>
      <c r="B255" s="1365"/>
      <c r="C255" s="1365"/>
      <c r="D255" s="1365"/>
      <c r="E255" s="1365"/>
      <c r="F255" s="1365"/>
      <c r="G255" s="1365"/>
      <c r="H255" s="1365"/>
    </row>
    <row r="256" spans="1:8">
      <c r="A256" s="1366" t="s">
        <v>583</v>
      </c>
      <c r="B256" s="1365"/>
      <c r="C256" s="1365"/>
      <c r="D256" s="1365"/>
      <c r="E256" s="1365"/>
      <c r="F256" s="1365"/>
      <c r="G256" s="1365"/>
      <c r="H256" s="1365"/>
    </row>
    <row r="257" spans="1:8">
      <c r="A257" s="1366" t="s">
        <v>584</v>
      </c>
      <c r="B257" s="1365"/>
      <c r="C257" s="1365"/>
      <c r="D257" s="1365"/>
      <c r="E257" s="1365"/>
      <c r="F257" s="1365"/>
      <c r="G257" s="1365"/>
      <c r="H257" s="1365"/>
    </row>
    <row r="258" spans="1:8">
      <c r="A258" s="1366" t="s">
        <v>585</v>
      </c>
      <c r="B258" s="1365"/>
      <c r="C258" s="1365"/>
      <c r="D258" s="1365"/>
      <c r="E258" s="1365"/>
      <c r="F258" s="1365"/>
      <c r="G258" s="1365"/>
      <c r="H258" s="1365"/>
    </row>
    <row r="259" spans="1:8">
      <c r="A259" s="1366" t="s">
        <v>586</v>
      </c>
      <c r="B259" s="1365"/>
      <c r="C259" s="1365"/>
      <c r="D259" s="1365"/>
      <c r="E259" s="1365"/>
      <c r="F259" s="1365"/>
      <c r="G259" s="1365"/>
      <c r="H259" s="1365"/>
    </row>
    <row r="260" spans="1:8">
      <c r="A260" s="1366" t="s">
        <v>587</v>
      </c>
      <c r="B260" s="1365"/>
      <c r="C260" s="1365"/>
      <c r="D260" s="1365"/>
      <c r="E260" s="1365"/>
      <c r="F260" s="1365"/>
      <c r="G260" s="1365"/>
      <c r="H260" s="1365"/>
    </row>
    <row r="261" spans="1:8">
      <c r="A261" s="1366" t="s">
        <v>588</v>
      </c>
      <c r="B261" s="1365"/>
      <c r="C261" s="1365"/>
      <c r="D261" s="1365"/>
      <c r="E261" s="1365"/>
      <c r="F261" s="1365"/>
      <c r="G261" s="1365"/>
      <c r="H261" s="1365"/>
    </row>
    <row r="262" spans="1:8">
      <c r="A262" s="1366" t="s">
        <v>589</v>
      </c>
      <c r="B262" s="1365"/>
      <c r="C262" s="1365"/>
      <c r="D262" s="1365"/>
      <c r="E262" s="1365"/>
      <c r="F262" s="1365"/>
      <c r="G262" s="1365"/>
      <c r="H262" s="1365"/>
    </row>
    <row r="263" spans="1:8">
      <c r="A263" s="1366" t="s">
        <v>590</v>
      </c>
      <c r="B263" s="1365"/>
      <c r="C263" s="1365"/>
      <c r="D263" s="1365"/>
      <c r="E263" s="1365"/>
      <c r="F263" s="1365"/>
      <c r="G263" s="1365"/>
      <c r="H263" s="1365"/>
    </row>
    <row r="264" spans="1:8">
      <c r="A264" s="1365"/>
      <c r="B264" s="1365"/>
      <c r="C264" s="1365"/>
      <c r="D264" s="1365"/>
      <c r="E264" s="1365"/>
      <c r="F264" s="1365"/>
      <c r="G264" s="1365"/>
      <c r="H264" s="1365"/>
    </row>
    <row r="265" spans="1:8">
      <c r="A265" s="1366" t="s">
        <v>568</v>
      </c>
      <c r="B265" s="1365"/>
      <c r="C265" s="1365"/>
      <c r="D265" s="1365"/>
      <c r="E265" s="1365"/>
      <c r="F265" s="1365"/>
      <c r="G265" s="1365"/>
      <c r="H265" s="1365"/>
    </row>
    <row r="266" spans="1:8">
      <c r="A266" s="1366" t="s">
        <v>569</v>
      </c>
      <c r="B266" s="1365"/>
      <c r="C266" s="1365"/>
      <c r="D266" s="1365"/>
      <c r="E266" s="1365"/>
      <c r="F266" s="1365"/>
      <c r="G266" s="1365"/>
      <c r="H266" s="1365"/>
    </row>
    <row r="267" spans="1:8">
      <c r="A267" s="1366" t="s">
        <v>570</v>
      </c>
      <c r="B267" s="1365"/>
      <c r="C267" s="1365"/>
      <c r="D267" s="1365"/>
      <c r="E267" s="1365"/>
      <c r="F267" s="1365"/>
      <c r="G267" s="1365"/>
      <c r="H267" s="1365"/>
    </row>
    <row r="268" spans="1:8">
      <c r="A268" s="1366" t="s">
        <v>571</v>
      </c>
      <c r="B268" s="1365"/>
      <c r="C268" s="1365"/>
      <c r="D268" s="1365"/>
      <c r="E268" s="1365"/>
      <c r="F268" s="1365"/>
      <c r="G268" s="1365"/>
      <c r="H268" s="1365"/>
    </row>
    <row r="269" spans="1:8">
      <c r="A269" s="1366" t="s">
        <v>572</v>
      </c>
      <c r="B269" s="1365"/>
      <c r="C269" s="1365"/>
      <c r="D269" s="1365"/>
      <c r="E269" s="1365"/>
      <c r="F269" s="1365"/>
      <c r="G269" s="1365"/>
      <c r="H269" s="1365"/>
    </row>
    <row r="270" spans="1:8">
      <c r="A270" s="1366" t="s">
        <v>573</v>
      </c>
      <c r="B270" s="1365"/>
      <c r="C270" s="1365"/>
      <c r="D270" s="1365"/>
      <c r="E270" s="1365"/>
      <c r="F270" s="1365"/>
      <c r="G270" s="1365"/>
      <c r="H270" s="1365"/>
    </row>
    <row r="271" spans="1:8">
      <c r="A271" s="1366" t="s">
        <v>574</v>
      </c>
      <c r="B271" s="1365"/>
      <c r="C271" s="1365"/>
      <c r="D271" s="1365"/>
      <c r="E271" s="1365"/>
      <c r="F271" s="1365"/>
      <c r="G271" s="1365"/>
      <c r="H271" s="1365"/>
    </row>
    <row r="272" spans="1:8">
      <c r="A272" s="1365"/>
      <c r="B272" s="1365"/>
      <c r="C272" s="1365"/>
      <c r="D272" s="1365"/>
      <c r="E272" s="1365"/>
      <c r="F272" s="1365"/>
      <c r="G272" s="1365"/>
      <c r="H272" s="1365"/>
    </row>
    <row r="273" spans="1:8">
      <c r="A273" s="1366" t="s">
        <v>559</v>
      </c>
      <c r="B273" s="1365"/>
      <c r="C273" s="1365"/>
      <c r="D273" s="1365"/>
      <c r="E273" s="1365"/>
      <c r="F273" s="1365"/>
      <c r="G273" s="1365"/>
      <c r="H273" s="1365"/>
    </row>
    <row r="274" spans="1:8">
      <c r="A274" s="1366" t="s">
        <v>560</v>
      </c>
      <c r="B274" s="1365"/>
      <c r="C274" s="1365"/>
      <c r="D274" s="1365"/>
      <c r="E274" s="1365"/>
      <c r="F274" s="1365"/>
      <c r="G274" s="1365"/>
      <c r="H274" s="1365"/>
    </row>
    <row r="275" spans="1:8">
      <c r="A275" s="1366" t="s">
        <v>561</v>
      </c>
      <c r="B275" s="1365"/>
      <c r="C275" s="1365"/>
      <c r="D275" s="1365"/>
      <c r="E275" s="1365"/>
      <c r="F275" s="1365"/>
      <c r="G275" s="1365"/>
      <c r="H275" s="1365"/>
    </row>
    <row r="276" spans="1:8">
      <c r="A276" s="1366" t="s">
        <v>562</v>
      </c>
      <c r="B276" s="1365"/>
      <c r="C276" s="1365"/>
      <c r="D276" s="1365"/>
      <c r="E276" s="1365"/>
      <c r="F276" s="1365"/>
      <c r="G276" s="1365"/>
      <c r="H276" s="1365"/>
    </row>
    <row r="277" spans="1:8">
      <c r="A277" s="1366" t="s">
        <v>563</v>
      </c>
      <c r="B277" s="1365"/>
      <c r="C277" s="1365"/>
      <c r="D277" s="1365"/>
      <c r="E277" s="1365"/>
      <c r="F277" s="1365"/>
      <c r="G277" s="1365"/>
      <c r="H277" s="1365"/>
    </row>
    <row r="278" spans="1:8">
      <c r="A278" s="1366" t="s">
        <v>564</v>
      </c>
      <c r="B278" s="1365"/>
      <c r="C278" s="1365"/>
      <c r="D278" s="1365"/>
      <c r="E278" s="1365"/>
      <c r="F278" s="1365"/>
      <c r="G278" s="1365"/>
      <c r="H278" s="1365"/>
    </row>
    <row r="279" spans="1:8">
      <c r="A279" s="1366" t="s">
        <v>565</v>
      </c>
      <c r="B279" s="1365"/>
      <c r="C279" s="1365"/>
      <c r="D279" s="1365"/>
      <c r="E279" s="1365"/>
      <c r="F279" s="1365"/>
      <c r="G279" s="1365"/>
      <c r="H279" s="1365"/>
    </row>
    <row r="280" spans="1:8">
      <c r="A280" s="1366" t="s">
        <v>566</v>
      </c>
      <c r="B280" s="1365"/>
      <c r="C280" s="1365"/>
      <c r="D280" s="1365"/>
      <c r="E280" s="1365"/>
      <c r="F280" s="1365"/>
      <c r="G280" s="1365"/>
      <c r="H280" s="1365"/>
    </row>
    <row r="281" spans="1:8">
      <c r="A281" s="1366" t="s">
        <v>567</v>
      </c>
      <c r="B281" s="1365"/>
      <c r="C281" s="1365"/>
      <c r="D281" s="1365"/>
      <c r="E281" s="1365"/>
      <c r="F281" s="1365"/>
      <c r="G281" s="1365"/>
      <c r="H281" s="1365"/>
    </row>
    <row r="282" spans="1:8">
      <c r="A282" s="1365"/>
      <c r="B282" s="1365"/>
      <c r="C282" s="1365"/>
      <c r="D282" s="1365"/>
      <c r="E282" s="1365"/>
      <c r="F282" s="1365"/>
      <c r="G282" s="1365"/>
      <c r="H282" s="1365"/>
    </row>
    <row r="283" spans="1:8">
      <c r="A283" s="1366" t="s">
        <v>552</v>
      </c>
      <c r="B283" s="1365"/>
      <c r="C283" s="1365"/>
      <c r="D283" s="1365"/>
      <c r="E283" s="1365"/>
      <c r="F283" s="1365"/>
      <c r="G283" s="1365"/>
      <c r="H283" s="1365"/>
    </row>
    <row r="284" spans="1:8">
      <c r="A284" s="1366" t="s">
        <v>553</v>
      </c>
      <c r="B284" s="1365"/>
      <c r="C284" s="1365"/>
      <c r="D284" s="1365"/>
      <c r="E284" s="1365"/>
      <c r="F284" s="1365"/>
      <c r="G284" s="1365"/>
      <c r="H284" s="1365"/>
    </row>
    <row r="285" spans="1:8">
      <c r="A285" s="1366" t="s">
        <v>554</v>
      </c>
      <c r="B285" s="1365"/>
      <c r="C285" s="1365"/>
      <c r="D285" s="1365"/>
      <c r="E285" s="1365"/>
      <c r="F285" s="1365"/>
      <c r="G285" s="1365"/>
      <c r="H285" s="1365"/>
    </row>
    <row r="286" spans="1:8">
      <c r="A286" s="1366" t="s">
        <v>555</v>
      </c>
      <c r="B286" s="1365"/>
      <c r="C286" s="1365"/>
      <c r="D286" s="1365"/>
      <c r="E286" s="1365"/>
      <c r="F286" s="1365"/>
      <c r="G286" s="1365"/>
      <c r="H286" s="1365"/>
    </row>
    <row r="287" spans="1:8">
      <c r="A287" s="1366" t="s">
        <v>556</v>
      </c>
      <c r="B287" s="1365"/>
      <c r="C287" s="1365"/>
      <c r="D287" s="1365"/>
      <c r="E287" s="1365"/>
      <c r="F287" s="1365"/>
      <c r="G287" s="1365"/>
      <c r="H287" s="1365"/>
    </row>
    <row r="288" spans="1:8">
      <c r="A288" s="1366" t="s">
        <v>557</v>
      </c>
      <c r="B288" s="1365"/>
      <c r="C288" s="1365"/>
      <c r="D288" s="1365"/>
      <c r="E288" s="1365"/>
      <c r="F288" s="1365"/>
      <c r="G288" s="1365"/>
      <c r="H288" s="1365"/>
    </row>
    <row r="289" spans="1:8">
      <c r="A289" s="1366" t="s">
        <v>558</v>
      </c>
      <c r="B289" s="1365"/>
      <c r="C289" s="1365"/>
      <c r="D289" s="1365"/>
      <c r="E289" s="1365"/>
      <c r="F289" s="1365"/>
      <c r="G289" s="1365"/>
      <c r="H289" s="1365"/>
    </row>
    <row r="290" spans="1:8">
      <c r="A290" s="1365"/>
      <c r="B290" s="1365"/>
      <c r="C290" s="1365"/>
      <c r="D290" s="1365"/>
      <c r="E290" s="1365"/>
      <c r="F290" s="1365"/>
      <c r="G290" s="1365"/>
      <c r="H290" s="1365"/>
    </row>
    <row r="291" spans="1:8">
      <c r="A291" s="1366" t="s">
        <v>549</v>
      </c>
      <c r="B291" s="1365"/>
      <c r="C291" s="1365"/>
      <c r="D291" s="1365"/>
      <c r="E291" s="1365"/>
      <c r="F291" s="1365"/>
      <c r="G291" s="1365"/>
      <c r="H291" s="1365"/>
    </row>
    <row r="292" spans="1:8">
      <c r="A292" s="1366" t="s">
        <v>550</v>
      </c>
      <c r="B292" s="1365"/>
      <c r="C292" s="1365"/>
      <c r="D292" s="1365"/>
      <c r="E292" s="1365"/>
      <c r="F292" s="1365"/>
      <c r="G292" s="1365"/>
      <c r="H292" s="1365"/>
    </row>
    <row r="293" spans="1:8">
      <c r="A293" s="1366" t="s">
        <v>551</v>
      </c>
      <c r="B293" s="1365"/>
      <c r="C293" s="1365"/>
      <c r="D293" s="1365"/>
      <c r="E293" s="1365"/>
      <c r="F293" s="1365"/>
      <c r="G293" s="1365"/>
      <c r="H293" s="1365"/>
    </row>
    <row r="294" spans="1:8">
      <c r="A294" s="1365"/>
      <c r="B294" s="1365"/>
      <c r="C294" s="1365"/>
      <c r="D294" s="1365"/>
      <c r="E294" s="1365"/>
      <c r="F294" s="1365"/>
      <c r="G294" s="1365"/>
      <c r="H294" s="1365"/>
    </row>
    <row r="295" spans="1:8">
      <c r="A295" s="1366" t="s">
        <v>547</v>
      </c>
      <c r="B295" s="1365"/>
      <c r="C295" s="1365"/>
      <c r="D295" s="1365"/>
      <c r="E295" s="1365"/>
      <c r="F295" s="1365"/>
      <c r="G295" s="1365"/>
      <c r="H295" s="1365"/>
    </row>
    <row r="296" spans="1:8">
      <c r="A296" s="1366" t="s">
        <v>548</v>
      </c>
      <c r="B296" s="1365"/>
      <c r="C296" s="1365"/>
      <c r="D296" s="1365"/>
      <c r="E296" s="1365"/>
      <c r="F296" s="1365"/>
      <c r="G296" s="1365"/>
      <c r="H296" s="1365"/>
    </row>
    <row r="297" spans="1:8">
      <c r="A297" s="1365"/>
      <c r="B297" s="1365"/>
      <c r="C297" s="1365"/>
      <c r="D297" s="1365"/>
      <c r="E297" s="1365"/>
      <c r="F297" s="1365"/>
      <c r="G297" s="1365"/>
      <c r="H297" s="1365"/>
    </row>
    <row r="298" spans="1:8">
      <c r="A298" s="1366" t="s">
        <v>534</v>
      </c>
      <c r="B298" s="1365"/>
      <c r="C298" s="1365"/>
      <c r="D298" s="1365"/>
      <c r="E298" s="1365"/>
      <c r="F298" s="1365"/>
      <c r="G298" s="1365"/>
      <c r="H298" s="1365"/>
    </row>
    <row r="299" spans="1:8">
      <c r="A299" s="1366" t="s">
        <v>535</v>
      </c>
      <c r="B299" s="1365"/>
      <c r="C299" s="1365"/>
      <c r="D299" s="1365"/>
      <c r="E299" s="1365"/>
      <c r="F299" s="1365"/>
      <c r="G299" s="1365"/>
      <c r="H299" s="1365"/>
    </row>
    <row r="300" spans="1:8">
      <c r="A300" s="1366" t="s">
        <v>536</v>
      </c>
      <c r="B300" s="1365"/>
      <c r="C300" s="1365"/>
      <c r="D300" s="1365"/>
      <c r="E300" s="1365"/>
      <c r="F300" s="1365"/>
      <c r="G300" s="1365"/>
      <c r="H300" s="1365"/>
    </row>
    <row r="301" spans="1:8">
      <c r="A301" s="1366" t="s">
        <v>537</v>
      </c>
      <c r="B301" s="1365"/>
      <c r="C301" s="1365"/>
      <c r="D301" s="1365"/>
      <c r="E301" s="1365"/>
      <c r="F301" s="1365"/>
      <c r="G301" s="1365"/>
      <c r="H301" s="1365"/>
    </row>
    <row r="302" spans="1:8">
      <c r="A302" s="1366" t="s">
        <v>538</v>
      </c>
      <c r="B302" s="1365"/>
      <c r="C302" s="1365"/>
      <c r="D302" s="1365"/>
      <c r="E302" s="1365"/>
      <c r="F302" s="1365"/>
      <c r="G302" s="1365"/>
      <c r="H302" s="1365"/>
    </row>
    <row r="303" spans="1:8">
      <c r="A303" s="1366" t="s">
        <v>539</v>
      </c>
      <c r="B303" s="1365"/>
      <c r="C303" s="1365"/>
      <c r="D303" s="1365"/>
      <c r="E303" s="1365"/>
      <c r="F303" s="1365"/>
      <c r="G303" s="1365"/>
      <c r="H303" s="1365"/>
    </row>
    <row r="304" spans="1:8">
      <c r="A304" s="1366" t="s">
        <v>540</v>
      </c>
      <c r="B304" s="1365"/>
      <c r="C304" s="1365"/>
      <c r="D304" s="1365"/>
      <c r="E304" s="1365"/>
      <c r="F304" s="1365"/>
      <c r="G304" s="1365"/>
      <c r="H304" s="1365"/>
    </row>
    <row r="305" spans="1:8">
      <c r="A305" s="1366" t="s">
        <v>541</v>
      </c>
      <c r="B305" s="1365"/>
      <c r="C305" s="1365"/>
      <c r="D305" s="1365"/>
      <c r="E305" s="1365"/>
      <c r="F305" s="1365"/>
      <c r="G305" s="1365"/>
      <c r="H305" s="1365"/>
    </row>
    <row r="306" spans="1:8">
      <c r="A306" s="1366" t="s">
        <v>542</v>
      </c>
      <c r="B306" s="1365"/>
      <c r="C306" s="1365"/>
      <c r="D306" s="1365"/>
      <c r="E306" s="1365"/>
      <c r="F306" s="1365"/>
      <c r="G306" s="1365"/>
      <c r="H306" s="1365"/>
    </row>
    <row r="307" spans="1:8">
      <c r="A307" s="1366" t="s">
        <v>543</v>
      </c>
      <c r="B307" s="1365"/>
      <c r="C307" s="1365"/>
      <c r="D307" s="1365"/>
      <c r="E307" s="1365"/>
      <c r="F307" s="1365"/>
      <c r="G307" s="1365"/>
      <c r="H307" s="1365"/>
    </row>
    <row r="308" spans="1:8">
      <c r="A308" s="1366" t="s">
        <v>544</v>
      </c>
      <c r="B308" s="1365"/>
      <c r="C308" s="1365"/>
      <c r="D308" s="1365"/>
      <c r="E308" s="1365"/>
      <c r="F308" s="1365"/>
      <c r="G308" s="1365"/>
      <c r="H308" s="1365"/>
    </row>
    <row r="309" spans="1:8">
      <c r="A309" s="1366" t="s">
        <v>545</v>
      </c>
      <c r="B309" s="1365"/>
      <c r="C309" s="1365"/>
      <c r="D309" s="1365"/>
      <c r="E309" s="1365"/>
      <c r="F309" s="1365"/>
      <c r="G309" s="1365"/>
      <c r="H309" s="1365"/>
    </row>
    <row r="310" spans="1:8">
      <c r="A310" s="1366" t="s">
        <v>546</v>
      </c>
      <c r="B310" s="1365"/>
      <c r="C310" s="1365"/>
      <c r="D310" s="1365"/>
      <c r="E310" s="1365"/>
      <c r="F310" s="1365"/>
      <c r="G310" s="1365"/>
      <c r="H310" s="1365"/>
    </row>
    <row r="311" spans="1:8">
      <c r="A311" s="1365"/>
      <c r="B311" s="1365"/>
      <c r="C311" s="1365"/>
      <c r="D311" s="1365"/>
      <c r="E311" s="1365"/>
      <c r="F311" s="1365"/>
      <c r="G311" s="1365"/>
      <c r="H311" s="1365"/>
    </row>
    <row r="312" spans="1:8">
      <c r="A312" s="1366" t="s">
        <v>526</v>
      </c>
      <c r="B312" s="1365"/>
      <c r="C312" s="1365"/>
      <c r="D312" s="1365"/>
      <c r="E312" s="1365"/>
      <c r="F312" s="1365"/>
      <c r="G312" s="1365"/>
      <c r="H312" s="1365"/>
    </row>
    <row r="313" spans="1:8">
      <c r="A313" s="1366" t="s">
        <v>527</v>
      </c>
      <c r="B313" s="1365"/>
      <c r="C313" s="1365"/>
      <c r="D313" s="1365"/>
      <c r="E313" s="1365"/>
      <c r="F313" s="1365"/>
      <c r="G313" s="1365"/>
      <c r="H313" s="1365"/>
    </row>
    <row r="314" spans="1:8">
      <c r="A314" s="1366" t="s">
        <v>528</v>
      </c>
      <c r="B314" s="1365"/>
      <c r="C314" s="1365"/>
      <c r="D314" s="1365"/>
      <c r="E314" s="1365"/>
      <c r="F314" s="1365"/>
      <c r="G314" s="1365"/>
      <c r="H314" s="1365"/>
    </row>
    <row r="315" spans="1:8">
      <c r="A315" s="1366" t="s">
        <v>529</v>
      </c>
      <c r="B315" s="1365"/>
      <c r="C315" s="1365"/>
      <c r="D315" s="1365"/>
      <c r="E315" s="1365"/>
      <c r="F315" s="1365"/>
      <c r="G315" s="1365"/>
      <c r="H315" s="1365"/>
    </row>
    <row r="316" spans="1:8">
      <c r="A316" s="1366" t="s">
        <v>530</v>
      </c>
      <c r="B316" s="1365"/>
      <c r="C316" s="1365"/>
      <c r="D316" s="1365"/>
      <c r="E316" s="1365"/>
      <c r="F316" s="1365"/>
      <c r="G316" s="1365"/>
      <c r="H316" s="1365"/>
    </row>
    <row r="317" spans="1:8">
      <c r="A317" s="1366" t="s">
        <v>531</v>
      </c>
      <c r="B317" s="1365"/>
      <c r="C317" s="1365"/>
      <c r="D317" s="1365"/>
      <c r="E317" s="1365"/>
      <c r="F317" s="1365"/>
      <c r="G317" s="1365"/>
      <c r="H317" s="1365"/>
    </row>
    <row r="318" spans="1:8">
      <c r="A318" s="1366" t="s">
        <v>532</v>
      </c>
      <c r="B318" s="1365"/>
      <c r="C318" s="1365"/>
      <c r="D318" s="1365"/>
      <c r="E318" s="1365"/>
      <c r="F318" s="1365"/>
      <c r="G318" s="1365"/>
      <c r="H318" s="1365"/>
    </row>
    <row r="319" spans="1:8">
      <c r="A319" s="1366" t="s">
        <v>533</v>
      </c>
      <c r="B319" s="1365"/>
      <c r="C319" s="1365"/>
      <c r="D319" s="1365"/>
      <c r="E319" s="1365"/>
      <c r="F319" s="1365"/>
      <c r="G319" s="1365"/>
      <c r="H319" s="1365"/>
    </row>
    <row r="320" spans="1:8">
      <c r="A320" s="1365"/>
      <c r="B320" s="1365"/>
      <c r="C320" s="1365"/>
      <c r="D320" s="1365"/>
      <c r="E320" s="1365"/>
      <c r="F320" s="1365"/>
      <c r="G320" s="1365"/>
      <c r="H320" s="1365"/>
    </row>
    <row r="321" spans="1:8">
      <c r="A321" s="1366" t="s">
        <v>491</v>
      </c>
      <c r="B321" s="1365"/>
      <c r="C321" s="1365"/>
      <c r="D321" s="1365"/>
      <c r="E321" s="1365"/>
      <c r="F321" s="1365"/>
      <c r="G321" s="1365"/>
      <c r="H321" s="1365"/>
    </row>
    <row r="322" spans="1:8">
      <c r="A322" s="1366" t="s">
        <v>492</v>
      </c>
      <c r="B322" s="1365"/>
      <c r="C322" s="1365"/>
      <c r="D322" s="1365"/>
      <c r="E322" s="1365"/>
      <c r="F322" s="1365"/>
      <c r="G322" s="1365"/>
      <c r="H322" s="1365"/>
    </row>
    <row r="323" spans="1:8">
      <c r="A323" s="1366" t="s">
        <v>493</v>
      </c>
      <c r="B323" s="1365"/>
      <c r="C323" s="1365"/>
      <c r="D323" s="1365"/>
      <c r="E323" s="1365"/>
      <c r="F323" s="1365"/>
      <c r="G323" s="1365"/>
      <c r="H323" s="1365"/>
    </row>
    <row r="324" spans="1:8">
      <c r="A324" s="1366" t="s">
        <v>494</v>
      </c>
      <c r="B324" s="1365"/>
      <c r="C324" s="1365"/>
      <c r="D324" s="1365"/>
      <c r="E324" s="1365"/>
      <c r="F324" s="1365"/>
      <c r="G324" s="1365"/>
      <c r="H324" s="1365"/>
    </row>
    <row r="325" spans="1:8">
      <c r="A325" s="1366" t="s">
        <v>495</v>
      </c>
      <c r="B325" s="1365"/>
      <c r="C325" s="1365"/>
      <c r="D325" s="1365"/>
      <c r="E325" s="1365"/>
      <c r="F325" s="1365"/>
      <c r="G325" s="1365"/>
      <c r="H325" s="1365"/>
    </row>
    <row r="326" spans="1:8">
      <c r="A326" s="1366" t="s">
        <v>496</v>
      </c>
      <c r="B326" s="1365"/>
      <c r="C326" s="1365"/>
      <c r="D326" s="1365"/>
      <c r="E326" s="1365"/>
      <c r="F326" s="1365"/>
      <c r="G326" s="1365"/>
      <c r="H326" s="1365"/>
    </row>
    <row r="327" spans="1:8">
      <c r="A327" s="1366" t="s">
        <v>497</v>
      </c>
      <c r="B327" s="1365"/>
      <c r="C327" s="1365"/>
      <c r="D327" s="1365"/>
      <c r="E327" s="1365"/>
      <c r="F327" s="1365"/>
      <c r="G327" s="1365"/>
      <c r="H327" s="1365"/>
    </row>
    <row r="328" spans="1:8">
      <c r="A328" s="1366" t="s">
        <v>498</v>
      </c>
      <c r="B328" s="1365"/>
      <c r="C328" s="1365"/>
      <c r="D328" s="1365"/>
      <c r="E328" s="1365"/>
      <c r="F328" s="1365"/>
      <c r="G328" s="1365"/>
      <c r="H328" s="1365"/>
    </row>
    <row r="329" spans="1:8">
      <c r="A329" s="1366" t="s">
        <v>499</v>
      </c>
      <c r="B329" s="1365"/>
      <c r="C329" s="1365"/>
      <c r="D329" s="1365"/>
      <c r="E329" s="1365"/>
      <c r="F329" s="1365"/>
      <c r="G329" s="1365"/>
      <c r="H329" s="1365"/>
    </row>
    <row r="330" spans="1:8">
      <c r="A330" s="1366" t="s">
        <v>500</v>
      </c>
      <c r="B330" s="1365"/>
      <c r="C330" s="1365"/>
      <c r="D330" s="1365"/>
      <c r="E330" s="1365"/>
      <c r="F330" s="1365"/>
      <c r="G330" s="1365"/>
      <c r="H330" s="1365"/>
    </row>
    <row r="331" spans="1:8">
      <c r="A331" s="1366" t="s">
        <v>501</v>
      </c>
      <c r="B331" s="1365"/>
      <c r="C331" s="1365"/>
      <c r="D331" s="1365"/>
      <c r="E331" s="1365"/>
      <c r="F331" s="1365"/>
      <c r="G331" s="1365"/>
      <c r="H331" s="1365"/>
    </row>
    <row r="332" spans="1:8">
      <c r="A332" s="1366" t="s">
        <v>502</v>
      </c>
      <c r="B332" s="1365"/>
      <c r="C332" s="1365"/>
      <c r="D332" s="1365"/>
      <c r="E332" s="1365"/>
      <c r="F332" s="1365"/>
      <c r="G332" s="1365"/>
      <c r="H332" s="1365"/>
    </row>
    <row r="333" spans="1:8">
      <c r="A333" s="1366" t="s">
        <v>503</v>
      </c>
      <c r="B333" s="1365"/>
      <c r="C333" s="1365"/>
      <c r="D333" s="1365"/>
      <c r="E333" s="1365"/>
      <c r="F333" s="1365"/>
      <c r="G333" s="1365"/>
      <c r="H333" s="1365"/>
    </row>
    <row r="334" spans="1:8">
      <c r="A334" s="1366" t="s">
        <v>504</v>
      </c>
      <c r="B334" s="1365"/>
      <c r="C334" s="1365"/>
      <c r="D334" s="1365"/>
      <c r="E334" s="1365"/>
      <c r="F334" s="1365"/>
      <c r="G334" s="1365"/>
      <c r="H334" s="1365"/>
    </row>
    <row r="335" spans="1:8">
      <c r="A335" s="1366" t="s">
        <v>505</v>
      </c>
      <c r="B335" s="1365"/>
      <c r="C335" s="1365"/>
      <c r="D335" s="1365"/>
      <c r="E335" s="1365"/>
      <c r="F335" s="1365"/>
      <c r="G335" s="1365"/>
      <c r="H335" s="1365"/>
    </row>
    <row r="336" spans="1:8">
      <c r="A336" s="1366" t="s">
        <v>506</v>
      </c>
      <c r="B336" s="1365"/>
      <c r="C336" s="1365"/>
      <c r="D336" s="1365"/>
      <c r="E336" s="1365"/>
      <c r="F336" s="1365"/>
      <c r="G336" s="1365"/>
      <c r="H336" s="1365"/>
    </row>
    <row r="337" spans="1:8">
      <c r="A337" s="1366" t="s">
        <v>507</v>
      </c>
      <c r="B337" s="1365"/>
      <c r="C337" s="1365"/>
      <c r="D337" s="1365"/>
      <c r="E337" s="1365"/>
      <c r="F337" s="1365"/>
      <c r="G337" s="1365"/>
      <c r="H337" s="1365"/>
    </row>
    <row r="338" spans="1:8">
      <c r="A338" s="1366" t="s">
        <v>508</v>
      </c>
      <c r="B338" s="1365"/>
      <c r="C338" s="1365"/>
      <c r="D338" s="1365"/>
      <c r="E338" s="1365"/>
      <c r="F338" s="1365"/>
      <c r="G338" s="1365"/>
      <c r="H338" s="1365"/>
    </row>
    <row r="339" spans="1:8">
      <c r="A339" s="1366" t="s">
        <v>509</v>
      </c>
      <c r="B339" s="1365"/>
      <c r="C339" s="1365"/>
      <c r="D339" s="1365"/>
      <c r="E339" s="1365"/>
      <c r="F339" s="1365"/>
      <c r="G339" s="1365"/>
      <c r="H339" s="1365"/>
    </row>
    <row r="340" spans="1:8">
      <c r="A340" s="1366" t="s">
        <v>510</v>
      </c>
      <c r="B340" s="1365"/>
      <c r="C340" s="1365"/>
      <c r="D340" s="1365"/>
      <c r="E340" s="1365"/>
      <c r="F340" s="1365"/>
      <c r="G340" s="1365"/>
      <c r="H340" s="1365"/>
    </row>
    <row r="341" spans="1:8">
      <c r="A341" s="1366" t="s">
        <v>511</v>
      </c>
      <c r="B341" s="1365"/>
      <c r="C341" s="1365"/>
      <c r="D341" s="1365"/>
      <c r="E341" s="1365"/>
      <c r="F341" s="1365"/>
      <c r="G341" s="1365"/>
      <c r="H341" s="1365"/>
    </row>
    <row r="342" spans="1:8">
      <c r="A342" s="1366" t="s">
        <v>512</v>
      </c>
      <c r="B342" s="1365"/>
      <c r="C342" s="1365"/>
      <c r="D342" s="1365"/>
      <c r="E342" s="1365"/>
      <c r="F342" s="1365"/>
      <c r="G342" s="1365"/>
      <c r="H342" s="1365"/>
    </row>
    <row r="343" spans="1:8">
      <c r="A343" s="1366" t="s">
        <v>513</v>
      </c>
      <c r="B343" s="1365"/>
      <c r="C343" s="1365"/>
      <c r="D343" s="1365"/>
      <c r="E343" s="1365"/>
      <c r="F343" s="1365"/>
      <c r="G343" s="1365"/>
      <c r="H343" s="1365"/>
    </row>
    <row r="344" spans="1:8">
      <c r="A344" s="1366" t="s">
        <v>514</v>
      </c>
      <c r="B344" s="1365"/>
      <c r="C344" s="1365"/>
      <c r="D344" s="1365"/>
      <c r="E344" s="1365"/>
      <c r="F344" s="1365"/>
      <c r="G344" s="1365"/>
      <c r="H344" s="1365"/>
    </row>
    <row r="345" spans="1:8">
      <c r="A345" s="1366" t="s">
        <v>515</v>
      </c>
      <c r="B345" s="1365"/>
      <c r="C345" s="1365"/>
      <c r="D345" s="1365"/>
      <c r="E345" s="1365"/>
      <c r="F345" s="1365"/>
      <c r="G345" s="1365"/>
      <c r="H345" s="1365"/>
    </row>
    <row r="346" spans="1:8">
      <c r="A346" s="1366" t="s">
        <v>516</v>
      </c>
      <c r="B346" s="1365"/>
      <c r="C346" s="1365"/>
      <c r="D346" s="1365"/>
      <c r="E346" s="1365"/>
      <c r="F346" s="1365"/>
      <c r="G346" s="1365"/>
      <c r="H346" s="1365"/>
    </row>
    <row r="347" spans="1:8">
      <c r="A347" s="1366" t="s">
        <v>517</v>
      </c>
      <c r="B347" s="1365"/>
      <c r="C347" s="1365"/>
      <c r="D347" s="1365"/>
      <c r="E347" s="1365"/>
      <c r="F347" s="1365"/>
      <c r="G347" s="1365"/>
      <c r="H347" s="1365"/>
    </row>
    <row r="348" spans="1:8">
      <c r="A348" s="1366" t="s">
        <v>518</v>
      </c>
      <c r="B348" s="1365"/>
      <c r="C348" s="1365"/>
      <c r="D348" s="1365"/>
      <c r="E348" s="1365"/>
      <c r="F348" s="1365"/>
      <c r="G348" s="1365"/>
      <c r="H348" s="1365"/>
    </row>
    <row r="349" spans="1:8">
      <c r="A349" s="1366" t="s">
        <v>519</v>
      </c>
      <c r="B349" s="1365"/>
      <c r="C349" s="1365"/>
      <c r="D349" s="1365"/>
      <c r="E349" s="1365"/>
      <c r="F349" s="1365"/>
      <c r="G349" s="1365"/>
      <c r="H349" s="1365"/>
    </row>
    <row r="350" spans="1:8">
      <c r="A350" s="1366" t="s">
        <v>520</v>
      </c>
      <c r="B350" s="1365"/>
      <c r="C350" s="1365"/>
      <c r="D350" s="1365"/>
      <c r="E350" s="1365"/>
      <c r="F350" s="1365"/>
      <c r="G350" s="1365"/>
      <c r="H350" s="1365"/>
    </row>
    <row r="351" spans="1:8">
      <c r="A351" s="1366" t="s">
        <v>521</v>
      </c>
      <c r="B351" s="1365"/>
      <c r="C351" s="1365"/>
      <c r="D351" s="1365"/>
      <c r="E351" s="1365"/>
      <c r="F351" s="1365"/>
      <c r="G351" s="1365"/>
      <c r="H351" s="1365"/>
    </row>
    <row r="352" spans="1:8">
      <c r="A352" s="1366" t="s">
        <v>522</v>
      </c>
      <c r="B352" s="1365"/>
      <c r="C352" s="1365"/>
      <c r="D352" s="1365"/>
      <c r="E352" s="1365"/>
      <c r="F352" s="1365"/>
      <c r="G352" s="1365"/>
      <c r="H352" s="1365"/>
    </row>
    <row r="353" spans="1:8">
      <c r="A353" s="1366" t="s">
        <v>523</v>
      </c>
      <c r="B353" s="1365"/>
      <c r="C353" s="1365"/>
      <c r="D353" s="1365"/>
      <c r="E353" s="1365"/>
      <c r="F353" s="1365"/>
      <c r="G353" s="1365"/>
      <c r="H353" s="1365"/>
    </row>
    <row r="354" spans="1:8">
      <c r="A354" s="1366" t="s">
        <v>524</v>
      </c>
      <c r="B354" s="1365"/>
      <c r="C354" s="1365"/>
      <c r="D354" s="1365"/>
      <c r="E354" s="1365"/>
      <c r="F354" s="1365"/>
      <c r="G354" s="1365"/>
      <c r="H354" s="1365"/>
    </row>
    <row r="355" spans="1:8">
      <c r="A355" s="1366" t="s">
        <v>525</v>
      </c>
      <c r="B355" s="1365"/>
      <c r="C355" s="1365"/>
      <c r="D355" s="1365"/>
      <c r="E355" s="1365"/>
      <c r="F355" s="1365"/>
      <c r="G355" s="1365"/>
      <c r="H355" s="1365"/>
    </row>
    <row r="356" spans="1:8">
      <c r="A356" s="1365"/>
      <c r="B356" s="1365"/>
      <c r="C356" s="1365"/>
      <c r="D356" s="1365"/>
      <c r="E356" s="1365"/>
      <c r="F356" s="1365"/>
      <c r="G356" s="1365"/>
      <c r="H356" s="1365"/>
    </row>
    <row r="357" spans="1:8">
      <c r="A357" s="1366" t="s">
        <v>483</v>
      </c>
      <c r="B357" s="1365"/>
      <c r="C357" s="1365"/>
      <c r="D357" s="1365"/>
      <c r="E357" s="1365"/>
      <c r="F357" s="1365"/>
      <c r="G357" s="1365"/>
      <c r="H357" s="1365"/>
    </row>
    <row r="358" spans="1:8">
      <c r="A358" s="1366" t="s">
        <v>487</v>
      </c>
      <c r="B358" s="1365"/>
      <c r="C358" s="1365"/>
      <c r="D358" s="1365"/>
      <c r="E358" s="1365"/>
      <c r="F358" s="1365"/>
      <c r="G358" s="1365"/>
      <c r="H358" s="1365"/>
    </row>
    <row r="359" spans="1:8">
      <c r="A359" s="1366" t="s">
        <v>488</v>
      </c>
      <c r="B359" s="1365"/>
      <c r="C359" s="1365"/>
      <c r="D359" s="1365"/>
      <c r="E359" s="1365"/>
      <c r="F359" s="1365"/>
      <c r="G359" s="1365"/>
      <c r="H359" s="1365"/>
    </row>
    <row r="360" spans="1:8">
      <c r="A360" s="1366" t="s">
        <v>489</v>
      </c>
      <c r="B360" s="1365"/>
      <c r="C360" s="1365"/>
      <c r="D360" s="1365"/>
      <c r="E360" s="1365"/>
      <c r="F360" s="1365"/>
      <c r="G360" s="1365"/>
      <c r="H360" s="1365"/>
    </row>
    <row r="361" spans="1:8">
      <c r="A361" s="1366" t="s">
        <v>490</v>
      </c>
      <c r="B361" s="1365"/>
      <c r="C361" s="1365"/>
      <c r="D361" s="1365"/>
      <c r="E361" s="1365"/>
      <c r="F361" s="1365"/>
      <c r="G361" s="1365"/>
      <c r="H361" s="1365"/>
    </row>
    <row r="362" spans="1:8">
      <c r="A362" s="1365"/>
      <c r="B362" s="1365"/>
      <c r="C362" s="1365"/>
      <c r="D362" s="1365"/>
      <c r="E362" s="1365"/>
      <c r="F362" s="1365"/>
      <c r="G362" s="1365"/>
      <c r="H362" s="1365"/>
    </row>
    <row r="363" spans="1:8">
      <c r="A363" s="1366" t="s">
        <v>483</v>
      </c>
      <c r="B363" s="1365"/>
      <c r="C363" s="1365"/>
      <c r="D363" s="1365"/>
      <c r="E363" s="1365"/>
      <c r="F363" s="1365"/>
      <c r="G363" s="1365"/>
      <c r="H363" s="1365"/>
    </row>
    <row r="364" spans="1:8">
      <c r="A364" s="1366" t="s">
        <v>484</v>
      </c>
      <c r="B364" s="1365"/>
      <c r="C364" s="1365"/>
      <c r="D364" s="1365"/>
      <c r="E364" s="1365"/>
      <c r="F364" s="1365"/>
      <c r="G364" s="1365"/>
      <c r="H364" s="1365"/>
    </row>
    <row r="365" spans="1:8">
      <c r="A365" s="1366" t="s">
        <v>485</v>
      </c>
      <c r="B365" s="1365"/>
      <c r="C365" s="1365"/>
      <c r="D365" s="1365"/>
      <c r="E365" s="1365"/>
      <c r="F365" s="1365"/>
      <c r="G365" s="1365"/>
      <c r="H365" s="1365"/>
    </row>
    <row r="366" spans="1:8">
      <c r="A366" s="1366" t="s">
        <v>486</v>
      </c>
      <c r="B366" s="1365"/>
      <c r="C366" s="1365"/>
      <c r="D366" s="1365"/>
      <c r="E366" s="1365"/>
      <c r="F366" s="1365"/>
      <c r="G366" s="1365"/>
      <c r="H366" s="1365"/>
    </row>
    <row r="367" spans="1:8">
      <c r="A367" s="1365"/>
      <c r="B367" s="1365"/>
      <c r="C367" s="1365"/>
      <c r="D367" s="1365"/>
      <c r="E367" s="1365"/>
      <c r="F367" s="1365"/>
      <c r="G367" s="1365"/>
      <c r="H367" s="1365"/>
    </row>
    <row r="368" spans="1:8">
      <c r="A368" s="1366" t="s">
        <v>477</v>
      </c>
      <c r="B368" s="1365"/>
      <c r="C368" s="1365"/>
      <c r="D368" s="1365"/>
      <c r="E368" s="1365"/>
      <c r="F368" s="1365"/>
      <c r="G368" s="1365"/>
      <c r="H368" s="1365"/>
    </row>
    <row r="369" spans="1:8">
      <c r="A369" s="1366" t="s">
        <v>478</v>
      </c>
      <c r="B369" s="1365"/>
      <c r="C369" s="1365"/>
      <c r="D369" s="1365"/>
      <c r="E369" s="1365"/>
      <c r="F369" s="1365"/>
      <c r="G369" s="1365"/>
      <c r="H369" s="1365"/>
    </row>
    <row r="370" spans="1:8">
      <c r="A370" s="1366" t="s">
        <v>479</v>
      </c>
      <c r="B370" s="1365"/>
      <c r="C370" s="1365"/>
      <c r="D370" s="1365"/>
      <c r="E370" s="1365"/>
      <c r="F370" s="1365"/>
      <c r="G370" s="1365"/>
      <c r="H370" s="1365"/>
    </row>
    <row r="371" spans="1:8">
      <c r="A371" s="1366" t="s">
        <v>480</v>
      </c>
      <c r="B371" s="1365"/>
      <c r="C371" s="1365"/>
      <c r="D371" s="1365"/>
      <c r="E371" s="1365"/>
      <c r="F371" s="1365"/>
      <c r="G371" s="1365"/>
      <c r="H371" s="1365"/>
    </row>
    <row r="372" spans="1:8">
      <c r="A372" s="1366" t="s">
        <v>481</v>
      </c>
      <c r="B372" s="1365"/>
      <c r="C372" s="1365"/>
      <c r="D372" s="1365"/>
      <c r="E372" s="1365"/>
      <c r="F372" s="1365"/>
      <c r="G372" s="1365"/>
      <c r="H372" s="1365"/>
    </row>
    <row r="373" spans="1:8">
      <c r="A373" s="1366" t="s">
        <v>482</v>
      </c>
      <c r="B373" s="1365"/>
      <c r="C373" s="1365"/>
      <c r="D373" s="1365"/>
      <c r="E373" s="1365"/>
      <c r="F373" s="1365"/>
      <c r="G373" s="1365"/>
      <c r="H373" s="1365"/>
    </row>
    <row r="374" spans="1:8">
      <c r="A374" s="1365"/>
      <c r="B374" s="1365"/>
      <c r="C374" s="1365"/>
      <c r="D374" s="1365"/>
      <c r="E374" s="1365"/>
      <c r="F374" s="1365"/>
      <c r="G374" s="1365"/>
      <c r="H374" s="1365"/>
    </row>
    <row r="375" spans="1:8">
      <c r="A375" s="1366" t="s">
        <v>472</v>
      </c>
      <c r="B375" s="1365"/>
      <c r="C375" s="1365"/>
      <c r="D375" s="1365"/>
      <c r="E375" s="1365"/>
      <c r="F375" s="1365"/>
      <c r="G375" s="1365"/>
      <c r="H375" s="1365"/>
    </row>
    <row r="376" spans="1:8">
      <c r="A376" s="1366" t="s">
        <v>473</v>
      </c>
      <c r="B376" s="1365"/>
      <c r="C376" s="1365"/>
      <c r="D376" s="1365"/>
      <c r="E376" s="1365"/>
      <c r="F376" s="1365"/>
      <c r="G376" s="1365"/>
      <c r="H376" s="1365"/>
    </row>
    <row r="377" spans="1:8">
      <c r="A377" s="1366" t="s">
        <v>474</v>
      </c>
      <c r="B377" s="1365"/>
      <c r="C377" s="1365"/>
      <c r="D377" s="1365"/>
      <c r="E377" s="1365"/>
      <c r="F377" s="1365"/>
      <c r="G377" s="1365"/>
      <c r="H377" s="1365"/>
    </row>
    <row r="378" spans="1:8">
      <c r="A378" s="1366" t="s">
        <v>475</v>
      </c>
      <c r="B378" s="1365"/>
      <c r="C378" s="1365"/>
      <c r="D378" s="1365"/>
      <c r="E378" s="1365"/>
      <c r="F378" s="1365"/>
      <c r="G378" s="1365"/>
      <c r="H378" s="1365"/>
    </row>
    <row r="379" spans="1:8">
      <c r="A379" s="1366" t="s">
        <v>476</v>
      </c>
      <c r="B379" s="1365"/>
      <c r="C379" s="1365"/>
      <c r="D379" s="1365"/>
      <c r="E379" s="1365"/>
      <c r="F379" s="1365"/>
      <c r="G379" s="1365"/>
      <c r="H379" s="1365"/>
    </row>
    <row r="380" spans="1:8">
      <c r="A380" s="1365"/>
      <c r="B380" s="1365"/>
      <c r="C380" s="1365"/>
      <c r="D380" s="1365"/>
      <c r="E380" s="1365"/>
      <c r="F380" s="1365"/>
      <c r="G380" s="1365"/>
      <c r="H380" s="1365"/>
    </row>
    <row r="381" spans="1:8">
      <c r="A381" s="1366" t="s">
        <v>470</v>
      </c>
      <c r="B381" s="1365"/>
      <c r="C381" s="1365"/>
      <c r="D381" s="1365"/>
      <c r="E381" s="1365"/>
      <c r="F381" s="1365"/>
      <c r="G381" s="1365"/>
      <c r="H381" s="1365"/>
    </row>
    <row r="382" spans="1:8">
      <c r="A382" s="1366" t="s">
        <v>471</v>
      </c>
      <c r="B382" s="1365"/>
      <c r="C382" s="1365"/>
      <c r="D382" s="1365"/>
      <c r="E382" s="1365"/>
      <c r="F382" s="1365"/>
      <c r="G382" s="1365"/>
      <c r="H382" s="1365"/>
    </row>
    <row r="384" spans="1:8">
      <c r="A384" s="1361" t="s">
        <v>721</v>
      </c>
    </row>
  </sheetData>
  <mergeCells count="12">
    <mergeCell ref="A122:H122"/>
    <mergeCell ref="A123:H123"/>
    <mergeCell ref="B115:C115"/>
    <mergeCell ref="D115:F115"/>
    <mergeCell ref="G115:H115"/>
    <mergeCell ref="A101:H101"/>
    <mergeCell ref="A102:H102"/>
    <mergeCell ref="A103:H103"/>
    <mergeCell ref="A104:H104"/>
    <mergeCell ref="A106:H106"/>
    <mergeCell ref="A107:H107"/>
    <mergeCell ref="A114:H114"/>
  </mergeCells>
  <pageMargins left="0.5" right="0.5" top="0.5" bottom="0.5" header="0.5" footer="0.5"/>
  <pageSetup orientation="portrait" horizontalDpi="300"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73"/>
  <sheetViews>
    <sheetView workbookViewId="0"/>
  </sheetViews>
  <sheetFormatPr defaultRowHeight="12.75"/>
  <cols>
    <col min="1" max="1" width="9.140625" style="809"/>
    <col min="2" max="4" width="38.42578125" style="809" customWidth="1"/>
    <col min="5" max="16384" width="9.140625" style="809"/>
  </cols>
  <sheetData>
    <row r="1" spans="1:29" s="802" customFormat="1">
      <c r="A1" s="801"/>
      <c r="B1" s="801"/>
      <c r="C1" s="801"/>
      <c r="D1" s="801"/>
      <c r="E1" s="801"/>
      <c r="F1" s="801"/>
      <c r="G1" s="801"/>
      <c r="H1" s="801"/>
      <c r="I1" s="801"/>
      <c r="J1" s="801"/>
      <c r="K1" s="801"/>
      <c r="L1" s="801"/>
      <c r="M1" s="801"/>
      <c r="N1" s="801"/>
      <c r="O1" s="801"/>
      <c r="P1" s="801"/>
      <c r="Q1" s="801"/>
      <c r="R1" s="801"/>
      <c r="S1" s="801"/>
      <c r="T1" s="801"/>
      <c r="U1" s="801"/>
      <c r="V1" s="801"/>
      <c r="W1" s="801"/>
      <c r="X1" s="801"/>
      <c r="Y1" s="801"/>
      <c r="Z1" s="801"/>
      <c r="AA1" s="801"/>
      <c r="AB1" s="801"/>
      <c r="AC1" s="801"/>
    </row>
    <row r="2" spans="1:29" s="802" customFormat="1" ht="28.5" customHeight="1">
      <c r="A2" s="801"/>
      <c r="B2" s="803" t="s">
        <v>135</v>
      </c>
      <c r="C2" s="801"/>
      <c r="D2" s="801"/>
      <c r="E2" s="801"/>
      <c r="F2" s="801"/>
      <c r="G2" s="801"/>
      <c r="H2" s="801"/>
      <c r="I2" s="801"/>
      <c r="J2" s="801"/>
      <c r="K2" s="801"/>
      <c r="L2" s="801"/>
      <c r="M2" s="801"/>
      <c r="N2" s="801"/>
      <c r="O2" s="801"/>
      <c r="P2" s="801"/>
      <c r="Q2" s="801"/>
      <c r="R2" s="801"/>
      <c r="S2" s="801"/>
      <c r="T2" s="801"/>
      <c r="U2" s="801"/>
      <c r="V2" s="801"/>
      <c r="W2" s="801"/>
      <c r="X2" s="801"/>
      <c r="Y2" s="801"/>
      <c r="Z2" s="801"/>
      <c r="AA2" s="801"/>
      <c r="AB2" s="801"/>
      <c r="AC2" s="801"/>
    </row>
    <row r="3" spans="1:29" s="802" customFormat="1" ht="15.75">
      <c r="A3" s="801"/>
      <c r="B3" s="804" t="s">
        <v>136</v>
      </c>
      <c r="C3" s="804" t="s">
        <v>157</v>
      </c>
      <c r="D3" s="801"/>
      <c r="E3" s="801"/>
      <c r="F3" s="801"/>
      <c r="G3" s="801"/>
      <c r="H3" s="801"/>
      <c r="I3" s="801"/>
      <c r="J3" s="801"/>
      <c r="K3" s="801"/>
      <c r="L3" s="801"/>
      <c r="M3" s="801"/>
      <c r="N3" s="801"/>
      <c r="O3" s="801"/>
      <c r="P3" s="801"/>
      <c r="Q3" s="801"/>
      <c r="R3" s="801"/>
      <c r="S3" s="801"/>
      <c r="T3" s="801"/>
      <c r="U3" s="801"/>
      <c r="V3" s="801"/>
      <c r="W3" s="801"/>
      <c r="X3" s="801"/>
      <c r="Y3" s="801"/>
      <c r="Z3" s="801"/>
      <c r="AA3" s="801"/>
      <c r="AB3" s="801"/>
      <c r="AC3" s="801"/>
    </row>
    <row r="4" spans="1:29" s="802" customFormat="1" ht="15.75">
      <c r="A4" s="801"/>
      <c r="B4" s="804" t="s">
        <v>275</v>
      </c>
      <c r="C4" s="804" t="s">
        <v>325</v>
      </c>
      <c r="D4" s="801"/>
      <c r="E4" s="801"/>
      <c r="F4" s="801"/>
      <c r="G4" s="801"/>
      <c r="H4" s="801"/>
      <c r="I4" s="801"/>
      <c r="J4" s="801"/>
      <c r="K4" s="801"/>
      <c r="L4" s="801"/>
      <c r="M4" s="801"/>
      <c r="N4" s="801"/>
      <c r="O4" s="801"/>
      <c r="P4" s="801"/>
      <c r="Q4" s="801"/>
      <c r="R4" s="801"/>
      <c r="S4" s="801"/>
      <c r="T4" s="801"/>
      <c r="U4" s="801"/>
      <c r="V4" s="801"/>
      <c r="W4" s="801"/>
      <c r="X4" s="801"/>
      <c r="Y4" s="801"/>
      <c r="Z4" s="801"/>
      <c r="AA4" s="801"/>
      <c r="AB4" s="801"/>
      <c r="AC4" s="801"/>
    </row>
    <row r="5" spans="1:29" s="802" customFormat="1" ht="15.75">
      <c r="A5" s="801"/>
      <c r="B5" s="804" t="s">
        <v>276</v>
      </c>
      <c r="C5" s="805">
        <f>+Valuation!G9</f>
        <v>217</v>
      </c>
      <c r="D5" s="801"/>
      <c r="E5" s="801"/>
      <c r="F5" s="801"/>
      <c r="G5" s="801"/>
      <c r="H5" s="801"/>
      <c r="I5" s="801"/>
      <c r="J5" s="801"/>
      <c r="K5" s="801"/>
      <c r="L5" s="801"/>
      <c r="M5" s="801"/>
      <c r="N5" s="801"/>
      <c r="O5" s="801"/>
      <c r="P5" s="801"/>
      <c r="Q5" s="801"/>
      <c r="R5" s="801"/>
      <c r="S5" s="801"/>
      <c r="T5" s="801"/>
      <c r="U5" s="801"/>
      <c r="V5" s="801"/>
      <c r="W5" s="801"/>
      <c r="X5" s="801"/>
      <c r="Y5" s="801"/>
      <c r="Z5" s="801"/>
      <c r="AA5" s="801"/>
      <c r="AB5" s="801"/>
      <c r="AC5" s="801"/>
    </row>
    <row r="6" spans="1:29" s="802" customFormat="1" ht="15.75">
      <c r="A6" s="801"/>
      <c r="B6" s="804" t="s">
        <v>277</v>
      </c>
      <c r="C6" s="806">
        <f ca="1">NOW()</f>
        <v>43201.522618402778</v>
      </c>
      <c r="D6" s="801"/>
      <c r="E6" s="801"/>
      <c r="F6" s="801"/>
      <c r="G6" s="801"/>
      <c r="H6" s="801"/>
      <c r="I6" s="801"/>
      <c r="J6" s="801"/>
      <c r="K6" s="801"/>
      <c r="L6" s="801"/>
      <c r="M6" s="801"/>
      <c r="N6" s="801"/>
      <c r="O6" s="801"/>
      <c r="P6" s="801"/>
      <c r="Q6" s="801"/>
      <c r="R6" s="801"/>
      <c r="S6" s="801"/>
      <c r="T6" s="801"/>
      <c r="U6" s="801"/>
      <c r="V6" s="801"/>
      <c r="W6" s="801"/>
      <c r="X6" s="801"/>
      <c r="Y6" s="801"/>
      <c r="Z6" s="801"/>
      <c r="AA6" s="801"/>
      <c r="AB6" s="801"/>
      <c r="AC6" s="801"/>
    </row>
    <row r="7" spans="1:29" s="802" customFormat="1">
      <c r="A7" s="801"/>
      <c r="B7" s="801"/>
      <c r="C7" s="801"/>
      <c r="D7" s="801"/>
      <c r="E7" s="801"/>
      <c r="F7" s="801"/>
      <c r="G7" s="801"/>
      <c r="H7" s="801"/>
      <c r="I7" s="801"/>
      <c r="J7" s="801"/>
      <c r="K7" s="801"/>
      <c r="L7" s="801"/>
      <c r="M7" s="801"/>
      <c r="N7" s="801"/>
      <c r="O7" s="801"/>
      <c r="P7" s="801"/>
      <c r="Q7" s="801"/>
      <c r="R7" s="801"/>
      <c r="S7" s="801"/>
      <c r="T7" s="801"/>
      <c r="U7" s="801"/>
      <c r="V7" s="801"/>
      <c r="W7" s="801"/>
      <c r="X7" s="801"/>
      <c r="Y7" s="801"/>
      <c r="Z7" s="801"/>
      <c r="AA7" s="801"/>
      <c r="AB7" s="801"/>
      <c r="AC7" s="801"/>
    </row>
    <row r="8" spans="1:29">
      <c r="A8" s="807"/>
      <c r="B8" s="808"/>
      <c r="C8" s="808"/>
      <c r="D8" s="808"/>
      <c r="E8" s="808"/>
      <c r="F8" s="808"/>
      <c r="G8" s="808"/>
      <c r="H8" s="808"/>
      <c r="I8" s="808"/>
      <c r="J8" s="808"/>
      <c r="K8" s="808"/>
      <c r="L8" s="808"/>
      <c r="M8" s="808"/>
      <c r="N8" s="808"/>
      <c r="O8" s="808"/>
      <c r="P8" s="808"/>
      <c r="Q8" s="808"/>
      <c r="R8" s="808"/>
      <c r="S8" s="807"/>
      <c r="T8" s="807"/>
      <c r="U8" s="807"/>
      <c r="V8" s="807"/>
      <c r="W8" s="807"/>
      <c r="X8" s="807"/>
      <c r="Y8" s="807"/>
      <c r="Z8" s="807"/>
      <c r="AA8" s="807"/>
      <c r="AB8" s="807"/>
      <c r="AC8" s="807"/>
    </row>
    <row r="9" spans="1:29">
      <c r="A9" s="807"/>
      <c r="B9" s="808"/>
      <c r="C9" s="808"/>
      <c r="D9" s="808"/>
      <c r="E9" s="808"/>
      <c r="F9" s="808"/>
      <c r="G9" s="808"/>
      <c r="H9" s="808"/>
      <c r="I9" s="808"/>
      <c r="J9" s="808"/>
      <c r="K9" s="808"/>
      <c r="L9" s="808"/>
      <c r="M9" s="808"/>
      <c r="N9" s="808"/>
      <c r="O9" s="808"/>
      <c r="P9" s="808"/>
      <c r="Q9" s="808"/>
      <c r="R9" s="808"/>
      <c r="S9" s="807"/>
      <c r="T9" s="807"/>
      <c r="U9" s="807"/>
      <c r="V9" s="807"/>
      <c r="W9" s="807"/>
      <c r="X9" s="807"/>
      <c r="Y9" s="807"/>
      <c r="Z9" s="807"/>
      <c r="AA9" s="807"/>
      <c r="AB9" s="807"/>
      <c r="AC9" s="807"/>
    </row>
    <row r="10" spans="1:29" s="814" customFormat="1" ht="15">
      <c r="A10" s="810"/>
      <c r="B10" s="811" t="s">
        <v>278</v>
      </c>
      <c r="C10" s="811" t="s">
        <v>368</v>
      </c>
      <c r="D10" s="811"/>
      <c r="E10" s="811"/>
      <c r="F10" s="811"/>
      <c r="G10" s="811"/>
      <c r="H10" s="812"/>
      <c r="I10" s="812"/>
      <c r="J10" s="811"/>
      <c r="K10" s="811"/>
      <c r="L10" s="811"/>
      <c r="M10" s="811"/>
      <c r="N10" s="811"/>
      <c r="O10" s="811"/>
      <c r="P10" s="813"/>
      <c r="Q10" s="813"/>
      <c r="R10" s="810"/>
      <c r="S10" s="810"/>
      <c r="T10" s="810"/>
      <c r="U10" s="810"/>
      <c r="V10" s="810"/>
      <c r="W10" s="810"/>
      <c r="X10" s="810"/>
      <c r="Y10" s="810"/>
      <c r="Z10" s="810"/>
      <c r="AA10" s="810"/>
      <c r="AB10" s="810"/>
    </row>
    <row r="11" spans="1:29" s="814" customFormat="1" ht="15">
      <c r="A11" s="810"/>
      <c r="B11" s="811" t="s">
        <v>279</v>
      </c>
      <c r="C11" s="811" t="s">
        <v>369</v>
      </c>
      <c r="D11" s="811"/>
      <c r="E11" s="811"/>
      <c r="F11" s="811"/>
      <c r="G11" s="811"/>
      <c r="H11" s="812"/>
      <c r="I11" s="812"/>
      <c r="J11" s="811"/>
      <c r="K11" s="811"/>
      <c r="L11" s="811"/>
      <c r="M11" s="811"/>
      <c r="N11" s="811"/>
      <c r="O11" s="811"/>
      <c r="P11" s="813"/>
      <c r="Q11" s="813"/>
      <c r="R11" s="810"/>
      <c r="S11" s="810"/>
      <c r="T11" s="810"/>
      <c r="U11" s="810"/>
      <c r="V11" s="810"/>
      <c r="W11" s="810"/>
      <c r="X11" s="810"/>
      <c r="Y11" s="810"/>
      <c r="Z11" s="810"/>
      <c r="AA11" s="810"/>
      <c r="AB11" s="810"/>
    </row>
    <row r="12" spans="1:29" s="814" customFormat="1" ht="15">
      <c r="A12" s="810"/>
      <c r="B12" s="811" t="s">
        <v>280</v>
      </c>
      <c r="C12" s="811" t="s">
        <v>370</v>
      </c>
      <c r="D12" s="811"/>
      <c r="E12" s="811"/>
      <c r="F12" s="811"/>
      <c r="G12" s="811"/>
      <c r="H12" s="812"/>
      <c r="I12" s="812"/>
      <c r="J12" s="811"/>
      <c r="K12" s="811"/>
      <c r="L12" s="811"/>
      <c r="M12" s="811"/>
      <c r="N12" s="811"/>
      <c r="O12" s="811"/>
      <c r="P12" s="813"/>
      <c r="Q12" s="813"/>
      <c r="R12" s="810"/>
      <c r="S12" s="810"/>
      <c r="T12" s="810"/>
      <c r="U12" s="810"/>
      <c r="V12" s="810"/>
      <c r="W12" s="810"/>
      <c r="X12" s="810"/>
      <c r="Y12" s="810"/>
      <c r="Z12" s="810"/>
      <c r="AA12" s="810"/>
      <c r="AB12" s="810"/>
    </row>
    <row r="13" spans="1:29">
      <c r="A13" s="807"/>
      <c r="B13" s="815"/>
      <c r="C13" s="815"/>
      <c r="D13" s="815"/>
      <c r="E13" s="815"/>
      <c r="F13" s="815"/>
      <c r="G13" s="815"/>
      <c r="H13" s="815"/>
      <c r="I13" s="815"/>
      <c r="J13" s="815"/>
      <c r="K13" s="815"/>
      <c r="L13" s="815"/>
      <c r="M13" s="815"/>
      <c r="N13" s="815"/>
      <c r="O13" s="815"/>
      <c r="P13" s="815"/>
      <c r="Q13" s="815"/>
      <c r="R13" s="815"/>
      <c r="S13" s="807"/>
      <c r="T13" s="807"/>
      <c r="U13" s="807"/>
      <c r="V13" s="807"/>
      <c r="W13" s="807"/>
      <c r="X13" s="807"/>
      <c r="Y13" s="807"/>
      <c r="Z13" s="807"/>
      <c r="AA13" s="807"/>
      <c r="AB13" s="807"/>
      <c r="AC13" s="807"/>
    </row>
    <row r="14" spans="1:29" ht="15">
      <c r="A14" s="807"/>
      <c r="B14" s="816"/>
      <c r="C14" s="816"/>
      <c r="D14" s="816"/>
      <c r="E14" s="816"/>
      <c r="F14" s="816"/>
      <c r="G14" s="817"/>
      <c r="H14" s="816"/>
      <c r="I14" s="816"/>
      <c r="J14" s="816"/>
      <c r="K14" s="816"/>
      <c r="L14" s="816"/>
      <c r="M14" s="816"/>
      <c r="N14" s="816"/>
      <c r="O14" s="816"/>
      <c r="P14" s="816"/>
      <c r="Q14" s="816"/>
      <c r="R14" s="816"/>
      <c r="S14" s="807"/>
      <c r="T14" s="807"/>
      <c r="U14" s="807"/>
      <c r="V14" s="807"/>
      <c r="W14" s="807"/>
      <c r="X14" s="807"/>
      <c r="Y14" s="807"/>
      <c r="Z14" s="807"/>
      <c r="AA14" s="807"/>
      <c r="AB14" s="807"/>
      <c r="AC14" s="807"/>
    </row>
    <row r="15" spans="1:29" ht="15">
      <c r="A15" s="807"/>
      <c r="B15" s="807"/>
      <c r="C15" s="807"/>
      <c r="D15" s="807"/>
      <c r="E15" s="807"/>
      <c r="F15" s="807"/>
      <c r="G15" s="817"/>
      <c r="H15" s="807"/>
      <c r="I15" s="807"/>
      <c r="J15" s="807"/>
      <c r="K15" s="807"/>
      <c r="L15" s="807"/>
      <c r="M15" s="807"/>
      <c r="N15" s="807"/>
      <c r="O15" s="807"/>
      <c r="P15" s="807"/>
      <c r="Q15" s="807"/>
      <c r="R15" s="807"/>
      <c r="S15" s="807"/>
      <c r="T15" s="807"/>
      <c r="U15" s="807"/>
      <c r="V15" s="807"/>
      <c r="W15" s="807"/>
      <c r="X15" s="807"/>
      <c r="Y15" s="807"/>
      <c r="Z15" s="807"/>
      <c r="AA15" s="807"/>
      <c r="AB15" s="807"/>
      <c r="AC15" s="807"/>
    </row>
    <row r="16" spans="1:29" ht="15">
      <c r="A16" s="807"/>
      <c r="B16" s="807"/>
      <c r="C16" s="807"/>
      <c r="D16" s="807"/>
      <c r="E16" s="807"/>
      <c r="F16" s="807"/>
      <c r="G16" s="817"/>
      <c r="H16" s="807"/>
      <c r="I16" s="807"/>
      <c r="J16" s="807"/>
      <c r="K16" s="807"/>
      <c r="L16" s="807"/>
      <c r="M16" s="807"/>
      <c r="N16" s="807"/>
      <c r="O16" s="807"/>
      <c r="P16" s="807"/>
      <c r="Q16" s="807"/>
      <c r="R16" s="807"/>
      <c r="S16" s="807"/>
      <c r="T16" s="807"/>
      <c r="U16" s="807"/>
      <c r="V16" s="807"/>
      <c r="W16" s="807"/>
      <c r="X16" s="807"/>
      <c r="Y16" s="807"/>
      <c r="Z16" s="807"/>
      <c r="AA16" s="807"/>
      <c r="AB16" s="807"/>
      <c r="AC16" s="807"/>
    </row>
    <row r="17" spans="1:29">
      <c r="A17" s="807"/>
      <c r="B17" s="807"/>
      <c r="C17" s="807"/>
      <c r="D17" s="807"/>
      <c r="E17" s="807"/>
      <c r="F17" s="807"/>
      <c r="G17" s="807"/>
      <c r="H17" s="807"/>
      <c r="I17" s="807"/>
      <c r="J17" s="807"/>
      <c r="K17" s="807"/>
      <c r="L17" s="807"/>
      <c r="M17" s="807"/>
      <c r="N17" s="807"/>
      <c r="O17" s="807"/>
      <c r="P17" s="807"/>
      <c r="Q17" s="807"/>
      <c r="R17" s="807"/>
      <c r="S17" s="807"/>
      <c r="T17" s="807"/>
      <c r="U17" s="807"/>
      <c r="V17" s="807"/>
      <c r="W17" s="807"/>
      <c r="X17" s="807"/>
      <c r="Y17" s="807"/>
      <c r="Z17" s="807"/>
      <c r="AA17" s="807"/>
      <c r="AB17" s="807"/>
      <c r="AC17" s="807"/>
    </row>
    <row r="18" spans="1:29">
      <c r="A18" s="807"/>
      <c r="B18" s="807"/>
      <c r="C18" s="807"/>
      <c r="D18" s="807"/>
      <c r="E18" s="807"/>
      <c r="F18" s="807"/>
      <c r="G18" s="807"/>
      <c r="H18" s="807"/>
      <c r="I18" s="807"/>
      <c r="J18" s="807"/>
      <c r="K18" s="807"/>
      <c r="L18" s="807"/>
      <c r="M18" s="807"/>
      <c r="N18" s="807"/>
      <c r="O18" s="807"/>
      <c r="P18" s="807"/>
      <c r="Q18" s="807"/>
      <c r="R18" s="807"/>
      <c r="S18" s="807"/>
      <c r="T18" s="807"/>
      <c r="U18" s="807"/>
      <c r="V18" s="807"/>
      <c r="W18" s="807"/>
      <c r="X18" s="807"/>
      <c r="Y18" s="807"/>
      <c r="Z18" s="807"/>
      <c r="AA18" s="807"/>
      <c r="AB18" s="807"/>
      <c r="AC18" s="807"/>
    </row>
    <row r="19" spans="1:29">
      <c r="A19" s="807"/>
      <c r="B19" s="807"/>
      <c r="C19" s="807"/>
      <c r="D19" s="807"/>
      <c r="E19" s="807"/>
      <c r="F19" s="807"/>
      <c r="G19" s="807"/>
      <c r="H19" s="807"/>
      <c r="I19" s="807"/>
      <c r="J19" s="807"/>
      <c r="K19" s="807"/>
      <c r="L19" s="807"/>
      <c r="M19" s="807"/>
      <c r="N19" s="807"/>
      <c r="O19" s="807"/>
      <c r="P19" s="807"/>
      <c r="Q19" s="807"/>
      <c r="R19" s="807"/>
      <c r="S19" s="807"/>
      <c r="T19" s="807"/>
      <c r="U19" s="807"/>
      <c r="V19" s="807"/>
      <c r="W19" s="807"/>
      <c r="X19" s="807"/>
      <c r="Y19" s="807"/>
      <c r="Z19" s="807"/>
      <c r="AA19" s="807"/>
      <c r="AB19" s="807"/>
      <c r="AC19" s="807"/>
    </row>
    <row r="20" spans="1:29">
      <c r="A20" s="807"/>
      <c r="B20" s="807"/>
      <c r="C20" s="807"/>
      <c r="D20" s="807"/>
      <c r="E20" s="807"/>
      <c r="F20" s="807"/>
      <c r="G20" s="807"/>
      <c r="H20" s="807"/>
      <c r="I20" s="807"/>
      <c r="J20" s="807"/>
      <c r="K20" s="807"/>
      <c r="L20" s="807"/>
      <c r="M20" s="807"/>
      <c r="N20" s="807"/>
      <c r="O20" s="807"/>
      <c r="P20" s="807"/>
      <c r="Q20" s="807"/>
      <c r="R20" s="807"/>
      <c r="S20" s="807"/>
      <c r="T20" s="807"/>
      <c r="U20" s="807"/>
      <c r="V20" s="807"/>
      <c r="W20" s="807"/>
      <c r="X20" s="807"/>
      <c r="Y20" s="807"/>
      <c r="Z20" s="807"/>
      <c r="AA20" s="807"/>
      <c r="AB20" s="807"/>
      <c r="AC20" s="807"/>
    </row>
    <row r="21" spans="1:29">
      <c r="A21" s="807"/>
      <c r="B21" s="807"/>
      <c r="C21" s="807"/>
      <c r="D21" s="807"/>
      <c r="E21" s="807"/>
      <c r="F21" s="807"/>
      <c r="G21" s="807"/>
      <c r="H21" s="807"/>
      <c r="I21" s="807"/>
      <c r="J21" s="807"/>
      <c r="K21" s="807"/>
      <c r="L21" s="807"/>
      <c r="M21" s="807"/>
      <c r="N21" s="807"/>
      <c r="O21" s="807"/>
      <c r="P21" s="807"/>
      <c r="Q21" s="807"/>
      <c r="R21" s="807"/>
      <c r="S21" s="807"/>
      <c r="T21" s="807"/>
      <c r="U21" s="807"/>
      <c r="V21" s="807"/>
      <c r="W21" s="807"/>
      <c r="X21" s="807"/>
      <c r="Y21" s="807"/>
      <c r="Z21" s="807"/>
      <c r="AA21" s="807"/>
      <c r="AB21" s="807"/>
      <c r="AC21" s="807"/>
    </row>
    <row r="22" spans="1:29">
      <c r="A22" s="807"/>
      <c r="B22" s="807"/>
      <c r="C22" s="807"/>
      <c r="D22" s="807"/>
      <c r="E22" s="807"/>
      <c r="F22" s="807"/>
      <c r="G22" s="807"/>
      <c r="H22" s="807"/>
      <c r="I22" s="807"/>
      <c r="J22" s="807"/>
      <c r="K22" s="807"/>
      <c r="L22" s="807"/>
      <c r="M22" s="807"/>
      <c r="N22" s="807"/>
      <c r="O22" s="807"/>
      <c r="P22" s="807"/>
      <c r="Q22" s="807"/>
      <c r="R22" s="807"/>
      <c r="S22" s="807"/>
      <c r="T22" s="807"/>
      <c r="U22" s="807"/>
      <c r="V22" s="807"/>
      <c r="W22" s="807"/>
      <c r="X22" s="807"/>
      <c r="Y22" s="807"/>
      <c r="Z22" s="807"/>
      <c r="AA22" s="807"/>
      <c r="AB22" s="807"/>
      <c r="AC22" s="807"/>
    </row>
    <row r="23" spans="1:29">
      <c r="A23" s="807"/>
      <c r="B23" s="807"/>
      <c r="C23" s="807"/>
      <c r="D23" s="807"/>
      <c r="E23" s="807"/>
      <c r="F23" s="807"/>
      <c r="G23" s="807"/>
      <c r="H23" s="807"/>
      <c r="I23" s="807"/>
      <c r="J23" s="807"/>
      <c r="K23" s="807"/>
      <c r="L23" s="807"/>
      <c r="M23" s="807"/>
      <c r="N23" s="807"/>
      <c r="O23" s="807"/>
      <c r="P23" s="807"/>
      <c r="Q23" s="807"/>
      <c r="R23" s="807"/>
      <c r="S23" s="807"/>
      <c r="T23" s="807"/>
      <c r="U23" s="807"/>
      <c r="V23" s="807"/>
      <c r="W23" s="807"/>
      <c r="X23" s="807"/>
      <c r="Y23" s="807"/>
      <c r="Z23" s="807"/>
      <c r="AA23" s="807"/>
      <c r="AB23" s="807"/>
      <c r="AC23" s="807"/>
    </row>
    <row r="24" spans="1:29">
      <c r="A24" s="807"/>
      <c r="B24" s="807"/>
      <c r="C24" s="807"/>
      <c r="D24" s="807"/>
      <c r="E24" s="807"/>
      <c r="F24" s="807"/>
      <c r="G24" s="807"/>
      <c r="H24" s="807"/>
      <c r="I24" s="807"/>
      <c r="J24" s="807"/>
      <c r="K24" s="807"/>
      <c r="L24" s="807"/>
      <c r="M24" s="807"/>
      <c r="N24" s="807"/>
      <c r="O24" s="807"/>
      <c r="P24" s="807"/>
      <c r="Q24" s="807"/>
      <c r="R24" s="807"/>
      <c r="S24" s="807"/>
      <c r="T24" s="807"/>
      <c r="U24" s="807"/>
      <c r="V24" s="807"/>
      <c r="W24" s="807"/>
      <c r="X24" s="807"/>
      <c r="Y24" s="807"/>
      <c r="Z24" s="807"/>
      <c r="AA24" s="807"/>
      <c r="AB24" s="807"/>
      <c r="AC24" s="807"/>
    </row>
    <row r="25" spans="1:29">
      <c r="A25" s="807"/>
      <c r="B25" s="807"/>
      <c r="C25" s="807"/>
      <c r="D25" s="807"/>
      <c r="E25" s="807"/>
      <c r="F25" s="807"/>
      <c r="G25" s="807"/>
      <c r="H25" s="807"/>
      <c r="I25" s="807"/>
      <c r="J25" s="807"/>
      <c r="K25" s="807"/>
      <c r="L25" s="807"/>
      <c r="M25" s="807"/>
      <c r="N25" s="807"/>
      <c r="O25" s="807"/>
      <c r="P25" s="807"/>
      <c r="Q25" s="807"/>
      <c r="R25" s="807"/>
      <c r="S25" s="807"/>
      <c r="T25" s="807"/>
      <c r="U25" s="807"/>
      <c r="V25" s="807"/>
      <c r="W25" s="807"/>
      <c r="X25" s="807"/>
      <c r="Y25" s="807"/>
      <c r="Z25" s="807"/>
      <c r="AA25" s="807"/>
      <c r="AB25" s="807"/>
      <c r="AC25" s="807"/>
    </row>
    <row r="26" spans="1:29">
      <c r="A26" s="807"/>
      <c r="B26" s="807"/>
      <c r="C26" s="807"/>
      <c r="D26" s="807"/>
      <c r="E26" s="807"/>
      <c r="F26" s="807"/>
      <c r="G26" s="807"/>
      <c r="H26" s="807"/>
      <c r="I26" s="807"/>
      <c r="J26" s="807"/>
      <c r="K26" s="807"/>
      <c r="L26" s="807"/>
      <c r="M26" s="807"/>
      <c r="N26" s="807"/>
      <c r="O26" s="807"/>
      <c r="P26" s="807"/>
      <c r="Q26" s="807"/>
      <c r="R26" s="807"/>
      <c r="S26" s="807"/>
      <c r="T26" s="807"/>
      <c r="U26" s="807"/>
      <c r="V26" s="807"/>
      <c r="W26" s="807"/>
      <c r="X26" s="807"/>
      <c r="Y26" s="807"/>
      <c r="Z26" s="807"/>
      <c r="AA26" s="807"/>
      <c r="AB26" s="807"/>
      <c r="AC26" s="807"/>
    </row>
    <row r="27" spans="1:29">
      <c r="A27" s="807"/>
      <c r="B27" s="807"/>
      <c r="C27" s="807"/>
      <c r="D27" s="807"/>
      <c r="E27" s="807"/>
      <c r="F27" s="807"/>
      <c r="G27" s="807"/>
      <c r="H27" s="807"/>
      <c r="I27" s="807"/>
      <c r="J27" s="807"/>
      <c r="K27" s="807"/>
      <c r="L27" s="807"/>
      <c r="M27" s="807"/>
      <c r="N27" s="807"/>
      <c r="O27" s="807"/>
      <c r="P27" s="807"/>
      <c r="Q27" s="807"/>
      <c r="R27" s="807"/>
      <c r="S27" s="807"/>
      <c r="T27" s="807"/>
      <c r="U27" s="807"/>
      <c r="V27" s="807"/>
      <c r="W27" s="807"/>
      <c r="X27" s="807"/>
      <c r="Y27" s="807"/>
      <c r="Z27" s="807"/>
      <c r="AA27" s="807"/>
      <c r="AB27" s="807"/>
      <c r="AC27" s="807"/>
    </row>
    <row r="28" spans="1:29">
      <c r="A28" s="807"/>
      <c r="B28" s="807"/>
      <c r="C28" s="807"/>
      <c r="D28" s="807"/>
      <c r="E28" s="807"/>
      <c r="F28" s="807"/>
      <c r="G28" s="807"/>
      <c r="H28" s="807"/>
      <c r="I28" s="807"/>
      <c r="J28" s="807"/>
      <c r="K28" s="807"/>
      <c r="L28" s="807"/>
      <c r="M28" s="807"/>
      <c r="N28" s="807"/>
      <c r="O28" s="807"/>
      <c r="P28" s="807"/>
      <c r="Q28" s="807"/>
      <c r="R28" s="807"/>
      <c r="S28" s="807"/>
      <c r="T28" s="807"/>
      <c r="U28" s="807"/>
      <c r="V28" s="807"/>
      <c r="W28" s="807"/>
      <c r="X28" s="807"/>
      <c r="Y28" s="807"/>
      <c r="Z28" s="807"/>
      <c r="AA28" s="807"/>
      <c r="AB28" s="807"/>
      <c r="AC28" s="807"/>
    </row>
    <row r="29" spans="1:29">
      <c r="A29" s="807"/>
      <c r="B29" s="807"/>
      <c r="C29" s="807"/>
      <c r="D29" s="807"/>
      <c r="E29" s="807"/>
      <c r="F29" s="807"/>
      <c r="G29" s="807"/>
      <c r="H29" s="807"/>
      <c r="I29" s="807"/>
      <c r="J29" s="807"/>
      <c r="K29" s="807"/>
      <c r="L29" s="807"/>
      <c r="M29" s="807"/>
      <c r="N29" s="807"/>
      <c r="O29" s="807"/>
      <c r="P29" s="807"/>
      <c r="Q29" s="807"/>
      <c r="R29" s="807"/>
      <c r="S29" s="807"/>
      <c r="T29" s="807"/>
      <c r="U29" s="807"/>
      <c r="V29" s="807"/>
      <c r="W29" s="807"/>
      <c r="X29" s="807"/>
      <c r="Y29" s="807"/>
      <c r="Z29" s="807"/>
      <c r="AA29" s="807"/>
      <c r="AB29" s="807"/>
      <c r="AC29" s="807"/>
    </row>
    <row r="30" spans="1:29">
      <c r="A30" s="807"/>
      <c r="B30" s="807"/>
      <c r="C30" s="807"/>
      <c r="D30" s="807"/>
      <c r="E30" s="807"/>
      <c r="F30" s="807"/>
      <c r="G30" s="807"/>
      <c r="H30" s="807"/>
      <c r="I30" s="807"/>
      <c r="J30" s="807"/>
      <c r="K30" s="807"/>
      <c r="L30" s="807"/>
      <c r="M30" s="807"/>
      <c r="N30" s="807"/>
      <c r="O30" s="807"/>
      <c r="P30" s="807"/>
      <c r="Q30" s="807"/>
      <c r="R30" s="807"/>
      <c r="S30" s="807"/>
      <c r="T30" s="807"/>
      <c r="U30" s="807"/>
      <c r="V30" s="807"/>
      <c r="W30" s="807"/>
      <c r="X30" s="807"/>
      <c r="Y30" s="807"/>
      <c r="Z30" s="807"/>
      <c r="AA30" s="807"/>
      <c r="AB30" s="807"/>
      <c r="AC30" s="807"/>
    </row>
    <row r="31" spans="1:29">
      <c r="A31" s="807"/>
      <c r="B31" s="807"/>
      <c r="C31" s="807"/>
      <c r="D31" s="807"/>
      <c r="E31" s="807"/>
      <c r="F31" s="807"/>
      <c r="G31" s="807"/>
      <c r="H31" s="807"/>
      <c r="I31" s="807"/>
      <c r="J31" s="807"/>
      <c r="K31" s="807"/>
      <c r="L31" s="807"/>
      <c r="M31" s="807"/>
      <c r="N31" s="807"/>
      <c r="O31" s="807"/>
      <c r="P31" s="807"/>
      <c r="Q31" s="807"/>
      <c r="R31" s="807"/>
      <c r="S31" s="807"/>
      <c r="T31" s="807"/>
      <c r="U31" s="807"/>
      <c r="V31" s="807"/>
      <c r="W31" s="807"/>
      <c r="X31" s="807"/>
      <c r="Y31" s="807"/>
      <c r="Z31" s="807"/>
      <c r="AA31" s="807"/>
      <c r="AB31" s="807"/>
      <c r="AC31" s="807"/>
    </row>
    <row r="32" spans="1:29">
      <c r="A32" s="807"/>
      <c r="B32" s="807"/>
      <c r="C32" s="807"/>
      <c r="D32" s="807"/>
      <c r="E32" s="807"/>
      <c r="F32" s="807"/>
      <c r="G32" s="807"/>
      <c r="H32" s="807"/>
      <c r="I32" s="807"/>
      <c r="J32" s="807"/>
      <c r="K32" s="807"/>
      <c r="L32" s="807"/>
      <c r="M32" s="807"/>
      <c r="N32" s="807"/>
      <c r="O32" s="807"/>
      <c r="P32" s="807"/>
      <c r="Q32" s="807"/>
      <c r="R32" s="807"/>
      <c r="S32" s="807"/>
      <c r="T32" s="807"/>
      <c r="U32" s="807"/>
      <c r="V32" s="807"/>
      <c r="W32" s="807"/>
      <c r="X32" s="807"/>
      <c r="Y32" s="807"/>
      <c r="Z32" s="807"/>
      <c r="AA32" s="807"/>
      <c r="AB32" s="807"/>
      <c r="AC32" s="807"/>
    </row>
    <row r="33" spans="1:29">
      <c r="A33" s="807"/>
      <c r="B33" s="807"/>
      <c r="C33" s="807"/>
      <c r="D33" s="807"/>
      <c r="E33" s="807"/>
      <c r="F33" s="807"/>
      <c r="G33" s="807"/>
      <c r="H33" s="807"/>
      <c r="I33" s="807"/>
      <c r="J33" s="807"/>
      <c r="K33" s="807"/>
      <c r="L33" s="807"/>
      <c r="M33" s="807"/>
      <c r="N33" s="807"/>
      <c r="O33" s="807"/>
      <c r="P33" s="807"/>
      <c r="Q33" s="807"/>
      <c r="R33" s="807"/>
      <c r="S33" s="807"/>
      <c r="T33" s="807"/>
      <c r="U33" s="807"/>
      <c r="V33" s="807"/>
      <c r="W33" s="807"/>
      <c r="X33" s="807"/>
      <c r="Y33" s="807"/>
      <c r="Z33" s="807"/>
      <c r="AA33" s="807"/>
      <c r="AB33" s="807"/>
      <c r="AC33" s="807"/>
    </row>
    <row r="34" spans="1:29">
      <c r="A34" s="807"/>
      <c r="B34" s="807"/>
      <c r="C34" s="807"/>
      <c r="D34" s="807"/>
      <c r="E34" s="807"/>
      <c r="F34" s="807"/>
      <c r="G34" s="807"/>
      <c r="H34" s="807"/>
      <c r="I34" s="807"/>
      <c r="J34" s="807"/>
      <c r="K34" s="807"/>
      <c r="L34" s="807"/>
      <c r="M34" s="807"/>
      <c r="N34" s="807"/>
      <c r="O34" s="807"/>
      <c r="P34" s="807"/>
      <c r="Q34" s="807"/>
      <c r="R34" s="807"/>
      <c r="S34" s="807"/>
      <c r="T34" s="807"/>
      <c r="U34" s="807"/>
      <c r="V34" s="807"/>
      <c r="W34" s="807"/>
      <c r="X34" s="807"/>
      <c r="Y34" s="807"/>
      <c r="Z34" s="807"/>
      <c r="AA34" s="807"/>
      <c r="AB34" s="807"/>
      <c r="AC34" s="807"/>
    </row>
    <row r="35" spans="1:29">
      <c r="A35" s="807"/>
      <c r="B35" s="807"/>
      <c r="C35" s="807"/>
      <c r="D35" s="807"/>
      <c r="E35" s="807"/>
      <c r="F35" s="807"/>
      <c r="G35" s="807"/>
      <c r="H35" s="807"/>
      <c r="I35" s="807"/>
      <c r="J35" s="807"/>
      <c r="K35" s="807"/>
      <c r="L35" s="807"/>
      <c r="M35" s="807"/>
      <c r="N35" s="807"/>
      <c r="O35" s="807"/>
      <c r="P35" s="807"/>
      <c r="Q35" s="807"/>
      <c r="R35" s="807"/>
      <c r="S35" s="807"/>
      <c r="T35" s="807"/>
      <c r="U35" s="807"/>
      <c r="V35" s="807"/>
      <c r="W35" s="807"/>
      <c r="X35" s="807"/>
      <c r="Y35" s="807"/>
      <c r="Z35" s="807"/>
      <c r="AA35" s="807"/>
      <c r="AB35" s="807"/>
      <c r="AC35" s="807"/>
    </row>
    <row r="36" spans="1:29">
      <c r="A36" s="807"/>
      <c r="B36" s="807"/>
      <c r="C36" s="807"/>
      <c r="D36" s="807"/>
      <c r="E36" s="807"/>
      <c r="F36" s="807"/>
      <c r="G36" s="807"/>
      <c r="H36" s="807"/>
      <c r="I36" s="807"/>
      <c r="J36" s="807"/>
      <c r="K36" s="807"/>
      <c r="L36" s="807"/>
      <c r="M36" s="807"/>
      <c r="N36" s="807"/>
      <c r="O36" s="807"/>
      <c r="P36" s="807"/>
      <c r="Q36" s="807"/>
      <c r="R36" s="807"/>
      <c r="S36" s="807"/>
      <c r="T36" s="807"/>
      <c r="U36" s="807"/>
      <c r="V36" s="807"/>
      <c r="W36" s="807"/>
      <c r="X36" s="807"/>
      <c r="Y36" s="807"/>
      <c r="Z36" s="807"/>
      <c r="AA36" s="807"/>
      <c r="AB36" s="807"/>
      <c r="AC36" s="807"/>
    </row>
    <row r="37" spans="1:29">
      <c r="A37" s="807"/>
      <c r="B37" s="807"/>
      <c r="C37" s="807"/>
      <c r="D37" s="807"/>
      <c r="E37" s="807"/>
      <c r="F37" s="807"/>
      <c r="G37" s="807"/>
      <c r="H37" s="807"/>
      <c r="I37" s="807"/>
      <c r="J37" s="807"/>
      <c r="K37" s="807"/>
      <c r="L37" s="807"/>
      <c r="M37" s="807"/>
      <c r="N37" s="807"/>
      <c r="O37" s="807"/>
      <c r="P37" s="807"/>
      <c r="Q37" s="807"/>
      <c r="R37" s="807"/>
      <c r="S37" s="807"/>
      <c r="T37" s="807"/>
      <c r="U37" s="807"/>
      <c r="V37" s="807"/>
      <c r="W37" s="807"/>
      <c r="X37" s="807"/>
      <c r="Y37" s="807"/>
      <c r="Z37" s="807"/>
      <c r="AA37" s="807"/>
      <c r="AB37" s="807"/>
      <c r="AC37" s="807"/>
    </row>
    <row r="38" spans="1:29">
      <c r="A38" s="807"/>
      <c r="B38" s="807"/>
      <c r="C38" s="807"/>
      <c r="D38" s="807"/>
      <c r="E38" s="807"/>
      <c r="F38" s="807"/>
      <c r="G38" s="807"/>
      <c r="H38" s="807"/>
      <c r="I38" s="807"/>
      <c r="J38" s="807"/>
      <c r="K38" s="807"/>
      <c r="L38" s="807"/>
      <c r="M38" s="807"/>
      <c r="N38" s="807"/>
      <c r="O38" s="807"/>
      <c r="P38" s="807"/>
      <c r="Q38" s="807"/>
      <c r="R38" s="807"/>
      <c r="S38" s="807"/>
      <c r="T38" s="807"/>
      <c r="U38" s="807"/>
      <c r="V38" s="807"/>
      <c r="W38" s="807"/>
      <c r="X38" s="807"/>
      <c r="Y38" s="807"/>
      <c r="Z38" s="807"/>
      <c r="AA38" s="807"/>
      <c r="AB38" s="807"/>
      <c r="AC38" s="807"/>
    </row>
    <row r="39" spans="1:29">
      <c r="A39" s="807"/>
      <c r="B39" s="807"/>
      <c r="C39" s="807"/>
      <c r="D39" s="807"/>
      <c r="E39" s="807"/>
      <c r="F39" s="807"/>
      <c r="G39" s="807"/>
      <c r="H39" s="807"/>
      <c r="I39" s="807"/>
      <c r="J39" s="807"/>
      <c r="K39" s="807"/>
      <c r="L39" s="807"/>
      <c r="M39" s="807"/>
      <c r="N39" s="807"/>
      <c r="O39" s="807"/>
      <c r="P39" s="807"/>
      <c r="Q39" s="807"/>
      <c r="R39" s="807"/>
      <c r="S39" s="807"/>
      <c r="T39" s="807"/>
      <c r="U39" s="807"/>
      <c r="V39" s="807"/>
      <c r="W39" s="807"/>
      <c r="X39" s="807"/>
      <c r="Y39" s="807"/>
      <c r="Z39" s="807"/>
      <c r="AA39" s="807"/>
      <c r="AB39" s="807"/>
      <c r="AC39" s="807"/>
    </row>
    <row r="40" spans="1:29">
      <c r="A40" s="807"/>
      <c r="B40" s="807"/>
      <c r="C40" s="807"/>
      <c r="D40" s="807"/>
      <c r="E40" s="807"/>
      <c r="F40" s="807"/>
      <c r="G40" s="807"/>
      <c r="H40" s="807"/>
      <c r="I40" s="807"/>
      <c r="J40" s="807"/>
      <c r="K40" s="807"/>
      <c r="L40" s="807"/>
      <c r="M40" s="807"/>
      <c r="N40" s="807"/>
      <c r="O40" s="807"/>
      <c r="P40" s="807"/>
      <c r="Q40" s="807"/>
      <c r="R40" s="807"/>
      <c r="S40" s="807"/>
      <c r="T40" s="807"/>
      <c r="U40" s="807"/>
      <c r="V40" s="807"/>
      <c r="W40" s="807"/>
      <c r="X40" s="807"/>
      <c r="Y40" s="807"/>
      <c r="Z40" s="807"/>
      <c r="AA40" s="807"/>
      <c r="AB40" s="807"/>
      <c r="AC40" s="807"/>
    </row>
    <row r="41" spans="1:29">
      <c r="A41" s="807"/>
      <c r="B41" s="807"/>
      <c r="C41" s="807"/>
      <c r="D41" s="807"/>
      <c r="E41" s="807"/>
      <c r="F41" s="807"/>
      <c r="G41" s="807"/>
      <c r="H41" s="807"/>
      <c r="I41" s="807"/>
      <c r="J41" s="807"/>
      <c r="K41" s="807"/>
      <c r="L41" s="807"/>
      <c r="M41" s="807"/>
      <c r="N41" s="807"/>
      <c r="O41" s="807"/>
      <c r="P41" s="807"/>
      <c r="Q41" s="807"/>
      <c r="R41" s="807"/>
      <c r="S41" s="807"/>
      <c r="T41" s="807"/>
      <c r="U41" s="807"/>
      <c r="V41" s="807"/>
      <c r="W41" s="807"/>
      <c r="X41" s="807"/>
      <c r="Y41" s="807"/>
      <c r="Z41" s="807"/>
      <c r="AA41" s="807"/>
      <c r="AB41" s="807"/>
      <c r="AC41" s="807"/>
    </row>
    <row r="42" spans="1:29">
      <c r="A42" s="807"/>
      <c r="B42" s="807"/>
      <c r="C42" s="807"/>
      <c r="D42" s="807"/>
      <c r="E42" s="807"/>
      <c r="F42" s="807"/>
      <c r="G42" s="807"/>
      <c r="H42" s="807"/>
      <c r="I42" s="807"/>
      <c r="J42" s="807"/>
      <c r="K42" s="807"/>
      <c r="L42" s="807"/>
      <c r="M42" s="807"/>
      <c r="N42" s="807"/>
      <c r="O42" s="807"/>
      <c r="P42" s="807"/>
      <c r="Q42" s="807"/>
      <c r="R42" s="807"/>
      <c r="S42" s="807"/>
      <c r="T42" s="807"/>
      <c r="U42" s="807"/>
      <c r="V42" s="807"/>
      <c r="W42" s="807"/>
      <c r="X42" s="807"/>
      <c r="Y42" s="807"/>
      <c r="Z42" s="807"/>
      <c r="AA42" s="807"/>
      <c r="AB42" s="807"/>
      <c r="AC42" s="807"/>
    </row>
    <row r="43" spans="1:29">
      <c r="A43" s="807"/>
      <c r="B43" s="807"/>
      <c r="C43" s="807"/>
      <c r="D43" s="807"/>
      <c r="E43" s="807"/>
      <c r="F43" s="807"/>
      <c r="G43" s="807"/>
      <c r="H43" s="807"/>
      <c r="I43" s="807"/>
      <c r="J43" s="807"/>
      <c r="K43" s="807"/>
      <c r="L43" s="807"/>
      <c r="M43" s="807"/>
      <c r="N43" s="807"/>
      <c r="O43" s="807"/>
      <c r="P43" s="807"/>
      <c r="Q43" s="807"/>
      <c r="R43" s="807"/>
      <c r="S43" s="807"/>
      <c r="T43" s="807"/>
      <c r="U43" s="807"/>
      <c r="V43" s="807"/>
      <c r="W43" s="807"/>
      <c r="X43" s="807"/>
      <c r="Y43" s="807"/>
      <c r="Z43" s="807"/>
      <c r="AA43" s="807"/>
      <c r="AB43" s="807"/>
      <c r="AC43" s="807"/>
    </row>
    <row r="44" spans="1:29">
      <c r="A44" s="807"/>
      <c r="B44" s="807"/>
      <c r="C44" s="807"/>
      <c r="D44" s="807"/>
      <c r="E44" s="807"/>
      <c r="F44" s="807"/>
      <c r="G44" s="807"/>
      <c r="H44" s="807"/>
      <c r="I44" s="807"/>
      <c r="J44" s="807"/>
      <c r="K44" s="807"/>
      <c r="L44" s="807"/>
      <c r="M44" s="807"/>
      <c r="N44" s="807"/>
      <c r="O44" s="807"/>
      <c r="P44" s="807"/>
      <c r="Q44" s="807"/>
      <c r="R44" s="807"/>
      <c r="S44" s="807"/>
      <c r="T44" s="807"/>
      <c r="U44" s="807"/>
      <c r="V44" s="807"/>
      <c r="W44" s="807"/>
      <c r="X44" s="807"/>
      <c r="Y44" s="807"/>
      <c r="Z44" s="807"/>
      <c r="AA44" s="807"/>
      <c r="AB44" s="807"/>
      <c r="AC44" s="807"/>
    </row>
    <row r="45" spans="1:29">
      <c r="A45" s="807"/>
      <c r="B45" s="807"/>
      <c r="C45" s="807"/>
      <c r="D45" s="807"/>
      <c r="E45" s="807"/>
      <c r="F45" s="807"/>
      <c r="G45" s="807"/>
      <c r="H45" s="807"/>
      <c r="I45" s="807"/>
      <c r="J45" s="807"/>
      <c r="K45" s="807"/>
      <c r="L45" s="807"/>
      <c r="M45" s="807"/>
      <c r="N45" s="807"/>
      <c r="O45" s="807"/>
      <c r="P45" s="807"/>
      <c r="Q45" s="807"/>
      <c r="R45" s="807"/>
      <c r="S45" s="807"/>
      <c r="T45" s="807"/>
      <c r="U45" s="807"/>
      <c r="V45" s="807"/>
      <c r="W45" s="807"/>
      <c r="X45" s="807"/>
      <c r="Y45" s="807"/>
      <c r="Z45" s="807"/>
      <c r="AA45" s="807"/>
      <c r="AB45" s="807"/>
      <c r="AC45" s="807"/>
    </row>
    <row r="46" spans="1:29">
      <c r="A46" s="807"/>
      <c r="B46" s="807"/>
      <c r="C46" s="807"/>
      <c r="D46" s="807"/>
      <c r="E46" s="807"/>
      <c r="F46" s="807"/>
      <c r="G46" s="807"/>
      <c r="H46" s="807"/>
      <c r="I46" s="807"/>
      <c r="J46" s="807"/>
      <c r="K46" s="807"/>
      <c r="L46" s="807"/>
      <c r="M46" s="807"/>
      <c r="N46" s="807"/>
      <c r="O46" s="807"/>
      <c r="P46" s="807"/>
      <c r="Q46" s="807"/>
      <c r="R46" s="807"/>
      <c r="S46" s="807"/>
      <c r="T46" s="807"/>
      <c r="U46" s="807"/>
      <c r="V46" s="807"/>
      <c r="W46" s="807"/>
      <c r="X46" s="807"/>
      <c r="Y46" s="807"/>
      <c r="Z46" s="807"/>
      <c r="AA46" s="807"/>
      <c r="AB46" s="807"/>
      <c r="AC46" s="807"/>
    </row>
    <row r="47" spans="1:29">
      <c r="A47" s="807"/>
      <c r="B47" s="807"/>
      <c r="C47" s="807"/>
      <c r="D47" s="807"/>
      <c r="E47" s="807"/>
      <c r="F47" s="807"/>
      <c r="G47" s="807"/>
      <c r="H47" s="807"/>
      <c r="I47" s="807"/>
      <c r="J47" s="807"/>
      <c r="K47" s="807"/>
      <c r="L47" s="807"/>
      <c r="M47" s="807"/>
      <c r="N47" s="807"/>
      <c r="O47" s="807"/>
      <c r="P47" s="807"/>
      <c r="Q47" s="807"/>
      <c r="R47" s="807"/>
      <c r="S47" s="807"/>
      <c r="T47" s="807"/>
      <c r="U47" s="807"/>
      <c r="V47" s="807"/>
      <c r="W47" s="807"/>
      <c r="X47" s="807"/>
      <c r="Y47" s="807"/>
      <c r="Z47" s="807"/>
      <c r="AA47" s="807"/>
      <c r="AB47" s="807"/>
      <c r="AC47" s="807"/>
    </row>
    <row r="48" spans="1:29">
      <c r="A48" s="807"/>
      <c r="B48" s="807"/>
      <c r="C48" s="807"/>
      <c r="D48" s="807"/>
      <c r="E48" s="807"/>
      <c r="F48" s="807"/>
      <c r="G48" s="807"/>
      <c r="H48" s="807"/>
      <c r="I48" s="807"/>
      <c r="J48" s="807"/>
      <c r="K48" s="807"/>
      <c r="L48" s="807"/>
      <c r="M48" s="807"/>
      <c r="N48" s="807"/>
      <c r="O48" s="807"/>
      <c r="P48" s="807"/>
      <c r="Q48" s="807"/>
      <c r="R48" s="807"/>
      <c r="S48" s="807"/>
      <c r="T48" s="807"/>
      <c r="U48" s="807"/>
      <c r="V48" s="807"/>
      <c r="W48" s="807"/>
      <c r="X48" s="807"/>
      <c r="Y48" s="807"/>
      <c r="Z48" s="807"/>
      <c r="AA48" s="807"/>
      <c r="AB48" s="807"/>
      <c r="AC48" s="807"/>
    </row>
    <row r="49" spans="1:29">
      <c r="A49" s="807"/>
      <c r="B49" s="807"/>
      <c r="C49" s="807"/>
      <c r="D49" s="807"/>
      <c r="E49" s="807"/>
      <c r="F49" s="807"/>
      <c r="G49" s="807"/>
      <c r="H49" s="807"/>
      <c r="I49" s="807"/>
      <c r="J49" s="807"/>
      <c r="K49" s="807"/>
      <c r="L49" s="807"/>
      <c r="M49" s="807"/>
      <c r="N49" s="807"/>
      <c r="O49" s="807"/>
      <c r="P49" s="807"/>
      <c r="Q49" s="807"/>
      <c r="R49" s="807"/>
      <c r="S49" s="807"/>
      <c r="T49" s="807"/>
      <c r="U49" s="807"/>
      <c r="V49" s="807"/>
      <c r="W49" s="807"/>
      <c r="X49" s="807"/>
      <c r="Y49" s="807"/>
      <c r="Z49" s="807"/>
      <c r="AA49" s="807"/>
      <c r="AB49" s="807"/>
      <c r="AC49" s="807"/>
    </row>
    <row r="50" spans="1:29">
      <c r="A50" s="807"/>
      <c r="B50" s="807"/>
      <c r="C50" s="807"/>
      <c r="D50" s="807"/>
      <c r="E50" s="807"/>
      <c r="F50" s="807"/>
      <c r="G50" s="807"/>
      <c r="H50" s="807"/>
      <c r="I50" s="807"/>
      <c r="J50" s="807"/>
      <c r="K50" s="807"/>
      <c r="L50" s="807"/>
      <c r="M50" s="807"/>
      <c r="N50" s="807"/>
      <c r="O50" s="807"/>
      <c r="P50" s="807"/>
      <c r="Q50" s="807"/>
      <c r="R50" s="807"/>
      <c r="S50" s="807"/>
      <c r="T50" s="807"/>
      <c r="U50" s="807"/>
      <c r="V50" s="807"/>
      <c r="W50" s="807"/>
      <c r="X50" s="807"/>
      <c r="Y50" s="807"/>
      <c r="Z50" s="807"/>
      <c r="AA50" s="807"/>
      <c r="AB50" s="807"/>
      <c r="AC50" s="807"/>
    </row>
    <row r="51" spans="1:29">
      <c r="A51" s="807"/>
      <c r="B51" s="807"/>
      <c r="C51" s="807"/>
      <c r="D51" s="807"/>
      <c r="E51" s="807"/>
      <c r="F51" s="807"/>
      <c r="G51" s="807"/>
      <c r="H51" s="807"/>
      <c r="I51" s="807"/>
      <c r="J51" s="807"/>
      <c r="K51" s="807"/>
      <c r="L51" s="807"/>
      <c r="M51" s="807"/>
      <c r="N51" s="807"/>
      <c r="O51" s="807"/>
      <c r="P51" s="807"/>
      <c r="Q51" s="807"/>
      <c r="R51" s="807"/>
      <c r="S51" s="807"/>
      <c r="T51" s="807"/>
      <c r="U51" s="807"/>
      <c r="V51" s="807"/>
      <c r="W51" s="807"/>
      <c r="X51" s="807"/>
      <c r="Y51" s="807"/>
      <c r="Z51" s="807"/>
      <c r="AA51" s="807"/>
      <c r="AB51" s="807"/>
      <c r="AC51" s="807"/>
    </row>
    <row r="52" spans="1:29">
      <c r="A52" s="807"/>
      <c r="B52" s="807"/>
      <c r="C52" s="807"/>
      <c r="D52" s="807"/>
      <c r="E52" s="807"/>
      <c r="F52" s="807"/>
      <c r="G52" s="807"/>
      <c r="H52" s="807"/>
      <c r="I52" s="807"/>
      <c r="J52" s="807"/>
      <c r="K52" s="807"/>
      <c r="L52" s="807"/>
      <c r="M52" s="807"/>
      <c r="N52" s="807"/>
      <c r="O52" s="807"/>
      <c r="P52" s="807"/>
      <c r="Q52" s="807"/>
      <c r="R52" s="807"/>
      <c r="S52" s="807"/>
      <c r="T52" s="807"/>
      <c r="U52" s="807"/>
      <c r="V52" s="807"/>
      <c r="W52" s="807"/>
      <c r="X52" s="807"/>
      <c r="Y52" s="807"/>
      <c r="Z52" s="807"/>
      <c r="AA52" s="807"/>
      <c r="AB52" s="807"/>
      <c r="AC52" s="807"/>
    </row>
    <row r="53" spans="1:29">
      <c r="A53" s="807"/>
      <c r="B53" s="807"/>
      <c r="C53" s="807"/>
      <c r="D53" s="807"/>
      <c r="E53" s="807"/>
      <c r="F53" s="807"/>
      <c r="G53" s="807"/>
      <c r="H53" s="807"/>
      <c r="I53" s="807"/>
      <c r="J53" s="807"/>
      <c r="K53" s="807"/>
      <c r="L53" s="807"/>
      <c r="M53" s="807"/>
      <c r="N53" s="807"/>
      <c r="O53" s="807"/>
      <c r="P53" s="807"/>
      <c r="Q53" s="807"/>
      <c r="R53" s="807"/>
      <c r="S53" s="807"/>
      <c r="T53" s="807"/>
      <c r="U53" s="807"/>
      <c r="V53" s="807"/>
      <c r="W53" s="807"/>
      <c r="X53" s="807"/>
      <c r="Y53" s="807"/>
      <c r="Z53" s="807"/>
      <c r="AA53" s="807"/>
      <c r="AB53" s="807"/>
      <c r="AC53" s="807"/>
    </row>
    <row r="54" spans="1:29">
      <c r="A54" s="807"/>
      <c r="B54" s="807"/>
      <c r="C54" s="807"/>
      <c r="D54" s="807"/>
      <c r="E54" s="807"/>
      <c r="F54" s="807"/>
      <c r="G54" s="807"/>
      <c r="H54" s="807"/>
      <c r="I54" s="807"/>
      <c r="J54" s="807"/>
      <c r="K54" s="807"/>
      <c r="L54" s="807"/>
      <c r="M54" s="807"/>
      <c r="N54" s="807"/>
      <c r="O54" s="807"/>
      <c r="P54" s="807"/>
      <c r="Q54" s="807"/>
      <c r="R54" s="807"/>
      <c r="S54" s="807"/>
      <c r="T54" s="807"/>
      <c r="U54" s="807"/>
      <c r="V54" s="807"/>
      <c r="W54" s="807"/>
      <c r="X54" s="807"/>
      <c r="Y54" s="807"/>
      <c r="Z54" s="807"/>
      <c r="AA54" s="807"/>
      <c r="AB54" s="807"/>
      <c r="AC54" s="807"/>
    </row>
    <row r="55" spans="1:29">
      <c r="A55" s="807"/>
      <c r="B55" s="807"/>
      <c r="C55" s="807"/>
      <c r="D55" s="807"/>
      <c r="E55" s="807"/>
      <c r="F55" s="807"/>
      <c r="G55" s="807"/>
      <c r="H55" s="807"/>
      <c r="I55" s="807"/>
      <c r="J55" s="807"/>
      <c r="K55" s="807"/>
      <c r="L55" s="807"/>
      <c r="M55" s="807"/>
      <c r="N55" s="807"/>
      <c r="O55" s="807"/>
      <c r="P55" s="807"/>
      <c r="Q55" s="807"/>
      <c r="R55" s="807"/>
      <c r="S55" s="807"/>
      <c r="T55" s="807"/>
      <c r="U55" s="807"/>
      <c r="V55" s="807"/>
      <c r="W55" s="807"/>
      <c r="X55" s="807"/>
      <c r="Y55" s="807"/>
      <c r="Z55" s="807"/>
      <c r="AA55" s="807"/>
      <c r="AB55" s="807"/>
      <c r="AC55" s="807"/>
    </row>
    <row r="56" spans="1:29">
      <c r="A56" s="807"/>
      <c r="B56" s="807"/>
      <c r="C56" s="807"/>
      <c r="D56" s="807"/>
      <c r="E56" s="807"/>
      <c r="F56" s="807"/>
      <c r="G56" s="807"/>
      <c r="H56" s="807"/>
      <c r="I56" s="807"/>
      <c r="J56" s="807"/>
      <c r="K56" s="807"/>
      <c r="L56" s="807"/>
      <c r="M56" s="807"/>
      <c r="N56" s="807"/>
      <c r="O56" s="807"/>
      <c r="P56" s="807"/>
      <c r="Q56" s="807"/>
      <c r="R56" s="807"/>
      <c r="S56" s="807"/>
      <c r="T56" s="807"/>
      <c r="U56" s="807"/>
      <c r="V56" s="807"/>
      <c r="W56" s="807"/>
      <c r="X56" s="807"/>
      <c r="Y56" s="807"/>
      <c r="Z56" s="807"/>
      <c r="AA56" s="807"/>
      <c r="AB56" s="807"/>
      <c r="AC56" s="807"/>
    </row>
    <row r="57" spans="1:29">
      <c r="A57" s="807"/>
      <c r="B57" s="807"/>
      <c r="C57" s="807"/>
      <c r="D57" s="807"/>
      <c r="E57" s="807"/>
      <c r="F57" s="807"/>
      <c r="G57" s="807"/>
      <c r="H57" s="807"/>
      <c r="I57" s="807"/>
      <c r="J57" s="807"/>
      <c r="K57" s="807"/>
      <c r="L57" s="807"/>
      <c r="M57" s="807"/>
      <c r="N57" s="807"/>
      <c r="O57" s="807"/>
      <c r="P57" s="807"/>
      <c r="Q57" s="807"/>
      <c r="R57" s="807"/>
      <c r="S57" s="807"/>
      <c r="T57" s="807"/>
      <c r="U57" s="807"/>
      <c r="V57" s="807"/>
      <c r="W57" s="807"/>
      <c r="X57" s="807"/>
      <c r="Y57" s="807"/>
      <c r="Z57" s="807"/>
      <c r="AA57" s="807"/>
      <c r="AB57" s="807"/>
      <c r="AC57" s="807"/>
    </row>
    <row r="58" spans="1:29">
      <c r="A58" s="807"/>
      <c r="B58" s="807"/>
      <c r="C58" s="807"/>
      <c r="D58" s="807"/>
      <c r="E58" s="807"/>
      <c r="F58" s="807"/>
      <c r="G58" s="807"/>
      <c r="H58" s="807"/>
      <c r="I58" s="807"/>
      <c r="J58" s="807"/>
      <c r="K58" s="807"/>
      <c r="L58" s="807"/>
      <c r="M58" s="807"/>
      <c r="N58" s="807"/>
      <c r="O58" s="807"/>
      <c r="P58" s="807"/>
      <c r="Q58" s="807"/>
      <c r="R58" s="807"/>
      <c r="S58" s="807"/>
      <c r="T58" s="807"/>
      <c r="U58" s="807"/>
      <c r="V58" s="807"/>
      <c r="W58" s="807"/>
      <c r="X58" s="807"/>
      <c r="Y58" s="807"/>
      <c r="Z58" s="807"/>
      <c r="AA58" s="807"/>
      <c r="AB58" s="807"/>
      <c r="AC58" s="807"/>
    </row>
    <row r="59" spans="1:29">
      <c r="A59" s="807"/>
      <c r="B59" s="807"/>
      <c r="C59" s="807"/>
      <c r="D59" s="807"/>
      <c r="E59" s="807"/>
      <c r="F59" s="807"/>
      <c r="G59" s="807"/>
      <c r="H59" s="807"/>
      <c r="I59" s="807"/>
      <c r="J59" s="807"/>
      <c r="K59" s="807"/>
      <c r="L59" s="807"/>
      <c r="M59" s="807"/>
      <c r="N59" s="807"/>
      <c r="O59" s="807"/>
      <c r="P59" s="807"/>
      <c r="Q59" s="807"/>
      <c r="R59" s="807"/>
      <c r="S59" s="807"/>
      <c r="T59" s="807"/>
      <c r="U59" s="807"/>
      <c r="V59" s="807"/>
      <c r="W59" s="807"/>
      <c r="X59" s="807"/>
      <c r="Y59" s="807"/>
      <c r="Z59" s="807"/>
      <c r="AA59" s="807"/>
      <c r="AB59" s="807"/>
      <c r="AC59" s="807"/>
    </row>
    <row r="60" spans="1:29">
      <c r="A60" s="807"/>
      <c r="B60" s="807"/>
      <c r="C60" s="807"/>
      <c r="D60" s="807"/>
      <c r="E60" s="807"/>
      <c r="F60" s="807"/>
      <c r="G60" s="807"/>
      <c r="H60" s="807"/>
      <c r="I60" s="807"/>
      <c r="J60" s="807"/>
      <c r="K60" s="807"/>
      <c r="L60" s="807"/>
      <c r="M60" s="807"/>
      <c r="N60" s="807"/>
      <c r="O60" s="807"/>
      <c r="P60" s="807"/>
      <c r="Q60" s="807"/>
      <c r="R60" s="807"/>
      <c r="S60" s="807"/>
      <c r="T60" s="807"/>
      <c r="U60" s="807"/>
      <c r="V60" s="807"/>
      <c r="W60" s="807"/>
      <c r="X60" s="807"/>
      <c r="Y60" s="807"/>
      <c r="Z60" s="807"/>
      <c r="AA60" s="807"/>
      <c r="AB60" s="807"/>
      <c r="AC60" s="807"/>
    </row>
    <row r="61" spans="1:29">
      <c r="A61" s="807"/>
      <c r="B61" s="807"/>
      <c r="C61" s="807"/>
      <c r="D61" s="807"/>
      <c r="E61" s="807"/>
      <c r="F61" s="807"/>
      <c r="G61" s="807"/>
      <c r="H61" s="807"/>
      <c r="I61" s="807"/>
      <c r="J61" s="807"/>
      <c r="K61" s="807"/>
      <c r="L61" s="807"/>
      <c r="M61" s="807"/>
      <c r="N61" s="807"/>
      <c r="O61" s="807"/>
      <c r="P61" s="807"/>
      <c r="Q61" s="807"/>
      <c r="R61" s="807"/>
      <c r="S61" s="807"/>
      <c r="T61" s="807"/>
      <c r="U61" s="807"/>
      <c r="V61" s="807"/>
      <c r="W61" s="807"/>
      <c r="X61" s="807"/>
      <c r="Y61" s="807"/>
      <c r="Z61" s="807"/>
      <c r="AA61" s="807"/>
      <c r="AB61" s="807"/>
      <c r="AC61" s="807"/>
    </row>
    <row r="62" spans="1:29">
      <c r="A62" s="807"/>
      <c r="B62" s="807"/>
      <c r="C62" s="807"/>
      <c r="D62" s="807"/>
      <c r="E62" s="807"/>
      <c r="F62" s="807"/>
      <c r="G62" s="807"/>
      <c r="H62" s="807"/>
      <c r="I62" s="807"/>
      <c r="J62" s="807"/>
      <c r="K62" s="807"/>
      <c r="L62" s="807"/>
      <c r="M62" s="807"/>
      <c r="N62" s="807"/>
      <c r="O62" s="807"/>
      <c r="P62" s="807"/>
      <c r="Q62" s="807"/>
      <c r="R62" s="807"/>
      <c r="S62" s="807"/>
      <c r="T62" s="807"/>
      <c r="U62" s="807"/>
      <c r="V62" s="807"/>
      <c r="W62" s="807"/>
      <c r="X62" s="807"/>
      <c r="Y62" s="807"/>
      <c r="Z62" s="807"/>
      <c r="AA62" s="807"/>
      <c r="AB62" s="807"/>
      <c r="AC62" s="807"/>
    </row>
    <row r="63" spans="1:29">
      <c r="A63" s="807"/>
      <c r="B63" s="807"/>
      <c r="C63" s="807"/>
      <c r="D63" s="807"/>
      <c r="E63" s="807"/>
      <c r="F63" s="807"/>
      <c r="G63" s="807"/>
      <c r="H63" s="807"/>
      <c r="I63" s="807"/>
      <c r="J63" s="807"/>
      <c r="K63" s="807"/>
      <c r="L63" s="807"/>
      <c r="M63" s="807"/>
      <c r="N63" s="807"/>
      <c r="O63" s="807"/>
      <c r="P63" s="807"/>
      <c r="Q63" s="807"/>
      <c r="R63" s="807"/>
      <c r="S63" s="807"/>
      <c r="T63" s="807"/>
      <c r="U63" s="807"/>
      <c r="V63" s="807"/>
      <c r="W63" s="807"/>
      <c r="X63" s="807"/>
      <c r="Y63" s="807"/>
      <c r="Z63" s="807"/>
      <c r="AA63" s="807"/>
      <c r="AB63" s="807"/>
      <c r="AC63" s="807"/>
    </row>
    <row r="64" spans="1:29">
      <c r="A64" s="807"/>
      <c r="B64" s="807"/>
      <c r="C64" s="807"/>
      <c r="D64" s="807"/>
      <c r="E64" s="807"/>
      <c r="F64" s="807"/>
      <c r="G64" s="807"/>
      <c r="H64" s="807"/>
      <c r="I64" s="807"/>
      <c r="J64" s="807"/>
      <c r="K64" s="807"/>
      <c r="L64" s="807"/>
      <c r="M64" s="807"/>
      <c r="N64" s="807"/>
      <c r="O64" s="807"/>
      <c r="P64" s="807"/>
      <c r="Q64" s="807"/>
      <c r="R64" s="807"/>
      <c r="S64" s="807"/>
      <c r="T64" s="807"/>
      <c r="U64" s="807"/>
      <c r="V64" s="807"/>
      <c r="W64" s="807"/>
      <c r="X64" s="807"/>
      <c r="Y64" s="807"/>
      <c r="Z64" s="807"/>
      <c r="AA64" s="807"/>
      <c r="AB64" s="807"/>
      <c r="AC64" s="807"/>
    </row>
    <row r="65" spans="1:29">
      <c r="A65" s="807"/>
      <c r="B65" s="807"/>
      <c r="C65" s="807"/>
      <c r="D65" s="807"/>
      <c r="E65" s="807"/>
      <c r="F65" s="807"/>
      <c r="G65" s="807"/>
      <c r="H65" s="807"/>
      <c r="I65" s="807"/>
      <c r="J65" s="807"/>
      <c r="K65" s="807"/>
      <c r="L65" s="807"/>
      <c r="M65" s="807"/>
      <c r="N65" s="807"/>
      <c r="O65" s="807"/>
      <c r="P65" s="807"/>
      <c r="Q65" s="807"/>
      <c r="R65" s="807"/>
      <c r="S65" s="807"/>
      <c r="T65" s="807"/>
      <c r="U65" s="807"/>
      <c r="V65" s="807"/>
      <c r="W65" s="807"/>
      <c r="X65" s="807"/>
      <c r="Y65" s="807"/>
      <c r="Z65" s="807"/>
      <c r="AA65" s="807"/>
      <c r="AB65" s="807"/>
      <c r="AC65" s="807"/>
    </row>
    <row r="66" spans="1:29">
      <c r="A66" s="807"/>
      <c r="B66" s="807"/>
      <c r="C66" s="807"/>
      <c r="D66" s="807"/>
      <c r="E66" s="807"/>
      <c r="F66" s="807"/>
      <c r="G66" s="807"/>
      <c r="H66" s="807"/>
      <c r="I66" s="807"/>
      <c r="J66" s="807"/>
      <c r="K66" s="807"/>
      <c r="L66" s="807"/>
      <c r="M66" s="807"/>
      <c r="N66" s="807"/>
      <c r="O66" s="807"/>
      <c r="P66" s="807"/>
      <c r="Q66" s="807"/>
      <c r="R66" s="807"/>
      <c r="S66" s="807"/>
      <c r="T66" s="807"/>
      <c r="U66" s="807"/>
      <c r="V66" s="807"/>
      <c r="W66" s="807"/>
      <c r="X66" s="807"/>
      <c r="Y66" s="807"/>
      <c r="Z66" s="807"/>
      <c r="AA66" s="807"/>
      <c r="AB66" s="807"/>
      <c r="AC66" s="807"/>
    </row>
    <row r="67" spans="1:29">
      <c r="A67" s="807"/>
      <c r="B67" s="807"/>
      <c r="C67" s="807"/>
      <c r="D67" s="807"/>
      <c r="E67" s="807"/>
      <c r="F67" s="807"/>
      <c r="G67" s="807"/>
      <c r="H67" s="807"/>
      <c r="I67" s="807"/>
      <c r="J67" s="807"/>
      <c r="K67" s="807"/>
      <c r="L67" s="807"/>
      <c r="M67" s="807"/>
      <c r="N67" s="807"/>
      <c r="O67" s="807"/>
      <c r="P67" s="807"/>
      <c r="Q67" s="807"/>
      <c r="R67" s="807"/>
      <c r="S67" s="807"/>
      <c r="T67" s="807"/>
      <c r="U67" s="807"/>
      <c r="V67" s="807"/>
      <c r="W67" s="807"/>
      <c r="X67" s="807"/>
      <c r="Y67" s="807"/>
      <c r="Z67" s="807"/>
      <c r="AA67" s="807"/>
      <c r="AB67" s="807"/>
      <c r="AC67" s="807"/>
    </row>
    <row r="68" spans="1:29">
      <c r="A68" s="807"/>
      <c r="B68" s="807"/>
      <c r="C68" s="807"/>
      <c r="D68" s="807"/>
      <c r="E68" s="807"/>
      <c r="F68" s="807"/>
      <c r="G68" s="807"/>
      <c r="H68" s="807"/>
      <c r="I68" s="807"/>
      <c r="J68" s="807"/>
      <c r="K68" s="807"/>
      <c r="L68" s="807"/>
      <c r="M68" s="807"/>
      <c r="N68" s="807"/>
      <c r="O68" s="807"/>
      <c r="P68" s="807"/>
      <c r="Q68" s="807"/>
      <c r="R68" s="807"/>
      <c r="S68" s="807"/>
      <c r="T68" s="807"/>
      <c r="U68" s="807"/>
      <c r="V68" s="807"/>
      <c r="W68" s="807"/>
      <c r="X68" s="807"/>
      <c r="Y68" s="807"/>
      <c r="Z68" s="807"/>
      <c r="AA68" s="807"/>
      <c r="AB68" s="807"/>
      <c r="AC68" s="807"/>
    </row>
    <row r="69" spans="1:29">
      <c r="A69" s="807"/>
      <c r="B69" s="807"/>
      <c r="C69" s="807"/>
      <c r="D69" s="807"/>
      <c r="E69" s="807"/>
      <c r="F69" s="807"/>
      <c r="G69" s="807"/>
      <c r="H69" s="807"/>
      <c r="I69" s="807"/>
      <c r="J69" s="807"/>
      <c r="K69" s="807"/>
      <c r="L69" s="807"/>
      <c r="M69" s="807"/>
      <c r="N69" s="807"/>
      <c r="O69" s="807"/>
      <c r="P69" s="807"/>
      <c r="Q69" s="807"/>
      <c r="R69" s="807"/>
      <c r="S69" s="807"/>
      <c r="T69" s="807"/>
      <c r="U69" s="807"/>
      <c r="V69" s="807"/>
      <c r="W69" s="807"/>
      <c r="X69" s="807"/>
      <c r="Y69" s="807"/>
      <c r="Z69" s="807"/>
      <c r="AA69" s="807"/>
      <c r="AB69" s="807"/>
      <c r="AC69" s="807"/>
    </row>
    <row r="70" spans="1:29">
      <c r="A70" s="807"/>
      <c r="B70" s="807"/>
      <c r="C70" s="807"/>
      <c r="D70" s="807"/>
      <c r="E70" s="807"/>
      <c r="F70" s="807"/>
      <c r="G70" s="807"/>
      <c r="H70" s="807"/>
      <c r="I70" s="807"/>
      <c r="J70" s="807"/>
      <c r="K70" s="807"/>
      <c r="L70" s="807"/>
      <c r="M70" s="807"/>
      <c r="N70" s="807"/>
      <c r="O70" s="807"/>
      <c r="P70" s="807"/>
      <c r="Q70" s="807"/>
      <c r="R70" s="807"/>
      <c r="S70" s="807"/>
      <c r="T70" s="807"/>
      <c r="U70" s="807"/>
      <c r="V70" s="807"/>
      <c r="W70" s="807"/>
      <c r="X70" s="807"/>
      <c r="Y70" s="807"/>
      <c r="Z70" s="807"/>
      <c r="AA70" s="807"/>
      <c r="AB70" s="807"/>
      <c r="AC70" s="807"/>
    </row>
    <row r="71" spans="1:29">
      <c r="A71" s="807"/>
      <c r="B71" s="807"/>
      <c r="C71" s="807"/>
      <c r="D71" s="807"/>
      <c r="E71" s="807"/>
      <c r="F71" s="807"/>
      <c r="G71" s="807"/>
      <c r="H71" s="807"/>
      <c r="I71" s="807"/>
      <c r="J71" s="807"/>
      <c r="K71" s="807"/>
      <c r="L71" s="807"/>
      <c r="M71" s="807"/>
      <c r="N71" s="807"/>
      <c r="O71" s="807"/>
      <c r="P71" s="807"/>
      <c r="Q71" s="807"/>
      <c r="R71" s="807"/>
      <c r="S71" s="807"/>
      <c r="T71" s="807"/>
      <c r="U71" s="807"/>
      <c r="V71" s="807"/>
      <c r="W71" s="807"/>
      <c r="X71" s="807"/>
      <c r="Y71" s="807"/>
      <c r="Z71" s="807"/>
      <c r="AA71" s="807"/>
      <c r="AB71" s="807"/>
      <c r="AC71" s="807"/>
    </row>
    <row r="72" spans="1:29">
      <c r="A72" s="807"/>
      <c r="B72" s="807"/>
      <c r="C72" s="807"/>
      <c r="D72" s="807"/>
      <c r="E72" s="807"/>
      <c r="F72" s="807"/>
      <c r="G72" s="807"/>
      <c r="H72" s="807"/>
      <c r="I72" s="807"/>
      <c r="J72" s="807"/>
      <c r="K72" s="807"/>
      <c r="L72" s="807"/>
      <c r="M72" s="807"/>
      <c r="N72" s="807"/>
      <c r="O72" s="807"/>
      <c r="P72" s="807"/>
      <c r="Q72" s="807"/>
      <c r="R72" s="807"/>
      <c r="S72" s="807"/>
      <c r="T72" s="807"/>
      <c r="U72" s="807"/>
      <c r="V72" s="807"/>
      <c r="W72" s="807"/>
      <c r="X72" s="807"/>
      <c r="Y72" s="807"/>
      <c r="Z72" s="807"/>
      <c r="AA72" s="807"/>
      <c r="AB72" s="807"/>
      <c r="AC72" s="807"/>
    </row>
    <row r="73" spans="1:29">
      <c r="A73" s="807"/>
      <c r="B73" s="807"/>
      <c r="C73" s="807"/>
      <c r="D73" s="807"/>
      <c r="E73" s="807"/>
      <c r="F73" s="807"/>
      <c r="G73" s="807"/>
      <c r="H73" s="807"/>
      <c r="I73" s="807"/>
      <c r="J73" s="807"/>
      <c r="K73" s="807"/>
      <c r="L73" s="807"/>
      <c r="M73" s="807"/>
      <c r="N73" s="807"/>
      <c r="O73" s="807"/>
      <c r="P73" s="807"/>
      <c r="Q73" s="807"/>
      <c r="R73" s="807"/>
      <c r="S73" s="807"/>
      <c r="T73" s="807"/>
      <c r="U73" s="807"/>
      <c r="V73" s="807"/>
      <c r="W73" s="807"/>
      <c r="X73" s="807"/>
      <c r="Y73" s="807"/>
      <c r="Z73" s="807"/>
      <c r="AA73" s="807"/>
      <c r="AB73" s="807"/>
      <c r="AC73" s="807"/>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CJ273"/>
  <sheetViews>
    <sheetView showGridLines="0" zoomScaleNormal="100" workbookViewId="0"/>
  </sheetViews>
  <sheetFormatPr defaultRowHeight="12.75"/>
  <cols>
    <col min="1" max="2" width="2.42578125" style="831" customWidth="1"/>
    <col min="3" max="3" width="39.28515625" style="831" customWidth="1"/>
    <col min="4" max="4" width="2.42578125" style="831" customWidth="1"/>
    <col min="5" max="10" width="8" style="831" customWidth="1"/>
    <col min="11" max="11" width="2.42578125" style="831" customWidth="1"/>
    <col min="12" max="12" width="39.28515625" style="831" customWidth="1"/>
    <col min="13" max="13" width="2.42578125" style="831" customWidth="1"/>
    <col min="14" max="14" width="8" style="831" hidden="1" customWidth="1"/>
    <col min="15" max="15" width="8" style="831" customWidth="1"/>
    <col min="16" max="20" width="8" style="838" customWidth="1"/>
    <col min="21" max="21" width="9.140625" style="831" customWidth="1"/>
    <col min="22" max="22" width="9.85546875" style="831" bestFit="1" customWidth="1"/>
    <col min="23" max="16384" width="9.140625" style="831"/>
  </cols>
  <sheetData>
    <row r="1" spans="1:61" s="821" customFormat="1" ht="15" customHeight="1">
      <c r="A1" s="818"/>
      <c r="B1" s="818"/>
      <c r="C1" s="818"/>
      <c r="D1" s="818"/>
      <c r="E1" s="819"/>
      <c r="F1" s="819"/>
      <c r="G1" s="819"/>
      <c r="H1" s="819"/>
      <c r="I1" s="819"/>
      <c r="J1" s="819"/>
      <c r="K1" s="818"/>
      <c r="L1" s="818"/>
      <c r="M1" s="818"/>
      <c r="N1" s="819"/>
      <c r="O1" s="819"/>
      <c r="P1" s="820"/>
      <c r="Q1" s="820"/>
      <c r="R1" s="820"/>
      <c r="S1" s="820"/>
      <c r="T1" s="820"/>
      <c r="U1" s="819"/>
      <c r="BD1" s="822"/>
      <c r="BE1" s="822" t="s">
        <v>1</v>
      </c>
      <c r="BF1" s="822" t="s">
        <v>2</v>
      </c>
      <c r="BG1" s="822" t="s">
        <v>3</v>
      </c>
      <c r="BH1" s="822" t="s">
        <v>4</v>
      </c>
      <c r="BI1" s="822" t="s">
        <v>5</v>
      </c>
    </row>
    <row r="2" spans="1:61" s="821" customFormat="1" ht="15" customHeight="1">
      <c r="A2" s="818"/>
      <c r="B2" s="818" t="str">
        <f>+'Cover '!B2</f>
        <v>General Dynamics</v>
      </c>
      <c r="C2" s="818"/>
      <c r="D2" s="818"/>
      <c r="E2" s="819"/>
      <c r="F2" s="819"/>
      <c r="G2" s="819"/>
      <c r="H2" s="819"/>
      <c r="I2" s="819"/>
      <c r="J2" s="819"/>
      <c r="K2" s="818"/>
      <c r="L2" s="818"/>
      <c r="M2" s="818"/>
      <c r="N2" s="819"/>
      <c r="O2" s="819"/>
      <c r="P2" s="820"/>
      <c r="Q2" s="820"/>
      <c r="R2" s="820"/>
      <c r="S2" s="820"/>
      <c r="T2" s="820"/>
      <c r="U2" s="819"/>
    </row>
    <row r="3" spans="1:61" s="821" customFormat="1" ht="15" customHeight="1">
      <c r="A3" s="823"/>
      <c r="B3" s="824" t="s">
        <v>281</v>
      </c>
      <c r="C3" s="824"/>
      <c r="D3" s="823"/>
      <c r="E3" s="819"/>
      <c r="F3" s="819"/>
      <c r="G3" s="819"/>
      <c r="H3" s="819"/>
      <c r="I3" s="819"/>
      <c r="J3" s="819"/>
      <c r="K3" s="824"/>
      <c r="L3" s="824"/>
      <c r="M3" s="823"/>
      <c r="N3" s="819"/>
      <c r="O3" s="819"/>
      <c r="P3" s="820"/>
      <c r="Q3" s="820"/>
      <c r="R3" s="820"/>
      <c r="S3" s="820"/>
      <c r="T3" s="820"/>
      <c r="U3" s="819"/>
    </row>
    <row r="4" spans="1:61" s="821" customFormat="1">
      <c r="A4" s="825"/>
      <c r="B4" s="826" t="s">
        <v>282</v>
      </c>
      <c r="C4" s="826"/>
      <c r="D4" s="825"/>
      <c r="E4" s="827"/>
      <c r="F4" s="827"/>
      <c r="G4" s="827"/>
      <c r="H4" s="827"/>
      <c r="I4" s="827"/>
      <c r="J4" s="827"/>
      <c r="K4" s="826"/>
      <c r="L4" s="826"/>
      <c r="M4" s="825"/>
      <c r="N4" s="827"/>
      <c r="O4" s="827"/>
      <c r="P4" s="828"/>
      <c r="Q4" s="828"/>
      <c r="R4" s="828"/>
      <c r="S4" s="828"/>
      <c r="T4" s="828"/>
      <c r="U4" s="827"/>
    </row>
    <row r="5" spans="1:61" s="829" customFormat="1">
      <c r="P5" s="830"/>
      <c r="Q5" s="830"/>
      <c r="R5" s="830"/>
      <c r="S5" s="830"/>
      <c r="T5" s="830"/>
    </row>
    <row r="6" spans="1:61">
      <c r="B6" s="832" t="s">
        <v>283</v>
      </c>
      <c r="C6" s="833"/>
      <c r="D6" s="833"/>
      <c r="F6" s="834" t="s">
        <v>284</v>
      </c>
      <c r="G6" s="834" t="s">
        <v>346</v>
      </c>
      <c r="H6" s="834" t="s">
        <v>285</v>
      </c>
      <c r="K6" s="832" t="s">
        <v>286</v>
      </c>
      <c r="L6" s="833"/>
      <c r="M6" s="833"/>
      <c r="N6" s="835">
        <v>2015</v>
      </c>
      <c r="O6" s="835">
        <v>2016</v>
      </c>
      <c r="P6" s="835">
        <v>2017</v>
      </c>
      <c r="Q6" s="836">
        <v>2018</v>
      </c>
      <c r="R6" s="836">
        <v>2019</v>
      </c>
      <c r="S6" s="836">
        <v>2020</v>
      </c>
      <c r="T6" s="836">
        <v>2021</v>
      </c>
    </row>
    <row r="7" spans="1:61">
      <c r="C7" s="831" t="s">
        <v>287</v>
      </c>
      <c r="F7" s="837">
        <v>2019</v>
      </c>
      <c r="G7" s="837">
        <v>2019</v>
      </c>
      <c r="H7" s="837">
        <v>2019</v>
      </c>
    </row>
    <row r="8" spans="1:61">
      <c r="F8" s="837"/>
      <c r="G8" s="837"/>
      <c r="H8" s="837"/>
      <c r="I8" s="1200"/>
      <c r="J8" s="1200"/>
      <c r="L8" s="839" t="s">
        <v>210</v>
      </c>
      <c r="P8" s="878"/>
      <c r="Q8" s="878"/>
      <c r="R8" s="878"/>
      <c r="S8" s="878"/>
      <c r="T8" s="831"/>
    </row>
    <row r="9" spans="1:61">
      <c r="C9" s="840" t="s">
        <v>288</v>
      </c>
      <c r="D9" s="841"/>
      <c r="E9" s="841"/>
      <c r="F9" s="957">
        <f>MROUND(F32,1)</f>
        <v>135</v>
      </c>
      <c r="G9" s="957">
        <f>MROUND(G32,1)</f>
        <v>217</v>
      </c>
      <c r="H9" s="958">
        <f>MROUND(H32,1)</f>
        <v>275</v>
      </c>
      <c r="I9" s="1201"/>
      <c r="J9" s="1202"/>
      <c r="L9" s="831" t="s">
        <v>116</v>
      </c>
      <c r="N9" s="842">
        <f>+Model!BA4</f>
        <v>9177</v>
      </c>
      <c r="O9" s="842">
        <f>+Model!BK4</f>
        <v>7815</v>
      </c>
      <c r="P9" s="842">
        <f>+Model!BP4</f>
        <v>8129</v>
      </c>
      <c r="Q9" s="842">
        <f>+Model!BU4</f>
        <v>8354.7899999999991</v>
      </c>
      <c r="R9" s="842">
        <f>+Model!BZ4</f>
        <v>8805.1099999999988</v>
      </c>
      <c r="S9" s="842">
        <f>+Model!CE4</f>
        <v>9465.4254720000008</v>
      </c>
      <c r="T9" s="842">
        <f>+Model!CJ4</f>
        <v>10237.832647860001</v>
      </c>
      <c r="U9" s="963"/>
    </row>
    <row r="10" spans="1:61">
      <c r="C10" s="831" t="s">
        <v>142</v>
      </c>
      <c r="F10" s="959">
        <f>+G10</f>
        <v>217.18</v>
      </c>
      <c r="G10" s="960">
        <v>217.18</v>
      </c>
      <c r="H10" s="959">
        <f>+G10</f>
        <v>217.18</v>
      </c>
      <c r="L10" s="831" t="s">
        <v>117</v>
      </c>
      <c r="N10" s="842">
        <f>+Model!BA38</f>
        <v>5643</v>
      </c>
      <c r="O10" s="842">
        <f>+Model!BK38</f>
        <v>5530</v>
      </c>
      <c r="P10" s="842">
        <f>+Model!BP38</f>
        <v>5949</v>
      </c>
      <c r="Q10" s="842">
        <f>+Model!BU38</f>
        <v>6160.7</v>
      </c>
      <c r="R10" s="842">
        <f>+Model!BZ38</f>
        <v>6776.77</v>
      </c>
      <c r="S10" s="842">
        <f>+Model!CE38</f>
        <v>7386.6793000000007</v>
      </c>
      <c r="T10" s="842">
        <f>+Model!CJ38</f>
        <v>7977.6136440000009</v>
      </c>
    </row>
    <row r="11" spans="1:61" s="845" customFormat="1">
      <c r="A11" s="831"/>
      <c r="C11" s="845" t="s">
        <v>289</v>
      </c>
      <c r="F11" s="846">
        <f>+F9/F10-1</f>
        <v>-0.37839580071829826</v>
      </c>
      <c r="G11" s="846">
        <f>+G9/G10-1</f>
        <v>-8.2880559904230378E-4</v>
      </c>
      <c r="H11" s="846">
        <f>+H9/H10-1</f>
        <v>0.2662307763145777</v>
      </c>
      <c r="K11" s="831"/>
      <c r="L11" s="831" t="s">
        <v>118</v>
      </c>
      <c r="N11" s="842">
        <f>+Model!BA92</f>
        <v>8032</v>
      </c>
      <c r="O11" s="842">
        <f>+Model!BK92</f>
        <v>8072</v>
      </c>
      <c r="P11" s="842">
        <f>+Model!BP92</f>
        <v>8004</v>
      </c>
      <c r="Q11" s="842">
        <f>+Model!BU92</f>
        <v>8432.4500000000007</v>
      </c>
      <c r="R11" s="842">
        <f>+Model!BZ92</f>
        <v>8938.3970000000008</v>
      </c>
      <c r="S11" s="842">
        <f>+Model!CE92</f>
        <v>9474.7008200000018</v>
      </c>
      <c r="T11" s="842">
        <f>+Model!CJ92</f>
        <v>10043.182869200002</v>
      </c>
    </row>
    <row r="12" spans="1:61">
      <c r="L12" s="831" t="s">
        <v>119</v>
      </c>
      <c r="M12" s="845"/>
      <c r="N12" s="842">
        <f>+Model!BA62</f>
        <v>8929</v>
      </c>
      <c r="O12" s="842">
        <f>+Model!BK62</f>
        <v>9144</v>
      </c>
      <c r="P12" s="842">
        <f>+Model!BP62</f>
        <v>8891</v>
      </c>
      <c r="Q12" s="842">
        <f>+Model!BU62</f>
        <v>9379.6500000000015</v>
      </c>
      <c r="R12" s="842">
        <f>+Model!BZ62</f>
        <v>9754.8360000000011</v>
      </c>
      <c r="S12" s="842">
        <f>+Model!CE62</f>
        <v>10145.029440000002</v>
      </c>
      <c r="T12" s="842">
        <f>+Model!CJ62</f>
        <v>10550.830617600002</v>
      </c>
    </row>
    <row r="13" spans="1:61" s="845" customFormat="1">
      <c r="A13" s="831"/>
      <c r="C13" s="847" t="s">
        <v>290</v>
      </c>
      <c r="D13" s="848"/>
      <c r="E13" s="848"/>
      <c r="F13" s="849">
        <f>+F$9/(F$21)*F33</f>
        <v>15.045299354337143</v>
      </c>
      <c r="G13" s="849">
        <f>+G$9/(G$21)*G33</f>
        <v>17.485481957548956</v>
      </c>
      <c r="H13" s="850">
        <f>+H$9/(H$21)*H33</f>
        <v>20.02482961674562</v>
      </c>
      <c r="I13" s="863"/>
      <c r="J13" s="863"/>
      <c r="K13" s="831"/>
      <c r="L13" s="974" t="s">
        <v>400</v>
      </c>
      <c r="N13" s="842"/>
      <c r="O13" s="842">
        <f>+Model!BK80</f>
        <v>0</v>
      </c>
      <c r="P13" s="842">
        <f>+Model!BP80</f>
        <v>0</v>
      </c>
      <c r="Q13" s="842">
        <f>+Model!BU80</f>
        <v>3750</v>
      </c>
      <c r="R13" s="842">
        <f>+Model!BZ80</f>
        <v>5200</v>
      </c>
      <c r="S13" s="842">
        <f>+Model!CE80</f>
        <v>5408</v>
      </c>
      <c r="T13" s="842">
        <f>+Model!CJ80</f>
        <v>5624.3200000000006</v>
      </c>
    </row>
    <row r="14" spans="1:61" s="845" customFormat="1">
      <c r="A14" s="831"/>
      <c r="C14" s="853" t="s">
        <v>291</v>
      </c>
      <c r="D14" s="854"/>
      <c r="E14" s="854"/>
      <c r="F14" s="855">
        <f>(F30+F24)/($R$29+((F18+F19+F20)/(1-F26)))</f>
        <v>10.436801349857179</v>
      </c>
      <c r="G14" s="855">
        <f>(G30+G24)/($R$29+((G18+G19+G20)/(1-G26)))</f>
        <v>12.447930952725056</v>
      </c>
      <c r="H14" s="856">
        <f>(H30+H24)/($R$29+((H18+H19+H20)/(1-H26)))</f>
        <v>14.244912599254695</v>
      </c>
      <c r="I14" s="863"/>
      <c r="J14" s="863"/>
      <c r="K14" s="831"/>
      <c r="L14" s="851" t="s">
        <v>61</v>
      </c>
      <c r="M14" s="851"/>
      <c r="N14" s="852">
        <f>SUM(N9:N12)</f>
        <v>31781</v>
      </c>
      <c r="O14" s="852">
        <f>SUM(O9:O13)</f>
        <v>30561</v>
      </c>
      <c r="P14" s="852">
        <f t="shared" ref="P14:T14" si="0">SUM(P9:P13)</f>
        <v>30973</v>
      </c>
      <c r="Q14" s="852">
        <f t="shared" si="0"/>
        <v>36077.589999999997</v>
      </c>
      <c r="R14" s="852">
        <f t="shared" si="0"/>
        <v>39475.113000000005</v>
      </c>
      <c r="S14" s="852">
        <f t="shared" si="0"/>
        <v>41879.835032000003</v>
      </c>
      <c r="T14" s="852">
        <f t="shared" si="0"/>
        <v>44433.779778660006</v>
      </c>
      <c r="V14" s="1328"/>
      <c r="W14" s="1328"/>
      <c r="X14" s="1328"/>
      <c r="Y14" s="1328"/>
      <c r="Z14" s="1328"/>
    </row>
    <row r="15" spans="1:61">
      <c r="B15" s="845"/>
      <c r="C15" s="858" t="s">
        <v>292</v>
      </c>
      <c r="D15" s="859"/>
      <c r="E15" s="859"/>
      <c r="F15" s="860">
        <f>((($R$52+((F19+F20+F18)))/$R$36)/F9)</f>
        <v>6.8214085328393265E-2</v>
      </c>
      <c r="G15" s="861">
        <f>R52/(G9*G33)</f>
        <v>5.8277856724214379E-2</v>
      </c>
      <c r="H15" s="961">
        <f>((($R$52+((H19+H20+H18)))/$R$36)/H9)</f>
        <v>5.0796182191081375E-2</v>
      </c>
      <c r="I15" s="829"/>
      <c r="J15" s="829"/>
      <c r="N15" s="842"/>
      <c r="O15" s="842"/>
      <c r="P15" s="962"/>
      <c r="Q15" s="962"/>
      <c r="R15" s="962"/>
      <c r="S15" s="962"/>
      <c r="T15" s="962"/>
      <c r="W15" s="973"/>
      <c r="X15" s="973"/>
      <c r="Y15" s="973"/>
      <c r="Z15" s="973"/>
    </row>
    <row r="16" spans="1:61">
      <c r="F16" s="843"/>
      <c r="H16" s="843"/>
      <c r="I16" s="829"/>
      <c r="J16" s="829"/>
      <c r="L16" s="851" t="s">
        <v>293</v>
      </c>
      <c r="N16" s="862">
        <f t="shared" ref="N16:T16" si="1">+N14-N23</f>
        <v>27445</v>
      </c>
      <c r="O16" s="862">
        <f t="shared" si="1"/>
        <v>26787</v>
      </c>
      <c r="P16" s="862">
        <f t="shared" si="1"/>
        <v>26747</v>
      </c>
      <c r="Q16" s="862">
        <f t="shared" si="1"/>
        <v>31606.238249999995</v>
      </c>
      <c r="R16" s="862">
        <f t="shared" si="1"/>
        <v>34523.105890000006</v>
      </c>
      <c r="S16" s="862">
        <f t="shared" si="1"/>
        <v>36620.372943510003</v>
      </c>
      <c r="T16" s="862">
        <f t="shared" si="1"/>
        <v>38854.185708847806</v>
      </c>
    </row>
    <row r="17" spans="1:25">
      <c r="C17" s="851" t="s">
        <v>343</v>
      </c>
      <c r="D17" s="851"/>
      <c r="E17" s="851"/>
      <c r="F17" s="862">
        <f>+G17</f>
        <v>3752.8733928703473</v>
      </c>
      <c r="G17" s="862">
        <f>+R35</f>
        <v>3752.8733928703473</v>
      </c>
      <c r="H17" s="862">
        <f>+G17</f>
        <v>3752.8733928703473</v>
      </c>
      <c r="N17" s="857"/>
      <c r="O17" s="857"/>
      <c r="P17" s="857"/>
      <c r="Q17" s="857"/>
      <c r="R17" s="857"/>
      <c r="S17" s="857"/>
      <c r="T17" s="857"/>
    </row>
    <row r="18" spans="1:25">
      <c r="A18"/>
      <c r="C18" s="863" t="s">
        <v>349</v>
      </c>
      <c r="D18"/>
      <c r="E18"/>
      <c r="F18" s="945">
        <f>((-2%*$R$14)*$H$48*(1-F$26))</f>
        <v>-80.222515181999981</v>
      </c>
      <c r="G18" s="946">
        <v>0</v>
      </c>
      <c r="H18" s="945">
        <f>((2%*$R$14)*$H$48*(1-H$26))</f>
        <v>80.222515181999981</v>
      </c>
      <c r="I18"/>
      <c r="J18"/>
      <c r="L18" s="831" t="s">
        <v>116</v>
      </c>
      <c r="N18" s="842">
        <f>+Model!BA157</f>
        <v>1807</v>
      </c>
      <c r="O18" s="842">
        <f>+Model!BK157</f>
        <v>1407</v>
      </c>
      <c r="P18" s="842">
        <f>+Model!BP157</f>
        <v>1593</v>
      </c>
      <c r="Q18" s="842">
        <f>+Model!BU157</f>
        <v>1503.8622</v>
      </c>
      <c r="R18" s="842">
        <f>+Model!BZ157</f>
        <v>1540.8942499999996</v>
      </c>
      <c r="S18" s="842">
        <f>+Model!CE157</f>
        <v>1609.1223302400003</v>
      </c>
      <c r="T18" s="842">
        <f>+Model!CJ157</f>
        <v>1740.4315501362003</v>
      </c>
    </row>
    <row r="19" spans="1:25" s="851" customFormat="1">
      <c r="A19" s="831"/>
      <c r="B19" s="831"/>
      <c r="C19" s="863" t="s">
        <v>348</v>
      </c>
      <c r="D19"/>
      <c r="E19"/>
      <c r="F19" s="945">
        <f>((-3%*$R$14)*(1-F$26))</f>
        <v>-959.24524589999987</v>
      </c>
      <c r="G19" s="947">
        <v>0</v>
      </c>
      <c r="H19" s="945">
        <f>((1%*$R$14)*(1-H$26))</f>
        <v>319.74841529999998</v>
      </c>
      <c r="I19" s="831"/>
      <c r="J19" s="831"/>
      <c r="K19" s="845"/>
      <c r="L19" s="831" t="s">
        <v>117</v>
      </c>
      <c r="M19" s="831"/>
      <c r="N19" s="842">
        <f>+Model!BA164</f>
        <v>886</v>
      </c>
      <c r="O19" s="842">
        <f>+Model!BK164</f>
        <v>831</v>
      </c>
      <c r="P19" s="842">
        <f>+Model!BP164</f>
        <v>937</v>
      </c>
      <c r="Q19" s="842">
        <f>+Model!BU164</f>
        <v>967.22990000000004</v>
      </c>
      <c r="R19" s="842">
        <f>+Model!BZ164</f>
        <v>1050.3993500000001</v>
      </c>
      <c r="S19" s="842">
        <f>+Model!CE164</f>
        <v>1126.4685932500001</v>
      </c>
      <c r="T19" s="842">
        <f>+Model!CJ164</f>
        <v>1196.6420466000002</v>
      </c>
      <c r="W19" s="974"/>
      <c r="X19" s="974"/>
      <c r="Y19" s="974"/>
    </row>
    <row r="20" spans="1:25">
      <c r="C20" s="863" t="s">
        <v>419</v>
      </c>
      <c r="D20"/>
      <c r="E20"/>
      <c r="F20" s="945">
        <f>((R28+R31)*($G$26-F26))</f>
        <v>0</v>
      </c>
      <c r="G20" s="946">
        <v>0</v>
      </c>
      <c r="H20" s="945">
        <f>((R28+R31)*($G$26-H26))</f>
        <v>0</v>
      </c>
      <c r="K20" s="845"/>
      <c r="L20" s="831" t="s">
        <v>118</v>
      </c>
      <c r="N20" s="842">
        <f>+Model!BA189</f>
        <v>748</v>
      </c>
      <c r="O20" s="842">
        <f>+Model!BK189</f>
        <v>595</v>
      </c>
      <c r="P20" s="842">
        <f>+Model!BP189</f>
        <v>685</v>
      </c>
      <c r="Q20" s="842">
        <f>+Model!BU189</f>
        <v>733.62315000000012</v>
      </c>
      <c r="R20" s="842">
        <f>+Model!BZ189</f>
        <v>804.45573000000002</v>
      </c>
      <c r="S20" s="842">
        <f>+Model!CE189</f>
        <v>852.72307380000018</v>
      </c>
      <c r="T20" s="842">
        <f>+Model!CJ189</f>
        <v>903.88645822800015</v>
      </c>
      <c r="W20" s="974"/>
    </row>
    <row r="21" spans="1:25">
      <c r="B21" s="851"/>
      <c r="C21" s="864" t="s">
        <v>345</v>
      </c>
      <c r="D21"/>
      <c r="E21"/>
      <c r="F21" s="948">
        <f>+SUM(F17:F20)</f>
        <v>2713.4056317883478</v>
      </c>
      <c r="G21" s="948">
        <f>+SUM(G17:G20)</f>
        <v>3752.8733928703473</v>
      </c>
      <c r="H21" s="948">
        <f>+SUM(H17:H20)</f>
        <v>4152.8443233523467</v>
      </c>
      <c r="L21" s="831" t="s">
        <v>119</v>
      </c>
      <c r="N21" s="842">
        <f>+Model!BA171</f>
        <v>895</v>
      </c>
      <c r="O21" s="842">
        <f>+Model!BK171</f>
        <v>941</v>
      </c>
      <c r="P21" s="842">
        <f>+Model!BP171</f>
        <v>1011</v>
      </c>
      <c r="Q21" s="842">
        <f>+Model!BU171</f>
        <v>1031.7615000000001</v>
      </c>
      <c r="R21" s="842">
        <f>+Model!BZ171</f>
        <v>1024.2577800000001</v>
      </c>
      <c r="S21" s="842">
        <f>+Model!CE171</f>
        <v>1065.2280912000001</v>
      </c>
      <c r="T21" s="842">
        <f>+Model!CJ171</f>
        <v>1107.8372148480003</v>
      </c>
      <c r="W21" s="974"/>
    </row>
    <row r="22" spans="1:25" s="851" customFormat="1">
      <c r="A22" s="831"/>
      <c r="B22" s="831"/>
      <c r="I22" s="831"/>
      <c r="J22" s="831"/>
      <c r="K22" s="831"/>
      <c r="L22" s="974" t="s">
        <v>400</v>
      </c>
      <c r="M22" s="831"/>
      <c r="N22" s="842"/>
      <c r="O22" s="842">
        <f>+Model!BK180</f>
        <v>0</v>
      </c>
      <c r="P22" s="842">
        <f>+Model!BP180</f>
        <v>0</v>
      </c>
      <c r="Q22" s="842">
        <f>+Model!BU180</f>
        <v>234.875</v>
      </c>
      <c r="R22" s="842">
        <f>+Model!BZ180</f>
        <v>532</v>
      </c>
      <c r="S22" s="842">
        <f>+Model!CE180</f>
        <v>605.92000000000007</v>
      </c>
      <c r="T22" s="842">
        <f>+Model!CJ180</f>
        <v>630.79680000000008</v>
      </c>
      <c r="W22" s="974"/>
      <c r="Y22" s="974"/>
    </row>
    <row r="23" spans="1:25">
      <c r="C23" s="831" t="s">
        <v>295</v>
      </c>
      <c r="F23" s="865">
        <v>15</v>
      </c>
      <c r="G23" s="865">
        <v>17.5</v>
      </c>
      <c r="H23" s="865">
        <v>20</v>
      </c>
      <c r="L23" s="851" t="s">
        <v>294</v>
      </c>
      <c r="N23" s="852">
        <f>SUM(N18:N21)</f>
        <v>4336</v>
      </c>
      <c r="O23" s="852">
        <f>SUM(O18:O22)</f>
        <v>3774</v>
      </c>
      <c r="P23" s="852">
        <f t="shared" ref="P23:T23" si="2">SUM(P18:P22)</f>
        <v>4226</v>
      </c>
      <c r="Q23" s="852">
        <f t="shared" si="2"/>
        <v>4471.3517499999998</v>
      </c>
      <c r="R23" s="852">
        <f t="shared" si="2"/>
        <v>4952.0071100000005</v>
      </c>
      <c r="S23" s="852">
        <f t="shared" si="2"/>
        <v>5259.4620884900014</v>
      </c>
      <c r="T23" s="852">
        <f t="shared" si="2"/>
        <v>5579.5940698122013</v>
      </c>
    </row>
    <row r="24" spans="1:25">
      <c r="A24" s="845"/>
      <c r="B24" s="851"/>
      <c r="C24" s="866" t="s">
        <v>344</v>
      </c>
      <c r="D24" s="867"/>
      <c r="E24" s="867"/>
      <c r="F24" s="949">
        <f>+F23*F21</f>
        <v>40701.084476825214</v>
      </c>
      <c r="G24" s="949">
        <f>+G23*G21</f>
        <v>65675.284375231073</v>
      </c>
      <c r="H24" s="950">
        <f>+H23*H21</f>
        <v>83056.886467046934</v>
      </c>
      <c r="I24" s="845"/>
      <c r="J24" s="845"/>
      <c r="N24" s="842"/>
      <c r="O24" s="951"/>
      <c r="P24" s="951"/>
      <c r="Q24" s="951"/>
      <c r="R24" s="951"/>
      <c r="S24" s="842"/>
      <c r="T24" s="842"/>
    </row>
    <row r="25" spans="1:25">
      <c r="L25" s="831" t="s">
        <v>323</v>
      </c>
      <c r="N25" s="842">
        <f>+Model!BA193</f>
        <v>-41</v>
      </c>
      <c r="O25" s="842">
        <f>+Model!BK193</f>
        <v>-40</v>
      </c>
      <c r="P25" s="842">
        <f>+Model!BP193</f>
        <v>-49</v>
      </c>
      <c r="Q25" s="842">
        <f>+Model!BU193</f>
        <v>-48.719482625000005</v>
      </c>
      <c r="R25" s="842">
        <f>+Model!BZ193</f>
        <v>-50.83008176500001</v>
      </c>
      <c r="S25" s="842">
        <f>+Model!CE193</f>
        <v>-53.515734017635026</v>
      </c>
      <c r="T25" s="842">
        <f>+Model!CJ193</f>
        <v>-56.91116860284032</v>
      </c>
    </row>
    <row r="26" spans="1:25">
      <c r="A26" s="845"/>
      <c r="C26" s="863" t="s">
        <v>248</v>
      </c>
      <c r="D26" s="863"/>
      <c r="E26" s="863"/>
      <c r="F26" s="1339">
        <f>+G26</f>
        <v>0.19000000000000011</v>
      </c>
      <c r="G26" s="873">
        <f>+R33/(R33+R35)</f>
        <v>0.19000000000000011</v>
      </c>
      <c r="H26" s="1339">
        <f>+G26</f>
        <v>0.19000000000000011</v>
      </c>
      <c r="I26" s="567"/>
      <c r="J26" s="567"/>
      <c r="L26" s="851" t="s">
        <v>297</v>
      </c>
      <c r="M26" s="851"/>
      <c r="N26" s="862">
        <f t="shared" ref="N26:T26" si="3">+N16-N25</f>
        <v>27486</v>
      </c>
      <c r="O26" s="862">
        <f t="shared" si="3"/>
        <v>26827</v>
      </c>
      <c r="P26" s="862">
        <f t="shared" si="3"/>
        <v>26796</v>
      </c>
      <c r="Q26" s="862">
        <f t="shared" si="3"/>
        <v>31654.957732624996</v>
      </c>
      <c r="R26" s="862">
        <f t="shared" si="3"/>
        <v>34573.935971765008</v>
      </c>
      <c r="S26" s="862">
        <f t="shared" si="3"/>
        <v>36673.888677527641</v>
      </c>
      <c r="T26" s="862">
        <f t="shared" si="3"/>
        <v>38911.096877450647</v>
      </c>
    </row>
    <row r="27" spans="1:25">
      <c r="A27" s="845"/>
      <c r="C27" s="863"/>
      <c r="D27" s="863"/>
      <c r="E27" s="863"/>
      <c r="F27" s="872"/>
      <c r="G27" s="873"/>
      <c r="H27" s="872"/>
      <c r="I27" s="567"/>
      <c r="J27" s="567"/>
      <c r="N27" s="870"/>
      <c r="O27" s="962"/>
      <c r="P27" s="962"/>
      <c r="Q27" s="962"/>
      <c r="R27" s="962"/>
      <c r="S27" s="962"/>
      <c r="T27" s="962"/>
    </row>
    <row r="28" spans="1:25">
      <c r="C28" s="831" t="s">
        <v>298</v>
      </c>
      <c r="F28" s="869">
        <f>+G28</f>
        <v>8982</v>
      </c>
      <c r="G28" s="842">
        <f>R61</f>
        <v>8982</v>
      </c>
      <c r="H28" s="869">
        <f>+G28</f>
        <v>8982</v>
      </c>
      <c r="I28" s="567"/>
      <c r="J28" s="567"/>
      <c r="L28" s="851" t="s">
        <v>99</v>
      </c>
      <c r="M28" s="851"/>
      <c r="N28" s="862">
        <f t="shared" ref="N28:T28" si="4">+N14-N26</f>
        <v>4295</v>
      </c>
      <c r="O28" s="862">
        <f t="shared" si="4"/>
        <v>3734</v>
      </c>
      <c r="P28" s="862">
        <f t="shared" si="4"/>
        <v>4177</v>
      </c>
      <c r="Q28" s="862">
        <f t="shared" si="4"/>
        <v>4422.6322673750001</v>
      </c>
      <c r="R28" s="862">
        <f t="shared" si="4"/>
        <v>4901.1770282349971</v>
      </c>
      <c r="S28" s="862">
        <f t="shared" si="4"/>
        <v>5205.9463544723621</v>
      </c>
      <c r="T28" s="862">
        <f t="shared" si="4"/>
        <v>5522.6829012093585</v>
      </c>
    </row>
    <row r="29" spans="1:25">
      <c r="C29" s="831" t="s">
        <v>299</v>
      </c>
      <c r="F29" s="869">
        <f>+G29</f>
        <v>-2978.1615622056142</v>
      </c>
      <c r="G29" s="842">
        <f>-R59</f>
        <v>-2978.1615622056142</v>
      </c>
      <c r="H29" s="869">
        <f>+G29</f>
        <v>-2978.1615622056142</v>
      </c>
      <c r="I29" s="567"/>
      <c r="J29" s="567"/>
      <c r="L29" s="864" t="s">
        <v>153</v>
      </c>
      <c r="M29" s="864"/>
      <c r="N29" s="852">
        <f>+Model!BA225</f>
        <v>4777</v>
      </c>
      <c r="O29" s="852">
        <f>+Model!BK225</f>
        <v>4099</v>
      </c>
      <c r="P29" s="852">
        <f>+Model!BP225</f>
        <v>4539</v>
      </c>
      <c r="Q29" s="852">
        <f>+Model!BU225</f>
        <v>5141.1122673749996</v>
      </c>
      <c r="R29" s="852">
        <f>+Model!BZ225</f>
        <v>5758.3162282350004</v>
      </c>
      <c r="S29" s="852">
        <f>+Model!CE225</f>
        <v>6088.7311224723671</v>
      </c>
      <c r="T29" s="852">
        <f>+Model!CJ225</f>
        <v>6432.1390599293609</v>
      </c>
      <c r="W29" s="1219"/>
    </row>
    <row r="30" spans="1:25">
      <c r="C30" s="851" t="s">
        <v>300</v>
      </c>
      <c r="F30" s="862">
        <f>+SUM(F28:F29)</f>
        <v>6003.8384377943858</v>
      </c>
      <c r="G30" s="862">
        <f>+SUM(G28:G29)</f>
        <v>6003.8384377943858</v>
      </c>
      <c r="H30" s="862">
        <f>+SUM(H28:H29)</f>
        <v>6003.8384377943858</v>
      </c>
      <c r="N30" s="972"/>
      <c r="O30" s="972"/>
      <c r="P30" s="972"/>
      <c r="Q30" s="972"/>
      <c r="R30" s="972"/>
      <c r="S30" s="971"/>
      <c r="T30" s="971"/>
    </row>
    <row r="31" spans="1:25" s="845" customFormat="1">
      <c r="A31" s="831"/>
      <c r="B31" s="831"/>
      <c r="C31" s="831"/>
      <c r="D31" s="831"/>
      <c r="E31" s="831"/>
      <c r="F31" s="831"/>
      <c r="G31" s="842"/>
      <c r="H31" s="831"/>
      <c r="I31" s="831"/>
      <c r="J31" s="831"/>
      <c r="K31" s="831"/>
      <c r="L31" s="831" t="s">
        <v>324</v>
      </c>
      <c r="M31" s="831"/>
      <c r="N31" s="874">
        <f>+Model!BA230</f>
        <v>-83</v>
      </c>
      <c r="O31" s="874">
        <f>+Model!BK230</f>
        <v>-91</v>
      </c>
      <c r="P31" s="874">
        <f>+Model!BP230</f>
        <v>-103</v>
      </c>
      <c r="Q31" s="874">
        <f>+Model!BU230</f>
        <v>-202</v>
      </c>
      <c r="R31" s="874">
        <f>+Model!BZ230</f>
        <v>-268</v>
      </c>
      <c r="S31" s="874">
        <f>+Model!CE230</f>
        <v>-202</v>
      </c>
      <c r="T31" s="874">
        <f>+Model!CJ230</f>
        <v>-157</v>
      </c>
      <c r="U31" s="831"/>
    </row>
    <row r="32" spans="1:25">
      <c r="A32" s="851"/>
      <c r="C32" s="866" t="s">
        <v>296</v>
      </c>
      <c r="D32" s="867"/>
      <c r="E32" s="867"/>
      <c r="F32" s="949">
        <f>+F24/F33</f>
        <v>134.5935333228347</v>
      </c>
      <c r="G32" s="949">
        <f>+G24/G33</f>
        <v>217.18017319851546</v>
      </c>
      <c r="H32" s="950">
        <f>+H24/H33</f>
        <v>274.65901609473195</v>
      </c>
      <c r="I32" s="871"/>
      <c r="J32" s="871"/>
      <c r="L32" s="831" t="s">
        <v>12</v>
      </c>
      <c r="N32" s="874">
        <f>+Model!BA234</f>
        <v>7</v>
      </c>
      <c r="O32" s="874">
        <f>+Model!BK234</f>
        <v>13</v>
      </c>
      <c r="P32" s="874">
        <f>+Model!BP234</f>
        <v>3</v>
      </c>
      <c r="Q32" s="874">
        <f>+Model!BU234</f>
        <v>0</v>
      </c>
      <c r="R32" s="874">
        <f>+Model!BZ234</f>
        <v>0</v>
      </c>
      <c r="S32" s="874">
        <f>+Model!CE234</f>
        <v>0</v>
      </c>
      <c r="T32" s="874">
        <f>+Model!CJ234</f>
        <v>0</v>
      </c>
    </row>
    <row r="33" spans="1:25">
      <c r="A33" s="851"/>
      <c r="C33" s="863" t="s">
        <v>301</v>
      </c>
      <c r="D33" s="863"/>
      <c r="E33" s="863"/>
      <c r="F33" s="875">
        <f>+G33</f>
        <v>302.39999999999998</v>
      </c>
      <c r="G33" s="876">
        <f>+R36</f>
        <v>302.39999999999998</v>
      </c>
      <c r="H33" s="875">
        <f>+G33</f>
        <v>302.39999999999998</v>
      </c>
      <c r="I33" s="877"/>
      <c r="J33" s="877"/>
      <c r="L33" s="831" t="s">
        <v>155</v>
      </c>
      <c r="N33" s="874">
        <f>+Model!BA237</f>
        <v>1137</v>
      </c>
      <c r="O33" s="874">
        <f>+Model!BK237</f>
        <v>977</v>
      </c>
      <c r="P33" s="874">
        <f>+Model!BP237</f>
        <v>1046</v>
      </c>
      <c r="Q33" s="874">
        <f>+Model!BU237</f>
        <v>801.92013080125002</v>
      </c>
      <c r="R33" s="874">
        <f>+Model!BZ237</f>
        <v>880.30363536464995</v>
      </c>
      <c r="S33" s="874">
        <f>+Model!CE237</f>
        <v>950.74980734974963</v>
      </c>
      <c r="T33" s="874">
        <f>+Model!CJ237</f>
        <v>1019.4797512297787</v>
      </c>
    </row>
    <row r="34" spans="1:25">
      <c r="B34" s="845"/>
      <c r="H34" s="871"/>
      <c r="I34" s="871"/>
      <c r="J34" s="871"/>
      <c r="N34" s="829"/>
      <c r="O34" s="845"/>
      <c r="P34" s="962"/>
      <c r="Q34" s="962"/>
      <c r="R34" s="962"/>
      <c r="S34" s="962"/>
      <c r="T34" s="962"/>
    </row>
    <row r="35" spans="1:25">
      <c r="B35" s="832" t="s">
        <v>302</v>
      </c>
      <c r="C35" s="833"/>
      <c r="D35" s="833"/>
      <c r="E35" s="835">
        <v>2016</v>
      </c>
      <c r="F35" s="836">
        <v>2017</v>
      </c>
      <c r="G35" s="836">
        <v>2018</v>
      </c>
      <c r="H35" s="836">
        <v>2019</v>
      </c>
      <c r="I35" s="836">
        <v>2020</v>
      </c>
      <c r="J35" s="836">
        <v>2021</v>
      </c>
      <c r="L35" s="851" t="s">
        <v>51</v>
      </c>
      <c r="N35" s="879">
        <f t="shared" ref="N35:S35" si="5">+N28+N31+N32-N33</f>
        <v>3082</v>
      </c>
      <c r="O35" s="879">
        <f t="shared" si="5"/>
        <v>2679</v>
      </c>
      <c r="P35" s="879">
        <f t="shared" si="5"/>
        <v>3031</v>
      </c>
      <c r="Q35" s="879">
        <f t="shared" si="5"/>
        <v>3418.7121365737503</v>
      </c>
      <c r="R35" s="879">
        <f t="shared" si="5"/>
        <v>3752.8733928703473</v>
      </c>
      <c r="S35" s="879">
        <f t="shared" si="5"/>
        <v>4053.1965471226126</v>
      </c>
      <c r="T35" s="879">
        <f t="shared" ref="T35" si="6">+T28+T31+T32-T33</f>
        <v>4346.2031499795794</v>
      </c>
      <c r="U35" s="963"/>
    </row>
    <row r="36" spans="1:25">
      <c r="B36" s="845"/>
      <c r="C36" s="831" t="s">
        <v>116</v>
      </c>
      <c r="D36"/>
      <c r="E36" s="873">
        <f t="shared" ref="E36:H39" si="7">+O9/N9-1</f>
        <v>-0.14841451454723764</v>
      </c>
      <c r="F36" s="873">
        <f t="shared" si="7"/>
        <v>4.0179142674344304E-2</v>
      </c>
      <c r="G36" s="873">
        <f t="shared" si="7"/>
        <v>2.777586418993705E-2</v>
      </c>
      <c r="H36" s="873">
        <f t="shared" si="7"/>
        <v>5.3899619260328491E-2</v>
      </c>
      <c r="I36" s="873">
        <f t="shared" ref="I36:J38" si="8">+S9/R9-1</f>
        <v>7.4992302424387924E-2</v>
      </c>
      <c r="J36" s="873">
        <f t="shared" si="8"/>
        <v>8.1603006451731463E-2</v>
      </c>
      <c r="L36" s="831" t="s">
        <v>303</v>
      </c>
      <c r="N36" s="874">
        <f>+Model!BA257</f>
        <v>326.65199999999999</v>
      </c>
      <c r="O36" s="874">
        <f>+Model!BK257</f>
        <v>310.387</v>
      </c>
      <c r="P36" s="842">
        <f>+Model!BP257</f>
        <v>304.637</v>
      </c>
      <c r="Q36" s="842">
        <f>+Model!BU257</f>
        <v>302.39999999999998</v>
      </c>
      <c r="R36" s="842">
        <f>+Model!BZ257</f>
        <v>302.39999999999998</v>
      </c>
      <c r="S36" s="842">
        <f>+Model!CE257</f>
        <v>302.39999999999998</v>
      </c>
      <c r="T36" s="842">
        <f>+Model!CJ257</f>
        <v>296.35199999999998</v>
      </c>
      <c r="U36" s="963"/>
    </row>
    <row r="37" spans="1:25">
      <c r="C37" s="831" t="s">
        <v>117</v>
      </c>
      <c r="D37"/>
      <c r="E37" s="873">
        <f t="shared" si="7"/>
        <v>-2.0024809498493723E-2</v>
      </c>
      <c r="F37" s="873">
        <f t="shared" si="7"/>
        <v>7.5768535262206171E-2</v>
      </c>
      <c r="G37" s="873">
        <f t="shared" si="7"/>
        <v>3.5585812741637302E-2</v>
      </c>
      <c r="H37" s="873">
        <f t="shared" si="7"/>
        <v>0.10000000000000009</v>
      </c>
      <c r="I37" s="873">
        <f t="shared" si="8"/>
        <v>9.000000000000008E-2</v>
      </c>
      <c r="J37" s="873">
        <f t="shared" si="8"/>
        <v>8.0000000000000071E-2</v>
      </c>
      <c r="L37" s="851" t="s">
        <v>304</v>
      </c>
      <c r="M37" s="851"/>
      <c r="N37" s="880">
        <f t="shared" ref="N37:T37" si="9">+N35/N36</f>
        <v>9.4351174950712071</v>
      </c>
      <c r="O37" s="880">
        <f t="shared" si="9"/>
        <v>8.6311604545293452</v>
      </c>
      <c r="P37" s="880">
        <f t="shared" si="9"/>
        <v>9.9495465094522331</v>
      </c>
      <c r="Q37" s="880">
        <f t="shared" si="9"/>
        <v>11.305265001897324</v>
      </c>
      <c r="R37" s="880">
        <f t="shared" si="9"/>
        <v>12.410295611343741</v>
      </c>
      <c r="S37" s="880">
        <f t="shared" si="9"/>
        <v>13.403427735193826</v>
      </c>
      <c r="T37" s="880">
        <f t="shared" si="9"/>
        <v>14.665678483626159</v>
      </c>
      <c r="U37" s="877"/>
    </row>
    <row r="38" spans="1:25">
      <c r="B38" s="845"/>
      <c r="C38" s="831" t="s">
        <v>118</v>
      </c>
      <c r="D38"/>
      <c r="E38" s="873">
        <f t="shared" si="7"/>
        <v>4.980079681274896E-3</v>
      </c>
      <c r="F38" s="873">
        <f t="shared" si="7"/>
        <v>-8.4241823587710707E-3</v>
      </c>
      <c r="G38" s="873">
        <f t="shared" si="7"/>
        <v>5.3529485257371334E-2</v>
      </c>
      <c r="H38" s="873">
        <f t="shared" si="7"/>
        <v>6.0000000000000053E-2</v>
      </c>
      <c r="I38" s="873">
        <f t="shared" si="8"/>
        <v>6.0000000000000053E-2</v>
      </c>
      <c r="J38" s="873">
        <f t="shared" si="8"/>
        <v>6.0000000000000053E-2</v>
      </c>
      <c r="N38" s="871"/>
      <c r="O38" s="844"/>
      <c r="P38" s="844"/>
      <c r="Q38" s="1356"/>
      <c r="R38" s="1356"/>
      <c r="S38" s="1356"/>
      <c r="T38" s="1203"/>
    </row>
    <row r="39" spans="1:25">
      <c r="B39" s="845"/>
      <c r="C39" s="831" t="s">
        <v>119</v>
      </c>
      <c r="D39"/>
      <c r="E39" s="873">
        <f t="shared" si="7"/>
        <v>2.4078844215477568E-2</v>
      </c>
      <c r="F39" s="873">
        <f t="shared" si="7"/>
        <v>-2.7668416447944044E-2</v>
      </c>
      <c r="G39" s="873">
        <f t="shared" si="7"/>
        <v>5.4960071982904202E-2</v>
      </c>
      <c r="H39" s="873">
        <f t="shared" si="7"/>
        <v>4.0000000000000036E-2</v>
      </c>
      <c r="I39" s="873">
        <f t="shared" ref="I39:J39" si="10">+S12/R12-1</f>
        <v>4.0000000000000036E-2</v>
      </c>
      <c r="J39" s="873">
        <f t="shared" si="10"/>
        <v>4.0000000000000036E-2</v>
      </c>
      <c r="L39" s="839" t="s">
        <v>305</v>
      </c>
      <c r="N39" s="878"/>
      <c r="O39" s="878"/>
      <c r="P39" s="944"/>
      <c r="Q39" s="944"/>
      <c r="R39" s="944"/>
      <c r="S39" s="944"/>
      <c r="T39" s="973"/>
    </row>
    <row r="40" spans="1:25">
      <c r="B40" s="845"/>
      <c r="C40" s="974" t="s">
        <v>400</v>
      </c>
      <c r="D40"/>
      <c r="E40" s="1327" t="s">
        <v>11</v>
      </c>
      <c r="F40" s="1327" t="s">
        <v>11</v>
      </c>
      <c r="G40" s="1327" t="s">
        <v>11</v>
      </c>
      <c r="H40" s="1327" t="s">
        <v>11</v>
      </c>
      <c r="I40" s="873">
        <f t="shared" ref="I40" si="11">+S13/R13-1</f>
        <v>4.0000000000000036E-2</v>
      </c>
      <c r="J40" s="873">
        <f t="shared" ref="J40" si="12">+T13/S13-1</f>
        <v>4.0000000000000036E-2</v>
      </c>
      <c r="L40" s="851" t="s">
        <v>307</v>
      </c>
      <c r="M40" s="851"/>
      <c r="N40" s="862">
        <f>+Model!BA273</f>
        <v>2607</v>
      </c>
      <c r="O40" s="862">
        <f>+Model!BF273</f>
        <v>2198</v>
      </c>
      <c r="P40" s="862">
        <f>+Model!BP273</f>
        <v>3879</v>
      </c>
      <c r="Q40" s="862">
        <f>+Model!BU273</f>
        <v>4162.7261651628914</v>
      </c>
      <c r="R40" s="862">
        <f>+Model!BZ273</f>
        <v>4653.2169535283265</v>
      </c>
      <c r="S40" s="862">
        <f>+Model!CE273</f>
        <v>5004.0180771131209</v>
      </c>
      <c r="T40" s="862">
        <f>+Model!CJ273</f>
        <v>5321.757604284363</v>
      </c>
    </row>
    <row r="41" spans="1:25">
      <c r="C41" s="851" t="s">
        <v>306</v>
      </c>
      <c r="D41"/>
      <c r="E41" s="881">
        <f t="shared" ref="E41:J41" si="13">+O14/N14-1</f>
        <v>-3.8387715930902067E-2</v>
      </c>
      <c r="F41" s="881">
        <f t="shared" si="13"/>
        <v>1.3481234252805896E-2</v>
      </c>
      <c r="G41" s="881">
        <f t="shared" si="13"/>
        <v>0.16480773576986407</v>
      </c>
      <c r="H41" s="881">
        <f t="shared" si="13"/>
        <v>9.4172670624617982E-2</v>
      </c>
      <c r="I41" s="881">
        <f t="shared" si="13"/>
        <v>6.0917419843737886E-2</v>
      </c>
      <c r="J41" s="881">
        <f t="shared" si="13"/>
        <v>6.0982684022240274E-2</v>
      </c>
      <c r="K41" s="845"/>
      <c r="P41" s="831"/>
      <c r="Q41" s="831"/>
      <c r="R41" s="831"/>
      <c r="S41" s="831"/>
      <c r="T41" s="831"/>
    </row>
    <row r="42" spans="1:25">
      <c r="D42"/>
      <c r="E42" s="567"/>
      <c r="F42" s="567"/>
      <c r="G42" s="567"/>
      <c r="H42" s="567"/>
      <c r="I42" s="567"/>
      <c r="J42" s="567"/>
      <c r="L42" s="831" t="s">
        <v>211</v>
      </c>
      <c r="N42" s="842">
        <f>+Model!BA274</f>
        <v>-569</v>
      </c>
      <c r="O42" s="842">
        <f>+Model!BF274</f>
        <v>-392</v>
      </c>
      <c r="P42" s="842">
        <f>+Model!BP274</f>
        <v>-428</v>
      </c>
      <c r="Q42" s="842">
        <f>+Model!BU274</f>
        <v>-757.62939000000006</v>
      </c>
      <c r="R42" s="842">
        <f>+Model!BZ274</f>
        <v>-828.97737300000006</v>
      </c>
      <c r="S42" s="842">
        <f>+Model!CE274</f>
        <v>-837.59670064000011</v>
      </c>
      <c r="T42" s="842">
        <f>+Model!CJ274</f>
        <v>-888.67559557320033</v>
      </c>
    </row>
    <row r="43" spans="1:25">
      <c r="C43" s="831" t="s">
        <v>116</v>
      </c>
      <c r="D43"/>
      <c r="E43" s="882">
        <f t="shared" ref="E43:J46" si="14">+O18/O9</f>
        <v>0.18003838771593089</v>
      </c>
      <c r="F43" s="882">
        <f t="shared" si="14"/>
        <v>0.19596506335342601</v>
      </c>
      <c r="G43" s="882">
        <f t="shared" si="14"/>
        <v>0.18000000000000002</v>
      </c>
      <c r="H43" s="882">
        <f t="shared" si="14"/>
        <v>0.17499999999999999</v>
      </c>
      <c r="I43" s="882">
        <f t="shared" si="14"/>
        <v>0.17</v>
      </c>
      <c r="J43" s="882">
        <f t="shared" si="14"/>
        <v>0.17</v>
      </c>
      <c r="L43" s="831" t="s">
        <v>12</v>
      </c>
      <c r="N43" s="842">
        <f t="shared" ref="N43:T43" si="15">+N44-N42</f>
        <v>769</v>
      </c>
      <c r="O43" s="842">
        <f t="shared" si="15"/>
        <v>-34</v>
      </c>
      <c r="P43" s="842">
        <f t="shared" si="15"/>
        <v>-363</v>
      </c>
      <c r="Q43" s="842">
        <f t="shared" si="15"/>
        <v>-9600</v>
      </c>
      <c r="R43" s="842">
        <f t="shared" si="15"/>
        <v>0</v>
      </c>
      <c r="S43" s="842">
        <f t="shared" si="15"/>
        <v>0</v>
      </c>
      <c r="T43" s="842">
        <f t="shared" si="15"/>
        <v>0</v>
      </c>
    </row>
    <row r="44" spans="1:25" s="845" customFormat="1">
      <c r="A44" s="831"/>
      <c r="B44" s="831"/>
      <c r="C44" s="831" t="s">
        <v>117</v>
      </c>
      <c r="D44"/>
      <c r="E44" s="882">
        <f t="shared" si="14"/>
        <v>0.15027124773960218</v>
      </c>
      <c r="F44" s="882">
        <f t="shared" si="14"/>
        <v>0.15750546310304253</v>
      </c>
      <c r="G44" s="882">
        <f t="shared" si="14"/>
        <v>0.157</v>
      </c>
      <c r="H44" s="882">
        <f t="shared" si="14"/>
        <v>0.155</v>
      </c>
      <c r="I44" s="882">
        <f t="shared" si="14"/>
        <v>0.1525</v>
      </c>
      <c r="J44" s="882">
        <f t="shared" si="14"/>
        <v>0.15</v>
      </c>
      <c r="K44" s="831"/>
      <c r="L44" s="851" t="s">
        <v>308</v>
      </c>
      <c r="N44" s="862">
        <f>+Model!BA281</f>
        <v>200</v>
      </c>
      <c r="O44" s="862">
        <f>+Model!BF281</f>
        <v>-426</v>
      </c>
      <c r="P44" s="862">
        <f>+Model!BP281</f>
        <v>-791</v>
      </c>
      <c r="Q44" s="862">
        <f>+Model!BU281</f>
        <v>-10357.62939</v>
      </c>
      <c r="R44" s="862">
        <f>+Model!BZ281</f>
        <v>-828.97737300000006</v>
      </c>
      <c r="S44" s="862">
        <f>+Model!CE281</f>
        <v>-837.59670064000011</v>
      </c>
      <c r="T44" s="862">
        <f>+Model!CJ281</f>
        <v>-888.67559557320033</v>
      </c>
      <c r="U44" s="831"/>
      <c r="V44" s="1204"/>
      <c r="W44" s="1204"/>
      <c r="X44" s="1204"/>
      <c r="Y44" s="1204"/>
    </row>
    <row r="45" spans="1:25">
      <c r="C45" s="831" t="s">
        <v>118</v>
      </c>
      <c r="D45"/>
      <c r="E45" s="882">
        <f t="shared" si="14"/>
        <v>7.3711595639246785E-2</v>
      </c>
      <c r="F45" s="882">
        <f t="shared" si="14"/>
        <v>8.5582208895552223E-2</v>
      </c>
      <c r="G45" s="882">
        <f t="shared" si="14"/>
        <v>8.7000000000000008E-2</v>
      </c>
      <c r="H45" s="882">
        <f t="shared" si="14"/>
        <v>0.09</v>
      </c>
      <c r="I45" s="882">
        <f t="shared" si="14"/>
        <v>0.09</v>
      </c>
      <c r="J45" s="882">
        <f t="shared" si="14"/>
        <v>0.09</v>
      </c>
      <c r="K45" s="845"/>
      <c r="P45" s="831"/>
      <c r="Q45" s="831"/>
      <c r="R45" s="831"/>
      <c r="S45" s="831"/>
      <c r="T45" s="831"/>
      <c r="U45" s="845"/>
      <c r="V45" s="1204"/>
      <c r="W45" s="1204"/>
      <c r="X45" s="1204"/>
      <c r="Y45" s="1204"/>
    </row>
    <row r="46" spans="1:25">
      <c r="B46" s="851"/>
      <c r="C46" s="831" t="s">
        <v>119</v>
      </c>
      <c r="D46"/>
      <c r="E46" s="882">
        <f t="shared" si="14"/>
        <v>0.1029090113735783</v>
      </c>
      <c r="F46" s="882">
        <f t="shared" si="14"/>
        <v>0.11371049375773254</v>
      </c>
      <c r="G46" s="882">
        <f t="shared" si="14"/>
        <v>0.10999999999999999</v>
      </c>
      <c r="H46" s="882">
        <f t="shared" si="14"/>
        <v>0.105</v>
      </c>
      <c r="I46" s="882">
        <f t="shared" si="14"/>
        <v>0.105</v>
      </c>
      <c r="J46" s="882">
        <f t="shared" si="14"/>
        <v>0.105</v>
      </c>
      <c r="L46" s="884" t="s">
        <v>310</v>
      </c>
      <c r="M46" s="829"/>
      <c r="N46" s="874">
        <f>+Model!BA282</f>
        <v>-3233</v>
      </c>
      <c r="O46" s="874">
        <f>+Model!BF282</f>
        <v>-1996</v>
      </c>
      <c r="P46" s="874">
        <f>+Model!BP282</f>
        <v>-1558</v>
      </c>
      <c r="Q46" s="874">
        <f>+Model!BU282</f>
        <v>-429.47674639429266</v>
      </c>
      <c r="R46" s="874">
        <f>+Model!BZ282</f>
        <v>-472.42442103372196</v>
      </c>
      <c r="S46" s="874">
        <f>+Model!CE282</f>
        <v>-519.6668631370942</v>
      </c>
      <c r="T46" s="874">
        <f>+Model!CJ282</f>
        <v>-2268.8135577702365</v>
      </c>
      <c r="V46" s="869"/>
      <c r="W46" s="869"/>
      <c r="X46" s="869"/>
      <c r="Y46" s="869"/>
    </row>
    <row r="47" spans="1:25">
      <c r="B47" s="851"/>
      <c r="C47" s="974" t="s">
        <v>400</v>
      </c>
      <c r="D47"/>
      <c r="E47" s="1327" t="s">
        <v>11</v>
      </c>
      <c r="F47" s="1327" t="s">
        <v>11</v>
      </c>
      <c r="G47" s="882">
        <f t="shared" ref="G47:J48" si="16">+Q22/Q13</f>
        <v>6.2633333333333333E-2</v>
      </c>
      <c r="H47" s="882">
        <f t="shared" si="16"/>
        <v>0.10230769230769231</v>
      </c>
      <c r="I47" s="882">
        <f t="shared" si="16"/>
        <v>0.11204142011834321</v>
      </c>
      <c r="J47" s="882">
        <f t="shared" si="16"/>
        <v>0.11215521165225308</v>
      </c>
      <c r="L47" s="829" t="s">
        <v>168</v>
      </c>
      <c r="M47" s="829"/>
      <c r="N47" s="874">
        <f>+Model!BA285</f>
        <v>-873</v>
      </c>
      <c r="O47" s="874">
        <f>+Model!BF285</f>
        <v>-911</v>
      </c>
      <c r="P47" s="874">
        <f>+Model!BP285</f>
        <v>-986</v>
      </c>
      <c r="Q47" s="874">
        <f>+Model!BU285</f>
        <v>-1168.4735999999998</v>
      </c>
      <c r="R47" s="874">
        <f>+Model!BZ285</f>
        <v>-1285.3209599999998</v>
      </c>
      <c r="S47" s="874">
        <f>+Model!CE285</f>
        <v>-1413.8530559999999</v>
      </c>
      <c r="T47" s="874">
        <f>+Model!CJ285</f>
        <v>-1524.1335943679999</v>
      </c>
    </row>
    <row r="48" spans="1:25">
      <c r="B48" s="851"/>
      <c r="C48" s="851" t="s">
        <v>309</v>
      </c>
      <c r="D48"/>
      <c r="E48" s="883">
        <f>+O23/O14</f>
        <v>0.12349072347109061</v>
      </c>
      <c r="F48" s="883">
        <f>+P23/P14</f>
        <v>0.13644141671778645</v>
      </c>
      <c r="G48" s="883">
        <f t="shared" si="16"/>
        <v>0.12393709640804722</v>
      </c>
      <c r="H48" s="883">
        <f t="shared" si="16"/>
        <v>0.12544630613216989</v>
      </c>
      <c r="I48" s="883">
        <f t="shared" si="16"/>
        <v>0.12558459421989829</v>
      </c>
      <c r="J48" s="883">
        <f t="shared" si="16"/>
        <v>0.12557099795709672</v>
      </c>
      <c r="L48" s="829" t="s">
        <v>313</v>
      </c>
      <c r="M48" s="829"/>
      <c r="N48" s="874">
        <f>+Model!BA286+Model!BA283+Model!BA284</f>
        <v>-500</v>
      </c>
      <c r="O48" s="874">
        <f>+Model!BF286+Model!BF283+Model!BF284</f>
        <v>492</v>
      </c>
      <c r="P48" s="874">
        <f>+Model!BP286+Model!BP283+Model!BP284</f>
        <v>85</v>
      </c>
      <c r="Q48" s="874">
        <f>+Model!BU286+Model!BU283+Model!BU284</f>
        <v>7500</v>
      </c>
      <c r="R48" s="874">
        <f>+Model!BZ286+Model!BZ283+Model!BZ284</f>
        <v>-2500</v>
      </c>
      <c r="S48" s="874">
        <f>+Model!CE286+Model!CE283+Model!CE284</f>
        <v>-2500</v>
      </c>
      <c r="T48" s="874">
        <f>+Model!CJ286+Model!CJ283+Model!CJ284</f>
        <v>-1000</v>
      </c>
    </row>
    <row r="49" spans="2:30">
      <c r="B49"/>
      <c r="C49" s="851"/>
      <c r="D49"/>
      <c r="E49" s="883"/>
      <c r="F49" s="963"/>
      <c r="G49" s="963"/>
      <c r="H49" s="963"/>
      <c r="I49" s="963"/>
      <c r="J49" s="963"/>
      <c r="K49" s="567"/>
      <c r="L49" s="829" t="s">
        <v>12</v>
      </c>
      <c r="M49" s="829"/>
      <c r="N49" s="874">
        <f t="shared" ref="N49:T49" si="17">+N50-N46-N47-N48</f>
        <v>239</v>
      </c>
      <c r="O49" s="874">
        <f t="shared" si="17"/>
        <v>246</v>
      </c>
      <c r="P49" s="874">
        <f t="shared" si="17"/>
        <v>60</v>
      </c>
      <c r="Q49" s="874">
        <f t="shared" si="17"/>
        <v>343.58139711543299</v>
      </c>
      <c r="R49" s="874">
        <f t="shared" si="17"/>
        <v>377.93953682697702</v>
      </c>
      <c r="S49" s="874">
        <f t="shared" si="17"/>
        <v>415.7334905096759</v>
      </c>
      <c r="T49" s="874">
        <f t="shared" si="17"/>
        <v>457.30683956064308</v>
      </c>
    </row>
    <row r="50" spans="2:30">
      <c r="C50" s="851" t="s">
        <v>311</v>
      </c>
      <c r="D50"/>
      <c r="E50" s="883">
        <f t="shared" ref="E50:J50" si="18">+O28/O14</f>
        <v>0.12218186577664343</v>
      </c>
      <c r="F50" s="883">
        <f t="shared" si="18"/>
        <v>0.13485939366545055</v>
      </c>
      <c r="G50" s="883">
        <f t="shared" si="18"/>
        <v>0.12258668795157882</v>
      </c>
      <c r="H50" s="883">
        <f t="shared" si="18"/>
        <v>0.12415865733519234</v>
      </c>
      <c r="I50" s="883">
        <f t="shared" si="18"/>
        <v>0.12430675408569651</v>
      </c>
      <c r="J50" s="883">
        <f t="shared" si="18"/>
        <v>0.12429018932712338</v>
      </c>
      <c r="K50" s="567"/>
      <c r="L50" s="864" t="s">
        <v>314</v>
      </c>
      <c r="M50" s="829"/>
      <c r="N50" s="852">
        <f>+Model!BA289</f>
        <v>-4367</v>
      </c>
      <c r="O50" s="852">
        <f>+Model!BF289</f>
        <v>-2169</v>
      </c>
      <c r="P50" s="852">
        <f>+Model!BP289</f>
        <v>-2399</v>
      </c>
      <c r="Q50" s="852">
        <f>+Model!BU289</f>
        <v>6245.631050721141</v>
      </c>
      <c r="R50" s="852">
        <f>+Model!BZ289</f>
        <v>-3879.8058442067445</v>
      </c>
      <c r="S50" s="852">
        <f>+Model!CE289</f>
        <v>-4017.7864286274184</v>
      </c>
      <c r="T50" s="852">
        <f>+Model!CJ289</f>
        <v>-4335.6403125775932</v>
      </c>
      <c r="U50" s="871"/>
    </row>
    <row r="51" spans="2:30">
      <c r="C51" s="851" t="s">
        <v>312</v>
      </c>
      <c r="D51"/>
      <c r="E51" s="883">
        <f t="shared" ref="E51:J51" si="19">+O29/O14</f>
        <v>0.13412519223847388</v>
      </c>
      <c r="F51" s="883">
        <f t="shared" si="19"/>
        <v>0.14654699254189132</v>
      </c>
      <c r="G51" s="883">
        <f t="shared" si="19"/>
        <v>0.14250154368335025</v>
      </c>
      <c r="H51" s="883">
        <f t="shared" si="19"/>
        <v>0.14587206446337467</v>
      </c>
      <c r="I51" s="883">
        <f t="shared" si="19"/>
        <v>0.14538574752789793</v>
      </c>
      <c r="J51" s="883">
        <f t="shared" si="19"/>
        <v>0.14475786421884579</v>
      </c>
      <c r="K51" s="567"/>
      <c r="P51" s="831"/>
      <c r="Q51" s="831"/>
      <c r="R51" s="831"/>
      <c r="S51" s="831"/>
      <c r="T51" s="831"/>
      <c r="U51" s="845"/>
    </row>
    <row r="52" spans="2:30">
      <c r="K52" s="567"/>
      <c r="L52" s="886" t="s">
        <v>92</v>
      </c>
      <c r="M52" s="887"/>
      <c r="N52" s="888">
        <f t="shared" ref="N52:S52" si="20">+N40+N42</f>
        <v>2038</v>
      </c>
      <c r="O52" s="888">
        <f t="shared" si="20"/>
        <v>1806</v>
      </c>
      <c r="P52" s="888">
        <f t="shared" si="20"/>
        <v>3451</v>
      </c>
      <c r="Q52" s="888">
        <f t="shared" si="20"/>
        <v>3405.0967751628914</v>
      </c>
      <c r="R52" s="888">
        <f t="shared" si="20"/>
        <v>3824.2395805283263</v>
      </c>
      <c r="S52" s="888">
        <f t="shared" si="20"/>
        <v>4166.4213764731212</v>
      </c>
      <c r="T52" s="889">
        <f t="shared" ref="T52" si="21">+T40+T42</f>
        <v>4433.0820087111624</v>
      </c>
    </row>
    <row r="53" spans="2:30">
      <c r="B53" s="832" t="s">
        <v>427</v>
      </c>
      <c r="C53" s="833"/>
      <c r="D53" s="833"/>
      <c r="E53" s="835">
        <v>2016</v>
      </c>
      <c r="F53" s="836">
        <v>2017</v>
      </c>
      <c r="G53" s="836">
        <v>2018</v>
      </c>
      <c r="H53" s="836">
        <v>2019</v>
      </c>
      <c r="I53" s="836">
        <v>2020</v>
      </c>
      <c r="J53" s="836">
        <v>2021</v>
      </c>
      <c r="K53" s="567"/>
      <c r="L53" s="890" t="s">
        <v>318</v>
      </c>
      <c r="M53" s="890"/>
      <c r="N53" s="891">
        <f t="shared" ref="N53:T53" si="22">+N52/N35</f>
        <v>0.66125892277741727</v>
      </c>
      <c r="O53" s="891">
        <f t="shared" si="22"/>
        <v>0.67413213885778278</v>
      </c>
      <c r="P53" s="891">
        <f t="shared" si="22"/>
        <v>1.1385681293302541</v>
      </c>
      <c r="Q53" s="891">
        <f t="shared" si="22"/>
        <v>0.99601740045170806</v>
      </c>
      <c r="R53" s="891">
        <f t="shared" si="22"/>
        <v>1.0190164122758736</v>
      </c>
      <c r="S53" s="891">
        <f t="shared" si="22"/>
        <v>1.0279346999421697</v>
      </c>
      <c r="T53" s="891">
        <f t="shared" si="22"/>
        <v>1.0199895991359702</v>
      </c>
    </row>
    <row r="54" spans="2:30">
      <c r="C54" s="1357" t="s">
        <v>424</v>
      </c>
      <c r="D54" s="829"/>
      <c r="E54" s="885"/>
      <c r="F54" s="885"/>
      <c r="G54" s="885"/>
      <c r="H54" s="1358">
        <f>(R18/R23)</f>
        <v>0.31116559725617993</v>
      </c>
      <c r="I54" s="1358">
        <f>(S18/S23)</f>
        <v>0.30594808046272687</v>
      </c>
      <c r="J54" s="1358">
        <f>(T18/T23)</f>
        <v>0.31192798765641744</v>
      </c>
      <c r="K54" s="567"/>
      <c r="L54" s="845" t="s">
        <v>319</v>
      </c>
      <c r="N54" s="892">
        <f t="shared" ref="N54:S54" si="23">+N52/N36</f>
        <v>6.2390556310691503</v>
      </c>
      <c r="O54" s="892">
        <f t="shared" si="23"/>
        <v>5.8185426580365798</v>
      </c>
      <c r="P54" s="892">
        <f t="shared" si="23"/>
        <v>11.328236556951389</v>
      </c>
      <c r="Q54" s="892">
        <f t="shared" si="23"/>
        <v>11.260240658607445</v>
      </c>
      <c r="R54" s="892">
        <f t="shared" si="23"/>
        <v>12.64629490915452</v>
      </c>
      <c r="S54" s="892">
        <f t="shared" si="23"/>
        <v>13.777848467173021</v>
      </c>
      <c r="T54" s="892">
        <f t="shared" ref="T54" si="24">+T52/T36</f>
        <v>14.958839517570871</v>
      </c>
    </row>
    <row r="55" spans="2:30">
      <c r="C55" s="1357" t="s">
        <v>425</v>
      </c>
      <c r="D55" s="829"/>
      <c r="E55" s="885"/>
      <c r="F55" s="885"/>
      <c r="G55" s="885"/>
      <c r="H55" s="1358">
        <f>(R21/2+R22)/R23</f>
        <v>0.21084963466459963</v>
      </c>
      <c r="I55" s="1358">
        <f>(S21/2+S22)/S23</f>
        <v>0.21647347702944936</v>
      </c>
      <c r="J55" s="1358">
        <f>(T21/2+T22)/T23</f>
        <v>0.21233003559054173</v>
      </c>
      <c r="K55" s="567"/>
      <c r="L55" s="845"/>
      <c r="N55" s="892"/>
      <c r="O55" s="892"/>
      <c r="P55" s="892"/>
      <c r="Q55" s="892"/>
      <c r="R55" s="892"/>
      <c r="S55" s="892"/>
      <c r="T55" s="892"/>
    </row>
    <row r="56" spans="2:30">
      <c r="C56" s="1357" t="s">
        <v>426</v>
      </c>
      <c r="D56" s="829"/>
      <c r="E56" s="882"/>
      <c r="F56" s="882"/>
      <c r="G56" s="882"/>
      <c r="H56" s="1358">
        <f>100%-H55-H54</f>
        <v>0.47798476807922047</v>
      </c>
      <c r="I56" s="1358">
        <f>100%-I55-I54</f>
        <v>0.47757844250782372</v>
      </c>
      <c r="J56" s="1358">
        <f>100%-J55-J54</f>
        <v>0.47574197675304081</v>
      </c>
      <c r="L56" s="974" t="s">
        <v>351</v>
      </c>
      <c r="N56" s="994">
        <f t="shared" ref="N56:T56" si="25">-(N46+N47)/N52</f>
        <v>2.014720314033366</v>
      </c>
      <c r="O56" s="994">
        <f>-(O46+O47)/O52</f>
        <v>1.6096345514950166</v>
      </c>
      <c r="P56" s="994">
        <f t="shared" si="25"/>
        <v>0.73717762967255873</v>
      </c>
      <c r="Q56" s="994">
        <f t="shared" si="25"/>
        <v>0.46928191822620091</v>
      </c>
      <c r="R56" s="994">
        <f t="shared" si="25"/>
        <v>0.45963265219667165</v>
      </c>
      <c r="S56" s="994">
        <f t="shared" si="25"/>
        <v>0.46407210035337815</v>
      </c>
      <c r="T56" s="994">
        <f t="shared" si="25"/>
        <v>0.85560049299448138</v>
      </c>
      <c r="U56" s="842"/>
    </row>
    <row r="57" spans="2:30">
      <c r="P57" s="844"/>
      <c r="Q57" s="844"/>
      <c r="R57" s="844"/>
      <c r="S57" s="844"/>
      <c r="T57" s="844"/>
    </row>
    <row r="58" spans="2:30">
      <c r="B58" s="832" t="s">
        <v>399</v>
      </c>
      <c r="C58" s="833"/>
      <c r="D58" s="833"/>
      <c r="E58" s="835">
        <v>2016</v>
      </c>
      <c r="F58" s="836">
        <v>2017</v>
      </c>
      <c r="G58" s="836">
        <v>2018</v>
      </c>
      <c r="H58" s="836">
        <v>2019</v>
      </c>
      <c r="I58" s="836">
        <v>2020</v>
      </c>
      <c r="J58" s="836">
        <v>2021</v>
      </c>
      <c r="L58" s="839" t="s">
        <v>98</v>
      </c>
      <c r="P58" s="831"/>
      <c r="Q58" s="831"/>
      <c r="R58" s="843"/>
      <c r="S58" s="831"/>
      <c r="T58" s="831"/>
    </row>
    <row r="59" spans="2:30">
      <c r="C59" s="829" t="s">
        <v>315</v>
      </c>
      <c r="D59" s="829"/>
      <c r="E59" s="885">
        <f t="shared" ref="E59:J59" si="26">$G$10/O37</f>
        <v>25.162317528928707</v>
      </c>
      <c r="F59" s="885">
        <f t="shared" si="26"/>
        <v>21.828130537776314</v>
      </c>
      <c r="G59" s="885">
        <f t="shared" si="26"/>
        <v>19.210518281840493</v>
      </c>
      <c r="H59" s="885">
        <f t="shared" si="26"/>
        <v>17.499986043965357</v>
      </c>
      <c r="I59" s="885">
        <f t="shared" si="26"/>
        <v>16.20331785948629</v>
      </c>
      <c r="J59" s="885">
        <f t="shared" si="26"/>
        <v>14.808725027108409</v>
      </c>
      <c r="L59" s="831" t="s">
        <v>299</v>
      </c>
      <c r="N59" s="842">
        <f>+Model!BA297</f>
        <v>2785</v>
      </c>
      <c r="O59" s="842">
        <f>+Model!BK297</f>
        <v>2334</v>
      </c>
      <c r="P59" s="842">
        <f>+Model!BP297</f>
        <v>2983</v>
      </c>
      <c r="Q59" s="842">
        <f>+Model!BU297</f>
        <v>3033.7278258840324</v>
      </c>
      <c r="R59" s="842">
        <f>+Model!BZ297</f>
        <v>2978.1615622056142</v>
      </c>
      <c r="S59" s="842">
        <f>+Model!CE297</f>
        <v>3126.796510051317</v>
      </c>
      <c r="T59" s="842">
        <f>+Model!CJ297</f>
        <v>3224.2382061848862</v>
      </c>
      <c r="V59" s="974"/>
      <c r="W59" s="974"/>
      <c r="X59" s="1349"/>
      <c r="Y59" s="1349"/>
      <c r="Z59" s="1349"/>
      <c r="AA59" s="1349"/>
      <c r="AB59" s="1349"/>
      <c r="AC59" s="1349"/>
      <c r="AD59" s="1349"/>
    </row>
    <row r="60" spans="2:30">
      <c r="C60" s="829" t="s">
        <v>316</v>
      </c>
      <c r="D60" s="829"/>
      <c r="E60" s="885">
        <f t="shared" ref="E60:J60" si="27">($G$10+(O61+-O59)/O36)/(O29/O36)</f>
        <v>16.824554442546962</v>
      </c>
      <c r="F60" s="885">
        <f t="shared" si="27"/>
        <v>14.796224644194757</v>
      </c>
      <c r="G60" s="885">
        <f t="shared" si="27"/>
        <v>14.417795278367397</v>
      </c>
      <c r="H60" s="885">
        <f t="shared" si="27"/>
        <v>12.447921857144161</v>
      </c>
      <c r="I60" s="885">
        <f t="shared" si="27"/>
        <v>11.337409076116082</v>
      </c>
      <c r="J60" s="885">
        <f t="shared" si="27"/>
        <v>10.357283717455379</v>
      </c>
      <c r="O60" s="838"/>
      <c r="V60" s="974"/>
      <c r="W60" s="974"/>
      <c r="X60" s="974"/>
      <c r="Y60" s="1350"/>
      <c r="Z60" s="1350"/>
      <c r="AA60" s="1350"/>
      <c r="AB60" s="1350"/>
      <c r="AC60" s="1350"/>
      <c r="AD60" s="1350"/>
    </row>
    <row r="61" spans="2:30">
      <c r="C61" s="829" t="s">
        <v>317</v>
      </c>
      <c r="D61" s="829"/>
      <c r="E61" s="882">
        <f t="shared" ref="E61:J61" si="28">(O52/O36)/$G$10</f>
        <v>2.6791337406927799E-2</v>
      </c>
      <c r="F61" s="882">
        <f t="shared" si="28"/>
        <v>5.2160588253759042E-2</v>
      </c>
      <c r="G61" s="882">
        <f t="shared" si="28"/>
        <v>5.1847502802318098E-2</v>
      </c>
      <c r="H61" s="882">
        <f t="shared" si="28"/>
        <v>5.8229555710261165E-2</v>
      </c>
      <c r="I61" s="882">
        <f t="shared" si="28"/>
        <v>6.3439766401938574E-2</v>
      </c>
      <c r="J61" s="882">
        <f t="shared" si="28"/>
        <v>6.8877610818541629E-2</v>
      </c>
      <c r="L61" s="831" t="s">
        <v>320</v>
      </c>
      <c r="N61" s="842">
        <f>+Model!BA315+Model!BA323</f>
        <v>3399</v>
      </c>
      <c r="O61" s="842">
        <f>+Model!BK315+Model!BK323</f>
        <v>3888</v>
      </c>
      <c r="P61" s="842">
        <f>+Model!BP315+Model!BP323</f>
        <v>3982</v>
      </c>
      <c r="Q61" s="842">
        <f>+Model!BU315+Model!BU323</f>
        <v>11482</v>
      </c>
      <c r="R61" s="842">
        <f>+Model!BZ315+Model!BZ323</f>
        <v>8982</v>
      </c>
      <c r="S61" s="842">
        <f>+Model!CE315+Model!CE323</f>
        <v>6482</v>
      </c>
      <c r="T61" s="842">
        <f>+Model!CJ315+Model!CJ323</f>
        <v>5482</v>
      </c>
      <c r="V61" s="974"/>
      <c r="W61" s="974"/>
      <c r="X61" s="1349"/>
      <c r="Y61" s="1349"/>
      <c r="Z61" s="1349"/>
      <c r="AA61" s="1349"/>
      <c r="AB61" s="1349"/>
      <c r="AC61" s="1349"/>
      <c r="AD61" s="1349"/>
    </row>
    <row r="62" spans="2:30">
      <c r="L62" s="868" t="s">
        <v>300</v>
      </c>
      <c r="N62" s="869">
        <f t="shared" ref="N62:T62" si="29">+N61-N59</f>
        <v>614</v>
      </c>
      <c r="O62" s="869">
        <f t="shared" si="29"/>
        <v>1554</v>
      </c>
      <c r="P62" s="869">
        <f t="shared" si="29"/>
        <v>999</v>
      </c>
      <c r="Q62" s="869">
        <f t="shared" si="29"/>
        <v>8448.2721741159676</v>
      </c>
      <c r="R62" s="869">
        <f t="shared" si="29"/>
        <v>6003.8384377943858</v>
      </c>
      <c r="S62" s="869">
        <f t="shared" si="29"/>
        <v>3355.203489948683</v>
      </c>
      <c r="T62" s="869">
        <f t="shared" si="29"/>
        <v>2257.7617938151138</v>
      </c>
      <c r="V62" s="868"/>
      <c r="W62" s="974"/>
      <c r="X62" s="1351"/>
      <c r="Y62" s="1351"/>
      <c r="Z62" s="1351"/>
      <c r="AA62" s="1351"/>
      <c r="AB62" s="1351"/>
      <c r="AC62" s="1351"/>
      <c r="AD62" s="1351"/>
    </row>
    <row r="63" spans="2:30">
      <c r="H63" s="885"/>
      <c r="Q63" s="869"/>
      <c r="R63" s="869"/>
      <c r="S63" s="869"/>
      <c r="T63" s="869"/>
      <c r="V63" s="974"/>
      <c r="W63" s="974"/>
      <c r="X63" s="974"/>
      <c r="Y63" s="974"/>
      <c r="Z63" s="1350"/>
      <c r="AA63" s="1351"/>
      <c r="AB63" s="1351"/>
      <c r="AC63" s="1351"/>
      <c r="AD63" s="1351"/>
    </row>
    <row r="64" spans="2:30">
      <c r="H64" s="885"/>
      <c r="L64" s="831" t="s">
        <v>321</v>
      </c>
      <c r="N64" s="894">
        <f t="shared" ref="N64:T64" si="30">(N61-N59)/N29</f>
        <v>0.1285325518107599</v>
      </c>
      <c r="O64" s="894">
        <f t="shared" si="30"/>
        <v>0.37911685777018783</v>
      </c>
      <c r="P64" s="894">
        <f t="shared" si="30"/>
        <v>0.22009253139458029</v>
      </c>
      <c r="Q64" s="885">
        <f t="shared" si="30"/>
        <v>1.6432771226817753</v>
      </c>
      <c r="R64" s="885">
        <f t="shared" si="30"/>
        <v>1.0426378475630611</v>
      </c>
      <c r="S64" s="885">
        <f t="shared" si="30"/>
        <v>0.55105134755667806</v>
      </c>
      <c r="T64" s="885">
        <f t="shared" si="30"/>
        <v>0.3510125904895951</v>
      </c>
      <c r="V64" s="974"/>
      <c r="W64" s="974"/>
      <c r="X64" s="1352"/>
      <c r="Y64" s="1352"/>
      <c r="Z64" s="1352"/>
      <c r="AA64" s="1352"/>
      <c r="AB64" s="1352"/>
      <c r="AC64" s="1352"/>
      <c r="AD64" s="1352"/>
    </row>
    <row r="65" spans="8:30">
      <c r="H65" s="885"/>
      <c r="L65" s="868" t="s">
        <v>322</v>
      </c>
      <c r="N65" s="894">
        <f t="shared" ref="N65:T65" si="31">(N61)/N29</f>
        <v>0.71153443583839227</v>
      </c>
      <c r="O65" s="894">
        <f t="shared" si="31"/>
        <v>0.94852403025128085</v>
      </c>
      <c r="P65" s="894">
        <f t="shared" si="31"/>
        <v>0.87728574575897778</v>
      </c>
      <c r="Q65" s="885">
        <f t="shared" si="31"/>
        <v>2.2333688514961363</v>
      </c>
      <c r="R65" s="885">
        <f t="shared" si="31"/>
        <v>1.559830972109203</v>
      </c>
      <c r="S65" s="885">
        <f t="shared" si="31"/>
        <v>1.0645896278908016</v>
      </c>
      <c r="T65" s="885">
        <f t="shared" si="31"/>
        <v>0.85228256866390018</v>
      </c>
      <c r="V65" s="868"/>
      <c r="W65" s="974"/>
      <c r="X65" s="1352"/>
      <c r="Y65" s="1352"/>
      <c r="Z65" s="1352"/>
      <c r="AA65" s="1352"/>
      <c r="AB65" s="1352"/>
      <c r="AC65" s="1352"/>
      <c r="AD65" s="1352"/>
    </row>
    <row r="68" spans="8:30">
      <c r="K68" s="893"/>
      <c r="L68" s="974"/>
    </row>
    <row r="70" spans="8:30">
      <c r="P70" s="973"/>
      <c r="Q70" s="869"/>
      <c r="R70" s="869"/>
      <c r="S70" s="869"/>
      <c r="T70" s="869"/>
    </row>
    <row r="72" spans="8:30">
      <c r="U72" s="851"/>
    </row>
    <row r="73" spans="8:30">
      <c r="O73" s="851"/>
      <c r="P73" s="979"/>
      <c r="Q73" s="979"/>
      <c r="R73" s="979"/>
    </row>
    <row r="75" spans="8:30">
      <c r="L75" s="974"/>
      <c r="O75" s="944"/>
      <c r="P75" s="944"/>
      <c r="Q75" s="944"/>
      <c r="R75" s="944"/>
      <c r="S75" s="944"/>
      <c r="T75" s="944"/>
    </row>
    <row r="76" spans="8:30">
      <c r="L76" s="974"/>
      <c r="P76" s="965"/>
      <c r="Q76" s="965"/>
      <c r="R76" s="965"/>
      <c r="S76" s="877"/>
      <c r="T76" s="975"/>
      <c r="U76" s="851"/>
    </row>
    <row r="78" spans="8:30">
      <c r="N78" s="895"/>
      <c r="O78" s="895"/>
      <c r="P78" s="895"/>
      <c r="Q78" s="895"/>
      <c r="R78" s="895"/>
      <c r="S78" s="895"/>
      <c r="T78" s="895"/>
    </row>
    <row r="79" spans="8:30">
      <c r="N79" s="976"/>
      <c r="O79" s="977"/>
      <c r="P79" s="977"/>
      <c r="Q79" s="977"/>
      <c r="R79" s="977"/>
      <c r="S79" s="977"/>
      <c r="T79" s="977"/>
    </row>
    <row r="80" spans="8:30">
      <c r="L80" s="974"/>
      <c r="N80" s="878"/>
      <c r="O80" s="976"/>
      <c r="P80" s="977"/>
      <c r="Q80" s="977"/>
      <c r="R80" s="977"/>
      <c r="S80" s="976"/>
      <c r="T80" s="978"/>
    </row>
    <row r="82" spans="12:18">
      <c r="L82" s="974"/>
      <c r="O82" s="843"/>
      <c r="P82" s="843"/>
      <c r="Q82" s="843"/>
      <c r="R82" s="843"/>
    </row>
    <row r="83" spans="12:18">
      <c r="L83" s="974"/>
      <c r="P83" s="973"/>
      <c r="Q83" s="973"/>
      <c r="R83" s="973"/>
    </row>
    <row r="89" spans="12:18">
      <c r="N89" s="842"/>
      <c r="O89" s="842"/>
    </row>
    <row r="90" spans="12:18">
      <c r="N90" s="842"/>
      <c r="O90" s="842"/>
    </row>
    <row r="94" spans="12:18">
      <c r="N94" s="842"/>
      <c r="O94" s="842"/>
    </row>
    <row r="102" spans="14:15">
      <c r="N102" s="842"/>
      <c r="O102" s="842"/>
    </row>
    <row r="267" spans="84:88">
      <c r="CF267" s="831" t="s">
        <v>371</v>
      </c>
    </row>
    <row r="271" spans="84:88">
      <c r="CF271" s="831" t="s">
        <v>372</v>
      </c>
    </row>
    <row r="272" spans="84:88">
      <c r="CG272" s="878">
        <f>Valuation!V44</f>
        <v>0</v>
      </c>
      <c r="CH272" s="878">
        <f>Valuation!W44</f>
        <v>0</v>
      </c>
      <c r="CI272" s="878">
        <f>Valuation!X44</f>
        <v>0</v>
      </c>
      <c r="CJ272" s="878">
        <f>Valuation!Y44</f>
        <v>0</v>
      </c>
    </row>
    <row r="273" spans="85:88">
      <c r="CG273" s="878">
        <f>Valuation!V45</f>
        <v>0</v>
      </c>
      <c r="CH273" s="878">
        <f>Valuation!W45</f>
        <v>0</v>
      </c>
      <c r="CI273" s="878">
        <f>Valuation!X45</f>
        <v>0</v>
      </c>
      <c r="CJ273" s="878">
        <f>Valuation!Y45</f>
        <v>0</v>
      </c>
    </row>
  </sheetData>
  <pageMargins left="0.25" right="0.25" top="0.75" bottom="0.75" header="0.3" footer="0.3"/>
  <pageSetup scale="61" orientation="landscape" r:id="rId1"/>
  <colBreaks count="1" manualBreakCount="1">
    <brk id="20"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tabColor indexed="18"/>
  </sheetPr>
  <dimension ref="A1:DD357"/>
  <sheetViews>
    <sheetView showGridLines="0" zoomScaleNormal="100" workbookViewId="0">
      <pane xSplit="1" ySplit="1" topLeftCell="AZ2" activePane="bottomRight" state="frozen"/>
      <selection activeCell="AE43" sqref="AE43"/>
      <selection pane="topRight" activeCell="AE43" sqref="AE43"/>
      <selection pane="bottomLeft" activeCell="AE43" sqref="AE43"/>
      <selection pane="bottomRight" activeCell="BQ1" sqref="BQ1"/>
    </sheetView>
  </sheetViews>
  <sheetFormatPr defaultRowHeight="12.75" outlineLevelRow="1" outlineLevelCol="1"/>
  <cols>
    <col min="1" max="1" width="32.42578125" style="53" customWidth="1"/>
    <col min="2" max="2" width="10" style="104" hidden="1" customWidth="1" outlineLevel="1"/>
    <col min="3" max="6" width="9.140625" style="104" hidden="1" customWidth="1" outlineLevel="1"/>
    <col min="7" max="7" width="9.140625" style="104" collapsed="1"/>
    <col min="8" max="10" width="9.140625" style="53" hidden="1" customWidth="1" outlineLevel="1"/>
    <col min="11" max="11" width="9.140625" style="48" hidden="1" customWidth="1" outlineLevel="1"/>
    <col min="12" max="12" width="9.140625" style="104" collapsed="1"/>
    <col min="13" max="13" width="9.140625" style="53" hidden="1" customWidth="1" outlineLevel="1" collapsed="1"/>
    <col min="14" max="15" width="9.140625" style="53" hidden="1" customWidth="1" outlineLevel="1"/>
    <col min="16" max="16" width="9.140625" style="48" hidden="1" customWidth="1" outlineLevel="1"/>
    <col min="17" max="17" width="9.140625" style="104" collapsed="1"/>
    <col min="18" max="18" width="9.140625" style="53" hidden="1" customWidth="1" outlineLevel="1" collapsed="1"/>
    <col min="19" max="20" width="9.140625" style="53" hidden="1" customWidth="1" outlineLevel="1"/>
    <col min="21" max="21" width="9.140625" style="48" hidden="1" customWidth="1" outlineLevel="1"/>
    <col min="22" max="22" width="9.7109375" style="104" customWidth="1" collapsed="1"/>
    <col min="23" max="25" width="9.140625" style="53" hidden="1" customWidth="1" outlineLevel="1"/>
    <col min="26" max="26" width="9.28515625" style="48" hidden="1" customWidth="1" outlineLevel="1"/>
    <col min="27" max="27" width="9.7109375" style="104" customWidth="1" collapsed="1"/>
    <col min="28" max="30" width="9.7109375" style="53" hidden="1" customWidth="1" outlineLevel="1"/>
    <col min="31" max="31" width="9.7109375" style="48" hidden="1" customWidth="1" outlineLevel="1"/>
    <col min="32" max="32" width="9.85546875" style="104" customWidth="1" collapsed="1"/>
    <col min="33" max="35" width="9.7109375" style="53" hidden="1" customWidth="1" outlineLevel="1"/>
    <col min="36" max="36" width="9.7109375" style="48" hidden="1" customWidth="1" outlineLevel="1"/>
    <col min="37" max="37" width="9.7109375" style="104" customWidth="1" collapsed="1"/>
    <col min="38" max="40" width="9.7109375" style="53" hidden="1" customWidth="1" outlineLevel="1"/>
    <col min="41" max="41" width="9.7109375" style="48" hidden="1" customWidth="1" outlineLevel="1"/>
    <col min="42" max="42" width="9.7109375" style="104" customWidth="1" collapsed="1"/>
    <col min="43" max="43" width="9.7109375" style="105" hidden="1" customWidth="1" outlineLevel="1"/>
    <col min="44" max="46" width="9.7109375" style="48" hidden="1" customWidth="1" outlineLevel="1"/>
    <col min="47" max="47" width="9.7109375" style="104" customWidth="1" collapsed="1"/>
    <col min="48" max="48" width="9.7109375" style="105" hidden="1" customWidth="1" outlineLevel="1"/>
    <col min="49" max="51" width="9.7109375" style="48" hidden="1" customWidth="1" outlineLevel="1"/>
    <col min="52" max="52" width="9.7109375" style="104" customWidth="1" collapsed="1"/>
    <col min="53" max="53" width="9.7109375" style="104" customWidth="1"/>
    <col min="54" max="54" width="9.7109375" style="105" hidden="1" customWidth="1" outlineLevel="1"/>
    <col min="55" max="57" width="9.7109375" style="48" hidden="1" customWidth="1" outlineLevel="1"/>
    <col min="58" max="58" width="9.7109375" style="104" customWidth="1" collapsed="1"/>
    <col min="59" max="59" width="9.7109375" style="105" hidden="1" customWidth="1" outlineLevel="1"/>
    <col min="60" max="62" width="9.7109375" style="48" hidden="1" customWidth="1" outlineLevel="1"/>
    <col min="63" max="63" width="9.7109375" style="104" customWidth="1" collapsed="1"/>
    <col min="64" max="64" width="9.7109375" style="105" hidden="1" customWidth="1" outlineLevel="1"/>
    <col min="65" max="67" width="9.7109375" style="48" hidden="1" customWidth="1" outlineLevel="1"/>
    <col min="68" max="68" width="9.7109375" style="104" customWidth="1" collapsed="1"/>
    <col min="69" max="69" width="9.7109375" style="105" customWidth="1" outlineLevel="1"/>
    <col min="70" max="72" width="9.7109375" style="48" customWidth="1" outlineLevel="1"/>
    <col min="73" max="73" width="9.7109375" style="104" customWidth="1"/>
    <col min="74" max="74" width="9.7109375" style="105" hidden="1" customWidth="1" outlineLevel="1"/>
    <col min="75" max="77" width="9.7109375" style="48" hidden="1" customWidth="1" outlineLevel="1"/>
    <col min="78" max="78" width="9.7109375" style="104" customWidth="1" collapsed="1"/>
    <col min="79" max="79" width="9.7109375" style="105" hidden="1" customWidth="1" outlineLevel="1"/>
    <col min="80" max="82" width="9.7109375" style="48" hidden="1" customWidth="1" outlineLevel="1"/>
    <col min="83" max="83" width="9.7109375" style="104" customWidth="1" collapsed="1"/>
    <col min="84" max="84" width="9.7109375" style="105" hidden="1" customWidth="1" outlineLevel="1"/>
    <col min="85" max="87" width="9.7109375" style="48" hidden="1" customWidth="1" outlineLevel="1"/>
    <col min="88" max="88" width="9.7109375" style="104" customWidth="1" collapsed="1"/>
    <col min="89" max="89" width="1.7109375" style="34" customWidth="1"/>
    <col min="90" max="90" width="1.7109375" style="77" customWidth="1"/>
    <col min="91" max="91" width="1.7109375" style="96" customWidth="1"/>
    <col min="92" max="92" width="1.7109375" style="254" customWidth="1"/>
    <col min="93" max="93" width="1.7109375" style="96" customWidth="1"/>
    <col min="94" max="100" width="13.28515625" style="96" customWidth="1"/>
    <col min="101" max="101" width="1.7109375" style="77" customWidth="1"/>
    <col min="102" max="103" width="9.140625" style="34"/>
    <col min="109" max="16384" width="9.140625" style="34"/>
  </cols>
  <sheetData>
    <row r="1" spans="1:108" s="257" customFormat="1" ht="12" customHeight="1">
      <c r="A1" s="759" t="s">
        <v>157</v>
      </c>
      <c r="B1" s="8" t="s">
        <v>177</v>
      </c>
      <c r="C1" s="9" t="s">
        <v>178</v>
      </c>
      <c r="D1" s="9" t="s">
        <v>163</v>
      </c>
      <c r="E1" s="9" t="s">
        <v>15</v>
      </c>
      <c r="F1" s="8" t="s">
        <v>179</v>
      </c>
      <c r="G1" s="8" t="s">
        <v>180</v>
      </c>
      <c r="H1" s="10" t="s">
        <v>181</v>
      </c>
      <c r="I1" s="10" t="s">
        <v>182</v>
      </c>
      <c r="J1" s="10" t="s">
        <v>183</v>
      </c>
      <c r="K1" s="10" t="s">
        <v>184</v>
      </c>
      <c r="L1" s="11" t="s">
        <v>120</v>
      </c>
      <c r="M1" s="10" t="s">
        <v>181</v>
      </c>
      <c r="N1" s="10" t="s">
        <v>182</v>
      </c>
      <c r="O1" s="10" t="s">
        <v>183</v>
      </c>
      <c r="P1" s="10" t="s">
        <v>184</v>
      </c>
      <c r="Q1" s="11" t="s">
        <v>7</v>
      </c>
      <c r="R1" s="10" t="s">
        <v>181</v>
      </c>
      <c r="S1" s="10" t="s">
        <v>182</v>
      </c>
      <c r="T1" s="10" t="s">
        <v>183</v>
      </c>
      <c r="U1" s="10" t="s">
        <v>184</v>
      </c>
      <c r="V1" s="11" t="s">
        <v>101</v>
      </c>
      <c r="W1" s="10" t="s">
        <v>181</v>
      </c>
      <c r="X1" s="10" t="s">
        <v>182</v>
      </c>
      <c r="Y1" s="10" t="s">
        <v>183</v>
      </c>
      <c r="Z1" s="10" t="s">
        <v>184</v>
      </c>
      <c r="AA1" s="11" t="s">
        <v>141</v>
      </c>
      <c r="AB1" s="10" t="s">
        <v>181</v>
      </c>
      <c r="AC1" s="10" t="s">
        <v>182</v>
      </c>
      <c r="AD1" s="10" t="s">
        <v>183</v>
      </c>
      <c r="AE1" s="10" t="s">
        <v>184</v>
      </c>
      <c r="AF1" s="11" t="s">
        <v>156</v>
      </c>
      <c r="AG1" s="10" t="s">
        <v>181</v>
      </c>
      <c r="AH1" s="10" t="s">
        <v>182</v>
      </c>
      <c r="AI1" s="10" t="s">
        <v>183</v>
      </c>
      <c r="AJ1" s="10" t="s">
        <v>184</v>
      </c>
      <c r="AK1" s="11" t="s">
        <v>188</v>
      </c>
      <c r="AL1" s="10" t="s">
        <v>181</v>
      </c>
      <c r="AM1" s="10" t="s">
        <v>182</v>
      </c>
      <c r="AN1" s="10" t="s">
        <v>183</v>
      </c>
      <c r="AO1" s="10" t="s">
        <v>184</v>
      </c>
      <c r="AP1" s="11" t="s">
        <v>145</v>
      </c>
      <c r="AQ1" s="10" t="s">
        <v>181</v>
      </c>
      <c r="AR1" s="10" t="s">
        <v>182</v>
      </c>
      <c r="AS1" s="736" t="s">
        <v>183</v>
      </c>
      <c r="AT1" s="736" t="s">
        <v>184</v>
      </c>
      <c r="AU1" s="756" t="s">
        <v>269</v>
      </c>
      <c r="AV1" s="735" t="s">
        <v>181</v>
      </c>
      <c r="AW1" s="736" t="s">
        <v>182</v>
      </c>
      <c r="AX1" s="736" t="s">
        <v>183</v>
      </c>
      <c r="AY1" s="736" t="s">
        <v>184</v>
      </c>
      <c r="AZ1" s="756" t="s">
        <v>270</v>
      </c>
      <c r="BA1" s="930" t="s">
        <v>339</v>
      </c>
      <c r="BB1" s="735" t="s">
        <v>181</v>
      </c>
      <c r="BC1" s="736" t="s">
        <v>182</v>
      </c>
      <c r="BD1" s="736" t="s">
        <v>183</v>
      </c>
      <c r="BE1" s="736" t="s">
        <v>184</v>
      </c>
      <c r="BF1" s="756" t="s">
        <v>271</v>
      </c>
      <c r="BG1" s="735" t="s">
        <v>181</v>
      </c>
      <c r="BH1" s="736" t="s">
        <v>182</v>
      </c>
      <c r="BI1" s="736" t="s">
        <v>183</v>
      </c>
      <c r="BJ1" s="736" t="s">
        <v>184</v>
      </c>
      <c r="BK1" s="930" t="s">
        <v>340</v>
      </c>
      <c r="BL1" s="735" t="s">
        <v>181</v>
      </c>
      <c r="BM1" s="736" t="s">
        <v>327</v>
      </c>
      <c r="BN1" s="736" t="s">
        <v>183</v>
      </c>
      <c r="BO1" s="736" t="s">
        <v>184</v>
      </c>
      <c r="BP1" s="756" t="s">
        <v>373</v>
      </c>
      <c r="BQ1" s="735" t="s">
        <v>330</v>
      </c>
      <c r="BR1" s="736" t="s">
        <v>327</v>
      </c>
      <c r="BS1" s="736" t="s">
        <v>328</v>
      </c>
      <c r="BT1" s="1101" t="s">
        <v>329</v>
      </c>
      <c r="BU1" s="756" t="s">
        <v>272</v>
      </c>
      <c r="BV1" s="735" t="s">
        <v>330</v>
      </c>
      <c r="BW1" s="736" t="s">
        <v>327</v>
      </c>
      <c r="BX1" s="736" t="s">
        <v>328</v>
      </c>
      <c r="BY1" s="736" t="s">
        <v>329</v>
      </c>
      <c r="BZ1" s="756" t="s">
        <v>273</v>
      </c>
      <c r="CA1" s="735" t="s">
        <v>330</v>
      </c>
      <c r="CB1" s="736" t="s">
        <v>327</v>
      </c>
      <c r="CC1" s="736" t="s">
        <v>328</v>
      </c>
      <c r="CD1" s="736" t="s">
        <v>329</v>
      </c>
      <c r="CE1" s="756" t="s">
        <v>274</v>
      </c>
      <c r="CF1" s="735" t="s">
        <v>330</v>
      </c>
      <c r="CG1" s="736" t="s">
        <v>327</v>
      </c>
      <c r="CH1" s="736" t="s">
        <v>328</v>
      </c>
      <c r="CI1" s="736" t="s">
        <v>329</v>
      </c>
      <c r="CJ1" s="756" t="s">
        <v>326</v>
      </c>
      <c r="CK1" s="12"/>
      <c r="CL1" s="247" t="s">
        <v>160</v>
      </c>
      <c r="CM1" s="236"/>
      <c r="CN1" s="236"/>
      <c r="CO1" s="12"/>
      <c r="CP1" s="12"/>
      <c r="CQ1" s="12"/>
      <c r="CR1" s="12"/>
      <c r="CS1" s="12"/>
      <c r="CT1" s="12"/>
      <c r="CU1" s="12"/>
      <c r="CV1" s="12"/>
      <c r="CW1" s="12"/>
      <c r="CX1" s="256"/>
      <c r="CY1" s="256"/>
      <c r="CZ1"/>
      <c r="DA1"/>
      <c r="DB1"/>
      <c r="DC1"/>
      <c r="DD1"/>
    </row>
    <row r="2" spans="1:108" s="258" customFormat="1" ht="12" customHeight="1">
      <c r="A2" s="13" t="s">
        <v>14</v>
      </c>
      <c r="B2" s="5"/>
      <c r="C2" s="5"/>
      <c r="D2" s="5"/>
      <c r="E2" s="5"/>
      <c r="F2" s="5"/>
      <c r="G2" s="5"/>
      <c r="H2" s="14"/>
      <c r="I2" s="14"/>
      <c r="J2" s="14"/>
      <c r="K2" s="7"/>
      <c r="L2" s="5"/>
      <c r="M2" s="14"/>
      <c r="N2" s="14"/>
      <c r="O2" s="14"/>
      <c r="P2" s="7"/>
      <c r="Q2" s="5"/>
      <c r="R2" s="14"/>
      <c r="S2" s="14"/>
      <c r="T2" s="14"/>
      <c r="U2" s="7"/>
      <c r="V2" s="5"/>
      <c r="W2" s="14"/>
      <c r="X2" s="14"/>
      <c r="Y2" s="14"/>
      <c r="Z2" s="7"/>
      <c r="AA2" s="5"/>
      <c r="AB2" s="14"/>
      <c r="AC2" s="14"/>
      <c r="AD2" s="14"/>
      <c r="AE2" s="7"/>
      <c r="AF2" s="5"/>
      <c r="AG2" s="14"/>
      <c r="AH2" s="14"/>
      <c r="AI2" s="14"/>
      <c r="AJ2" s="7"/>
      <c r="AK2" s="5"/>
      <c r="AL2" s="14"/>
      <c r="AM2" s="14"/>
      <c r="AN2" s="14"/>
      <c r="AO2" s="7"/>
      <c r="AP2" s="5"/>
      <c r="AQ2" s="6"/>
      <c r="AR2" s="7"/>
      <c r="AS2" s="7"/>
      <c r="AT2" s="7"/>
      <c r="AU2" s="5"/>
      <c r="AV2" s="6"/>
      <c r="AW2" s="7"/>
      <c r="AX2" s="7"/>
      <c r="AY2" s="7"/>
      <c r="AZ2" s="5"/>
      <c r="BA2" s="5"/>
      <c r="BB2" s="6"/>
      <c r="BC2" s="7"/>
      <c r="BD2" s="7"/>
      <c r="BE2" s="7"/>
      <c r="BF2" s="5"/>
      <c r="BG2" s="6"/>
      <c r="BH2" s="7"/>
      <c r="BI2" s="7"/>
      <c r="BJ2" s="7"/>
      <c r="BK2" s="5"/>
      <c r="BL2" s="6"/>
      <c r="BM2" s="7"/>
      <c r="BN2" s="7"/>
      <c r="BO2" s="7"/>
      <c r="BP2" s="5"/>
      <c r="BQ2" s="6"/>
      <c r="BR2" s="7"/>
      <c r="BS2" s="7"/>
      <c r="BT2" s="1102"/>
      <c r="BU2" s="5"/>
      <c r="BV2" s="6"/>
      <c r="BW2" s="7"/>
      <c r="BX2" s="7"/>
      <c r="BY2" s="7"/>
      <c r="BZ2" s="5"/>
      <c r="CA2" s="6"/>
      <c r="CB2" s="7"/>
      <c r="CC2" s="7"/>
      <c r="CD2" s="7"/>
      <c r="CE2" s="5"/>
      <c r="CF2" s="6"/>
      <c r="CG2" s="7"/>
      <c r="CH2" s="7"/>
      <c r="CI2" s="7"/>
      <c r="CJ2" s="5"/>
      <c r="CK2" s="32"/>
      <c r="CL2" s="14"/>
      <c r="CM2" s="249"/>
      <c r="CN2" s="249"/>
      <c r="CO2" s="248"/>
      <c r="CP2" s="248"/>
      <c r="CQ2" s="248"/>
      <c r="CR2" s="248"/>
      <c r="CS2" s="248"/>
      <c r="CT2" s="248"/>
      <c r="CU2" s="248"/>
      <c r="CV2" s="248"/>
      <c r="CW2" s="14"/>
      <c r="CX2" s="32"/>
      <c r="CY2" s="32"/>
      <c r="CZ2"/>
      <c r="DA2"/>
      <c r="DB2"/>
      <c r="DC2"/>
      <c r="DD2"/>
    </row>
    <row r="3" spans="1:108" s="258" customFormat="1" ht="12" customHeight="1">
      <c r="A3" s="15" t="s">
        <v>22</v>
      </c>
      <c r="B3" s="16"/>
      <c r="C3" s="16"/>
      <c r="D3" s="16"/>
      <c r="E3" s="16"/>
      <c r="F3" s="16"/>
      <c r="G3" s="964"/>
      <c r="H3" s="17"/>
      <c r="I3" s="17"/>
      <c r="J3" s="17"/>
      <c r="K3" s="18"/>
      <c r="L3" s="964"/>
      <c r="M3" s="17"/>
      <c r="N3" s="17"/>
      <c r="O3" s="17"/>
      <c r="P3" s="18"/>
      <c r="Q3" s="964"/>
      <c r="R3" s="17"/>
      <c r="S3" s="17"/>
      <c r="T3" s="17"/>
      <c r="U3" s="19"/>
      <c r="V3" s="964"/>
      <c r="W3" s="17"/>
      <c r="X3" s="17"/>
      <c r="Y3" s="17"/>
      <c r="Z3" s="18"/>
      <c r="AA3" s="964"/>
      <c r="AB3" s="17"/>
      <c r="AC3" s="17"/>
      <c r="AD3" s="17"/>
      <c r="AE3" s="18"/>
      <c r="AF3" s="964"/>
      <c r="AG3" s="17"/>
      <c r="AH3" s="17"/>
      <c r="AI3" s="17"/>
      <c r="AJ3" s="18"/>
      <c r="AK3" s="964"/>
      <c r="AL3" s="17"/>
      <c r="AM3" s="17"/>
      <c r="AN3" s="17"/>
      <c r="AO3" s="18"/>
      <c r="AP3" s="964"/>
      <c r="AQ3" s="22"/>
      <c r="AR3" s="19"/>
      <c r="AS3" s="19"/>
      <c r="AT3" s="19"/>
      <c r="AU3" s="964"/>
      <c r="AV3" s="22"/>
      <c r="AW3" s="19"/>
      <c r="AX3" s="19"/>
      <c r="AY3" s="19"/>
      <c r="AZ3" s="964"/>
      <c r="BA3" s="964"/>
      <c r="BB3" s="22"/>
      <c r="BC3" s="19"/>
      <c r="BD3" s="19"/>
      <c r="BE3" s="19"/>
      <c r="BF3" s="21"/>
      <c r="BG3" s="22"/>
      <c r="BH3" s="19"/>
      <c r="BI3" s="19"/>
      <c r="BJ3" s="19"/>
      <c r="BK3" s="964"/>
      <c r="BL3" s="22"/>
      <c r="BM3" s="19"/>
      <c r="BN3" s="19"/>
      <c r="BO3" s="19"/>
      <c r="BP3" s="21"/>
      <c r="BQ3" s="1052"/>
      <c r="BR3" s="19"/>
      <c r="BS3" s="19"/>
      <c r="BT3" s="1103"/>
      <c r="BU3" s="21"/>
      <c r="BV3" s="22"/>
      <c r="BW3" s="19"/>
      <c r="BX3" s="19"/>
      <c r="BY3" s="19"/>
      <c r="BZ3" s="21"/>
      <c r="CA3" s="22"/>
      <c r="CB3" s="19"/>
      <c r="CC3" s="19"/>
      <c r="CD3" s="19"/>
      <c r="CE3" s="21"/>
      <c r="CF3" s="22"/>
      <c r="CG3" s="19"/>
      <c r="CH3" s="19"/>
      <c r="CI3" s="19"/>
      <c r="CJ3" s="21"/>
      <c r="CK3" s="32"/>
      <c r="CL3" s="14"/>
      <c r="CM3" s="661"/>
      <c r="CN3" s="661"/>
      <c r="CO3" s="661"/>
      <c r="CP3" s="661"/>
      <c r="CQ3" s="661"/>
      <c r="CR3" s="661"/>
      <c r="CS3" s="661"/>
      <c r="CT3" s="661"/>
      <c r="CU3" s="661"/>
      <c r="CV3" s="661"/>
      <c r="CW3" s="14"/>
      <c r="CX3" s="32"/>
      <c r="CY3" s="32"/>
      <c r="CZ3"/>
      <c r="DA3"/>
      <c r="DB3"/>
      <c r="DC3"/>
      <c r="DD3"/>
    </row>
    <row r="4" spans="1:108" s="123" customFormat="1">
      <c r="A4" s="23" t="s">
        <v>116</v>
      </c>
      <c r="B4" s="24">
        <v>3265</v>
      </c>
      <c r="C4" s="24">
        <v>3289</v>
      </c>
      <c r="D4" s="24">
        <v>2946</v>
      </c>
      <c r="E4" s="24">
        <v>3012</v>
      </c>
      <c r="F4" s="24">
        <v>3433</v>
      </c>
      <c r="G4" s="24">
        <v>4116</v>
      </c>
      <c r="H4" s="23">
        <v>1094</v>
      </c>
      <c r="I4" s="23">
        <v>1208</v>
      </c>
      <c r="J4" s="23">
        <v>1315</v>
      </c>
      <c r="K4" s="25">
        <v>1211</v>
      </c>
      <c r="L4" s="24">
        <f>SUM(H4:K4)</f>
        <v>4828</v>
      </c>
      <c r="M4" s="23">
        <v>1279</v>
      </c>
      <c r="N4" s="23">
        <v>1329</v>
      </c>
      <c r="O4" s="23">
        <v>1372</v>
      </c>
      <c r="P4" s="25">
        <v>1532</v>
      </c>
      <c r="Q4" s="24">
        <f>SUM(M4:P4)</f>
        <v>5512</v>
      </c>
      <c r="R4" s="23">
        <v>1455</v>
      </c>
      <c r="S4" s="23">
        <v>1415</v>
      </c>
      <c r="T4" s="23">
        <v>1120</v>
      </c>
      <c r="U4" s="25">
        <v>1181</v>
      </c>
      <c r="V4" s="24">
        <f>SUM(R4:U4)</f>
        <v>5171</v>
      </c>
      <c r="W4" s="23">
        <v>1357</v>
      </c>
      <c r="X4" s="23">
        <v>1383</v>
      </c>
      <c r="Y4" s="23">
        <v>1291</v>
      </c>
      <c r="Z4" s="25">
        <v>1268</v>
      </c>
      <c r="AA4" s="24">
        <f>SUM(W4:Z4)</f>
        <v>5299</v>
      </c>
      <c r="AB4" s="23">
        <v>1353</v>
      </c>
      <c r="AC4" s="23">
        <f>1376</f>
        <v>1376</v>
      </c>
      <c r="AD4" s="23">
        <v>1412</v>
      </c>
      <c r="AE4" s="25">
        <v>1857</v>
      </c>
      <c r="AF4" s="24">
        <f>SUM(AB4:AE4)</f>
        <v>5998</v>
      </c>
      <c r="AG4" s="23">
        <v>1623</v>
      </c>
      <c r="AH4" s="23">
        <v>1592</v>
      </c>
      <c r="AI4" s="23">
        <v>1836</v>
      </c>
      <c r="AJ4" s="25">
        <v>1861</v>
      </c>
      <c r="AK4" s="24">
        <f>SUM(AG4:AJ4)</f>
        <v>6912</v>
      </c>
      <c r="AL4" s="23">
        <v>1778</v>
      </c>
      <c r="AM4" s="23">
        <v>2053</v>
      </c>
      <c r="AN4" s="23">
        <v>2152</v>
      </c>
      <c r="AO4" s="23">
        <v>2135</v>
      </c>
      <c r="AP4" s="24">
        <f>SUM(AL4:AO4)</f>
        <v>8118</v>
      </c>
      <c r="AQ4" s="23">
        <v>2125</v>
      </c>
      <c r="AR4" s="23">
        <v>1995</v>
      </c>
      <c r="AS4" s="23">
        <v>2289</v>
      </c>
      <c r="AT4" s="23">
        <v>2240</v>
      </c>
      <c r="AU4" s="24">
        <f>SUM(AQ4:AT4)</f>
        <v>8649</v>
      </c>
      <c r="AV4" s="23">
        <v>2108</v>
      </c>
      <c r="AW4" s="23">
        <v>2258</v>
      </c>
      <c r="AX4" s="23">
        <v>2343</v>
      </c>
      <c r="AY4" s="23">
        <v>2142</v>
      </c>
      <c r="AZ4" s="24">
        <f>SUM(AV4:AY4)</f>
        <v>8851</v>
      </c>
      <c r="BA4" s="24">
        <v>9177</v>
      </c>
      <c r="BB4" s="26">
        <v>1987</v>
      </c>
      <c r="BC4" s="25">
        <v>2134</v>
      </c>
      <c r="BD4" s="25">
        <v>2017</v>
      </c>
      <c r="BE4" s="25">
        <f>8362-BD4-BC4-BB4</f>
        <v>2224</v>
      </c>
      <c r="BF4" s="24">
        <f>SUM(BB4:BE4)</f>
        <v>8362</v>
      </c>
      <c r="BG4" s="26">
        <f>SUM(BG7,BG20,BG22)</f>
        <v>1781</v>
      </c>
      <c r="BH4" s="25">
        <f>SUM(BH7,BH20,BH22)</f>
        <v>2284</v>
      </c>
      <c r="BI4" s="25">
        <f>SUM(BI7,BI20,BI22)</f>
        <v>1905</v>
      </c>
      <c r="BJ4" s="25">
        <f>SUM(BJ7,BJ20,BJ22)</f>
        <v>1845</v>
      </c>
      <c r="BK4" s="24">
        <v>7815</v>
      </c>
      <c r="BL4" s="26">
        <f>SUM(BL7,BL20,BL22)</f>
        <v>2074</v>
      </c>
      <c r="BM4" s="25">
        <f>SUM(BM7,BM20,BM22)</f>
        <v>2078</v>
      </c>
      <c r="BN4" s="25">
        <f>SUM(BN7,BN20,BN22)</f>
        <v>1995</v>
      </c>
      <c r="BO4" s="25">
        <f>SUM(BO7,BO20,BO22)</f>
        <v>1982</v>
      </c>
      <c r="BP4" s="24">
        <f>SUM(BL4:BO4)</f>
        <v>8129</v>
      </c>
      <c r="BQ4" s="1048">
        <f t="shared" ref="BQ4:BT4" si="0">SUM(BQ7,BQ20,BQ22)</f>
        <v>2055.7166666666667</v>
      </c>
      <c r="BR4" s="25">
        <f t="shared" si="0"/>
        <v>2090.1066666666666</v>
      </c>
      <c r="BS4" s="25">
        <f t="shared" si="0"/>
        <v>2042.8366666666666</v>
      </c>
      <c r="BT4" s="1104">
        <f t="shared" si="0"/>
        <v>2166.13</v>
      </c>
      <c r="BU4" s="24">
        <f>SUM(BU7,BU20,BU22)</f>
        <v>8354.7899999999991</v>
      </c>
      <c r="BV4" s="26"/>
      <c r="BW4" s="25"/>
      <c r="BX4" s="25"/>
      <c r="BY4" s="25"/>
      <c r="BZ4" s="24">
        <f>SUM(BZ7,BZ20,BZ22)</f>
        <v>8805.1099999999988</v>
      </c>
      <c r="CA4" s="26"/>
      <c r="CB4" s="25"/>
      <c r="CC4" s="25"/>
      <c r="CD4" s="25"/>
      <c r="CE4" s="24">
        <f>SUM(CE7,CE20,CE22)</f>
        <v>9465.4254720000008</v>
      </c>
      <c r="CF4" s="26"/>
      <c r="CG4" s="25"/>
      <c r="CH4" s="25"/>
      <c r="CI4" s="25"/>
      <c r="CJ4" s="24">
        <f>SUM(CJ7,CJ20,CJ22)</f>
        <v>10237.832647860001</v>
      </c>
      <c r="CK4" s="118"/>
      <c r="CL4" s="237"/>
      <c r="CM4" s="661" t="s">
        <v>374</v>
      </c>
      <c r="CN4" s="661"/>
      <c r="CO4" s="622"/>
      <c r="CP4" s="622"/>
      <c r="CQ4" s="622"/>
      <c r="CR4" s="622"/>
      <c r="CS4" s="661" t="s">
        <v>383</v>
      </c>
      <c r="CT4" s="622"/>
      <c r="CU4" s="1229" t="s">
        <v>104</v>
      </c>
      <c r="CV4" s="1230">
        <f>+(CJ4/BP4)^(1/4)-1</f>
        <v>5.9357939066047694E-2</v>
      </c>
      <c r="CW4" s="237"/>
      <c r="CX4" s="118"/>
      <c r="CY4" s="118"/>
      <c r="CZ4"/>
      <c r="DA4"/>
      <c r="DB4"/>
      <c r="DC4"/>
      <c r="DD4"/>
    </row>
    <row r="5" spans="1:108">
      <c r="A5" s="28" t="s">
        <v>21</v>
      </c>
      <c r="B5" s="29"/>
      <c r="C5" s="29">
        <f>C4/B4-1</f>
        <v>7.3506891271055697E-3</v>
      </c>
      <c r="D5" s="29">
        <f>D4/C4-1</f>
        <v>-0.10428701733049561</v>
      </c>
      <c r="E5" s="29">
        <f>E4/D4-1</f>
        <v>2.2403258655804503E-2</v>
      </c>
      <c r="F5" s="29">
        <f>F4/E4-1</f>
        <v>0.1397742363877823</v>
      </c>
      <c r="G5" s="29">
        <f>G4/F4-1</f>
        <v>0.19895135450043688</v>
      </c>
      <c r="H5" s="30"/>
      <c r="I5" s="30"/>
      <c r="J5" s="30"/>
      <c r="K5" s="30"/>
      <c r="L5" s="29">
        <f t="shared" ref="L5:AK5" si="1">L4/G4-1</f>
        <v>0.17298347910592815</v>
      </c>
      <c r="M5" s="30">
        <f t="shared" si="1"/>
        <v>0.16910420475319921</v>
      </c>
      <c r="N5" s="30">
        <f t="shared" si="1"/>
        <v>0.10016556291390732</v>
      </c>
      <c r="O5" s="30">
        <f t="shared" si="1"/>
        <v>4.3346007604562642E-2</v>
      </c>
      <c r="P5" s="30">
        <f t="shared" si="1"/>
        <v>0.26507018992568132</v>
      </c>
      <c r="Q5" s="29">
        <f t="shared" si="1"/>
        <v>0.14167357083678533</v>
      </c>
      <c r="R5" s="30">
        <f t="shared" si="1"/>
        <v>0.13760750586395631</v>
      </c>
      <c r="S5" s="30">
        <f t="shared" si="1"/>
        <v>6.4710308502633485E-2</v>
      </c>
      <c r="T5" s="30">
        <f t="shared" si="1"/>
        <v>-0.18367346938775508</v>
      </c>
      <c r="U5" s="30">
        <f t="shared" si="1"/>
        <v>-0.22911227154046998</v>
      </c>
      <c r="V5" s="29">
        <f>V4/Q4-1</f>
        <v>-6.1865021770682094E-2</v>
      </c>
      <c r="W5" s="30">
        <f t="shared" si="1"/>
        <v>-6.7353951890034347E-2</v>
      </c>
      <c r="X5" s="30">
        <f t="shared" si="1"/>
        <v>-2.2614840989399254E-2</v>
      </c>
      <c r="Y5" s="30">
        <f t="shared" si="1"/>
        <v>0.15267857142857144</v>
      </c>
      <c r="Z5" s="30">
        <f t="shared" si="1"/>
        <v>7.3666384419982966E-2</v>
      </c>
      <c r="AA5" s="29">
        <f t="shared" si="1"/>
        <v>2.4753432604911918E-2</v>
      </c>
      <c r="AB5" s="30">
        <f t="shared" si="1"/>
        <v>-2.9476787030213725E-3</v>
      </c>
      <c r="AC5" s="30">
        <f t="shared" si="1"/>
        <v>-5.0614605929139023E-3</v>
      </c>
      <c r="AD5" s="30">
        <f t="shared" si="1"/>
        <v>9.3725793958171932E-2</v>
      </c>
      <c r="AE5" s="30">
        <f t="shared" si="1"/>
        <v>0.46451104100946372</v>
      </c>
      <c r="AF5" s="29">
        <f t="shared" si="1"/>
        <v>0.13191168144932996</v>
      </c>
      <c r="AG5" s="30">
        <f t="shared" si="1"/>
        <v>0.19955654101995557</v>
      </c>
      <c r="AH5" s="30">
        <f t="shared" si="1"/>
        <v>0.15697674418604657</v>
      </c>
      <c r="AI5" s="30">
        <f t="shared" si="1"/>
        <v>0.30028328611898014</v>
      </c>
      <c r="AJ5" s="30">
        <f t="shared" si="1"/>
        <v>2.154011847065096E-3</v>
      </c>
      <c r="AK5" s="29">
        <f t="shared" si="1"/>
        <v>0.15238412804268098</v>
      </c>
      <c r="AL5" s="30">
        <f t="shared" ref="AL5:AS5" si="2">AL4/AG4-1</f>
        <v>9.5502156500308022E-2</v>
      </c>
      <c r="AM5" s="30">
        <f t="shared" si="2"/>
        <v>0.289572864321608</v>
      </c>
      <c r="AN5" s="30">
        <f t="shared" si="2"/>
        <v>0.17211328976034856</v>
      </c>
      <c r="AO5" s="30">
        <f t="shared" si="2"/>
        <v>0.14723267060720047</v>
      </c>
      <c r="AP5" s="29">
        <f t="shared" si="2"/>
        <v>0.17447916666666674</v>
      </c>
      <c r="AQ5" s="30">
        <f t="shared" si="2"/>
        <v>0.19516310461192354</v>
      </c>
      <c r="AR5" s="30">
        <f t="shared" si="2"/>
        <v>-2.8251339503166051E-2</v>
      </c>
      <c r="AS5" s="30">
        <f t="shared" si="2"/>
        <v>6.3661710037174801E-2</v>
      </c>
      <c r="AT5" s="30">
        <f t="shared" ref="AT5:AZ5" si="3">AT4/AO4-1</f>
        <v>4.9180327868852514E-2</v>
      </c>
      <c r="AU5" s="29">
        <f t="shared" si="3"/>
        <v>6.5410199556541038E-2</v>
      </c>
      <c r="AV5" s="30">
        <f t="shared" si="3"/>
        <v>-8.0000000000000071E-3</v>
      </c>
      <c r="AW5" s="30">
        <f t="shared" si="3"/>
        <v>0.13182957393483719</v>
      </c>
      <c r="AX5" s="30">
        <f t="shared" si="3"/>
        <v>2.3591087811271283E-2</v>
      </c>
      <c r="AY5" s="30">
        <f t="shared" si="3"/>
        <v>-4.3749999999999956E-2</v>
      </c>
      <c r="AZ5" s="29">
        <f t="shared" si="3"/>
        <v>2.3355301190889133E-2</v>
      </c>
      <c r="BA5" s="29"/>
      <c r="BB5" s="30">
        <f>BB4/AV4-1</f>
        <v>-5.7400379506641341E-2</v>
      </c>
      <c r="BC5" s="30">
        <f>BC4/AW4-1</f>
        <v>-5.491585473870686E-2</v>
      </c>
      <c r="BD5" s="30">
        <f>BD4/AX4-1</f>
        <v>-0.13913785744771656</v>
      </c>
      <c r="BE5" s="30">
        <f>BE4/AY4-1</f>
        <v>3.8281979458450133E-2</v>
      </c>
      <c r="BF5" s="29">
        <f>BF4/AZ4-1</f>
        <v>-5.5247994576884008E-2</v>
      </c>
      <c r="BG5" s="30"/>
      <c r="BH5" s="30"/>
      <c r="BI5" s="30"/>
      <c r="BJ5" s="30"/>
      <c r="BK5" s="29">
        <f>BK4/BA4-1</f>
        <v>-0.14841451454723764</v>
      </c>
      <c r="BL5" s="30">
        <f>BL4/BB4-1</f>
        <v>4.37845998993458E-2</v>
      </c>
      <c r="BM5" s="30">
        <f t="shared" ref="BM5:BO5" si="4">IFERROR(BM4/BH4-1,"")</f>
        <v>-9.0192644483362505E-2</v>
      </c>
      <c r="BN5" s="30">
        <f t="shared" si="4"/>
        <v>4.7244094488188892E-2</v>
      </c>
      <c r="BO5" s="30">
        <f t="shared" si="4"/>
        <v>7.4254742547425368E-2</v>
      </c>
      <c r="BP5" s="1036">
        <f>BP4/BF4-1</f>
        <v>-2.7864147333173883E-2</v>
      </c>
      <c r="BQ5" s="1041">
        <f t="shared" ref="BQ5" si="5">IFERROR(BQ4/BL4-1,"")</f>
        <v>-8.8154934104789362E-3</v>
      </c>
      <c r="BR5" s="194">
        <f t="shared" ref="BR5" si="6">IFERROR(BR4/BM4-1,"")</f>
        <v>5.8261148540261765E-3</v>
      </c>
      <c r="BS5" s="194">
        <f t="shared" ref="BS5" si="7">IFERROR(BS4/BN4-1,"")</f>
        <v>2.3978279030910654E-2</v>
      </c>
      <c r="BT5" s="548">
        <f t="shared" ref="BT5" si="8">IFERROR(BT4/BO4-1,"")</f>
        <v>9.2901109989909303E-2</v>
      </c>
      <c r="BU5" s="29">
        <f>BU4/BP4-1</f>
        <v>2.777586418993705E-2</v>
      </c>
      <c r="BV5" s="159"/>
      <c r="BW5" s="160"/>
      <c r="BX5" s="160"/>
      <c r="BY5" s="160"/>
      <c r="BZ5" s="29">
        <f>BZ4/BU4-1</f>
        <v>5.3899619260328491E-2</v>
      </c>
      <c r="CA5" s="159"/>
      <c r="CB5" s="160"/>
      <c r="CC5" s="160"/>
      <c r="CD5" s="160"/>
      <c r="CE5" s="29">
        <f>CE4/BZ4-1</f>
        <v>7.4992302424387924E-2</v>
      </c>
      <c r="CF5" s="159"/>
      <c r="CG5" s="160"/>
      <c r="CH5" s="160"/>
      <c r="CI5" s="160"/>
      <c r="CJ5" s="29">
        <f>CJ4/CE4-1</f>
        <v>8.1603006451731463E-2</v>
      </c>
      <c r="CK5" s="32"/>
      <c r="CL5" s="14"/>
      <c r="CM5" s="661" t="s">
        <v>381</v>
      </c>
      <c r="CN5" s="442"/>
      <c r="CO5" s="661"/>
      <c r="CP5" s="661"/>
      <c r="CQ5" s="661"/>
      <c r="CR5" s="661"/>
      <c r="CS5" s="661" t="s">
        <v>382</v>
      </c>
      <c r="CT5" s="622"/>
      <c r="CU5" s="440"/>
      <c r="CV5" s="440"/>
      <c r="CW5" s="74"/>
      <c r="CX5" s="33"/>
      <c r="CY5" s="33"/>
    </row>
    <row r="6" spans="1:108">
      <c r="A6" s="28" t="s">
        <v>250</v>
      </c>
      <c r="B6" s="29">
        <f t="shared" ref="B6:AG6" si="9">B4/B$128</f>
        <v>0.27721175072168447</v>
      </c>
      <c r="C6" s="29">
        <f t="shared" si="9"/>
        <v>0.24555771240854113</v>
      </c>
      <c r="D6" s="29">
        <f t="shared" si="9"/>
        <v>0.18283373673431391</v>
      </c>
      <c r="E6" s="29">
        <f t="shared" si="9"/>
        <v>0.15964382254730483</v>
      </c>
      <c r="F6" s="29">
        <f t="shared" si="9"/>
        <v>0.16367103694874852</v>
      </c>
      <c r="G6" s="29">
        <f t="shared" si="9"/>
        <v>0.17105099114823588</v>
      </c>
      <c r="H6" s="30">
        <f t="shared" si="9"/>
        <v>0.17365079365079364</v>
      </c>
      <c r="I6" s="30">
        <f t="shared" si="9"/>
        <v>0.18328023061750873</v>
      </c>
      <c r="J6" s="30">
        <f t="shared" si="9"/>
        <v>0.19242025168276267</v>
      </c>
      <c r="K6" s="30">
        <f t="shared" si="9"/>
        <v>0.16114437791084499</v>
      </c>
      <c r="L6" s="29">
        <f t="shared" si="9"/>
        <v>0.17723935389133627</v>
      </c>
      <c r="M6" s="30">
        <f t="shared" si="9"/>
        <v>0.18258386866523912</v>
      </c>
      <c r="N6" s="30">
        <f t="shared" si="9"/>
        <v>0.18198000821580174</v>
      </c>
      <c r="O6" s="30">
        <f t="shared" si="9"/>
        <v>0.19215686274509805</v>
      </c>
      <c r="P6" s="30">
        <f t="shared" si="9"/>
        <v>0.19510952623535405</v>
      </c>
      <c r="Q6" s="29">
        <f t="shared" si="9"/>
        <v>0.18812286689419797</v>
      </c>
      <c r="R6" s="30">
        <f t="shared" si="9"/>
        <v>0.17606485963213939</v>
      </c>
      <c r="S6" s="30">
        <f t="shared" si="9"/>
        <v>0.17469135802469135</v>
      </c>
      <c r="T6" s="30">
        <f t="shared" si="9"/>
        <v>0.14509651509262858</v>
      </c>
      <c r="U6" s="30">
        <f t="shared" si="9"/>
        <v>0.14953152696885288</v>
      </c>
      <c r="V6" s="29">
        <f t="shared" si="9"/>
        <v>0.16168975329101654</v>
      </c>
      <c r="W6" s="30">
        <f t="shared" si="9"/>
        <v>0.17509677419354838</v>
      </c>
      <c r="X6" s="30">
        <f t="shared" si="9"/>
        <v>0.17065646594274433</v>
      </c>
      <c r="Y6" s="30">
        <f t="shared" si="9"/>
        <v>0.16115341405567346</v>
      </c>
      <c r="Z6" s="30">
        <f t="shared" si="9"/>
        <v>0.14742471805603999</v>
      </c>
      <c r="AA6" s="29">
        <f t="shared" si="9"/>
        <v>0.16321690383786114</v>
      </c>
      <c r="AB6" s="30">
        <f t="shared" si="9"/>
        <v>0.17350602718645808</v>
      </c>
      <c r="AC6" s="30">
        <f t="shared" si="9"/>
        <v>0.17464145196090874</v>
      </c>
      <c r="AD6" s="30">
        <f t="shared" si="9"/>
        <v>0.17980389660002546</v>
      </c>
      <c r="AE6" s="30">
        <f t="shared" si="9"/>
        <v>0.20301738274844211</v>
      </c>
      <c r="AF6" s="29">
        <f t="shared" si="9"/>
        <v>0.18355418184043823</v>
      </c>
      <c r="AG6" s="30">
        <f t="shared" si="9"/>
        <v>0.21414434621981793</v>
      </c>
      <c r="AH6" s="30">
        <f t="shared" ref="AH6:BF6" si="10">AH4/AH$128</f>
        <v>0.20095935369856097</v>
      </c>
      <c r="AI6" s="30">
        <f t="shared" si="10"/>
        <v>0.23140912528358962</v>
      </c>
      <c r="AJ6" s="30">
        <f t="shared" si="10"/>
        <v>0.23037880663530577</v>
      </c>
      <c r="AK6" s="29">
        <f t="shared" si="10"/>
        <v>0.21933805096309458</v>
      </c>
      <c r="AL6" s="30">
        <f t="shared" si="10"/>
        <v>0.24014046461372232</v>
      </c>
      <c r="AM6" s="30">
        <f t="shared" si="10"/>
        <v>0.25951207179876123</v>
      </c>
      <c r="AN6" s="30">
        <f t="shared" si="10"/>
        <v>0.27603899435608004</v>
      </c>
      <c r="AO6" s="30">
        <f t="shared" si="10"/>
        <v>0.27305282005371528</v>
      </c>
      <c r="AP6" s="29">
        <f t="shared" si="10"/>
        <v>0.26246362754607178</v>
      </c>
      <c r="AQ6" s="30">
        <f t="shared" si="10"/>
        <v>0.2901419989077007</v>
      </c>
      <c r="AR6" s="30">
        <f t="shared" si="10"/>
        <v>0.26692534118276695</v>
      </c>
      <c r="AS6" s="30">
        <f t="shared" si="10"/>
        <v>0.29531673332473229</v>
      </c>
      <c r="AT6" s="30">
        <f t="shared" si="10"/>
        <v>0.26978200650367334</v>
      </c>
      <c r="AU6" s="29">
        <f t="shared" si="10"/>
        <v>0.28033838973162195</v>
      </c>
      <c r="AV6" s="30">
        <f t="shared" si="10"/>
        <v>0.27081192189105857</v>
      </c>
      <c r="AW6" s="30">
        <f t="shared" si="10"/>
        <v>0.2864755138289774</v>
      </c>
      <c r="AX6" s="30">
        <f t="shared" si="10"/>
        <v>0.2930948211158369</v>
      </c>
      <c r="AY6" s="30">
        <f t="shared" si="10"/>
        <v>0.27429888590088358</v>
      </c>
      <c r="AZ6" s="29">
        <f t="shared" si="10"/>
        <v>0.28126092344847309</v>
      </c>
      <c r="BA6" s="29">
        <f t="shared" si="10"/>
        <v>0.28875743368679402</v>
      </c>
      <c r="BB6" s="30">
        <f t="shared" si="10"/>
        <v>0.25725012946659764</v>
      </c>
      <c r="BC6" s="30">
        <f t="shared" si="10"/>
        <v>0.27840834964122635</v>
      </c>
      <c r="BD6" s="30">
        <f t="shared" si="10"/>
        <v>0.26089768464622948</v>
      </c>
      <c r="BE6" s="30">
        <f t="shared" si="10"/>
        <v>0.27013239402404954</v>
      </c>
      <c r="BF6" s="29">
        <f t="shared" si="10"/>
        <v>0.26670494051605909</v>
      </c>
      <c r="BG6" s="30"/>
      <c r="BH6" s="30"/>
      <c r="BI6" s="30"/>
      <c r="BJ6" s="30"/>
      <c r="BK6" s="29">
        <f t="shared" ref="BK6:BU6" si="11">BK4/BK$128</f>
        <v>0.2557180720526161</v>
      </c>
      <c r="BL6" s="30">
        <f t="shared" si="11"/>
        <v>0.27872597769117052</v>
      </c>
      <c r="BM6" s="30">
        <f t="shared" si="11"/>
        <v>0.27074918566775247</v>
      </c>
      <c r="BN6" s="30">
        <f t="shared" si="11"/>
        <v>0.26319261213720319</v>
      </c>
      <c r="BO6" s="30">
        <f t="shared" si="11"/>
        <v>0.23945874108976684</v>
      </c>
      <c r="BP6" s="1036">
        <f t="shared" si="11"/>
        <v>0.26245439576405255</v>
      </c>
      <c r="BQ6" s="1036">
        <f t="shared" si="11"/>
        <v>0.26736624426110822</v>
      </c>
      <c r="BR6" s="30">
        <f t="shared" si="11"/>
        <v>0.22685590862551147</v>
      </c>
      <c r="BS6" s="30">
        <f t="shared" si="11"/>
        <v>0.22318530449986138</v>
      </c>
      <c r="BT6" s="1106">
        <f t="shared" si="11"/>
        <v>0.21612973391496612</v>
      </c>
      <c r="BU6" s="29">
        <f t="shared" si="11"/>
        <v>0.23157838425460237</v>
      </c>
      <c r="BV6" s="31"/>
      <c r="BW6" s="30"/>
      <c r="BX6" s="30"/>
      <c r="BY6" s="30"/>
      <c r="BZ6" s="29">
        <f>BZ4/BZ$128</f>
        <v>0.2230547129782757</v>
      </c>
      <c r="CA6" s="31"/>
      <c r="CB6" s="30"/>
      <c r="CC6" s="30"/>
      <c r="CD6" s="30"/>
      <c r="CE6" s="29">
        <f>CE4/CE$128</f>
        <v>0.22601391492510786</v>
      </c>
      <c r="CF6" s="31"/>
      <c r="CG6" s="30"/>
      <c r="CH6" s="30"/>
      <c r="CI6" s="30"/>
      <c r="CJ6" s="29">
        <f>CJ4/CJ$128</f>
        <v>0.23040652176920751</v>
      </c>
      <c r="CK6" s="32"/>
      <c r="CL6" s="14"/>
      <c r="CM6" s="731"/>
      <c r="CN6" s="442"/>
      <c r="CO6" s="440"/>
      <c r="CP6" s="731"/>
      <c r="CQ6" s="661"/>
      <c r="CR6" s="661"/>
      <c r="CS6" s="440"/>
      <c r="CT6" s="661"/>
      <c r="CU6" s="661"/>
      <c r="CV6" s="661"/>
      <c r="CW6" s="74"/>
      <c r="CX6" s="33"/>
      <c r="CY6" s="33"/>
    </row>
    <row r="7" spans="1:108" s="486" customFormat="1" ht="11.25" customHeight="1">
      <c r="A7" s="655" t="s">
        <v>35</v>
      </c>
      <c r="B7" s="494"/>
      <c r="C7" s="494"/>
      <c r="D7" s="494"/>
      <c r="E7" s="494"/>
      <c r="F7" s="494"/>
      <c r="G7" s="494"/>
      <c r="H7" s="504"/>
      <c r="I7" s="504"/>
      <c r="J7" s="504"/>
      <c r="K7" s="504"/>
      <c r="L7" s="494"/>
      <c r="M7" s="504"/>
      <c r="N7" s="504"/>
      <c r="O7" s="504"/>
      <c r="P7" s="504"/>
      <c r="Q7" s="494">
        <v>4678</v>
      </c>
      <c r="R7" s="504"/>
      <c r="S7" s="504"/>
      <c r="T7" s="504"/>
      <c r="U7" s="504"/>
      <c r="V7" s="494">
        <v>3893</v>
      </c>
      <c r="W7" s="504"/>
      <c r="X7" s="504"/>
      <c r="Y7" s="504"/>
      <c r="Z7" s="504"/>
      <c r="AA7" s="494">
        <v>3869</v>
      </c>
      <c r="AB7" s="102"/>
      <c r="AC7" s="102"/>
      <c r="AD7" s="102"/>
      <c r="AE7" s="102"/>
      <c r="AF7" s="494">
        <v>4400</v>
      </c>
      <c r="AG7" s="102"/>
      <c r="AH7" s="102"/>
      <c r="AI7" s="102"/>
      <c r="AJ7" s="102"/>
      <c r="AK7" s="494">
        <v>5317</v>
      </c>
      <c r="AL7" s="102"/>
      <c r="AM7" s="102"/>
      <c r="AN7" s="102"/>
      <c r="AO7" s="102"/>
      <c r="AP7" s="101">
        <v>6378</v>
      </c>
      <c r="AQ7" s="102"/>
      <c r="AR7" s="102"/>
      <c r="AS7" s="102"/>
      <c r="AT7" s="102"/>
      <c r="AU7" s="762">
        <v>6983</v>
      </c>
      <c r="AV7" s="102"/>
      <c r="AW7" s="102"/>
      <c r="AX7" s="102"/>
      <c r="AY7" s="102"/>
      <c r="AZ7" s="762">
        <v>7156</v>
      </c>
      <c r="BA7" s="762"/>
      <c r="BB7" s="505"/>
      <c r="BC7" s="504"/>
      <c r="BD7" s="504"/>
      <c r="BE7" s="504"/>
      <c r="BF7" s="494">
        <v>6608</v>
      </c>
      <c r="BG7" s="505">
        <v>1376</v>
      </c>
      <c r="BH7" s="504">
        <v>1842</v>
      </c>
      <c r="BI7" s="504">
        <v>1462</v>
      </c>
      <c r="BJ7" s="504">
        <f>BK7-BI7-BH7-BG7</f>
        <v>1394</v>
      </c>
      <c r="BK7" s="762">
        <v>6074</v>
      </c>
      <c r="BL7" s="505">
        <v>1629</v>
      </c>
      <c r="BM7" s="743">
        <v>1600</v>
      </c>
      <c r="BN7" s="743">
        <v>1562</v>
      </c>
      <c r="BO7" s="1220">
        <f>6320-BN7-BM7-BL7</f>
        <v>1529</v>
      </c>
      <c r="BP7" s="505">
        <f>+SUM(BL7:BO7)</f>
        <v>6320</v>
      </c>
      <c r="BQ7" s="505">
        <f t="shared" ref="BQ7:BT7" si="12">+BQ9*BQ11</f>
        <v>1579.9666666666667</v>
      </c>
      <c r="BR7" s="504">
        <f t="shared" si="12"/>
        <v>1579.9666666666667</v>
      </c>
      <c r="BS7" s="504">
        <f t="shared" si="12"/>
        <v>1579.9666666666667</v>
      </c>
      <c r="BT7" s="1107">
        <f t="shared" si="12"/>
        <v>1681.9</v>
      </c>
      <c r="BU7" s="494">
        <f>+SUM(BQ7:BT7)</f>
        <v>6421.7999999999993</v>
      </c>
      <c r="BV7" s="504"/>
      <c r="BW7" s="504"/>
      <c r="BX7" s="504"/>
      <c r="BY7" s="504"/>
      <c r="BZ7" s="494">
        <f>+BZ9*BZ11</f>
        <v>6758.1799999999994</v>
      </c>
      <c r="CA7" s="505"/>
      <c r="CB7" s="504"/>
      <c r="CC7" s="504"/>
      <c r="CD7" s="504"/>
      <c r="CE7" s="494">
        <f>+CE9*CE11</f>
        <v>7317.54936</v>
      </c>
      <c r="CF7" s="505"/>
      <c r="CG7" s="504"/>
      <c r="CH7" s="504"/>
      <c r="CI7" s="504"/>
      <c r="CJ7" s="494">
        <f>+CJ9*CJ11</f>
        <v>8004.7626912000005</v>
      </c>
      <c r="CK7" s="228"/>
      <c r="CL7" s="246"/>
      <c r="CM7" s="731"/>
      <c r="CN7" s="661"/>
      <c r="CO7" s="654"/>
      <c r="CP7" s="731" t="s">
        <v>353</v>
      </c>
      <c r="CQ7" s="654"/>
      <c r="CR7" s="654"/>
      <c r="CS7" s="654"/>
      <c r="CT7" s="654"/>
      <c r="CU7" s="654"/>
      <c r="CV7" s="654"/>
      <c r="CW7" s="484"/>
      <c r="CX7" s="485"/>
      <c r="CY7" s="485"/>
      <c r="CZ7"/>
      <c r="DA7"/>
      <c r="DB7"/>
      <c r="DC7"/>
      <c r="DD7"/>
    </row>
    <row r="8" spans="1:108" s="493" customFormat="1" ht="11.25" customHeight="1">
      <c r="A8" s="487" t="s">
        <v>21</v>
      </c>
      <c r="B8" s="488"/>
      <c r="C8" s="489"/>
      <c r="D8" s="489"/>
      <c r="E8" s="489"/>
      <c r="F8" s="488"/>
      <c r="G8" s="489"/>
      <c r="H8" s="488"/>
      <c r="I8" s="488"/>
      <c r="J8" s="488"/>
      <c r="K8" s="488"/>
      <c r="L8" s="489"/>
      <c r="M8" s="488"/>
      <c r="N8" s="488"/>
      <c r="O8" s="488"/>
      <c r="P8" s="488"/>
      <c r="Q8" s="489"/>
      <c r="R8" s="488"/>
      <c r="S8" s="488"/>
      <c r="T8" s="488"/>
      <c r="U8" s="488"/>
      <c r="V8" s="29">
        <f>V7/Q7-1</f>
        <v>-0.16780675502351428</v>
      </c>
      <c r="W8" s="488"/>
      <c r="X8" s="488"/>
      <c r="Y8" s="488"/>
      <c r="Z8" s="488"/>
      <c r="AA8" s="29">
        <f>AA7/V7-1</f>
        <v>-6.1649113793988963E-3</v>
      </c>
      <c r="AB8" s="488"/>
      <c r="AC8" s="488"/>
      <c r="AD8" s="488"/>
      <c r="AE8" s="488"/>
      <c r="AF8" s="29">
        <f>AF7/AA7-1</f>
        <v>0.1372447660894287</v>
      </c>
      <c r="AG8" s="362"/>
      <c r="AH8" s="362"/>
      <c r="AI8" s="362"/>
      <c r="AJ8" s="362"/>
      <c r="AK8" s="29">
        <f>AK7/AF7-1</f>
        <v>0.20840909090909099</v>
      </c>
      <c r="AL8" s="362"/>
      <c r="AM8" s="362"/>
      <c r="AN8" s="362"/>
      <c r="AO8" s="362"/>
      <c r="AP8" s="29">
        <f>AP7/AK7-1</f>
        <v>0.19954861764152709</v>
      </c>
      <c r="AQ8" s="362"/>
      <c r="AR8" s="362"/>
      <c r="AS8" s="362"/>
      <c r="AT8" s="362"/>
      <c r="AU8" s="29">
        <f>AU7/AP7-1</f>
        <v>9.4857322044528125E-2</v>
      </c>
      <c r="AV8" s="362"/>
      <c r="AW8" s="362"/>
      <c r="AX8" s="362"/>
      <c r="AY8" s="362"/>
      <c r="AZ8" s="29">
        <f>AZ7/AU7-1</f>
        <v>2.4774452241157041E-2</v>
      </c>
      <c r="BA8" s="29"/>
      <c r="BB8" s="362"/>
      <c r="BC8" s="362"/>
      <c r="BD8" s="362"/>
      <c r="BE8" s="362"/>
      <c r="BF8" s="29">
        <f>BF7/AZ7-1</f>
        <v>-7.6579094466182274E-2</v>
      </c>
      <c r="BG8" s="362"/>
      <c r="BH8" s="362"/>
      <c r="BI8" s="362"/>
      <c r="BJ8" s="362"/>
      <c r="BK8" s="29"/>
      <c r="BL8" s="657">
        <f>BL7/BG7-1</f>
        <v>0.18386627906976738</v>
      </c>
      <c r="BM8" s="362">
        <f t="shared" ref="BM8:BO8" si="13">IFERROR(BM7/BH7-1,"")</f>
        <v>-0.13137893593919647</v>
      </c>
      <c r="BN8" s="362">
        <f t="shared" si="13"/>
        <v>6.8399452804377647E-2</v>
      </c>
      <c r="BO8" s="362">
        <f t="shared" si="13"/>
        <v>9.6843615494978552E-2</v>
      </c>
      <c r="BP8" s="1037">
        <f>IFERROR(BP7/BF7-1,"")</f>
        <v>-4.3583535108958849E-2</v>
      </c>
      <c r="BQ8" s="533">
        <f t="shared" ref="BQ8" si="14">IFERROR(BQ7/BL7-1,"")</f>
        <v>-3.0100266011868215E-2</v>
      </c>
      <c r="BR8" s="362">
        <f t="shared" ref="BR8" si="15">IFERROR(BR7/BM7-1,"")</f>
        <v>-1.2520833333333314E-2</v>
      </c>
      <c r="BS8" s="362">
        <f t="shared" ref="BS8" si="16">IFERROR(BS7/BN7-1,"")</f>
        <v>1.1502347417840397E-2</v>
      </c>
      <c r="BT8" s="1108">
        <f t="shared" ref="BT8" si="17">IFERROR(BT7/BO7-1,"")</f>
        <v>0.10000000000000009</v>
      </c>
      <c r="BU8" s="1249">
        <f>+BU7/BP7-1</f>
        <v>1.6107594936708658E-2</v>
      </c>
      <c r="BV8" s="317"/>
      <c r="BW8" s="317"/>
      <c r="BX8" s="317"/>
      <c r="BY8" s="317"/>
      <c r="BZ8" s="679">
        <f>+BZ7/BU7-1</f>
        <v>5.2380952380952417E-2</v>
      </c>
      <c r="CA8" s="317"/>
      <c r="CB8" s="317"/>
      <c r="CC8" s="317"/>
      <c r="CD8" s="317"/>
      <c r="CE8" s="679">
        <f>+CE7/BZ7-1</f>
        <v>8.2769230769230928E-2</v>
      </c>
      <c r="CF8" s="317"/>
      <c r="CG8" s="317"/>
      <c r="CH8" s="317"/>
      <c r="CI8" s="317"/>
      <c r="CJ8" s="679">
        <f>+CJ7/CE7-1</f>
        <v>9.3913043478260905E-2</v>
      </c>
      <c r="CK8" s="226"/>
      <c r="CL8" s="245"/>
      <c r="CM8" s="731"/>
      <c r="CN8" s="661"/>
      <c r="CO8" s="997"/>
      <c r="CP8" s="997" t="s">
        <v>354</v>
      </c>
      <c r="CQ8" s="997"/>
      <c r="CR8" s="997"/>
      <c r="CS8" s="997"/>
      <c r="CT8" s="997"/>
      <c r="CU8" s="997"/>
      <c r="CV8" s="997"/>
      <c r="CW8" s="491"/>
      <c r="CX8" s="492"/>
      <c r="CY8" s="492"/>
      <c r="CZ8"/>
      <c r="DA8"/>
      <c r="DB8"/>
      <c r="DC8"/>
      <c r="DD8"/>
    </row>
    <row r="9" spans="1:108" s="493" customFormat="1" ht="11.25" customHeight="1">
      <c r="A9" s="670" t="s">
        <v>347</v>
      </c>
      <c r="B9" s="488"/>
      <c r="C9" s="489"/>
      <c r="D9" s="489"/>
      <c r="E9" s="489"/>
      <c r="F9" s="488"/>
      <c r="G9" s="489"/>
      <c r="H9" s="488"/>
      <c r="I9" s="488"/>
      <c r="J9" s="488"/>
      <c r="K9" s="488"/>
      <c r="L9" s="489"/>
      <c r="M9" s="488"/>
      <c r="N9" s="488"/>
      <c r="O9" s="488"/>
      <c r="P9" s="488"/>
      <c r="Q9" s="489"/>
      <c r="R9" s="488"/>
      <c r="S9" s="488"/>
      <c r="T9" s="488"/>
      <c r="U9" s="488"/>
      <c r="V9" s="29"/>
      <c r="W9" s="488"/>
      <c r="X9" s="488"/>
      <c r="Y9" s="488"/>
      <c r="Z9" s="488"/>
      <c r="AA9" s="29"/>
      <c r="AB9" s="488"/>
      <c r="AC9" s="488"/>
      <c r="AD9" s="488"/>
      <c r="AE9" s="488"/>
      <c r="AF9" s="29"/>
      <c r="AG9" s="362"/>
      <c r="AH9" s="362"/>
      <c r="AI9" s="362"/>
      <c r="AJ9" s="362"/>
      <c r="AK9" s="29"/>
      <c r="AL9" s="362"/>
      <c r="AM9" s="362"/>
      <c r="AN9" s="362"/>
      <c r="AO9" s="362"/>
      <c r="AP9" s="29"/>
      <c r="AQ9" s="362"/>
      <c r="AR9" s="362"/>
      <c r="AS9" s="362"/>
      <c r="AT9" s="362"/>
      <c r="AU9" s="29"/>
      <c r="AV9" s="362"/>
      <c r="AW9" s="362"/>
      <c r="AX9" s="362"/>
      <c r="AY9" s="362"/>
      <c r="AZ9" s="29"/>
      <c r="BA9" s="29"/>
      <c r="BB9" s="362"/>
      <c r="BC9" s="362"/>
      <c r="BD9" s="362"/>
      <c r="BE9" s="362"/>
      <c r="BF9" s="29"/>
      <c r="BG9" s="954">
        <f t="shared" ref="BG9:BP9" si="18">+BG7/BG11</f>
        <v>49.142857142857146</v>
      </c>
      <c r="BH9" s="955">
        <f t="shared" si="18"/>
        <v>51.166666666666664</v>
      </c>
      <c r="BI9" s="955">
        <f t="shared" si="18"/>
        <v>48.733333333333334</v>
      </c>
      <c r="BJ9" s="955">
        <f t="shared" si="18"/>
        <v>51.629629629629626</v>
      </c>
      <c r="BK9" s="1038">
        <f t="shared" si="18"/>
        <v>50.198347107438018</v>
      </c>
      <c r="BL9" s="954">
        <f t="shared" si="18"/>
        <v>54.3</v>
      </c>
      <c r="BM9" s="955">
        <f t="shared" si="18"/>
        <v>53.333333333333336</v>
      </c>
      <c r="BN9" s="955">
        <f t="shared" si="18"/>
        <v>52.06666666666667</v>
      </c>
      <c r="BO9" s="955">
        <f t="shared" si="18"/>
        <v>50.966666666666669</v>
      </c>
      <c r="BP9" s="1038">
        <f t="shared" si="18"/>
        <v>52.666666666666664</v>
      </c>
      <c r="BQ9" s="1245">
        <f>BO9</f>
        <v>50.966666666666669</v>
      </c>
      <c r="BR9" s="955">
        <f>+BQ9</f>
        <v>50.966666666666669</v>
      </c>
      <c r="BS9" s="955">
        <f t="shared" ref="BS9:BT9" si="19">+BR9</f>
        <v>50.966666666666669</v>
      </c>
      <c r="BT9" s="1169">
        <f t="shared" si="19"/>
        <v>50.966666666666669</v>
      </c>
      <c r="BU9" s="1250">
        <f>+BU7/BU11</f>
        <v>50.966666666666661</v>
      </c>
      <c r="BV9" s="317"/>
      <c r="BW9" s="317"/>
      <c r="BX9" s="317"/>
      <c r="BY9" s="317"/>
      <c r="BZ9" s="956">
        <f>+BU9*(1+BZ10)</f>
        <v>51.985999999999997</v>
      </c>
      <c r="CA9" s="317"/>
      <c r="CB9" s="317"/>
      <c r="CC9" s="317"/>
      <c r="CD9" s="317"/>
      <c r="CE9" s="956">
        <f>+BZ9*(1+CE10)</f>
        <v>53.02572</v>
      </c>
      <c r="CF9" s="317"/>
      <c r="CG9" s="317"/>
      <c r="CH9" s="317"/>
      <c r="CI9" s="317"/>
      <c r="CJ9" s="956">
        <f>+CE9*(1+CJ10)</f>
        <v>54.086234400000002</v>
      </c>
      <c r="CK9" s="226"/>
      <c r="CL9" s="245"/>
      <c r="CM9" s="731"/>
      <c r="CN9" s="661"/>
      <c r="CO9" s="997"/>
      <c r="CP9" s="997" t="s">
        <v>355</v>
      </c>
      <c r="CQ9" s="997"/>
      <c r="CR9" s="997"/>
      <c r="CS9" s="997"/>
      <c r="CT9" s="997"/>
      <c r="CU9" s="997"/>
      <c r="CV9" s="997"/>
      <c r="CW9" s="491"/>
      <c r="CX9" s="492"/>
      <c r="CY9" s="492"/>
      <c r="CZ9"/>
      <c r="DA9"/>
      <c r="DB9"/>
      <c r="DC9"/>
      <c r="DD9"/>
    </row>
    <row r="10" spans="1:108" s="493" customFormat="1" ht="11.25" customHeight="1">
      <c r="A10" s="487" t="s">
        <v>21</v>
      </c>
      <c r="B10" s="489"/>
      <c r="C10" s="489"/>
      <c r="D10" s="503"/>
      <c r="E10" s="503"/>
      <c r="F10" s="503"/>
      <c r="G10" s="489"/>
      <c r="H10" s="488"/>
      <c r="I10" s="488"/>
      <c r="J10" s="488"/>
      <c r="K10" s="488"/>
      <c r="L10" s="489"/>
      <c r="M10" s="488"/>
      <c r="N10" s="488"/>
      <c r="O10" s="488"/>
      <c r="P10" s="488"/>
      <c r="Q10" s="489"/>
      <c r="R10" s="488"/>
      <c r="S10" s="488"/>
      <c r="T10" s="488"/>
      <c r="U10" s="488"/>
      <c r="V10" s="29"/>
      <c r="W10" s="488"/>
      <c r="X10" s="488"/>
      <c r="Y10" s="488"/>
      <c r="Z10" s="488"/>
      <c r="AA10" s="29"/>
      <c r="AB10" s="488"/>
      <c r="AC10" s="488"/>
      <c r="AD10" s="488"/>
      <c r="AE10" s="488"/>
      <c r="AF10" s="29"/>
      <c r="AG10" s="362"/>
      <c r="AH10" s="362"/>
      <c r="AI10" s="362"/>
      <c r="AJ10" s="362"/>
      <c r="AK10" s="29"/>
      <c r="AL10" s="362"/>
      <c r="AM10" s="362"/>
      <c r="AN10" s="362"/>
      <c r="AO10" s="362"/>
      <c r="AP10" s="29"/>
      <c r="AQ10" s="763"/>
      <c r="AR10" s="764"/>
      <c r="AS10" s="764"/>
      <c r="AT10" s="764"/>
      <c r="AU10" s="29"/>
      <c r="AV10" s="763"/>
      <c r="AW10" s="764"/>
      <c r="AX10" s="764"/>
      <c r="AY10" s="764"/>
      <c r="AZ10" s="29"/>
      <c r="BA10" s="29"/>
      <c r="BB10" s="763"/>
      <c r="BC10" s="764"/>
      <c r="BD10" s="764"/>
      <c r="BE10" s="764"/>
      <c r="BF10" s="29"/>
      <c r="BG10" s="763"/>
      <c r="BH10" s="764"/>
      <c r="BI10" s="764"/>
      <c r="BJ10" s="764"/>
      <c r="BK10" s="29"/>
      <c r="BL10" s="657">
        <f>BL9/BG9-1</f>
        <v>0.10494186046511622</v>
      </c>
      <c r="BM10" s="523">
        <f>BM9/BH9-1</f>
        <v>4.2345276872964188E-2</v>
      </c>
      <c r="BN10" s="523">
        <f>BN9/BI9-1</f>
        <v>6.8399452804377647E-2</v>
      </c>
      <c r="BO10" s="523">
        <f>BO9/BJ9-1</f>
        <v>-1.2840746054519236E-2</v>
      </c>
      <c r="BP10" s="1037" t="str">
        <f>IFERROR(BP9/BF9-1,"")</f>
        <v/>
      </c>
      <c r="BQ10" s="1034">
        <f t="shared" ref="BQ10" si="20">IFERROR(BQ9/BL9-1,"")</f>
        <v>-6.1387354205033717E-2</v>
      </c>
      <c r="BR10" s="523">
        <f t="shared" ref="BR10" si="21">IFERROR(BR9/BM9-1,"")</f>
        <v>-4.4375000000000053E-2</v>
      </c>
      <c r="BS10" s="523">
        <f t="shared" ref="BS10" si="22">IFERROR(BS9/BN9-1,"")</f>
        <v>-2.1126760563380254E-2</v>
      </c>
      <c r="BT10" s="1121">
        <f t="shared" ref="BT10" si="23">IFERROR(BT9/BO9-1,"")</f>
        <v>0</v>
      </c>
      <c r="BU10" s="1251">
        <f>IFERROR(BU9/BP9-1,"")</f>
        <v>-3.2278481012658289E-2</v>
      </c>
      <c r="BV10" s="323"/>
      <c r="BW10" s="323"/>
      <c r="BX10" s="323"/>
      <c r="BY10" s="323"/>
      <c r="BZ10" s="324">
        <v>0.02</v>
      </c>
      <c r="CA10" s="325"/>
      <c r="CB10" s="323"/>
      <c r="CC10" s="323"/>
      <c r="CD10" s="323"/>
      <c r="CE10" s="324">
        <v>0.02</v>
      </c>
      <c r="CF10" s="325"/>
      <c r="CG10" s="323"/>
      <c r="CH10" s="323"/>
      <c r="CI10" s="323"/>
      <c r="CJ10" s="324">
        <v>0.02</v>
      </c>
      <c r="CK10" s="226"/>
      <c r="CL10" s="245"/>
      <c r="CM10" s="998"/>
      <c r="CN10" s="997"/>
      <c r="CO10" s="997"/>
      <c r="CP10" s="997" t="s">
        <v>357</v>
      </c>
      <c r="CQ10" s="997"/>
      <c r="CR10" s="997"/>
      <c r="CS10" s="704"/>
      <c r="CT10" s="997"/>
      <c r="CU10" s="997"/>
      <c r="CV10" s="997"/>
      <c r="CW10" s="491"/>
      <c r="CX10" s="492"/>
      <c r="CY10" s="492"/>
      <c r="CZ10"/>
      <c r="DA10"/>
      <c r="DB10"/>
      <c r="DC10"/>
      <c r="DD10"/>
    </row>
    <row r="11" spans="1:108" s="493" customFormat="1" ht="11.25" customHeight="1">
      <c r="A11" s="1032" t="s">
        <v>363</v>
      </c>
      <c r="B11" s="500"/>
      <c r="C11" s="500"/>
      <c r="D11" s="500"/>
      <c r="E11" s="500"/>
      <c r="F11" s="502"/>
      <c r="G11" s="500"/>
      <c r="H11" s="501"/>
      <c r="I11" s="501"/>
      <c r="J11" s="501"/>
      <c r="K11" s="501"/>
      <c r="L11" s="500"/>
      <c r="M11" s="501"/>
      <c r="N11" s="501"/>
      <c r="O11" s="501"/>
      <c r="P11" s="501"/>
      <c r="Q11" s="500"/>
      <c r="R11" s="501"/>
      <c r="S11" s="501"/>
      <c r="T11" s="501"/>
      <c r="U11" s="501"/>
      <c r="V11" s="500"/>
      <c r="W11" s="501"/>
      <c r="X11" s="501"/>
      <c r="Y11" s="501"/>
      <c r="Z11" s="501"/>
      <c r="AA11" s="500"/>
      <c r="AB11" s="501"/>
      <c r="AC11" s="501"/>
      <c r="AD11" s="501"/>
      <c r="AE11" s="501"/>
      <c r="AF11" s="500"/>
      <c r="AG11" s="501"/>
      <c r="AH11" s="501"/>
      <c r="AI11" s="501"/>
      <c r="AJ11" s="501"/>
      <c r="AK11" s="500"/>
      <c r="AL11" s="501"/>
      <c r="AM11" s="501"/>
      <c r="AN11" s="501"/>
      <c r="AO11" s="501"/>
      <c r="AP11" s="500"/>
      <c r="AQ11" s="501"/>
      <c r="AR11" s="724"/>
      <c r="AS11" s="725"/>
      <c r="AT11" s="725"/>
      <c r="AU11" s="500"/>
      <c r="AV11" s="501"/>
      <c r="AW11" s="724"/>
      <c r="AX11" s="725"/>
      <c r="AY11" s="725"/>
      <c r="AZ11" s="500"/>
      <c r="BA11" s="500">
        <f>SUM(BA12:BA13)</f>
        <v>154</v>
      </c>
      <c r="BB11" s="502"/>
      <c r="BC11" s="501"/>
      <c r="BD11" s="501"/>
      <c r="BE11" s="501"/>
      <c r="BF11" s="500"/>
      <c r="BG11" s="502">
        <f>SUM(BG12:BG13)</f>
        <v>28</v>
      </c>
      <c r="BH11" s="952">
        <f t="shared" ref="BH11:BJ11" si="24">SUM(BH12:BH13)</f>
        <v>36</v>
      </c>
      <c r="BI11" s="952">
        <f t="shared" si="24"/>
        <v>30</v>
      </c>
      <c r="BJ11" s="952">
        <f t="shared" si="24"/>
        <v>27</v>
      </c>
      <c r="BK11" s="500">
        <f>SUM(BK12:BK13)</f>
        <v>121</v>
      </c>
      <c r="BL11" s="502">
        <f>SUM(BL12:BL13)</f>
        <v>30</v>
      </c>
      <c r="BM11" s="952">
        <f t="shared" ref="BM11" si="25">SUM(BM12:BM13)</f>
        <v>30</v>
      </c>
      <c r="BN11" s="952">
        <f t="shared" ref="BN11:BO11" si="26">SUM(BN12:BN13)</f>
        <v>30</v>
      </c>
      <c r="BO11" s="952">
        <f t="shared" si="26"/>
        <v>30</v>
      </c>
      <c r="BP11" s="502">
        <f>SUM(BP12:BP13)</f>
        <v>120</v>
      </c>
      <c r="BQ11" s="502">
        <f t="shared" ref="BQ11:BT11" si="27">SUM(BQ12:BQ13)</f>
        <v>31</v>
      </c>
      <c r="BR11" s="501">
        <f t="shared" si="27"/>
        <v>31</v>
      </c>
      <c r="BS11" s="501">
        <f t="shared" si="27"/>
        <v>31</v>
      </c>
      <c r="BT11" s="1110">
        <f t="shared" si="27"/>
        <v>33</v>
      </c>
      <c r="BU11" s="500">
        <f>SUM(BU12:BU13)</f>
        <v>126</v>
      </c>
      <c r="BV11" s="501"/>
      <c r="BW11" s="501"/>
      <c r="BX11" s="501"/>
      <c r="BY11" s="501"/>
      <c r="BZ11" s="500">
        <f>SUM(BZ12:BZ13)</f>
        <v>130</v>
      </c>
      <c r="CA11" s="502"/>
      <c r="CB11" s="501"/>
      <c r="CC11" s="501"/>
      <c r="CD11" s="501"/>
      <c r="CE11" s="500">
        <f>SUM(CE12:CE13)</f>
        <v>138</v>
      </c>
      <c r="CF11" s="502"/>
      <c r="CG11" s="501"/>
      <c r="CH11" s="501"/>
      <c r="CI11" s="501"/>
      <c r="CJ11" s="500">
        <f>SUM(CJ12:CJ13)</f>
        <v>148</v>
      </c>
      <c r="CK11" s="226"/>
      <c r="CL11" s="245"/>
      <c r="CM11" s="704"/>
      <c r="CN11" s="997"/>
      <c r="CO11" s="997"/>
      <c r="CP11" s="997" t="s">
        <v>356</v>
      </c>
      <c r="CQ11" s="997"/>
      <c r="CR11" s="997"/>
      <c r="CS11" s="997"/>
      <c r="CT11" s="997"/>
      <c r="CU11" s="997"/>
      <c r="CV11" s="997"/>
      <c r="CW11" s="491"/>
      <c r="CX11" s="492"/>
      <c r="CY11" s="492"/>
      <c r="CZ11"/>
      <c r="DA11"/>
      <c r="DB11"/>
      <c r="DC11"/>
      <c r="DD11"/>
    </row>
    <row r="12" spans="1:108" s="493" customFormat="1" ht="11.25" customHeight="1">
      <c r="A12" s="1033" t="s">
        <v>208</v>
      </c>
      <c r="B12" s="489"/>
      <c r="C12" s="489"/>
      <c r="D12" s="489"/>
      <c r="E12" s="489"/>
      <c r="F12" s="503"/>
      <c r="G12" s="489"/>
      <c r="H12" s="488"/>
      <c r="I12" s="488"/>
      <c r="J12" s="488"/>
      <c r="K12" s="488"/>
      <c r="L12" s="489"/>
      <c r="M12" s="488"/>
      <c r="N12" s="488"/>
      <c r="O12" s="488"/>
      <c r="P12" s="488"/>
      <c r="Q12" s="489"/>
      <c r="R12" s="488"/>
      <c r="S12" s="488"/>
      <c r="T12" s="488"/>
      <c r="U12" s="488"/>
      <c r="V12" s="489"/>
      <c r="W12" s="488"/>
      <c r="X12" s="488"/>
      <c r="Y12" s="488"/>
      <c r="Z12" s="488"/>
      <c r="AA12" s="489"/>
      <c r="AB12" s="488"/>
      <c r="AC12" s="488"/>
      <c r="AD12" s="488"/>
      <c r="AE12" s="488"/>
      <c r="AF12" s="489"/>
      <c r="AG12" s="488"/>
      <c r="AH12" s="488"/>
      <c r="AI12" s="488"/>
      <c r="AJ12" s="488"/>
      <c r="AK12" s="489"/>
      <c r="AL12" s="488"/>
      <c r="AM12" s="488"/>
      <c r="AN12" s="488"/>
      <c r="AO12" s="488"/>
      <c r="AP12" s="489"/>
      <c r="AQ12" s="488"/>
      <c r="AR12" s="723"/>
      <c r="AS12" s="726"/>
      <c r="AT12" s="726"/>
      <c r="AU12" s="489"/>
      <c r="AV12" s="488"/>
      <c r="AW12" s="723"/>
      <c r="AX12" s="726"/>
      <c r="AY12" s="726"/>
      <c r="AZ12" s="489"/>
      <c r="BA12" s="489">
        <v>120</v>
      </c>
      <c r="BB12" s="503"/>
      <c r="BC12" s="488"/>
      <c r="BD12" s="488"/>
      <c r="BE12" s="488"/>
      <c r="BF12" s="489"/>
      <c r="BG12" s="503">
        <v>20</v>
      </c>
      <c r="BH12" s="488">
        <v>29</v>
      </c>
      <c r="BI12" s="488">
        <v>24</v>
      </c>
      <c r="BJ12" s="488">
        <f>BK12-BI12-BH12-BG12</f>
        <v>21</v>
      </c>
      <c r="BK12" s="489">
        <v>94</v>
      </c>
      <c r="BL12" s="503">
        <v>23</v>
      </c>
      <c r="BM12" s="981">
        <v>23</v>
      </c>
      <c r="BN12" s="1023">
        <v>21</v>
      </c>
      <c r="BO12" s="1023">
        <v>23</v>
      </c>
      <c r="BP12" s="1039">
        <f>SUM(BL12:BO12)</f>
        <v>90</v>
      </c>
      <c r="BQ12" s="1170">
        <v>23</v>
      </c>
      <c r="BR12" s="1171">
        <v>23</v>
      </c>
      <c r="BS12" s="1171">
        <v>23</v>
      </c>
      <c r="BT12" s="1172">
        <v>24</v>
      </c>
      <c r="BU12" s="1252">
        <f>SUM(BQ12:BT12)</f>
        <v>93</v>
      </c>
      <c r="BV12" s="488"/>
      <c r="BW12" s="488"/>
      <c r="BX12" s="488"/>
      <c r="BY12" s="488"/>
      <c r="BZ12" s="1248">
        <f>+BU12+2</f>
        <v>95</v>
      </c>
      <c r="CA12" s="1170"/>
      <c r="CB12" s="1171"/>
      <c r="CC12" s="1171"/>
      <c r="CD12" s="1171"/>
      <c r="CE12" s="1248">
        <f>+BZ12+4</f>
        <v>99</v>
      </c>
      <c r="CF12" s="1170"/>
      <c r="CG12" s="1171"/>
      <c r="CH12" s="1171"/>
      <c r="CI12" s="1171"/>
      <c r="CJ12" s="1248">
        <f>+CE12+5</f>
        <v>104</v>
      </c>
      <c r="CK12" s="226"/>
      <c r="CL12" s="245"/>
      <c r="CM12" s="704"/>
      <c r="CN12" s="997"/>
      <c r="CO12" s="997"/>
      <c r="CP12" s="997"/>
      <c r="CQ12" s="997"/>
      <c r="CR12" s="997"/>
      <c r="CS12" s="997"/>
      <c r="CT12" s="997"/>
      <c r="CU12" s="997"/>
      <c r="CV12" s="997"/>
      <c r="CW12" s="491"/>
      <c r="CX12" s="492"/>
      <c r="CY12" s="492"/>
      <c r="CZ12"/>
      <c r="DA12"/>
      <c r="DB12"/>
      <c r="DC12"/>
      <c r="DD12"/>
    </row>
    <row r="13" spans="1:108" s="493" customFormat="1" ht="11.25" customHeight="1">
      <c r="A13" s="1033" t="s">
        <v>265</v>
      </c>
      <c r="B13" s="489"/>
      <c r="C13" s="489"/>
      <c r="D13" s="489"/>
      <c r="E13" s="489"/>
      <c r="F13" s="503"/>
      <c r="G13" s="489"/>
      <c r="H13" s="488"/>
      <c r="I13" s="488"/>
      <c r="J13" s="488"/>
      <c r="K13" s="488"/>
      <c r="L13" s="489"/>
      <c r="M13" s="488"/>
      <c r="N13" s="488"/>
      <c r="O13" s="488"/>
      <c r="P13" s="488"/>
      <c r="Q13" s="489"/>
      <c r="R13" s="488"/>
      <c r="S13" s="488"/>
      <c r="T13" s="488"/>
      <c r="U13" s="488"/>
      <c r="V13" s="489"/>
      <c r="W13" s="488"/>
      <c r="X13" s="488"/>
      <c r="Y13" s="488"/>
      <c r="Z13" s="488"/>
      <c r="AA13" s="489"/>
      <c r="AB13" s="488"/>
      <c r="AC13" s="488"/>
      <c r="AD13" s="488"/>
      <c r="AE13" s="488"/>
      <c r="AF13" s="489"/>
      <c r="AG13" s="488"/>
      <c r="AH13" s="488"/>
      <c r="AI13" s="488"/>
      <c r="AJ13" s="488"/>
      <c r="AK13" s="489"/>
      <c r="AL13" s="488"/>
      <c r="AM13" s="488"/>
      <c r="AN13" s="488"/>
      <c r="AO13" s="488"/>
      <c r="AP13" s="489"/>
      <c r="AQ13" s="488"/>
      <c r="AR13" s="723"/>
      <c r="AS13" s="726"/>
      <c r="AT13" s="726"/>
      <c r="AU13" s="489"/>
      <c r="AV13" s="488"/>
      <c r="AW13" s="723"/>
      <c r="AX13" s="726"/>
      <c r="AY13" s="726"/>
      <c r="AZ13" s="489"/>
      <c r="BA13" s="489">
        <v>34</v>
      </c>
      <c r="BB13" s="503"/>
      <c r="BC13" s="488"/>
      <c r="BD13" s="488"/>
      <c r="BE13" s="488"/>
      <c r="BF13" s="489"/>
      <c r="BG13" s="503">
        <v>8</v>
      </c>
      <c r="BH13" s="488">
        <v>7</v>
      </c>
      <c r="BI13" s="488">
        <v>6</v>
      </c>
      <c r="BJ13" s="488">
        <f>BK13-BI13-BH13-BG13</f>
        <v>6</v>
      </c>
      <c r="BK13" s="489">
        <v>27</v>
      </c>
      <c r="BL13" s="503">
        <v>7</v>
      </c>
      <c r="BM13" s="981">
        <v>7</v>
      </c>
      <c r="BN13" s="981">
        <v>9</v>
      </c>
      <c r="BO13" s="1023">
        <v>7</v>
      </c>
      <c r="BP13" s="1039">
        <f>SUM(BL13:BO13)</f>
        <v>30</v>
      </c>
      <c r="BQ13" s="1170">
        <v>8</v>
      </c>
      <c r="BR13" s="1171">
        <v>8</v>
      </c>
      <c r="BS13" s="1171">
        <v>8</v>
      </c>
      <c r="BT13" s="1172">
        <v>9</v>
      </c>
      <c r="BU13" s="1039">
        <f>SUM(BQ13:BT13)</f>
        <v>33</v>
      </c>
      <c r="BV13" s="503"/>
      <c r="BW13" s="488"/>
      <c r="BX13" s="488"/>
      <c r="BY13" s="488"/>
      <c r="BZ13" s="953">
        <f>+BU13+2</f>
        <v>35</v>
      </c>
      <c r="CA13" s="503"/>
      <c r="CB13" s="488"/>
      <c r="CC13" s="488"/>
      <c r="CD13" s="488"/>
      <c r="CE13" s="953">
        <f>+BZ13+4</f>
        <v>39</v>
      </c>
      <c r="CF13" s="503"/>
      <c r="CG13" s="488"/>
      <c r="CH13" s="488"/>
      <c r="CI13" s="488"/>
      <c r="CJ13" s="953">
        <f>+CE13+5</f>
        <v>44</v>
      </c>
      <c r="CK13" s="226"/>
      <c r="CL13" s="245"/>
      <c r="CM13" s="704"/>
      <c r="CN13" s="997"/>
      <c r="CO13" s="997"/>
      <c r="CP13" s="997"/>
      <c r="CQ13" s="997"/>
      <c r="CR13" s="997"/>
      <c r="CS13" s="997"/>
      <c r="CT13" s="997"/>
      <c r="CU13" s="997"/>
      <c r="CV13" s="997"/>
      <c r="CW13" s="491"/>
      <c r="CX13" s="492"/>
      <c r="CY13" s="492"/>
      <c r="CZ13"/>
      <c r="DA13"/>
      <c r="DB13"/>
      <c r="DC13"/>
      <c r="DD13"/>
    </row>
    <row r="14" spans="1:108" s="493" customFormat="1" ht="11.25" hidden="1" customHeight="1" outlineLevel="1">
      <c r="A14" s="671" t="s">
        <v>264</v>
      </c>
      <c r="B14" s="500"/>
      <c r="C14" s="500"/>
      <c r="D14" s="500"/>
      <c r="E14" s="500"/>
      <c r="F14" s="502"/>
      <c r="G14" s="500"/>
      <c r="H14" s="501">
        <v>30</v>
      </c>
      <c r="I14" s="501">
        <v>36</v>
      </c>
      <c r="J14" s="501">
        <v>37</v>
      </c>
      <c r="K14" s="501">
        <v>35</v>
      </c>
      <c r="L14" s="500">
        <f t="shared" ref="L14:L19" si="28">SUM(H14:K14)</f>
        <v>138</v>
      </c>
      <c r="M14" s="501">
        <v>37</v>
      </c>
      <c r="N14" s="501">
        <v>39</v>
      </c>
      <c r="O14" s="501">
        <v>39</v>
      </c>
      <c r="P14" s="501">
        <v>41</v>
      </c>
      <c r="Q14" s="500">
        <f t="shared" ref="Q14:Q19" si="29">SUM(M14:P14)</f>
        <v>156</v>
      </c>
      <c r="R14" s="501">
        <v>31</v>
      </c>
      <c r="S14" s="501">
        <v>26</v>
      </c>
      <c r="T14" s="501">
        <v>17</v>
      </c>
      <c r="U14" s="501">
        <v>20</v>
      </c>
      <c r="V14" s="500">
        <f t="shared" ref="V14:V19" si="30">SUM(R14:U14)</f>
        <v>94</v>
      </c>
      <c r="W14" s="501">
        <v>28</v>
      </c>
      <c r="X14" s="501">
        <v>28</v>
      </c>
      <c r="Y14" s="501">
        <v>23</v>
      </c>
      <c r="Z14" s="501">
        <v>20</v>
      </c>
      <c r="AA14" s="500">
        <f t="shared" ref="AA14:AA19" si="31">SUM(W14:Z14)</f>
        <v>99</v>
      </c>
      <c r="AB14" s="501">
        <v>24</v>
      </c>
      <c r="AC14" s="501">
        <v>23</v>
      </c>
      <c r="AD14" s="501">
        <v>25</v>
      </c>
      <c r="AE14" s="501">
        <v>35</v>
      </c>
      <c r="AF14" s="500">
        <f t="shared" ref="AF14:AF19" si="32">SUM(AB14:AE14)</f>
        <v>107</v>
      </c>
      <c r="AG14" s="501">
        <v>28</v>
      </c>
      <c r="AH14" s="501">
        <v>26</v>
      </c>
      <c r="AI14" s="501">
        <v>34</v>
      </c>
      <c r="AJ14" s="501">
        <v>33</v>
      </c>
      <c r="AK14" s="500">
        <f t="shared" ref="AK14:AK19" si="33">SUM(AG14:AJ14)</f>
        <v>121</v>
      </c>
      <c r="AL14" s="501">
        <v>30</v>
      </c>
      <c r="AM14" s="501">
        <v>35</v>
      </c>
      <c r="AN14" s="501">
        <v>34</v>
      </c>
      <c r="AO14" s="501">
        <v>40</v>
      </c>
      <c r="AP14" s="500">
        <f t="shared" ref="AP14:AP19" si="34">SUM(AL14:AO14)</f>
        <v>139</v>
      </c>
      <c r="AQ14" s="501">
        <v>35</v>
      </c>
      <c r="AR14" s="724">
        <v>33</v>
      </c>
      <c r="AS14" s="725">
        <v>38</v>
      </c>
      <c r="AT14" s="725">
        <v>38</v>
      </c>
      <c r="AU14" s="500">
        <f t="shared" ref="AU14:AU19" si="35">SUM(AQ14:AT14)</f>
        <v>144</v>
      </c>
      <c r="AV14" s="501">
        <v>34</v>
      </c>
      <c r="AW14" s="724">
        <v>36</v>
      </c>
      <c r="AX14" s="725">
        <v>40</v>
      </c>
      <c r="AY14" s="725">
        <v>37</v>
      </c>
      <c r="AZ14" s="500">
        <f t="shared" ref="AZ14:AZ19" si="36">SUM(AV14:AY14)</f>
        <v>147</v>
      </c>
      <c r="BA14" s="500"/>
      <c r="BB14" s="502">
        <v>31</v>
      </c>
      <c r="BC14" s="501">
        <v>31</v>
      </c>
      <c r="BD14" s="501">
        <v>30</v>
      </c>
      <c r="BE14" s="501">
        <v>36</v>
      </c>
      <c r="BF14" s="500">
        <f t="shared" ref="BF14:BF19" si="37">SUM(BB14:BE14)</f>
        <v>128</v>
      </c>
      <c r="BG14" s="502"/>
      <c r="BH14" s="501"/>
      <c r="BI14" s="501"/>
      <c r="BJ14" s="501"/>
      <c r="BK14" s="500"/>
      <c r="BL14" s="502"/>
      <c r="BM14" s="501"/>
      <c r="BN14" s="501"/>
      <c r="BO14" s="501"/>
      <c r="BP14" s="502"/>
      <c r="BQ14" s="502"/>
      <c r="BR14" s="501"/>
      <c r="BS14" s="501"/>
      <c r="BT14" s="1110"/>
      <c r="BU14" s="500"/>
      <c r="BV14" s="502"/>
      <c r="BW14" s="501"/>
      <c r="BX14" s="501"/>
      <c r="BY14" s="501"/>
      <c r="BZ14" s="500"/>
      <c r="CA14" s="502"/>
      <c r="CB14" s="501"/>
      <c r="CC14" s="501"/>
      <c r="CD14" s="501"/>
      <c r="CE14" s="500"/>
      <c r="CF14" s="502"/>
      <c r="CG14" s="501"/>
      <c r="CH14" s="501"/>
      <c r="CI14" s="501"/>
      <c r="CJ14" s="500"/>
      <c r="CK14" s="226"/>
      <c r="CL14" s="245"/>
      <c r="CM14" s="704"/>
      <c r="CN14" s="997"/>
      <c r="CO14" s="997"/>
      <c r="CP14" s="997" t="s">
        <v>359</v>
      </c>
      <c r="CQ14" s="997"/>
      <c r="CR14" s="997"/>
      <c r="CS14" s="997"/>
      <c r="CT14" s="997"/>
      <c r="CU14" s="997"/>
      <c r="CV14" s="997"/>
      <c r="CW14" s="491"/>
      <c r="CX14" s="492"/>
      <c r="CY14" s="492"/>
      <c r="CZ14"/>
      <c r="DA14"/>
      <c r="DB14"/>
      <c r="DC14"/>
      <c r="DD14"/>
    </row>
    <row r="15" spans="1:108" s="493" customFormat="1" ht="11.25" hidden="1" customHeight="1" outlineLevel="1">
      <c r="A15" s="669" t="s">
        <v>208</v>
      </c>
      <c r="B15" s="489"/>
      <c r="C15" s="489"/>
      <c r="D15" s="489"/>
      <c r="E15" s="489"/>
      <c r="F15" s="503"/>
      <c r="G15" s="489"/>
      <c r="H15" s="488">
        <v>19</v>
      </c>
      <c r="I15" s="488">
        <v>20</v>
      </c>
      <c r="J15" s="488">
        <v>21</v>
      </c>
      <c r="K15" s="488">
        <v>19</v>
      </c>
      <c r="L15" s="489">
        <f t="shared" si="28"/>
        <v>79</v>
      </c>
      <c r="M15" s="488">
        <v>22</v>
      </c>
      <c r="N15" s="488">
        <v>22</v>
      </c>
      <c r="O15" s="488">
        <v>23</v>
      </c>
      <c r="P15" s="488">
        <v>20</v>
      </c>
      <c r="Q15" s="489">
        <f t="shared" si="29"/>
        <v>87</v>
      </c>
      <c r="R15" s="488">
        <v>22</v>
      </c>
      <c r="S15" s="488">
        <v>20</v>
      </c>
      <c r="T15" s="488">
        <v>14</v>
      </c>
      <c r="U15" s="488">
        <v>19</v>
      </c>
      <c r="V15" s="489">
        <f t="shared" si="30"/>
        <v>75</v>
      </c>
      <c r="W15" s="488">
        <v>20</v>
      </c>
      <c r="X15" s="488">
        <v>20</v>
      </c>
      <c r="Y15" s="488">
        <v>17</v>
      </c>
      <c r="Z15" s="488">
        <v>18</v>
      </c>
      <c r="AA15" s="489">
        <f t="shared" si="31"/>
        <v>75</v>
      </c>
      <c r="AB15" s="488">
        <v>20</v>
      </c>
      <c r="AC15" s="488">
        <v>20</v>
      </c>
      <c r="AD15" s="488">
        <v>20</v>
      </c>
      <c r="AE15" s="488">
        <v>30</v>
      </c>
      <c r="AF15" s="489">
        <f t="shared" si="32"/>
        <v>90</v>
      </c>
      <c r="AG15" s="488">
        <v>26</v>
      </c>
      <c r="AH15" s="488">
        <v>24</v>
      </c>
      <c r="AI15" s="488">
        <v>28</v>
      </c>
      <c r="AJ15" s="488">
        <v>26</v>
      </c>
      <c r="AK15" s="489">
        <f t="shared" si="33"/>
        <v>104</v>
      </c>
      <c r="AL15" s="488">
        <v>25</v>
      </c>
      <c r="AM15" s="488">
        <v>30</v>
      </c>
      <c r="AN15" s="488">
        <v>28</v>
      </c>
      <c r="AO15" s="488">
        <v>27</v>
      </c>
      <c r="AP15" s="489">
        <f t="shared" si="34"/>
        <v>110</v>
      </c>
      <c r="AQ15" s="488">
        <v>29</v>
      </c>
      <c r="AR15" s="723">
        <v>26</v>
      </c>
      <c r="AS15" s="726">
        <v>32</v>
      </c>
      <c r="AT15" s="726">
        <v>28</v>
      </c>
      <c r="AU15" s="489">
        <f t="shared" si="35"/>
        <v>115</v>
      </c>
      <c r="AV15" s="488">
        <v>27</v>
      </c>
      <c r="AW15" s="723">
        <v>29</v>
      </c>
      <c r="AX15" s="726">
        <v>31</v>
      </c>
      <c r="AY15" s="726">
        <v>25</v>
      </c>
      <c r="AZ15" s="489">
        <f t="shared" si="36"/>
        <v>112</v>
      </c>
      <c r="BA15" s="489"/>
      <c r="BB15" s="503">
        <v>25</v>
      </c>
      <c r="BC15" s="488">
        <v>25</v>
      </c>
      <c r="BD15" s="488">
        <v>24</v>
      </c>
      <c r="BE15" s="488">
        <v>30</v>
      </c>
      <c r="BF15" s="489">
        <f t="shared" si="37"/>
        <v>104</v>
      </c>
      <c r="BG15" s="503"/>
      <c r="BH15" s="488"/>
      <c r="BI15" s="488"/>
      <c r="BJ15" s="488"/>
      <c r="BK15" s="489"/>
      <c r="BL15" s="503"/>
      <c r="BM15" s="488"/>
      <c r="BN15" s="488"/>
      <c r="BO15" s="488"/>
      <c r="BP15" s="1040"/>
      <c r="BQ15" s="503"/>
      <c r="BR15" s="488"/>
      <c r="BS15" s="488"/>
      <c r="BT15" s="1111"/>
      <c r="BU15" s="489"/>
      <c r="BV15" s="503"/>
      <c r="BW15" s="488"/>
      <c r="BX15" s="488"/>
      <c r="BY15" s="488"/>
      <c r="BZ15" s="489"/>
      <c r="CA15" s="503"/>
      <c r="CB15" s="488"/>
      <c r="CC15" s="488"/>
      <c r="CD15" s="488"/>
      <c r="CE15" s="489"/>
      <c r="CF15" s="503"/>
      <c r="CG15" s="488"/>
      <c r="CH15" s="488"/>
      <c r="CI15" s="488"/>
      <c r="CJ15" s="489"/>
      <c r="CK15" s="226"/>
      <c r="CL15" s="245"/>
      <c r="CM15" s="704"/>
      <c r="CN15" s="997"/>
      <c r="CO15" s="997"/>
      <c r="CP15" s="997"/>
      <c r="CQ15" s="997"/>
      <c r="CR15" s="997"/>
      <c r="CS15" s="997"/>
      <c r="CT15" s="997"/>
      <c r="CU15" s="997"/>
      <c r="CV15" s="997"/>
      <c r="CW15" s="491"/>
      <c r="CX15" s="492"/>
      <c r="CY15" s="492"/>
      <c r="CZ15"/>
      <c r="DA15"/>
      <c r="DB15"/>
      <c r="DC15"/>
      <c r="DD15"/>
    </row>
    <row r="16" spans="1:108" s="493" customFormat="1" ht="11.25" hidden="1" customHeight="1" outlineLevel="1">
      <c r="A16" s="669" t="s">
        <v>265</v>
      </c>
      <c r="B16" s="489"/>
      <c r="C16" s="489"/>
      <c r="D16" s="489"/>
      <c r="E16" s="489"/>
      <c r="F16" s="503"/>
      <c r="G16" s="489"/>
      <c r="H16" s="488">
        <v>11</v>
      </c>
      <c r="I16" s="488">
        <v>16</v>
      </c>
      <c r="J16" s="488">
        <v>16</v>
      </c>
      <c r="K16" s="488">
        <v>16</v>
      </c>
      <c r="L16" s="489">
        <f t="shared" si="28"/>
        <v>59</v>
      </c>
      <c r="M16" s="488">
        <v>15</v>
      </c>
      <c r="N16" s="488">
        <v>17</v>
      </c>
      <c r="O16" s="488">
        <v>16</v>
      </c>
      <c r="P16" s="488">
        <v>21</v>
      </c>
      <c r="Q16" s="489">
        <f t="shared" si="29"/>
        <v>69</v>
      </c>
      <c r="R16" s="488">
        <v>9</v>
      </c>
      <c r="S16" s="488">
        <v>6</v>
      </c>
      <c r="T16" s="488">
        <v>3</v>
      </c>
      <c r="U16" s="488">
        <v>1</v>
      </c>
      <c r="V16" s="489">
        <f t="shared" si="30"/>
        <v>19</v>
      </c>
      <c r="W16" s="488">
        <v>8</v>
      </c>
      <c r="X16" s="488">
        <v>8</v>
      </c>
      <c r="Y16" s="488">
        <v>6</v>
      </c>
      <c r="Z16" s="488">
        <v>2</v>
      </c>
      <c r="AA16" s="489">
        <f t="shared" si="31"/>
        <v>24</v>
      </c>
      <c r="AB16" s="488">
        <v>4</v>
      </c>
      <c r="AC16" s="488">
        <v>3</v>
      </c>
      <c r="AD16" s="488">
        <v>5</v>
      </c>
      <c r="AE16" s="488">
        <v>5</v>
      </c>
      <c r="AF16" s="489">
        <f t="shared" si="32"/>
        <v>17</v>
      </c>
      <c r="AG16" s="488">
        <v>2</v>
      </c>
      <c r="AH16" s="488">
        <v>2</v>
      </c>
      <c r="AI16" s="488">
        <v>6</v>
      </c>
      <c r="AJ16" s="488">
        <v>7</v>
      </c>
      <c r="AK16" s="489">
        <f t="shared" si="33"/>
        <v>17</v>
      </c>
      <c r="AL16" s="488">
        <v>5</v>
      </c>
      <c r="AM16" s="488">
        <v>5</v>
      </c>
      <c r="AN16" s="488">
        <v>6</v>
      </c>
      <c r="AO16" s="488">
        <v>13</v>
      </c>
      <c r="AP16" s="489">
        <f t="shared" si="34"/>
        <v>29</v>
      </c>
      <c r="AQ16" s="488">
        <v>6</v>
      </c>
      <c r="AR16" s="723">
        <v>7</v>
      </c>
      <c r="AS16" s="726">
        <v>6</v>
      </c>
      <c r="AT16" s="726">
        <v>10</v>
      </c>
      <c r="AU16" s="489">
        <f t="shared" si="35"/>
        <v>29</v>
      </c>
      <c r="AV16" s="488">
        <v>7</v>
      </c>
      <c r="AW16" s="723">
        <v>7</v>
      </c>
      <c r="AX16" s="726">
        <v>9</v>
      </c>
      <c r="AY16" s="726">
        <v>12</v>
      </c>
      <c r="AZ16" s="489">
        <f t="shared" si="36"/>
        <v>35</v>
      </c>
      <c r="BA16" s="489"/>
      <c r="BB16" s="503">
        <v>6</v>
      </c>
      <c r="BC16" s="488">
        <v>6</v>
      </c>
      <c r="BD16" s="488">
        <v>6</v>
      </c>
      <c r="BE16" s="488">
        <v>6</v>
      </c>
      <c r="BF16" s="489">
        <f t="shared" si="37"/>
        <v>24</v>
      </c>
      <c r="BG16" s="503"/>
      <c r="BH16" s="488"/>
      <c r="BI16" s="488"/>
      <c r="BJ16" s="488"/>
      <c r="BK16" s="489"/>
      <c r="BL16" s="503"/>
      <c r="BM16" s="488"/>
      <c r="BN16" s="488"/>
      <c r="BO16" s="488"/>
      <c r="BP16" s="1040"/>
      <c r="BQ16" s="503"/>
      <c r="BR16" s="488"/>
      <c r="BS16" s="488"/>
      <c r="BT16" s="1111"/>
      <c r="BU16" s="489"/>
      <c r="BV16" s="503"/>
      <c r="BW16" s="488"/>
      <c r="BX16" s="488"/>
      <c r="BY16" s="488"/>
      <c r="BZ16" s="489"/>
      <c r="CA16" s="503"/>
      <c r="CB16" s="488"/>
      <c r="CC16" s="488"/>
      <c r="CD16" s="488"/>
      <c r="CE16" s="489"/>
      <c r="CF16" s="503"/>
      <c r="CG16" s="488"/>
      <c r="CH16" s="488"/>
      <c r="CI16" s="488"/>
      <c r="CJ16" s="489"/>
      <c r="CK16" s="226"/>
      <c r="CL16" s="245"/>
      <c r="CM16" s="704"/>
      <c r="CN16" s="997"/>
      <c r="CO16" s="997"/>
      <c r="CP16" s="997"/>
      <c r="CQ16" s="997"/>
      <c r="CR16" s="997"/>
      <c r="CS16" s="997"/>
      <c r="CT16" s="997"/>
      <c r="CU16" s="997"/>
      <c r="CV16" s="997"/>
      <c r="CW16" s="491"/>
      <c r="CX16" s="492"/>
      <c r="CY16" s="492"/>
      <c r="CZ16"/>
      <c r="DA16"/>
      <c r="DB16"/>
      <c r="DC16"/>
      <c r="DD16"/>
    </row>
    <row r="17" spans="1:108" s="493" customFormat="1" ht="11.25" hidden="1" customHeight="1" outlineLevel="1">
      <c r="A17" s="671" t="s">
        <v>266</v>
      </c>
      <c r="B17" s="500"/>
      <c r="C17" s="500"/>
      <c r="D17" s="500"/>
      <c r="E17" s="500"/>
      <c r="F17" s="502"/>
      <c r="G17" s="500"/>
      <c r="H17" s="501">
        <v>30</v>
      </c>
      <c r="I17" s="501">
        <v>36</v>
      </c>
      <c r="J17" s="501">
        <v>35</v>
      </c>
      <c r="K17" s="501">
        <v>37</v>
      </c>
      <c r="L17" s="500">
        <f t="shared" si="28"/>
        <v>138</v>
      </c>
      <c r="M17" s="501">
        <v>36</v>
      </c>
      <c r="N17" s="501">
        <v>40</v>
      </c>
      <c r="O17" s="501">
        <v>38</v>
      </c>
      <c r="P17" s="501">
        <v>38</v>
      </c>
      <c r="Q17" s="500">
        <f t="shared" si="29"/>
        <v>152</v>
      </c>
      <c r="R17" s="501">
        <v>34</v>
      </c>
      <c r="S17" s="501">
        <v>31</v>
      </c>
      <c r="T17" s="501">
        <v>24</v>
      </c>
      <c r="U17" s="501">
        <v>21</v>
      </c>
      <c r="V17" s="500">
        <f t="shared" si="30"/>
        <v>110</v>
      </c>
      <c r="W17" s="501">
        <v>17</v>
      </c>
      <c r="X17" s="501">
        <v>24</v>
      </c>
      <c r="Y17" s="501">
        <v>24</v>
      </c>
      <c r="Z17" s="501">
        <v>24</v>
      </c>
      <c r="AA17" s="500">
        <f t="shared" si="31"/>
        <v>89</v>
      </c>
      <c r="AB17" s="501">
        <v>24</v>
      </c>
      <c r="AC17" s="501">
        <v>22</v>
      </c>
      <c r="AD17" s="501">
        <v>26</v>
      </c>
      <c r="AE17" s="501">
        <v>27</v>
      </c>
      <c r="AF17" s="500">
        <f t="shared" si="32"/>
        <v>99</v>
      </c>
      <c r="AG17" s="501">
        <v>19</v>
      </c>
      <c r="AH17" s="501">
        <v>21</v>
      </c>
      <c r="AI17" s="501">
        <v>17</v>
      </c>
      <c r="AJ17" s="501">
        <v>37</v>
      </c>
      <c r="AK17" s="500">
        <f t="shared" si="33"/>
        <v>94</v>
      </c>
      <c r="AL17" s="501">
        <v>29</v>
      </c>
      <c r="AM17" s="501">
        <v>36</v>
      </c>
      <c r="AN17" s="501">
        <v>38</v>
      </c>
      <c r="AO17" s="501">
        <v>41</v>
      </c>
      <c r="AP17" s="500">
        <f t="shared" si="34"/>
        <v>144</v>
      </c>
      <c r="AQ17" s="501">
        <v>39</v>
      </c>
      <c r="AR17" s="724">
        <v>38</v>
      </c>
      <c r="AS17" s="725">
        <v>31</v>
      </c>
      <c r="AT17" s="725">
        <v>42</v>
      </c>
      <c r="AU17" s="500">
        <f t="shared" si="35"/>
        <v>150</v>
      </c>
      <c r="AV17" s="501">
        <v>32</v>
      </c>
      <c r="AW17" s="724">
        <v>41</v>
      </c>
      <c r="AX17" s="725">
        <v>43</v>
      </c>
      <c r="AY17" s="725">
        <v>38</v>
      </c>
      <c r="AZ17" s="500">
        <f t="shared" si="36"/>
        <v>154</v>
      </c>
      <c r="BA17" s="500"/>
      <c r="BB17" s="502">
        <v>27</v>
      </c>
      <c r="BC17" s="501">
        <v>34</v>
      </c>
      <c r="BD17" s="501">
        <v>27</v>
      </c>
      <c r="BE17" s="501">
        <v>27</v>
      </c>
      <c r="BF17" s="500">
        <f t="shared" si="37"/>
        <v>115</v>
      </c>
      <c r="BG17" s="502"/>
      <c r="BH17" s="501"/>
      <c r="BI17" s="501"/>
      <c r="BJ17" s="501"/>
      <c r="BK17" s="500"/>
      <c r="BL17" s="502"/>
      <c r="BM17" s="501"/>
      <c r="BN17" s="501"/>
      <c r="BO17" s="501"/>
      <c r="BP17" s="502"/>
      <c r="BQ17" s="502"/>
      <c r="BR17" s="501"/>
      <c r="BS17" s="501"/>
      <c r="BT17" s="1110"/>
      <c r="BU17" s="500"/>
      <c r="BV17" s="502"/>
      <c r="BW17" s="501"/>
      <c r="BX17" s="501"/>
      <c r="BY17" s="501"/>
      <c r="BZ17" s="500"/>
      <c r="CA17" s="502"/>
      <c r="CB17" s="501"/>
      <c r="CC17" s="501"/>
      <c r="CD17" s="501"/>
      <c r="CE17" s="500"/>
      <c r="CF17" s="502"/>
      <c r="CG17" s="501"/>
      <c r="CH17" s="501"/>
      <c r="CI17" s="501"/>
      <c r="CJ17" s="500"/>
      <c r="CK17" s="226"/>
      <c r="CL17" s="245"/>
      <c r="CM17" s="704"/>
      <c r="CN17" s="997"/>
      <c r="CO17" s="997"/>
      <c r="CP17" s="997"/>
      <c r="CQ17" s="997"/>
      <c r="CR17" s="997"/>
      <c r="CS17" s="997"/>
      <c r="CT17" s="997"/>
      <c r="CU17" s="997"/>
      <c r="CV17" s="997"/>
      <c r="CW17" s="491"/>
      <c r="CX17" s="492"/>
      <c r="CY17" s="492"/>
      <c r="CZ17"/>
      <c r="DA17"/>
      <c r="DB17"/>
      <c r="DC17"/>
      <c r="DD17"/>
    </row>
    <row r="18" spans="1:108" s="493" customFormat="1" ht="11.25" hidden="1" customHeight="1" outlineLevel="1">
      <c r="A18" s="669" t="s">
        <v>208</v>
      </c>
      <c r="B18" s="489"/>
      <c r="C18" s="489"/>
      <c r="D18" s="489"/>
      <c r="E18" s="489"/>
      <c r="F18" s="503"/>
      <c r="G18" s="489"/>
      <c r="H18" s="488">
        <v>20</v>
      </c>
      <c r="I18" s="488">
        <v>20</v>
      </c>
      <c r="J18" s="488">
        <v>22</v>
      </c>
      <c r="K18" s="488">
        <v>20</v>
      </c>
      <c r="L18" s="489">
        <f t="shared" si="28"/>
        <v>82</v>
      </c>
      <c r="M18" s="488">
        <v>20</v>
      </c>
      <c r="N18" s="488">
        <v>24</v>
      </c>
      <c r="O18" s="488">
        <v>22</v>
      </c>
      <c r="P18" s="488">
        <v>21</v>
      </c>
      <c r="Q18" s="489">
        <f t="shared" si="29"/>
        <v>87</v>
      </c>
      <c r="R18" s="488">
        <v>18</v>
      </c>
      <c r="S18" s="488">
        <v>22</v>
      </c>
      <c r="T18" s="488">
        <v>20</v>
      </c>
      <c r="U18" s="488">
        <v>18</v>
      </c>
      <c r="V18" s="489">
        <f t="shared" si="30"/>
        <v>78</v>
      </c>
      <c r="W18" s="488">
        <v>16</v>
      </c>
      <c r="X18" s="488">
        <v>19</v>
      </c>
      <c r="Y18" s="488">
        <v>19</v>
      </c>
      <c r="Z18" s="488">
        <v>20</v>
      </c>
      <c r="AA18" s="489">
        <f t="shared" si="31"/>
        <v>74</v>
      </c>
      <c r="AB18" s="488">
        <v>19</v>
      </c>
      <c r="AC18" s="488">
        <v>19</v>
      </c>
      <c r="AD18" s="488">
        <v>20</v>
      </c>
      <c r="AE18" s="488">
        <v>20</v>
      </c>
      <c r="AF18" s="489">
        <f t="shared" si="32"/>
        <v>78</v>
      </c>
      <c r="AG18" s="488">
        <v>17</v>
      </c>
      <c r="AH18" s="488">
        <v>18</v>
      </c>
      <c r="AI18" s="488">
        <v>17</v>
      </c>
      <c r="AJ18" s="488">
        <v>31</v>
      </c>
      <c r="AK18" s="489">
        <f t="shared" si="33"/>
        <v>83</v>
      </c>
      <c r="AL18" s="488">
        <v>25</v>
      </c>
      <c r="AM18" s="488">
        <v>30</v>
      </c>
      <c r="AN18" s="488">
        <v>32</v>
      </c>
      <c r="AO18" s="488">
        <v>34</v>
      </c>
      <c r="AP18" s="489">
        <f t="shared" si="34"/>
        <v>121</v>
      </c>
      <c r="AQ18" s="488">
        <v>33</v>
      </c>
      <c r="AR18" s="723">
        <v>26</v>
      </c>
      <c r="AS18" s="726">
        <v>25</v>
      </c>
      <c r="AT18" s="726">
        <v>33</v>
      </c>
      <c r="AU18" s="489">
        <f t="shared" si="35"/>
        <v>117</v>
      </c>
      <c r="AV18" s="488">
        <v>25</v>
      </c>
      <c r="AW18" s="723">
        <v>33</v>
      </c>
      <c r="AX18" s="726">
        <v>31</v>
      </c>
      <c r="AY18" s="726">
        <v>31</v>
      </c>
      <c r="AZ18" s="489">
        <f t="shared" si="36"/>
        <v>120</v>
      </c>
      <c r="BA18" s="489"/>
      <c r="BB18" s="503">
        <v>19</v>
      </c>
      <c r="BC18" s="488">
        <v>27</v>
      </c>
      <c r="BD18" s="488">
        <v>21</v>
      </c>
      <c r="BE18" s="488">
        <v>21</v>
      </c>
      <c r="BF18" s="489">
        <f t="shared" si="37"/>
        <v>88</v>
      </c>
      <c r="BG18" s="503"/>
      <c r="BH18" s="488"/>
      <c r="BI18" s="488"/>
      <c r="BJ18" s="488"/>
      <c r="BK18" s="489"/>
      <c r="BL18" s="503"/>
      <c r="BM18" s="488"/>
      <c r="BN18" s="488"/>
      <c r="BO18" s="488"/>
      <c r="BP18" s="1040"/>
      <c r="BQ18" s="503"/>
      <c r="BR18" s="488"/>
      <c r="BS18" s="488"/>
      <c r="BT18" s="1111"/>
      <c r="BU18" s="489"/>
      <c r="BV18" s="503"/>
      <c r="BW18" s="488"/>
      <c r="BX18" s="488"/>
      <c r="BY18" s="488"/>
      <c r="BZ18" s="489"/>
      <c r="CA18" s="503"/>
      <c r="CB18" s="488"/>
      <c r="CC18" s="488"/>
      <c r="CD18" s="488"/>
      <c r="CE18" s="489"/>
      <c r="CF18" s="503"/>
      <c r="CG18" s="488"/>
      <c r="CH18" s="488"/>
      <c r="CI18" s="488"/>
      <c r="CJ18" s="489"/>
      <c r="CK18" s="226"/>
      <c r="CL18" s="245"/>
      <c r="CM18" s="704"/>
      <c r="CN18" s="997"/>
      <c r="CO18" s="997"/>
      <c r="CP18" s="997"/>
      <c r="CQ18" s="997"/>
      <c r="CR18" s="997"/>
      <c r="CS18" s="997"/>
      <c r="CT18" s="997"/>
      <c r="CU18" s="997"/>
      <c r="CV18" s="997"/>
      <c r="CW18" s="491"/>
      <c r="CX18" s="492"/>
      <c r="CY18" s="492"/>
      <c r="CZ18"/>
      <c r="DA18"/>
      <c r="DB18"/>
      <c r="DC18"/>
      <c r="DD18"/>
    </row>
    <row r="19" spans="1:108" s="493" customFormat="1" ht="11.25" hidden="1" customHeight="1" outlineLevel="1">
      <c r="A19" s="669" t="s">
        <v>265</v>
      </c>
      <c r="B19" s="489"/>
      <c r="C19" s="489"/>
      <c r="D19" s="489"/>
      <c r="E19" s="489"/>
      <c r="F19" s="503"/>
      <c r="G19" s="489"/>
      <c r="H19" s="488">
        <v>10</v>
      </c>
      <c r="I19" s="488">
        <v>16</v>
      </c>
      <c r="J19" s="488">
        <v>13</v>
      </c>
      <c r="K19" s="488">
        <v>17</v>
      </c>
      <c r="L19" s="489">
        <f t="shared" si="28"/>
        <v>56</v>
      </c>
      <c r="M19" s="488">
        <v>16</v>
      </c>
      <c r="N19" s="488">
        <v>16</v>
      </c>
      <c r="O19" s="488">
        <v>16</v>
      </c>
      <c r="P19" s="488">
        <v>17</v>
      </c>
      <c r="Q19" s="489">
        <f t="shared" si="29"/>
        <v>65</v>
      </c>
      <c r="R19" s="488">
        <v>16</v>
      </c>
      <c r="S19" s="488">
        <v>9</v>
      </c>
      <c r="T19" s="488">
        <v>4</v>
      </c>
      <c r="U19" s="488">
        <v>3</v>
      </c>
      <c r="V19" s="489">
        <f t="shared" si="30"/>
        <v>32</v>
      </c>
      <c r="W19" s="488">
        <v>1</v>
      </c>
      <c r="X19" s="488">
        <v>5</v>
      </c>
      <c r="Y19" s="488">
        <v>5</v>
      </c>
      <c r="Z19" s="488">
        <v>4</v>
      </c>
      <c r="AA19" s="489">
        <f t="shared" si="31"/>
        <v>15</v>
      </c>
      <c r="AB19" s="488">
        <v>5</v>
      </c>
      <c r="AC19" s="488">
        <v>3</v>
      </c>
      <c r="AD19" s="488">
        <v>6</v>
      </c>
      <c r="AE19" s="488">
        <v>7</v>
      </c>
      <c r="AF19" s="489">
        <f t="shared" si="32"/>
        <v>21</v>
      </c>
      <c r="AG19" s="488">
        <v>2</v>
      </c>
      <c r="AH19" s="488">
        <v>3</v>
      </c>
      <c r="AI19" s="488">
        <v>0</v>
      </c>
      <c r="AJ19" s="488">
        <v>6</v>
      </c>
      <c r="AK19" s="489">
        <f t="shared" si="33"/>
        <v>11</v>
      </c>
      <c r="AL19" s="488">
        <v>4</v>
      </c>
      <c r="AM19" s="488">
        <v>6</v>
      </c>
      <c r="AN19" s="488">
        <v>6</v>
      </c>
      <c r="AO19" s="488">
        <v>7</v>
      </c>
      <c r="AP19" s="489">
        <f t="shared" si="34"/>
        <v>23</v>
      </c>
      <c r="AQ19" s="488">
        <v>6</v>
      </c>
      <c r="AR19" s="723">
        <v>12</v>
      </c>
      <c r="AS19" s="726">
        <v>6</v>
      </c>
      <c r="AT19" s="726">
        <v>9</v>
      </c>
      <c r="AU19" s="489">
        <f t="shared" si="35"/>
        <v>33</v>
      </c>
      <c r="AV19" s="488">
        <v>7</v>
      </c>
      <c r="AW19" s="723">
        <v>8</v>
      </c>
      <c r="AX19" s="726">
        <v>12</v>
      </c>
      <c r="AY19" s="726">
        <v>7</v>
      </c>
      <c r="AZ19" s="489">
        <f t="shared" si="36"/>
        <v>34</v>
      </c>
      <c r="BA19" s="489"/>
      <c r="BB19" s="503">
        <v>8</v>
      </c>
      <c r="BC19" s="488">
        <v>7</v>
      </c>
      <c r="BD19" s="488">
        <v>6</v>
      </c>
      <c r="BE19" s="488">
        <v>6</v>
      </c>
      <c r="BF19" s="489">
        <f t="shared" si="37"/>
        <v>27</v>
      </c>
      <c r="BG19" s="503"/>
      <c r="BH19" s="488"/>
      <c r="BI19" s="488"/>
      <c r="BJ19" s="488"/>
      <c r="BK19" s="489"/>
      <c r="BL19" s="503"/>
      <c r="BM19" s="488"/>
      <c r="BN19" s="488"/>
      <c r="BO19" s="488"/>
      <c r="BP19" s="1040"/>
      <c r="BQ19" s="503"/>
      <c r="BR19" s="488"/>
      <c r="BS19" s="488"/>
      <c r="BT19" s="1111"/>
      <c r="BU19" s="489"/>
      <c r="BV19" s="503"/>
      <c r="BW19" s="488"/>
      <c r="BX19" s="488"/>
      <c r="BY19" s="488"/>
      <c r="BZ19" s="489"/>
      <c r="CA19" s="503"/>
      <c r="CB19" s="488"/>
      <c r="CC19" s="488"/>
      <c r="CD19" s="488"/>
      <c r="CE19" s="489"/>
      <c r="CF19" s="503"/>
      <c r="CG19" s="488"/>
      <c r="CH19" s="488"/>
      <c r="CI19" s="488"/>
      <c r="CJ19" s="489"/>
      <c r="CK19" s="226"/>
      <c r="CL19" s="245"/>
      <c r="CM19" s="704"/>
      <c r="CN19" s="997"/>
      <c r="CO19" s="997"/>
      <c r="CP19" s="997"/>
      <c r="CQ19" s="997"/>
      <c r="CR19" s="997"/>
      <c r="CS19" s="997"/>
      <c r="CT19" s="997"/>
      <c r="CU19" s="997"/>
      <c r="CV19" s="997"/>
      <c r="CW19" s="491"/>
      <c r="CX19" s="492"/>
      <c r="CY19" s="492"/>
      <c r="CZ19"/>
      <c r="DA19"/>
      <c r="DB19"/>
      <c r="DC19"/>
      <c r="DD19"/>
    </row>
    <row r="20" spans="1:108" s="486" customFormat="1" ht="11.25" customHeight="1" collapsed="1">
      <c r="A20" s="655" t="s">
        <v>364</v>
      </c>
      <c r="B20" s="494"/>
      <c r="C20" s="494"/>
      <c r="D20" s="494"/>
      <c r="E20" s="494"/>
      <c r="F20" s="494"/>
      <c r="G20" s="494"/>
      <c r="H20" s="504"/>
      <c r="I20" s="504"/>
      <c r="J20" s="504"/>
      <c r="K20" s="504"/>
      <c r="L20" s="494"/>
      <c r="M20" s="504"/>
      <c r="N20" s="504"/>
      <c r="O20" s="504"/>
      <c r="P20" s="504"/>
      <c r="Q20" s="494">
        <v>816</v>
      </c>
      <c r="R20" s="504"/>
      <c r="S20" s="504"/>
      <c r="T20" s="504"/>
      <c r="U20" s="504"/>
      <c r="V20" s="494">
        <v>1154</v>
      </c>
      <c r="W20" s="656">
        <f>$AA$20/4</f>
        <v>330.75</v>
      </c>
      <c r="X20" s="656">
        <f>$AA$20/4</f>
        <v>330.75</v>
      </c>
      <c r="Y20" s="656">
        <f>$AA$20/4</f>
        <v>330.75</v>
      </c>
      <c r="Z20" s="656">
        <f>$AA$20/4</f>
        <v>330.75</v>
      </c>
      <c r="AA20" s="494">
        <v>1323</v>
      </c>
      <c r="AB20" s="656"/>
      <c r="AC20" s="656"/>
      <c r="AD20" s="656"/>
      <c r="AE20" s="656"/>
      <c r="AF20" s="494">
        <v>1521</v>
      </c>
      <c r="AG20" s="656"/>
      <c r="AH20" s="656"/>
      <c r="AI20" s="656"/>
      <c r="AJ20" s="656"/>
      <c r="AK20" s="494">
        <v>1491</v>
      </c>
      <c r="AL20" s="743">
        <f>$AP$20/4</f>
        <v>382.5</v>
      </c>
      <c r="AM20" s="743">
        <f>$AP$20/4</f>
        <v>382.5</v>
      </c>
      <c r="AN20" s="743">
        <f>$AP$20/4</f>
        <v>382.5</v>
      </c>
      <c r="AO20" s="743">
        <f>$AP$20/4</f>
        <v>382.5</v>
      </c>
      <c r="AP20" s="494">
        <v>1530</v>
      </c>
      <c r="AQ20" s="505">
        <f>$AU$20/4</f>
        <v>399.75</v>
      </c>
      <c r="AR20" s="504">
        <f>$AU$20/4</f>
        <v>399.75</v>
      </c>
      <c r="AS20" s="504">
        <f>$AU$20/4</f>
        <v>399.75</v>
      </c>
      <c r="AT20" s="743">
        <f>$AU$20/4</f>
        <v>399.75</v>
      </c>
      <c r="AU20" s="762">
        <v>1599</v>
      </c>
      <c r="AV20" s="505">
        <f>$AZ$20/4</f>
        <v>396</v>
      </c>
      <c r="AW20" s="504">
        <f>$AZ$20/4</f>
        <v>396</v>
      </c>
      <c r="AX20" s="504">
        <f>$AZ$20/4</f>
        <v>396</v>
      </c>
      <c r="AY20" s="504">
        <f>$AZ$20/4</f>
        <v>396</v>
      </c>
      <c r="AZ20" s="762">
        <v>1584</v>
      </c>
      <c r="BA20" s="762"/>
      <c r="BB20" s="505">
        <f>$BF$20/4</f>
        <v>409.5</v>
      </c>
      <c r="BC20" s="504">
        <f>$BF$20/4</f>
        <v>409.5</v>
      </c>
      <c r="BD20" s="504">
        <f>$BF$20/4</f>
        <v>409.5</v>
      </c>
      <c r="BE20" s="504">
        <f>$BF$20/4</f>
        <v>409.5</v>
      </c>
      <c r="BF20" s="494">
        <v>1638</v>
      </c>
      <c r="BG20" s="505">
        <v>401</v>
      </c>
      <c r="BH20" s="504">
        <v>404</v>
      </c>
      <c r="BI20" s="504">
        <v>406</v>
      </c>
      <c r="BJ20" s="1220">
        <f>1625-BI20-BH20-BG20</f>
        <v>414</v>
      </c>
      <c r="BK20" s="505">
        <f>+SUM(BG20:BJ20)</f>
        <v>1625</v>
      </c>
      <c r="BL20" s="983">
        <v>435</v>
      </c>
      <c r="BM20" s="743">
        <v>445</v>
      </c>
      <c r="BN20" s="743">
        <v>422</v>
      </c>
      <c r="BO20" s="1220">
        <f>1743-BN20-BM20-BL20</f>
        <v>441</v>
      </c>
      <c r="BP20" s="505">
        <f>+SUM(BL20:BO20)</f>
        <v>1743</v>
      </c>
      <c r="BQ20" s="983">
        <f t="shared" ref="BQ20:BT20" si="38">BL20*(1+BQ21)</f>
        <v>465.45000000000005</v>
      </c>
      <c r="BR20" s="743">
        <f t="shared" si="38"/>
        <v>476.15000000000003</v>
      </c>
      <c r="BS20" s="743">
        <f t="shared" si="38"/>
        <v>451.54</v>
      </c>
      <c r="BT20" s="1246">
        <f t="shared" si="38"/>
        <v>471.87</v>
      </c>
      <c r="BU20" s="505">
        <f>+SUM(BQ20:BT20)</f>
        <v>1865.0100000000002</v>
      </c>
      <c r="BV20" s="505"/>
      <c r="BW20" s="504"/>
      <c r="BX20" s="504"/>
      <c r="BY20" s="504"/>
      <c r="BZ20" s="494">
        <f>BU20*(1+BZ21)</f>
        <v>1976.9106000000004</v>
      </c>
      <c r="CA20" s="505"/>
      <c r="CB20" s="504"/>
      <c r="CC20" s="504"/>
      <c r="CD20" s="504"/>
      <c r="CE20" s="494">
        <f>BZ20*(1+CE21)</f>
        <v>2075.7561300000007</v>
      </c>
      <c r="CF20" s="505"/>
      <c r="CG20" s="504"/>
      <c r="CH20" s="504"/>
      <c r="CI20" s="504"/>
      <c r="CJ20" s="494">
        <f>CE20*(1+CJ21)</f>
        <v>2158.7863752000007</v>
      </c>
      <c r="CK20" s="228"/>
      <c r="CL20" s="246"/>
      <c r="CM20" s="654"/>
      <c r="CN20" s="654"/>
      <c r="CO20" s="654"/>
      <c r="CP20" s="654"/>
      <c r="CQ20" s="654"/>
      <c r="CR20" s="1000"/>
      <c r="CS20" s="732"/>
      <c r="CT20" s="654"/>
      <c r="CU20" s="654"/>
      <c r="CV20" s="654"/>
      <c r="CW20" s="484"/>
      <c r="CX20" s="485"/>
      <c r="CY20" s="485"/>
      <c r="CZ20"/>
      <c r="DA20"/>
      <c r="DB20"/>
      <c r="DC20"/>
      <c r="DD20"/>
    </row>
    <row r="21" spans="1:108" s="493" customFormat="1" ht="11.25" customHeight="1">
      <c r="A21" s="487" t="s">
        <v>21</v>
      </c>
      <c r="B21" s="489"/>
      <c r="C21" s="489"/>
      <c r="D21" s="503"/>
      <c r="E21" s="503"/>
      <c r="F21" s="503"/>
      <c r="G21" s="489"/>
      <c r="H21" s="488"/>
      <c r="I21" s="488"/>
      <c r="J21" s="488"/>
      <c r="K21" s="488"/>
      <c r="L21" s="489"/>
      <c r="M21" s="488"/>
      <c r="N21" s="488"/>
      <c r="O21" s="488"/>
      <c r="P21" s="488"/>
      <c r="Q21" s="489"/>
      <c r="R21" s="488"/>
      <c r="S21" s="488"/>
      <c r="T21" s="488"/>
      <c r="U21" s="488"/>
      <c r="V21" s="29">
        <f>V20/Q20-1</f>
        <v>0.41421568627450989</v>
      </c>
      <c r="W21" s="488"/>
      <c r="X21" s="488"/>
      <c r="Y21" s="488"/>
      <c r="Z21" s="488"/>
      <c r="AA21" s="29">
        <f>AA20/V20-1</f>
        <v>0.14644714038128259</v>
      </c>
      <c r="AB21" s="488"/>
      <c r="AC21" s="488"/>
      <c r="AD21" s="488"/>
      <c r="AE21" s="488"/>
      <c r="AF21" s="29">
        <f>AF20/AA20-1</f>
        <v>0.14965986394557818</v>
      </c>
      <c r="AG21" s="362"/>
      <c r="AH21" s="362"/>
      <c r="AI21" s="362"/>
      <c r="AJ21" s="362"/>
      <c r="AK21" s="29">
        <f>AK20/AF20-1</f>
        <v>-1.9723865877712021E-2</v>
      </c>
      <c r="AL21" s="362"/>
      <c r="AM21" s="362"/>
      <c r="AN21" s="362"/>
      <c r="AO21" s="362"/>
      <c r="AP21" s="29">
        <f>AP20/AK20-1</f>
        <v>2.6156941649899457E-2</v>
      </c>
      <c r="AQ21" s="763">
        <f>AQ20/AL20-1</f>
        <v>4.5098039215686336E-2</v>
      </c>
      <c r="AR21" s="764">
        <f>AR20/AM20-1</f>
        <v>4.5098039215686336E-2</v>
      </c>
      <c r="AS21" s="764">
        <f>AS20/AN20-1</f>
        <v>4.5098039215686336E-2</v>
      </c>
      <c r="AT21" s="764">
        <f t="shared" ref="AT21:AZ21" si="39">AT20/AO20-1</f>
        <v>4.5098039215686336E-2</v>
      </c>
      <c r="AU21" s="29">
        <f t="shared" si="39"/>
        <v>4.5098039215686336E-2</v>
      </c>
      <c r="AV21" s="763">
        <f t="shared" si="39"/>
        <v>-9.3808630393996673E-3</v>
      </c>
      <c r="AW21" s="764">
        <f t="shared" si="39"/>
        <v>-9.3808630393996673E-3</v>
      </c>
      <c r="AX21" s="764">
        <f t="shared" si="39"/>
        <v>-9.3808630393996673E-3</v>
      </c>
      <c r="AY21" s="764">
        <f t="shared" si="39"/>
        <v>-9.3808630393996673E-3</v>
      </c>
      <c r="AZ21" s="29">
        <f t="shared" si="39"/>
        <v>-9.3808630393996673E-3</v>
      </c>
      <c r="BA21" s="29"/>
      <c r="BB21" s="763">
        <f>BB20/AV20-1</f>
        <v>3.4090909090909172E-2</v>
      </c>
      <c r="BC21" s="764">
        <f>BC20/AW20-1</f>
        <v>3.4090909090909172E-2</v>
      </c>
      <c r="BD21" s="764">
        <f>BD20/AX20-1</f>
        <v>3.4090909090909172E-2</v>
      </c>
      <c r="BE21" s="764">
        <f>BE20/AY20-1</f>
        <v>3.4090909090909172E-2</v>
      </c>
      <c r="BF21" s="29">
        <f>BF20/AZ20-1</f>
        <v>3.4090909090909172E-2</v>
      </c>
      <c r="BG21" s="982">
        <f t="shared" ref="BG21:BP21" si="40">BG20/BB20-1</f>
        <v>-2.0757020757020794E-2</v>
      </c>
      <c r="BH21" s="523">
        <f t="shared" si="40"/>
        <v>-1.3431013431013383E-2</v>
      </c>
      <c r="BI21" s="523">
        <f t="shared" si="40"/>
        <v>-8.5470085470085166E-3</v>
      </c>
      <c r="BJ21" s="523">
        <f t="shared" si="40"/>
        <v>1.098901098901095E-2</v>
      </c>
      <c r="BK21" s="1036">
        <f t="shared" si="40"/>
        <v>-7.9365079365079083E-3</v>
      </c>
      <c r="BL21" s="982">
        <f t="shared" si="40"/>
        <v>8.4788029925187081E-2</v>
      </c>
      <c r="BM21" s="523">
        <f t="shared" si="40"/>
        <v>0.10148514851485158</v>
      </c>
      <c r="BN21" s="523">
        <f t="shared" si="40"/>
        <v>3.9408866995073843E-2</v>
      </c>
      <c r="BO21" s="523">
        <f t="shared" si="40"/>
        <v>6.5217391304347894E-2</v>
      </c>
      <c r="BP21" s="1036">
        <f t="shared" si="40"/>
        <v>7.2615384615384526E-2</v>
      </c>
      <c r="BQ21" s="1173">
        <v>7.0000000000000007E-2</v>
      </c>
      <c r="BR21" s="1174">
        <v>7.0000000000000007E-2</v>
      </c>
      <c r="BS21" s="1174">
        <v>7.0000000000000007E-2</v>
      </c>
      <c r="BT21" s="1175">
        <v>7.0000000000000007E-2</v>
      </c>
      <c r="BU21" s="29">
        <f>BU20/BP20-1</f>
        <v>7.0000000000000062E-2</v>
      </c>
      <c r="BV21" s="325"/>
      <c r="BW21" s="323"/>
      <c r="BX21" s="323"/>
      <c r="BY21" s="323"/>
      <c r="BZ21" s="324">
        <v>0.06</v>
      </c>
      <c r="CA21" s="325"/>
      <c r="CB21" s="323"/>
      <c r="CC21" s="323"/>
      <c r="CD21" s="323"/>
      <c r="CE21" s="324">
        <v>0.05</v>
      </c>
      <c r="CF21" s="325"/>
      <c r="CG21" s="323"/>
      <c r="CH21" s="323"/>
      <c r="CI21" s="323"/>
      <c r="CJ21" s="324">
        <v>0.04</v>
      </c>
      <c r="CK21" s="226"/>
      <c r="CL21" s="245"/>
      <c r="CM21" s="998"/>
      <c r="CN21" s="997"/>
      <c r="CO21" s="997"/>
      <c r="CP21" s="997"/>
      <c r="CQ21" s="997"/>
      <c r="CR21" s="997"/>
      <c r="CS21" s="704"/>
      <c r="CT21" s="997"/>
      <c r="CU21" s="997"/>
      <c r="CV21" s="997"/>
      <c r="CW21" s="491"/>
      <c r="CX21" s="492"/>
      <c r="CY21" s="492"/>
      <c r="CZ21"/>
      <c r="DA21"/>
      <c r="DB21"/>
      <c r="DC21"/>
      <c r="DD21"/>
    </row>
    <row r="22" spans="1:108" s="486" customFormat="1" ht="11.25" customHeight="1">
      <c r="A22" s="655" t="s">
        <v>133</v>
      </c>
      <c r="B22" s="494"/>
      <c r="C22" s="494"/>
      <c r="D22" s="505"/>
      <c r="E22" s="505"/>
      <c r="F22" s="505"/>
      <c r="G22" s="494"/>
      <c r="H22" s="504"/>
      <c r="I22" s="504"/>
      <c r="J22" s="504"/>
      <c r="K22" s="504"/>
      <c r="L22" s="494"/>
      <c r="M22" s="504"/>
      <c r="N22" s="504"/>
      <c r="O22" s="504"/>
      <c r="P22" s="504"/>
      <c r="Q22" s="494">
        <v>18</v>
      </c>
      <c r="R22" s="504"/>
      <c r="S22" s="504"/>
      <c r="T22" s="504"/>
      <c r="U22" s="504"/>
      <c r="V22" s="494">
        <v>124</v>
      </c>
      <c r="W22" s="504"/>
      <c r="X22" s="504"/>
      <c r="Y22" s="504"/>
      <c r="Z22" s="504"/>
      <c r="AA22" s="494">
        <v>107</v>
      </c>
      <c r="AB22" s="656"/>
      <c r="AC22" s="656"/>
      <c r="AD22" s="656"/>
      <c r="AE22" s="656"/>
      <c r="AF22" s="494">
        <v>77</v>
      </c>
      <c r="AG22" s="656"/>
      <c r="AH22" s="656"/>
      <c r="AI22" s="656"/>
      <c r="AJ22" s="656"/>
      <c r="AK22" s="494">
        <v>104</v>
      </c>
      <c r="AL22" s="743"/>
      <c r="AM22" s="743"/>
      <c r="AN22" s="743"/>
      <c r="AO22" s="743"/>
      <c r="AP22" s="494">
        <v>210</v>
      </c>
      <c r="AQ22" s="505"/>
      <c r="AR22" s="504"/>
      <c r="AS22" s="743"/>
      <c r="AT22" s="743"/>
      <c r="AU22" s="762">
        <v>67</v>
      </c>
      <c r="AV22" s="505"/>
      <c r="AW22" s="504"/>
      <c r="AX22" s="743"/>
      <c r="AY22" s="743"/>
      <c r="AZ22" s="762">
        <v>111</v>
      </c>
      <c r="BA22" s="762"/>
      <c r="BB22" s="505"/>
      <c r="BC22" s="504"/>
      <c r="BD22" s="504"/>
      <c r="BE22" s="504"/>
      <c r="BF22" s="494">
        <v>116</v>
      </c>
      <c r="BG22" s="505">
        <v>4</v>
      </c>
      <c r="BH22" s="504">
        <v>38</v>
      </c>
      <c r="BI22" s="504">
        <v>37</v>
      </c>
      <c r="BJ22" s="1220">
        <f>116-BI22-BH22-BG22</f>
        <v>37</v>
      </c>
      <c r="BK22" s="505">
        <f>+SUM(BG22:BJ22)</f>
        <v>116</v>
      </c>
      <c r="BL22" s="983">
        <v>10</v>
      </c>
      <c r="BM22" s="743">
        <v>33</v>
      </c>
      <c r="BN22" s="743">
        <v>11</v>
      </c>
      <c r="BO22" s="1220">
        <f>66-BN22-BM22-BL22</f>
        <v>12</v>
      </c>
      <c r="BP22" s="505">
        <f>+SUM(BL22:BO22)</f>
        <v>66</v>
      </c>
      <c r="BQ22" s="983">
        <f t="shared" ref="BQ22" si="41">BL22*(1+BQ23)</f>
        <v>10.3</v>
      </c>
      <c r="BR22" s="743">
        <f t="shared" ref="BR22" si="42">BM22*(1+BR23)</f>
        <v>33.99</v>
      </c>
      <c r="BS22" s="743">
        <f t="shared" ref="BS22:BT22" si="43">BN22*(1+BS23)</f>
        <v>11.33</v>
      </c>
      <c r="BT22" s="1246">
        <f t="shared" si="43"/>
        <v>12.36</v>
      </c>
      <c r="BU22" s="505">
        <f>+SUM(BQ22:BT22)</f>
        <v>67.98</v>
      </c>
      <c r="BV22" s="505"/>
      <c r="BW22" s="504"/>
      <c r="BX22" s="504"/>
      <c r="BY22" s="504"/>
      <c r="BZ22" s="494">
        <f>BU22*(1+BZ23)</f>
        <v>70.019400000000005</v>
      </c>
      <c r="CA22" s="505"/>
      <c r="CB22" s="504"/>
      <c r="CC22" s="504"/>
      <c r="CD22" s="504"/>
      <c r="CE22" s="494">
        <f>BZ22*(1+CE23)</f>
        <v>72.119982000000007</v>
      </c>
      <c r="CF22" s="505"/>
      <c r="CG22" s="504"/>
      <c r="CH22" s="504"/>
      <c r="CI22" s="504"/>
      <c r="CJ22" s="494">
        <f>CE22*(1+CJ23)</f>
        <v>74.283581460000008</v>
      </c>
      <c r="CK22" s="228"/>
      <c r="CL22" s="246"/>
      <c r="CM22" s="1001"/>
      <c r="CN22" s="997"/>
      <c r="CO22" s="654"/>
      <c r="CP22" s="654"/>
      <c r="CQ22" s="654"/>
      <c r="CR22" s="654"/>
      <c r="CS22" s="654"/>
      <c r="CT22" s="654"/>
      <c r="CU22" s="654"/>
      <c r="CV22" s="654"/>
      <c r="CW22" s="484"/>
      <c r="CX22" s="485"/>
      <c r="CY22" s="485"/>
      <c r="CZ22"/>
      <c r="DA22"/>
      <c r="DB22"/>
      <c r="DC22"/>
      <c r="DD22"/>
    </row>
    <row r="23" spans="1:108" s="493" customFormat="1" ht="11.25" customHeight="1">
      <c r="A23" s="487" t="s">
        <v>21</v>
      </c>
      <c r="B23" s="489"/>
      <c r="C23" s="489"/>
      <c r="D23" s="503"/>
      <c r="E23" s="503"/>
      <c r="F23" s="503"/>
      <c r="G23" s="489"/>
      <c r="H23" s="488"/>
      <c r="I23" s="488"/>
      <c r="J23" s="488"/>
      <c r="K23" s="488"/>
      <c r="L23" s="489"/>
      <c r="M23" s="488"/>
      <c r="N23" s="488"/>
      <c r="O23" s="488"/>
      <c r="P23" s="488"/>
      <c r="Q23" s="489"/>
      <c r="R23" s="488"/>
      <c r="S23" s="488"/>
      <c r="T23" s="488"/>
      <c r="U23" s="488"/>
      <c r="V23" s="29">
        <f>V22/Q22-1</f>
        <v>5.8888888888888893</v>
      </c>
      <c r="W23" s="488"/>
      <c r="X23" s="488"/>
      <c r="Y23" s="488"/>
      <c r="Z23" s="488"/>
      <c r="AA23" s="29">
        <f>AA22/V22-1</f>
        <v>-0.13709677419354838</v>
      </c>
      <c r="AB23" s="488"/>
      <c r="AC23" s="488"/>
      <c r="AD23" s="488"/>
      <c r="AE23" s="488"/>
      <c r="AF23" s="29">
        <f>AF22/AA22-1</f>
        <v>-0.28037383177570097</v>
      </c>
      <c r="AG23" s="362"/>
      <c r="AH23" s="362"/>
      <c r="AI23" s="362"/>
      <c r="AJ23" s="362"/>
      <c r="AK23" s="29">
        <f>AK22/AF22-1</f>
        <v>0.35064935064935066</v>
      </c>
      <c r="AL23" s="362"/>
      <c r="AM23" s="362"/>
      <c r="AN23" s="362"/>
      <c r="AO23" s="362"/>
      <c r="AP23" s="29">
        <f>AP22/AK22-1</f>
        <v>1.0192307692307692</v>
      </c>
      <c r="AQ23" s="763"/>
      <c r="AR23" s="764"/>
      <c r="AS23" s="764"/>
      <c r="AT23" s="764"/>
      <c r="AU23" s="29">
        <f>AU22/AP22-1</f>
        <v>-0.68095238095238098</v>
      </c>
      <c r="AV23" s="763"/>
      <c r="AW23" s="764"/>
      <c r="AX23" s="764"/>
      <c r="AY23" s="764"/>
      <c r="AZ23" s="29">
        <f>AZ22/AU22-1</f>
        <v>0.65671641791044766</v>
      </c>
      <c r="BA23" s="29"/>
      <c r="BB23" s="530"/>
      <c r="BC23" s="529"/>
      <c r="BD23" s="529"/>
      <c r="BE23" s="529"/>
      <c r="BF23" s="29">
        <f>BF22/AZ22-1</f>
        <v>4.5045045045045029E-2</v>
      </c>
      <c r="BG23" s="530"/>
      <c r="BH23" s="529"/>
      <c r="BI23" s="529"/>
      <c r="BJ23" s="529"/>
      <c r="BK23" s="29"/>
      <c r="BL23" s="982"/>
      <c r="BM23" s="680"/>
      <c r="BN23" s="680"/>
      <c r="BO23" s="680"/>
      <c r="BP23" s="1037">
        <f>IFERROR(BP22/BK22-1,"")</f>
        <v>-0.43103448275862066</v>
      </c>
      <c r="BQ23" s="1173">
        <v>0.03</v>
      </c>
      <c r="BR23" s="1174">
        <v>0.03</v>
      </c>
      <c r="BS23" s="1174">
        <v>0.03</v>
      </c>
      <c r="BT23" s="1175">
        <v>0.03</v>
      </c>
      <c r="BU23" s="29">
        <f>BU22/BP22-1</f>
        <v>3.0000000000000027E-2</v>
      </c>
      <c r="BV23" s="325"/>
      <c r="BW23" s="323"/>
      <c r="BX23" s="323"/>
      <c r="BY23" s="323"/>
      <c r="BZ23" s="324">
        <v>0.03</v>
      </c>
      <c r="CA23" s="325"/>
      <c r="CB23" s="323"/>
      <c r="CC23" s="323"/>
      <c r="CD23" s="323"/>
      <c r="CE23" s="324">
        <v>0.03</v>
      </c>
      <c r="CF23" s="325"/>
      <c r="CG23" s="323"/>
      <c r="CH23" s="323"/>
      <c r="CI23" s="323"/>
      <c r="CJ23" s="324">
        <v>0.03</v>
      </c>
      <c r="CK23" s="226"/>
      <c r="CL23" s="245"/>
      <c r="CM23" s="998"/>
      <c r="CN23" s="997"/>
      <c r="CO23" s="997"/>
      <c r="CP23" s="997"/>
      <c r="CQ23" s="997"/>
      <c r="CR23" s="997"/>
      <c r="CS23" s="704"/>
      <c r="CT23" s="997"/>
      <c r="CU23" s="997"/>
      <c r="CV23" s="997"/>
      <c r="CW23" s="491"/>
      <c r="CX23" s="492"/>
      <c r="CY23" s="492"/>
      <c r="CZ23"/>
      <c r="DA23"/>
      <c r="DB23"/>
      <c r="DC23"/>
      <c r="DD23"/>
    </row>
    <row r="24" spans="1:108" s="493" customFormat="1" ht="11.25" customHeight="1">
      <c r="A24" s="671" t="s">
        <v>267</v>
      </c>
      <c r="B24" s="500"/>
      <c r="C24" s="500"/>
      <c r="D24" s="500"/>
      <c r="E24" s="500"/>
      <c r="F24" s="502"/>
      <c r="G24" s="500"/>
      <c r="H24" s="501">
        <v>2</v>
      </c>
      <c r="I24" s="501">
        <v>3</v>
      </c>
      <c r="J24" s="501">
        <v>3</v>
      </c>
      <c r="K24" s="501">
        <v>0</v>
      </c>
      <c r="L24" s="500">
        <f>SUM(H24:K24)</f>
        <v>8</v>
      </c>
      <c r="M24" s="501">
        <v>1</v>
      </c>
      <c r="N24" s="501">
        <v>1</v>
      </c>
      <c r="O24" s="501">
        <v>0</v>
      </c>
      <c r="P24" s="501">
        <v>0</v>
      </c>
      <c r="Q24" s="500">
        <f>SUM(M24:P24)</f>
        <v>2</v>
      </c>
      <c r="R24" s="501">
        <v>0</v>
      </c>
      <c r="S24" s="501">
        <v>2</v>
      </c>
      <c r="T24" s="501">
        <v>3</v>
      </c>
      <c r="U24" s="501">
        <v>1</v>
      </c>
      <c r="V24" s="500">
        <f>SUM(R24:U24)</f>
        <v>6</v>
      </c>
      <c r="W24" s="501">
        <v>3</v>
      </c>
      <c r="X24" s="501">
        <v>1</v>
      </c>
      <c r="Y24" s="501">
        <v>2</v>
      </c>
      <c r="Z24" s="501">
        <v>1</v>
      </c>
      <c r="AA24" s="500">
        <f>SUM(W24:Z24)</f>
        <v>7</v>
      </c>
      <c r="AB24" s="501">
        <v>0</v>
      </c>
      <c r="AC24" s="501">
        <v>2</v>
      </c>
      <c r="AD24" s="501">
        <v>2</v>
      </c>
      <c r="AE24" s="501">
        <v>1</v>
      </c>
      <c r="AF24" s="500">
        <f>SUM(AB24:AE24)</f>
        <v>5</v>
      </c>
      <c r="AG24" s="501">
        <v>0</v>
      </c>
      <c r="AH24" s="501">
        <v>0</v>
      </c>
      <c r="AI24" s="501">
        <v>1</v>
      </c>
      <c r="AJ24" s="501">
        <v>3</v>
      </c>
      <c r="AK24" s="500">
        <f>SUM(AG24:AJ24)</f>
        <v>4</v>
      </c>
      <c r="AL24" s="501">
        <v>2</v>
      </c>
      <c r="AM24" s="501">
        <v>3</v>
      </c>
      <c r="AN24" s="501">
        <v>4</v>
      </c>
      <c r="AO24" s="501">
        <v>2</v>
      </c>
      <c r="AP24" s="500">
        <f>SUM(AL24:AO24)</f>
        <v>11</v>
      </c>
      <c r="AQ24" s="501">
        <v>0</v>
      </c>
      <c r="AR24" s="724">
        <v>0</v>
      </c>
      <c r="AS24" s="725">
        <v>3</v>
      </c>
      <c r="AT24" s="725">
        <v>0</v>
      </c>
      <c r="AU24" s="500">
        <f>SUM(AQ24:AT24)</f>
        <v>3</v>
      </c>
      <c r="AV24" s="501">
        <v>1</v>
      </c>
      <c r="AW24" s="724">
        <v>4</v>
      </c>
      <c r="AX24" s="725">
        <v>0</v>
      </c>
      <c r="AY24" s="725">
        <v>2</v>
      </c>
      <c r="AZ24" s="500">
        <f>SUM(AV24:AY24)</f>
        <v>7</v>
      </c>
      <c r="BA24" s="500"/>
      <c r="BB24" s="502">
        <v>1</v>
      </c>
      <c r="BC24" s="501">
        <v>4</v>
      </c>
      <c r="BD24" s="501">
        <v>1</v>
      </c>
      <c r="BE24" s="501">
        <v>2</v>
      </c>
      <c r="BF24" s="500">
        <f>SUM(BB24:BE24)</f>
        <v>8</v>
      </c>
      <c r="BG24" s="502">
        <v>1</v>
      </c>
      <c r="BH24" s="501">
        <v>4</v>
      </c>
      <c r="BI24" s="501">
        <v>1</v>
      </c>
      <c r="BJ24" s="501">
        <v>2</v>
      </c>
      <c r="BK24" s="502">
        <f>SUM(BG24:BJ24)</f>
        <v>8</v>
      </c>
      <c r="BL24" s="502">
        <v>1</v>
      </c>
      <c r="BM24" s="501">
        <v>2</v>
      </c>
      <c r="BN24" s="724">
        <v>1</v>
      </c>
      <c r="BO24" s="724">
        <v>1</v>
      </c>
      <c r="BP24" s="502">
        <f>SUM(BL24:BO24)</f>
        <v>5</v>
      </c>
      <c r="BQ24" s="502"/>
      <c r="BR24" s="501"/>
      <c r="BS24" s="501"/>
      <c r="BT24" s="1110"/>
      <c r="BU24" s="500"/>
      <c r="BV24" s="502"/>
      <c r="BW24" s="501"/>
      <c r="BX24" s="501"/>
      <c r="BY24" s="501"/>
      <c r="BZ24" s="500"/>
      <c r="CA24" s="502"/>
      <c r="CB24" s="501"/>
      <c r="CC24" s="501"/>
      <c r="CD24" s="501"/>
      <c r="CE24" s="500"/>
      <c r="CF24" s="502"/>
      <c r="CG24" s="501"/>
      <c r="CH24" s="501"/>
      <c r="CI24" s="501"/>
      <c r="CJ24" s="500"/>
      <c r="CK24" s="226"/>
      <c r="CL24" s="245"/>
      <c r="CM24" s="704"/>
      <c r="CN24" s="997"/>
      <c r="CO24" s="997"/>
      <c r="CP24" s="997"/>
      <c r="CQ24" s="997"/>
      <c r="CR24" s="997"/>
      <c r="CS24" s="997"/>
      <c r="CT24" s="997"/>
      <c r="CU24" s="997"/>
      <c r="CV24" s="997"/>
      <c r="CW24" s="491"/>
      <c r="CX24" s="492"/>
      <c r="CY24" s="492"/>
      <c r="CZ24"/>
      <c r="DA24"/>
      <c r="DB24"/>
      <c r="DC24"/>
      <c r="DD24"/>
    </row>
    <row r="25" spans="1:108" s="198" customFormat="1" ht="12.75" customHeight="1">
      <c r="A25" s="456" t="s">
        <v>259</v>
      </c>
      <c r="B25" s="445">
        <v>6273</v>
      </c>
      <c r="C25" s="445">
        <v>6781</v>
      </c>
      <c r="D25" s="445">
        <v>6524</v>
      </c>
      <c r="E25" s="445">
        <v>6844</v>
      </c>
      <c r="F25" s="445">
        <v>6618</v>
      </c>
      <c r="G25" s="445">
        <v>7693</v>
      </c>
      <c r="H25" s="444">
        <v>8446</v>
      </c>
      <c r="I25" s="444">
        <v>10135</v>
      </c>
      <c r="J25" s="444">
        <v>10928</v>
      </c>
      <c r="K25" s="444">
        <v>12256</v>
      </c>
      <c r="L25" s="445">
        <v>12256</v>
      </c>
      <c r="M25" s="444">
        <v>12452</v>
      </c>
      <c r="N25" s="444">
        <v>18829</v>
      </c>
      <c r="O25" s="444">
        <v>22084</v>
      </c>
      <c r="P25" s="444">
        <v>22479</v>
      </c>
      <c r="Q25" s="445">
        <v>22479</v>
      </c>
      <c r="R25" s="444">
        <v>20769</v>
      </c>
      <c r="S25" s="444">
        <v>19876</v>
      </c>
      <c r="T25" s="444">
        <v>19255</v>
      </c>
      <c r="U25" s="444">
        <v>19324</v>
      </c>
      <c r="V25" s="445">
        <v>19324</v>
      </c>
      <c r="W25" s="444">
        <v>18548</v>
      </c>
      <c r="X25" s="444">
        <v>17801</v>
      </c>
      <c r="Y25" s="444">
        <v>17577</v>
      </c>
      <c r="Z25" s="444">
        <v>17821</v>
      </c>
      <c r="AA25" s="445">
        <v>17821</v>
      </c>
      <c r="AB25" s="444">
        <v>17860</v>
      </c>
      <c r="AC25" s="446">
        <v>18288</v>
      </c>
      <c r="AD25" s="446">
        <v>18624</v>
      </c>
      <c r="AE25" s="444">
        <v>17907</v>
      </c>
      <c r="AF25" s="445">
        <v>17907</v>
      </c>
      <c r="AG25" s="444">
        <v>16984</v>
      </c>
      <c r="AH25" s="446">
        <v>16299</v>
      </c>
      <c r="AI25" s="446">
        <v>16042</v>
      </c>
      <c r="AJ25" s="444">
        <v>15667</v>
      </c>
      <c r="AK25" s="445">
        <f>AJ25</f>
        <v>15667</v>
      </c>
      <c r="AL25" s="446">
        <v>15226</v>
      </c>
      <c r="AM25" s="446">
        <v>14663</v>
      </c>
      <c r="AN25" s="446">
        <v>13823</v>
      </c>
      <c r="AO25" s="444">
        <v>13943</v>
      </c>
      <c r="AP25" s="445">
        <f>AO25</f>
        <v>13943</v>
      </c>
      <c r="AQ25" s="446">
        <v>12946</v>
      </c>
      <c r="AR25" s="722">
        <v>12728</v>
      </c>
      <c r="AS25" s="446">
        <v>12067</v>
      </c>
      <c r="AT25" s="757">
        <v>13232</v>
      </c>
      <c r="AU25" s="445">
        <f>AT25</f>
        <v>13232</v>
      </c>
      <c r="AV25" s="446">
        <v>13094</v>
      </c>
      <c r="AW25" s="722">
        <v>14018</v>
      </c>
      <c r="AX25" s="446">
        <v>13559</v>
      </c>
      <c r="AY25" s="757">
        <v>13398</v>
      </c>
      <c r="AZ25" s="445">
        <f>AY25</f>
        <v>13398</v>
      </c>
      <c r="BA25" s="445"/>
      <c r="BB25" s="447">
        <v>12612</v>
      </c>
      <c r="BC25" s="444">
        <v>11755</v>
      </c>
      <c r="BD25" s="444">
        <v>11523</v>
      </c>
      <c r="BE25" s="444">
        <v>10989</v>
      </c>
      <c r="BF25" s="445">
        <f>BE25</f>
        <v>10989</v>
      </c>
      <c r="BG25" s="447">
        <v>14553</v>
      </c>
      <c r="BH25" s="444">
        <v>13544</v>
      </c>
      <c r="BI25" s="444">
        <v>13368</v>
      </c>
      <c r="BJ25" s="444">
        <v>13215</v>
      </c>
      <c r="BK25" s="445">
        <v>13215</v>
      </c>
      <c r="BL25" s="447">
        <v>12579</v>
      </c>
      <c r="BM25" s="444">
        <v>12236</v>
      </c>
      <c r="BN25" s="444">
        <v>11815</v>
      </c>
      <c r="BO25" s="446">
        <v>12466</v>
      </c>
      <c r="BP25" s="447">
        <f>BO25</f>
        <v>12466</v>
      </c>
      <c r="BQ25" s="447"/>
      <c r="BR25" s="444"/>
      <c r="BS25" s="444"/>
      <c r="BT25" s="635"/>
      <c r="BU25" s="445"/>
      <c r="BV25" s="447"/>
      <c r="BW25" s="444"/>
      <c r="BX25" s="444"/>
      <c r="BY25" s="444"/>
      <c r="BZ25" s="445"/>
      <c r="CA25" s="447"/>
      <c r="CB25" s="444"/>
      <c r="CC25" s="444"/>
      <c r="CD25" s="444"/>
      <c r="CE25" s="445"/>
      <c r="CF25" s="447"/>
      <c r="CG25" s="444"/>
      <c r="CH25" s="444"/>
      <c r="CI25" s="444"/>
      <c r="CJ25" s="445"/>
      <c r="CK25" s="197"/>
      <c r="CL25" s="229"/>
      <c r="CM25" s="661"/>
      <c r="CN25" s="661"/>
      <c r="CO25" s="661"/>
      <c r="CP25" s="1002"/>
      <c r="CQ25" s="1002"/>
      <c r="CR25" s="1002"/>
      <c r="CS25" s="1002"/>
      <c r="CT25" s="1003"/>
      <c r="CU25" s="661"/>
      <c r="CV25" s="661"/>
      <c r="CW25" s="229"/>
      <c r="CX25" s="197"/>
      <c r="CY25" s="197"/>
      <c r="CZ25"/>
      <c r="DA25"/>
      <c r="DB25"/>
      <c r="DC25"/>
      <c r="DD25"/>
    </row>
    <row r="26" spans="1:108" s="198" customFormat="1" hidden="1" outlineLevel="1">
      <c r="A26" s="443" t="s">
        <v>21</v>
      </c>
      <c r="B26" s="193"/>
      <c r="C26" s="193">
        <f>C25/B25-1</f>
        <v>8.0981986290451058E-2</v>
      </c>
      <c r="D26" s="193">
        <f>D25/C25-1</f>
        <v>-3.7900014747087485E-2</v>
      </c>
      <c r="E26" s="193">
        <f>E25/D25-1</f>
        <v>4.9049662783568371E-2</v>
      </c>
      <c r="F26" s="193">
        <f>F25/E25-1</f>
        <v>-3.3021624780829928E-2</v>
      </c>
      <c r="G26" s="193">
        <f>G25/F25-1</f>
        <v>0.16243578120278035</v>
      </c>
      <c r="H26" s="194"/>
      <c r="I26" s="194"/>
      <c r="J26" s="194"/>
      <c r="K26" s="194"/>
      <c r="L26" s="193">
        <f>L25/G25-1</f>
        <v>0.59313661770440662</v>
      </c>
      <c r="M26" s="194">
        <f>M25/H25-1</f>
        <v>0.4743073644328677</v>
      </c>
      <c r="N26" s="194">
        <f>N25/I25-1</f>
        <v>0.85781943759250123</v>
      </c>
      <c r="O26" s="194">
        <f>O25/J25-1</f>
        <v>1.0208638360175697</v>
      </c>
      <c r="P26" s="194">
        <f t="shared" ref="P26:AS26" si="44">P25/K25-1</f>
        <v>0.83412206266318534</v>
      </c>
      <c r="Q26" s="193">
        <f t="shared" si="44"/>
        <v>0.83412206266318534</v>
      </c>
      <c r="R26" s="194">
        <f t="shared" si="44"/>
        <v>0.66792483135239311</v>
      </c>
      <c r="S26" s="194">
        <f t="shared" si="44"/>
        <v>5.5605714589197497E-2</v>
      </c>
      <c r="T26" s="194">
        <f t="shared" si="44"/>
        <v>-0.12810179315341419</v>
      </c>
      <c r="U26" s="194">
        <f t="shared" si="44"/>
        <v>-0.14035321855954441</v>
      </c>
      <c r="V26" s="193">
        <f t="shared" si="44"/>
        <v>-0.14035321855954441</v>
      </c>
      <c r="W26" s="194">
        <f t="shared" si="44"/>
        <v>-0.10693822523953966</v>
      </c>
      <c r="X26" s="194">
        <f t="shared" si="44"/>
        <v>-0.10439726303079089</v>
      </c>
      <c r="Y26" s="194">
        <f t="shared" si="44"/>
        <v>-8.7146195793300407E-2</v>
      </c>
      <c r="Z26" s="194">
        <f t="shared" si="44"/>
        <v>-7.7778927758228145E-2</v>
      </c>
      <c r="AA26" s="193">
        <f t="shared" si="44"/>
        <v>-7.7778927758228145E-2</v>
      </c>
      <c r="AB26" s="194">
        <f t="shared" si="44"/>
        <v>-3.7092948026741457E-2</v>
      </c>
      <c r="AC26" s="194">
        <f t="shared" si="44"/>
        <v>2.735801359474177E-2</v>
      </c>
      <c r="AD26" s="194">
        <f t="shared" si="44"/>
        <v>5.9566478921317723E-2</v>
      </c>
      <c r="AE26" s="194">
        <f t="shared" si="44"/>
        <v>4.8257673531226786E-3</v>
      </c>
      <c r="AF26" s="511">
        <f t="shared" si="44"/>
        <v>4.8257673531226786E-3</v>
      </c>
      <c r="AG26" s="194">
        <f t="shared" si="44"/>
        <v>-4.9048152295632752E-2</v>
      </c>
      <c r="AH26" s="194">
        <f t="shared" si="44"/>
        <v>-0.10875984251968507</v>
      </c>
      <c r="AI26" s="194">
        <f t="shared" si="44"/>
        <v>-0.1386383161512027</v>
      </c>
      <c r="AJ26" s="194">
        <f t="shared" si="44"/>
        <v>-0.12509074663539399</v>
      </c>
      <c r="AK26" s="193">
        <f t="shared" si="44"/>
        <v>-0.12509074663539399</v>
      </c>
      <c r="AL26" s="194">
        <f t="shared" si="44"/>
        <v>-0.10350918511540275</v>
      </c>
      <c r="AM26" s="194">
        <f t="shared" si="44"/>
        <v>-0.10037425608933059</v>
      </c>
      <c r="AN26" s="194">
        <f t="shared" si="44"/>
        <v>-0.13832439845405808</v>
      </c>
      <c r="AO26" s="194">
        <f>AO25/AJ25-1</f>
        <v>-0.11004021191038493</v>
      </c>
      <c r="AP26" s="193">
        <f t="shared" si="44"/>
        <v>-0.11004021191038493</v>
      </c>
      <c r="AQ26" s="194">
        <f t="shared" si="44"/>
        <v>-0.14974385918823063</v>
      </c>
      <c r="AR26" s="194">
        <f t="shared" si="44"/>
        <v>-0.13196480938416422</v>
      </c>
      <c r="AS26" s="194">
        <f t="shared" si="44"/>
        <v>-0.12703465239094258</v>
      </c>
      <c r="AT26" s="194">
        <f t="shared" ref="AT26:AZ26" si="45">AT25/AO25-1</f>
        <v>-5.099332998637307E-2</v>
      </c>
      <c r="AU26" s="193">
        <f t="shared" si="45"/>
        <v>-5.099332998637307E-2</v>
      </c>
      <c r="AV26" s="194">
        <f t="shared" si="45"/>
        <v>1.1432102579947534E-2</v>
      </c>
      <c r="AW26" s="194">
        <f t="shared" si="45"/>
        <v>0.10135135135135132</v>
      </c>
      <c r="AX26" s="194">
        <f t="shared" si="45"/>
        <v>0.1236429932874783</v>
      </c>
      <c r="AY26" s="194">
        <f t="shared" si="45"/>
        <v>1.2545344619105281E-2</v>
      </c>
      <c r="AZ26" s="193">
        <f t="shared" si="45"/>
        <v>1.2545344619105281E-2</v>
      </c>
      <c r="BA26" s="193"/>
      <c r="BB26" s="194">
        <f>BB25/AV25-1</f>
        <v>-3.6810753016648823E-2</v>
      </c>
      <c r="BC26" s="194">
        <f>BC25/AW25-1</f>
        <v>-0.16143529747467544</v>
      </c>
      <c r="BD26" s="194">
        <f>BD25/AX25-1</f>
        <v>-0.15015856626594881</v>
      </c>
      <c r="BE26" s="194">
        <f>BE25/AY25-1</f>
        <v>-0.17980295566502458</v>
      </c>
      <c r="BF26" s="193">
        <f>BF25/AZ25-1</f>
        <v>-0.17980295566502458</v>
      </c>
      <c r="BG26" s="194"/>
      <c r="BH26" s="194"/>
      <c r="BI26" s="194"/>
      <c r="BJ26" s="194"/>
      <c r="BK26" s="193"/>
      <c r="BL26" s="194">
        <f>BL25/BG25-1</f>
        <v>-0.13564213564213567</v>
      </c>
      <c r="BM26" s="194">
        <f>BM25/BH25-1</f>
        <v>-9.6574128765504974E-2</v>
      </c>
      <c r="BN26" s="194">
        <f>BN25/BI25-1</f>
        <v>-0.11617295032914421</v>
      </c>
      <c r="BO26" s="194">
        <f>BO25/BJ25-1</f>
        <v>-5.6678017404464653E-2</v>
      </c>
      <c r="BP26" s="1041">
        <f>BP25/BK25-1</f>
        <v>-5.6678017404464653E-2</v>
      </c>
      <c r="BQ26" s="195"/>
      <c r="BR26" s="194"/>
      <c r="BS26" s="194"/>
      <c r="BT26" s="548"/>
      <c r="BU26" s="193"/>
      <c r="BV26" s="195"/>
      <c r="BW26" s="194"/>
      <c r="BX26" s="194"/>
      <c r="BY26" s="194"/>
      <c r="BZ26" s="193"/>
      <c r="CA26" s="195"/>
      <c r="CB26" s="194"/>
      <c r="CC26" s="194"/>
      <c r="CD26" s="194"/>
      <c r="CE26" s="193"/>
      <c r="CF26" s="195"/>
      <c r="CG26" s="194"/>
      <c r="CH26" s="194"/>
      <c r="CI26" s="194"/>
      <c r="CJ26" s="193"/>
      <c r="CK26" s="196"/>
      <c r="CL26" s="238"/>
      <c r="CM26" s="661"/>
      <c r="CN26" s="661"/>
      <c r="CO26" s="661"/>
      <c r="CP26" s="661"/>
      <c r="CQ26" s="661"/>
      <c r="CR26" s="661"/>
      <c r="CS26" s="661"/>
      <c r="CT26" s="661"/>
      <c r="CU26" s="661"/>
      <c r="CV26" s="661"/>
      <c r="CW26" s="229"/>
      <c r="CX26" s="197"/>
      <c r="CY26" s="197"/>
      <c r="CZ26"/>
      <c r="DA26"/>
      <c r="DB26"/>
      <c r="DC26"/>
      <c r="DD26"/>
    </row>
    <row r="27" spans="1:108" s="520" customFormat="1" hidden="1" outlineLevel="1">
      <c r="A27" s="512" t="s">
        <v>256</v>
      </c>
      <c r="B27" s="513"/>
      <c r="C27" s="513"/>
      <c r="D27" s="513"/>
      <c r="E27" s="513"/>
      <c r="F27" s="513"/>
      <c r="G27" s="513"/>
      <c r="H27" s="514"/>
      <c r="I27" s="514"/>
      <c r="J27" s="514"/>
      <c r="K27" s="514"/>
      <c r="L27" s="513"/>
      <c r="M27" s="514"/>
      <c r="N27" s="514"/>
      <c r="O27" s="514"/>
      <c r="P27" s="514"/>
      <c r="Q27" s="513"/>
      <c r="R27" s="514"/>
      <c r="S27" s="514"/>
      <c r="T27" s="514"/>
      <c r="U27" s="514"/>
      <c r="V27" s="513"/>
      <c r="W27" s="450">
        <v>18123</v>
      </c>
      <c r="X27" s="450">
        <v>17393</v>
      </c>
      <c r="Y27" s="450">
        <v>17184</v>
      </c>
      <c r="Z27" s="450">
        <v>17443</v>
      </c>
      <c r="AA27" s="396">
        <f>Z27</f>
        <v>17443</v>
      </c>
      <c r="AB27" s="450">
        <v>17499</v>
      </c>
      <c r="AC27" s="450">
        <v>17948</v>
      </c>
      <c r="AD27" s="450">
        <v>18306</v>
      </c>
      <c r="AE27" s="450">
        <v>17618</v>
      </c>
      <c r="AF27" s="396">
        <v>17618</v>
      </c>
      <c r="AG27" s="524">
        <v>16718</v>
      </c>
      <c r="AH27" s="450">
        <v>16058</v>
      </c>
      <c r="AI27" s="450">
        <v>15828</v>
      </c>
      <c r="AJ27" s="450">
        <v>15458</v>
      </c>
      <c r="AK27" s="396">
        <v>15458</v>
      </c>
      <c r="AL27" s="514">
        <v>15029</v>
      </c>
      <c r="AM27" s="514">
        <v>14480</v>
      </c>
      <c r="AN27" s="514">
        <v>13653</v>
      </c>
      <c r="AO27" s="514">
        <v>13785</v>
      </c>
      <c r="AP27" s="513">
        <f>AO27</f>
        <v>13785</v>
      </c>
      <c r="AQ27" s="515">
        <v>12747</v>
      </c>
      <c r="AR27" s="450">
        <v>12556</v>
      </c>
      <c r="AS27" s="450">
        <v>11924</v>
      </c>
      <c r="AT27" s="761">
        <v>13115</v>
      </c>
      <c r="AU27" s="513">
        <f>AT27</f>
        <v>13115</v>
      </c>
      <c r="AV27" s="776">
        <v>12947</v>
      </c>
      <c r="AW27" s="761">
        <v>13893</v>
      </c>
      <c r="AX27" s="761">
        <v>13459</v>
      </c>
      <c r="AY27" s="761">
        <v>13292</v>
      </c>
      <c r="AZ27" s="513">
        <f>AY27</f>
        <v>13292</v>
      </c>
      <c r="BA27" s="513"/>
      <c r="BB27" s="515">
        <v>12465</v>
      </c>
      <c r="BC27" s="514">
        <v>11629</v>
      </c>
      <c r="BD27" s="514">
        <v>11415</v>
      </c>
      <c r="BE27" s="514">
        <v>10893</v>
      </c>
      <c r="BF27" s="513">
        <f>BE27</f>
        <v>10893</v>
      </c>
      <c r="BG27" s="515">
        <v>14406</v>
      </c>
      <c r="BH27" s="514">
        <v>13418</v>
      </c>
      <c r="BI27" s="514">
        <v>13260</v>
      </c>
      <c r="BJ27" s="514">
        <v>13119</v>
      </c>
      <c r="BK27" s="513">
        <v>13119</v>
      </c>
      <c r="BL27" s="515">
        <v>12446</v>
      </c>
      <c r="BM27" s="514">
        <v>12116</v>
      </c>
      <c r="BN27" s="450">
        <v>11729</v>
      </c>
      <c r="BO27" s="450">
        <v>12319</v>
      </c>
      <c r="BP27" s="1042">
        <f>BO27</f>
        <v>12319</v>
      </c>
      <c r="BQ27" s="515"/>
      <c r="BR27" s="514"/>
      <c r="BS27" s="514"/>
      <c r="BT27" s="1112"/>
      <c r="BU27" s="513"/>
      <c r="BV27" s="515"/>
      <c r="BW27" s="514"/>
      <c r="BX27" s="514"/>
      <c r="BY27" s="514"/>
      <c r="BZ27" s="513"/>
      <c r="CA27" s="515"/>
      <c r="CB27" s="514"/>
      <c r="CC27" s="514"/>
      <c r="CD27" s="514"/>
      <c r="CE27" s="513"/>
      <c r="CF27" s="515"/>
      <c r="CG27" s="514"/>
      <c r="CH27" s="514"/>
      <c r="CI27" s="514"/>
      <c r="CJ27" s="513"/>
      <c r="CK27" s="516"/>
      <c r="CL27" s="517"/>
      <c r="CM27" s="654"/>
      <c r="CN27" s="654"/>
      <c r="CO27" s="654"/>
      <c r="CP27" s="654"/>
      <c r="CQ27" s="654"/>
      <c r="CR27" s="654"/>
      <c r="CS27" s="654"/>
      <c r="CT27" s="654"/>
      <c r="CU27" s="654"/>
      <c r="CV27" s="654"/>
      <c r="CW27" s="518"/>
      <c r="CX27" s="519"/>
      <c r="CY27" s="519"/>
      <c r="CZ27"/>
      <c r="DA27"/>
      <c r="DB27"/>
      <c r="DC27"/>
      <c r="DD27"/>
    </row>
    <row r="28" spans="1:108" s="198" customFormat="1" hidden="1" outlineLevel="1">
      <c r="A28" s="521" t="s">
        <v>257</v>
      </c>
      <c r="B28" s="193"/>
      <c r="C28" s="193"/>
      <c r="D28" s="193"/>
      <c r="E28" s="193"/>
      <c r="F28" s="193"/>
      <c r="G28" s="193"/>
      <c r="H28" s="194"/>
      <c r="I28" s="194"/>
      <c r="J28" s="194"/>
      <c r="K28" s="194"/>
      <c r="L28" s="193"/>
      <c r="M28" s="194"/>
      <c r="N28" s="194"/>
      <c r="O28" s="194"/>
      <c r="P28" s="194"/>
      <c r="Q28" s="193"/>
      <c r="R28" s="194"/>
      <c r="S28" s="194"/>
      <c r="T28" s="194"/>
      <c r="U28" s="194"/>
      <c r="V28" s="193"/>
      <c r="W28" s="527">
        <f t="shared" ref="W28:AJ28" si="46">W27/W25</f>
        <v>0.97708647832650419</v>
      </c>
      <c r="X28" s="527">
        <f t="shared" si="46"/>
        <v>0.97707993932925119</v>
      </c>
      <c r="Y28" s="527">
        <f t="shared" si="46"/>
        <v>0.97764123570575179</v>
      </c>
      <c r="Z28" s="527">
        <f t="shared" si="46"/>
        <v>0.97878906907580943</v>
      </c>
      <c r="AA28" s="525">
        <f t="shared" si="46"/>
        <v>0.97878906907580943</v>
      </c>
      <c r="AB28" s="527">
        <f t="shared" si="46"/>
        <v>0.97978723404255319</v>
      </c>
      <c r="AC28" s="527">
        <f t="shared" si="46"/>
        <v>0.98140857392825898</v>
      </c>
      <c r="AD28" s="527">
        <f t="shared" si="46"/>
        <v>0.98292525773195871</v>
      </c>
      <c r="AE28" s="527">
        <f t="shared" si="46"/>
        <v>0.98386105992070139</v>
      </c>
      <c r="AF28" s="525">
        <f t="shared" si="46"/>
        <v>0.98386105992070139</v>
      </c>
      <c r="AG28" s="527">
        <f t="shared" si="46"/>
        <v>0.98433820065944422</v>
      </c>
      <c r="AH28" s="527">
        <f t="shared" si="46"/>
        <v>0.98521381679857656</v>
      </c>
      <c r="AI28" s="527">
        <f t="shared" si="46"/>
        <v>0.98666001745418275</v>
      </c>
      <c r="AJ28" s="527">
        <f t="shared" si="46"/>
        <v>0.9866598583008872</v>
      </c>
      <c r="AK28" s="525">
        <f t="shared" ref="AK28:AP28" si="47">AK27/AK25</f>
        <v>0.9866598583008872</v>
      </c>
      <c r="AL28" s="194">
        <f t="shared" si="47"/>
        <v>0.98706160514908714</v>
      </c>
      <c r="AM28" s="194">
        <f t="shared" si="47"/>
        <v>0.98751960717452092</v>
      </c>
      <c r="AN28" s="194">
        <f t="shared" si="47"/>
        <v>0.98770165665919119</v>
      </c>
      <c r="AO28" s="194">
        <f t="shared" si="47"/>
        <v>0.98866814889191712</v>
      </c>
      <c r="AP28" s="193">
        <f t="shared" si="47"/>
        <v>0.98866814889191712</v>
      </c>
      <c r="AQ28" s="194">
        <f t="shared" ref="AQ28:AV28" si="48">AQ27/AQ25</f>
        <v>0.98462845666615173</v>
      </c>
      <c r="AR28" s="194">
        <f t="shared" si="48"/>
        <v>0.98648648648648651</v>
      </c>
      <c r="AS28" s="527">
        <f t="shared" si="48"/>
        <v>0.98814949863263446</v>
      </c>
      <c r="AT28" s="194">
        <f t="shared" si="48"/>
        <v>0.99115779927448611</v>
      </c>
      <c r="AU28" s="193">
        <f t="shared" si="48"/>
        <v>0.99115779927448611</v>
      </c>
      <c r="AV28" s="194">
        <f t="shared" si="48"/>
        <v>0.98877348403849086</v>
      </c>
      <c r="AW28" s="194">
        <f t="shared" ref="AW28:BG28" si="49">AW27/AW25</f>
        <v>0.99108289342274214</v>
      </c>
      <c r="AX28" s="527">
        <f t="shared" si="49"/>
        <v>0.99262482483958991</v>
      </c>
      <c r="AY28" s="194">
        <f t="shared" si="49"/>
        <v>0.9920883713987162</v>
      </c>
      <c r="AZ28" s="193">
        <f t="shared" si="49"/>
        <v>0.9920883713987162</v>
      </c>
      <c r="BA28" s="193"/>
      <c r="BB28" s="194">
        <f t="shared" si="49"/>
        <v>0.98834443387250237</v>
      </c>
      <c r="BC28" s="194">
        <f t="shared" si="49"/>
        <v>0.98928115695448748</v>
      </c>
      <c r="BD28" s="527">
        <f t="shared" si="49"/>
        <v>0.99062744077063269</v>
      </c>
      <c r="BE28" s="194">
        <f t="shared" si="49"/>
        <v>0.99126399126399123</v>
      </c>
      <c r="BF28" s="193">
        <f t="shared" si="49"/>
        <v>0.99126399126399123</v>
      </c>
      <c r="BG28" s="194">
        <f t="shared" si="49"/>
        <v>0.98989898989898994</v>
      </c>
      <c r="BH28" s="194">
        <f t="shared" ref="BH28:BJ28" si="50">BH27/BH25</f>
        <v>0.99069698759598346</v>
      </c>
      <c r="BI28" s="194">
        <f t="shared" si="50"/>
        <v>0.99192100538599637</v>
      </c>
      <c r="BJ28" s="194">
        <f t="shared" si="50"/>
        <v>0.99273552780930763</v>
      </c>
      <c r="BK28" s="193">
        <f t="shared" ref="BK28:BL28" si="51">BK27/BK25</f>
        <v>0.99273552780930763</v>
      </c>
      <c r="BL28" s="194">
        <f t="shared" si="51"/>
        <v>0.98942682248191427</v>
      </c>
      <c r="BM28" s="194">
        <f t="shared" ref="BM28:BN28" si="52">BM27/BM25</f>
        <v>0.99019287348806795</v>
      </c>
      <c r="BN28" s="194">
        <f t="shared" si="52"/>
        <v>0.99272111722386791</v>
      </c>
      <c r="BO28" s="194">
        <f t="shared" ref="BO28:BP28" si="53">BO27/BO25</f>
        <v>0.98820792555751646</v>
      </c>
      <c r="BP28" s="1041">
        <f t="shared" si="53"/>
        <v>0.98820792555751646</v>
      </c>
      <c r="BQ28" s="195"/>
      <c r="BR28" s="194"/>
      <c r="BS28" s="194"/>
      <c r="BT28" s="548"/>
      <c r="BU28" s="193"/>
      <c r="BV28" s="195"/>
      <c r="BW28" s="194"/>
      <c r="BX28" s="194"/>
      <c r="BY28" s="194"/>
      <c r="BZ28" s="193"/>
      <c r="CA28" s="195"/>
      <c r="CB28" s="194"/>
      <c r="CC28" s="194"/>
      <c r="CD28" s="194"/>
      <c r="CE28" s="193"/>
      <c r="CF28" s="195"/>
      <c r="CG28" s="194"/>
      <c r="CH28" s="194"/>
      <c r="CI28" s="194"/>
      <c r="CJ28" s="193"/>
      <c r="CK28" s="196"/>
      <c r="CL28" s="238"/>
      <c r="CM28" s="661"/>
      <c r="CN28" s="661"/>
      <c r="CO28" s="661"/>
      <c r="CP28" s="661"/>
      <c r="CQ28" s="661"/>
      <c r="CR28" s="661"/>
      <c r="CS28" s="661"/>
      <c r="CT28" s="661"/>
      <c r="CU28" s="661"/>
      <c r="CV28" s="661"/>
      <c r="CW28" s="229"/>
      <c r="CX28" s="197"/>
      <c r="CY28" s="197"/>
      <c r="CZ28"/>
      <c r="DA28"/>
      <c r="DB28"/>
      <c r="DC28"/>
      <c r="DD28"/>
    </row>
    <row r="29" spans="1:108" s="520" customFormat="1" hidden="1" outlineLevel="1">
      <c r="A29" s="512" t="s">
        <v>258</v>
      </c>
      <c r="B29" s="513"/>
      <c r="C29" s="513"/>
      <c r="D29" s="513"/>
      <c r="E29" s="513"/>
      <c r="F29" s="513"/>
      <c r="G29" s="513"/>
      <c r="H29" s="514"/>
      <c r="I29" s="514"/>
      <c r="J29" s="514"/>
      <c r="K29" s="514"/>
      <c r="L29" s="513"/>
      <c r="M29" s="514"/>
      <c r="N29" s="514"/>
      <c r="O29" s="514"/>
      <c r="P29" s="514"/>
      <c r="Q29" s="513"/>
      <c r="R29" s="514"/>
      <c r="S29" s="514"/>
      <c r="T29" s="514"/>
      <c r="U29" s="514"/>
      <c r="V29" s="513"/>
      <c r="W29" s="450">
        <f>W25-W27</f>
        <v>425</v>
      </c>
      <c r="X29" s="450">
        <f>X25-X27</f>
        <v>408</v>
      </c>
      <c r="Y29" s="450">
        <f>Y25-Y27</f>
        <v>393</v>
      </c>
      <c r="Z29" s="450">
        <f>Z25-Z27</f>
        <v>378</v>
      </c>
      <c r="AA29" s="396">
        <f>Z29</f>
        <v>378</v>
      </c>
      <c r="AB29" s="450">
        <f>AB25-AB27</f>
        <v>361</v>
      </c>
      <c r="AC29" s="450">
        <f>AC25-AC27</f>
        <v>340</v>
      </c>
      <c r="AD29" s="450">
        <f>AD25-AD27</f>
        <v>318</v>
      </c>
      <c r="AE29" s="450">
        <f>AE25-AE27</f>
        <v>289</v>
      </c>
      <c r="AF29" s="396">
        <v>289</v>
      </c>
      <c r="AG29" s="450">
        <f>AG25-AG27</f>
        <v>266</v>
      </c>
      <c r="AH29" s="450">
        <f>AH25-AH27</f>
        <v>241</v>
      </c>
      <c r="AI29" s="450">
        <f>AI25-AI27</f>
        <v>214</v>
      </c>
      <c r="AJ29" s="450">
        <f>AJ25-AJ27</f>
        <v>209</v>
      </c>
      <c r="AK29" s="396">
        <f>AK25-AK27</f>
        <v>209</v>
      </c>
      <c r="AL29" s="514">
        <v>197</v>
      </c>
      <c r="AM29" s="514">
        <v>183</v>
      </c>
      <c r="AN29" s="514">
        <v>170</v>
      </c>
      <c r="AO29" s="514">
        <f>AO25-AO27</f>
        <v>158</v>
      </c>
      <c r="AP29" s="513">
        <f>AO29</f>
        <v>158</v>
      </c>
      <c r="AQ29" s="514">
        <f>AQ25-AQ27</f>
        <v>199</v>
      </c>
      <c r="AR29" s="514">
        <f>AR25-AR27</f>
        <v>172</v>
      </c>
      <c r="AS29" s="450">
        <v>143</v>
      </c>
      <c r="AT29" s="514">
        <f>AT25-AT27</f>
        <v>117</v>
      </c>
      <c r="AU29" s="513">
        <f>AT29</f>
        <v>117</v>
      </c>
      <c r="AV29" s="514">
        <f>AV25-AV27</f>
        <v>147</v>
      </c>
      <c r="AW29" s="514">
        <f>AW25-AW27</f>
        <v>125</v>
      </c>
      <c r="AX29" s="514">
        <f>AX25-AX27</f>
        <v>100</v>
      </c>
      <c r="AY29" s="514">
        <f>AY25-AY27</f>
        <v>106</v>
      </c>
      <c r="AZ29" s="513">
        <f>AY29</f>
        <v>106</v>
      </c>
      <c r="BA29" s="513"/>
      <c r="BB29" s="514">
        <f>BB25-BB27</f>
        <v>147</v>
      </c>
      <c r="BC29" s="514">
        <f>BC25-BC27</f>
        <v>126</v>
      </c>
      <c r="BD29" s="514">
        <f>BD25-BD27</f>
        <v>108</v>
      </c>
      <c r="BE29" s="514">
        <f>BE25-BE27</f>
        <v>96</v>
      </c>
      <c r="BF29" s="513">
        <f>BE29</f>
        <v>96</v>
      </c>
      <c r="BG29" s="514">
        <f t="shared" ref="BG29:BJ29" si="54">BG25-BG27</f>
        <v>147</v>
      </c>
      <c r="BH29" s="514">
        <f t="shared" si="54"/>
        <v>126</v>
      </c>
      <c r="BI29" s="514">
        <f t="shared" si="54"/>
        <v>108</v>
      </c>
      <c r="BJ29" s="514">
        <f t="shared" si="54"/>
        <v>96</v>
      </c>
      <c r="BK29" s="513">
        <f t="shared" ref="BK29:BO29" si="55">BK25-BK27</f>
        <v>96</v>
      </c>
      <c r="BL29" s="514">
        <f t="shared" si="55"/>
        <v>133</v>
      </c>
      <c r="BM29" s="514">
        <f t="shared" si="55"/>
        <v>120</v>
      </c>
      <c r="BN29" s="514">
        <f t="shared" si="55"/>
        <v>86</v>
      </c>
      <c r="BO29" s="514">
        <f t="shared" si="55"/>
        <v>147</v>
      </c>
      <c r="BP29" s="1042">
        <f>BO29</f>
        <v>147</v>
      </c>
      <c r="BQ29" s="515"/>
      <c r="BR29" s="514"/>
      <c r="BS29" s="514"/>
      <c r="BT29" s="1112"/>
      <c r="BU29" s="513"/>
      <c r="BV29" s="515"/>
      <c r="BW29" s="514"/>
      <c r="BX29" s="514"/>
      <c r="BY29" s="514"/>
      <c r="BZ29" s="513"/>
      <c r="CA29" s="515"/>
      <c r="CB29" s="514"/>
      <c r="CC29" s="514"/>
      <c r="CD29" s="514"/>
      <c r="CE29" s="513"/>
      <c r="CF29" s="515"/>
      <c r="CG29" s="514"/>
      <c r="CH29" s="514"/>
      <c r="CI29" s="514"/>
      <c r="CJ29" s="513"/>
      <c r="CK29" s="516"/>
      <c r="CL29" s="517"/>
      <c r="CM29" s="654"/>
      <c r="CN29" s="654"/>
      <c r="CO29" s="654"/>
      <c r="CP29" s="654"/>
      <c r="CQ29" s="654"/>
      <c r="CR29" s="654"/>
      <c r="CS29" s="654"/>
      <c r="CT29" s="654"/>
      <c r="CU29" s="654"/>
      <c r="CV29" s="654"/>
      <c r="CW29" s="518"/>
      <c r="CX29" s="519"/>
      <c r="CY29" s="519"/>
      <c r="CZ29"/>
      <c r="DA29"/>
      <c r="DB29"/>
      <c r="DC29"/>
      <c r="DD29"/>
    </row>
    <row r="30" spans="1:108" s="198" customFormat="1" hidden="1" outlineLevel="1">
      <c r="A30" s="521" t="s">
        <v>257</v>
      </c>
      <c r="B30" s="193"/>
      <c r="C30" s="193"/>
      <c r="D30" s="193"/>
      <c r="E30" s="193"/>
      <c r="F30" s="193"/>
      <c r="G30" s="193"/>
      <c r="H30" s="194"/>
      <c r="I30" s="194"/>
      <c r="J30" s="194"/>
      <c r="K30" s="194"/>
      <c r="L30" s="193"/>
      <c r="M30" s="194"/>
      <c r="N30" s="194"/>
      <c r="O30" s="194"/>
      <c r="P30" s="194"/>
      <c r="Q30" s="193"/>
      <c r="R30" s="194"/>
      <c r="S30" s="194"/>
      <c r="T30" s="194"/>
      <c r="U30" s="194"/>
      <c r="V30" s="193"/>
      <c r="W30" s="527">
        <f t="shared" ref="W30:AJ30" si="56">W29/W25</f>
        <v>2.2913521673495793E-2</v>
      </c>
      <c r="X30" s="527">
        <f t="shared" si="56"/>
        <v>2.2920060670748834E-2</v>
      </c>
      <c r="Y30" s="527">
        <f t="shared" si="56"/>
        <v>2.2358764294248164E-2</v>
      </c>
      <c r="Z30" s="527">
        <f t="shared" si="56"/>
        <v>2.121093092419056E-2</v>
      </c>
      <c r="AA30" s="525">
        <f t="shared" si="56"/>
        <v>2.121093092419056E-2</v>
      </c>
      <c r="AB30" s="527">
        <f t="shared" si="56"/>
        <v>2.021276595744681E-2</v>
      </c>
      <c r="AC30" s="527">
        <f t="shared" si="56"/>
        <v>1.8591426071741031E-2</v>
      </c>
      <c r="AD30" s="527">
        <f t="shared" si="56"/>
        <v>1.7074742268041235E-2</v>
      </c>
      <c r="AE30" s="527">
        <f t="shared" si="56"/>
        <v>1.61389400792986E-2</v>
      </c>
      <c r="AF30" s="525">
        <f t="shared" si="56"/>
        <v>1.61389400792986E-2</v>
      </c>
      <c r="AG30" s="527">
        <f t="shared" si="56"/>
        <v>1.5661799340555817E-2</v>
      </c>
      <c r="AH30" s="527">
        <f t="shared" si="56"/>
        <v>1.47861832014234E-2</v>
      </c>
      <c r="AI30" s="527">
        <f t="shared" si="56"/>
        <v>1.333998254581723E-2</v>
      </c>
      <c r="AJ30" s="527">
        <f t="shared" si="56"/>
        <v>1.3340141699112785E-2</v>
      </c>
      <c r="AK30" s="525">
        <f t="shared" ref="AK30:AQ30" si="57">AK29/AK25</f>
        <v>1.3340141699112785E-2</v>
      </c>
      <c r="AL30" s="194">
        <f t="shared" si="57"/>
        <v>1.2938394850912912E-2</v>
      </c>
      <c r="AM30" s="194">
        <f t="shared" si="57"/>
        <v>1.2480392825479096E-2</v>
      </c>
      <c r="AN30" s="194">
        <f t="shared" si="57"/>
        <v>1.2298343340808798E-2</v>
      </c>
      <c r="AO30" s="194">
        <f t="shared" si="57"/>
        <v>1.1331851108082909E-2</v>
      </c>
      <c r="AP30" s="193">
        <f t="shared" si="57"/>
        <v>1.1331851108082909E-2</v>
      </c>
      <c r="AQ30" s="194">
        <f t="shared" si="57"/>
        <v>1.5371543333848292E-2</v>
      </c>
      <c r="AR30" s="194">
        <f t="shared" ref="AR30:AW30" si="58">AR29/AR25</f>
        <v>1.3513513513513514E-2</v>
      </c>
      <c r="AS30" s="194">
        <f t="shared" si="58"/>
        <v>1.1850501367365542E-2</v>
      </c>
      <c r="AT30" s="194">
        <f t="shared" si="58"/>
        <v>8.8422007255139056E-3</v>
      </c>
      <c r="AU30" s="193">
        <f t="shared" si="58"/>
        <v>8.8422007255139056E-3</v>
      </c>
      <c r="AV30" s="194">
        <f t="shared" si="58"/>
        <v>1.1226515961509089E-2</v>
      </c>
      <c r="AW30" s="194">
        <f t="shared" si="58"/>
        <v>8.917106577257812E-3</v>
      </c>
      <c r="AX30" s="194">
        <f t="shared" ref="AX30:BG30" si="59">AX29/AX25</f>
        <v>7.3751751604100597E-3</v>
      </c>
      <c r="AY30" s="194">
        <f t="shared" si="59"/>
        <v>7.9116286012837732E-3</v>
      </c>
      <c r="AZ30" s="193">
        <f t="shared" si="59"/>
        <v>7.9116286012837732E-3</v>
      </c>
      <c r="BA30" s="193"/>
      <c r="BB30" s="194">
        <f t="shared" si="59"/>
        <v>1.1655566127497621E-2</v>
      </c>
      <c r="BC30" s="194">
        <f t="shared" si="59"/>
        <v>1.0718843045512547E-2</v>
      </c>
      <c r="BD30" s="194">
        <f t="shared" si="59"/>
        <v>9.3725592293673523E-3</v>
      </c>
      <c r="BE30" s="194">
        <f t="shared" si="59"/>
        <v>8.7360087360087366E-3</v>
      </c>
      <c r="BF30" s="193">
        <f t="shared" si="59"/>
        <v>8.7360087360087366E-3</v>
      </c>
      <c r="BG30" s="194">
        <f t="shared" si="59"/>
        <v>1.0101010101010102E-2</v>
      </c>
      <c r="BH30" s="194">
        <f t="shared" ref="BH30:BJ30" si="60">BH29/BH25</f>
        <v>9.3030124040165384E-3</v>
      </c>
      <c r="BI30" s="194">
        <f t="shared" si="60"/>
        <v>8.0789946140035901E-3</v>
      </c>
      <c r="BJ30" s="194">
        <f t="shared" si="60"/>
        <v>7.2644721906923952E-3</v>
      </c>
      <c r="BK30" s="193">
        <f t="shared" ref="BK30:BL30" si="61">BK29/BK25</f>
        <v>7.2644721906923952E-3</v>
      </c>
      <c r="BL30" s="194">
        <f t="shared" si="61"/>
        <v>1.0573177518085699E-2</v>
      </c>
      <c r="BM30" s="194">
        <f t="shared" ref="BM30:BN30" si="62">BM29/BM25</f>
        <v>9.8071265119320031E-3</v>
      </c>
      <c r="BN30" s="194">
        <f t="shared" si="62"/>
        <v>7.2788827761320358E-3</v>
      </c>
      <c r="BO30" s="194">
        <f t="shared" ref="BO30:BP30" si="63">BO29/BO25</f>
        <v>1.1792074442483555E-2</v>
      </c>
      <c r="BP30" s="1041">
        <f t="shared" si="63"/>
        <v>1.1792074442483555E-2</v>
      </c>
      <c r="BQ30" s="195"/>
      <c r="BR30" s="194"/>
      <c r="BS30" s="194"/>
      <c r="BT30" s="548"/>
      <c r="BU30" s="193"/>
      <c r="BV30" s="195"/>
      <c r="BW30" s="194"/>
      <c r="BX30" s="194"/>
      <c r="BY30" s="194"/>
      <c r="BZ30" s="193"/>
      <c r="CA30" s="195"/>
      <c r="CB30" s="194"/>
      <c r="CC30" s="194"/>
      <c r="CD30" s="194"/>
      <c r="CE30" s="193"/>
      <c r="CF30" s="195"/>
      <c r="CG30" s="194"/>
      <c r="CH30" s="194"/>
      <c r="CI30" s="194"/>
      <c r="CJ30" s="193"/>
      <c r="CK30" s="196"/>
      <c r="CL30" s="238"/>
      <c r="CM30" s="661"/>
      <c r="CN30" s="661"/>
      <c r="CO30" s="661"/>
      <c r="CP30" s="661"/>
      <c r="CQ30" s="661"/>
      <c r="CR30" s="661"/>
      <c r="CS30" s="661"/>
      <c r="CT30" s="661"/>
      <c r="CU30" s="661"/>
      <c r="CV30" s="661"/>
      <c r="CW30" s="229"/>
      <c r="CX30" s="197"/>
      <c r="CY30" s="197"/>
      <c r="CZ30"/>
      <c r="DA30"/>
      <c r="DB30"/>
      <c r="DC30"/>
      <c r="DD30"/>
    </row>
    <row r="31" spans="1:108" s="476" customFormat="1" hidden="1" outlineLevel="1">
      <c r="A31" s="470" t="s">
        <v>149</v>
      </c>
      <c r="B31" s="437"/>
      <c r="C31" s="437"/>
      <c r="D31" s="437"/>
      <c r="E31" s="437"/>
      <c r="F31" s="437"/>
      <c r="G31" s="437"/>
      <c r="H31" s="438"/>
      <c r="I31" s="438"/>
      <c r="J31" s="438"/>
      <c r="K31" s="438"/>
      <c r="L31" s="437"/>
      <c r="M31" s="438"/>
      <c r="N31" s="438"/>
      <c r="O31" s="438"/>
      <c r="P31" s="438"/>
      <c r="Q31" s="437"/>
      <c r="R31" s="438"/>
      <c r="S31" s="438"/>
      <c r="T31" s="438"/>
      <c r="U31" s="438"/>
      <c r="V31" s="437"/>
      <c r="W31" s="438"/>
      <c r="X31" s="438"/>
      <c r="Y31" s="438"/>
      <c r="Z31" s="438"/>
      <c r="AA31" s="437"/>
      <c r="AB31" s="438"/>
      <c r="AC31" s="438"/>
      <c r="AD31" s="438"/>
      <c r="AE31" s="438">
        <f t="shared" ref="AE31:AK31" si="64">AE25*AE32</f>
        <v>11639.550000000001</v>
      </c>
      <c r="AF31" s="437">
        <f t="shared" si="64"/>
        <v>11639.550000000001</v>
      </c>
      <c r="AG31" s="471">
        <f t="shared" si="64"/>
        <v>10190.4</v>
      </c>
      <c r="AH31" s="438">
        <f t="shared" si="64"/>
        <v>9779.4</v>
      </c>
      <c r="AI31" s="438">
        <f t="shared" si="64"/>
        <v>9625.1999999999989</v>
      </c>
      <c r="AJ31" s="438">
        <f t="shared" si="64"/>
        <v>9400.1999999999989</v>
      </c>
      <c r="AK31" s="437">
        <f t="shared" si="64"/>
        <v>9400.1999999999989</v>
      </c>
      <c r="AL31" s="438"/>
      <c r="AM31" s="438"/>
      <c r="AN31" s="438"/>
      <c r="AO31" s="438"/>
      <c r="AP31" s="437">
        <f>AP25*AP32</f>
        <v>9062.9500000000007</v>
      </c>
      <c r="AQ31" s="471"/>
      <c r="AR31" s="438"/>
      <c r="AS31" s="438"/>
      <c r="AT31" s="438"/>
      <c r="AU31" s="437">
        <f>AU25*AU32</f>
        <v>7939.2</v>
      </c>
      <c r="AV31" s="471"/>
      <c r="AW31" s="438"/>
      <c r="AX31" s="438"/>
      <c r="AY31" s="438"/>
      <c r="AZ31" s="437">
        <f>AZ25*AZ32</f>
        <v>7368.9000000000005</v>
      </c>
      <c r="BA31" s="437"/>
      <c r="BB31" s="471"/>
      <c r="BC31" s="438"/>
      <c r="BD31" s="438"/>
      <c r="BE31" s="438"/>
      <c r="BF31" s="437">
        <f>BF25*BF32</f>
        <v>6043.9500000000007</v>
      </c>
      <c r="BG31" s="471"/>
      <c r="BH31" s="438"/>
      <c r="BI31" s="438"/>
      <c r="BJ31" s="438"/>
      <c r="BK31" s="437"/>
      <c r="BL31" s="471"/>
      <c r="BM31" s="438"/>
      <c r="BN31" s="438"/>
      <c r="BO31" s="438"/>
      <c r="BP31" s="1074"/>
      <c r="BQ31" s="471"/>
      <c r="BR31" s="438"/>
      <c r="BS31" s="438"/>
      <c r="BT31" s="1113"/>
      <c r="BU31" s="437"/>
      <c r="BV31" s="471"/>
      <c r="BW31" s="438"/>
      <c r="BX31" s="438"/>
      <c r="BY31" s="438"/>
      <c r="BZ31" s="437"/>
      <c r="CA31" s="471"/>
      <c r="CB31" s="438"/>
      <c r="CC31" s="438"/>
      <c r="CD31" s="438"/>
      <c r="CE31" s="437"/>
      <c r="CF31" s="471"/>
      <c r="CG31" s="438"/>
      <c r="CH31" s="438"/>
      <c r="CI31" s="438"/>
      <c r="CJ31" s="437"/>
      <c r="CK31" s="472"/>
      <c r="CL31" s="473"/>
      <c r="CM31" s="622"/>
      <c r="CN31" s="622"/>
      <c r="CO31" s="622"/>
      <c r="CP31" s="622"/>
      <c r="CQ31" s="622"/>
      <c r="CR31" s="622"/>
      <c r="CS31" s="622"/>
      <c r="CT31" s="622"/>
      <c r="CU31" s="622"/>
      <c r="CV31" s="622"/>
      <c r="CW31" s="474"/>
      <c r="CX31" s="475"/>
      <c r="CY31" s="475"/>
      <c r="CZ31"/>
      <c r="DA31"/>
      <c r="DB31"/>
      <c r="DC31"/>
      <c r="DD31"/>
    </row>
    <row r="32" spans="1:108" s="198" customFormat="1" hidden="1" outlineLevel="1">
      <c r="A32" s="457" t="s">
        <v>262</v>
      </c>
      <c r="B32" s="193"/>
      <c r="C32" s="193"/>
      <c r="D32" s="193"/>
      <c r="E32" s="193"/>
      <c r="F32" s="193"/>
      <c r="G32" s="193"/>
      <c r="H32" s="194"/>
      <c r="I32" s="194"/>
      <c r="J32" s="194"/>
      <c r="K32" s="194"/>
      <c r="L32" s="193"/>
      <c r="M32" s="194"/>
      <c r="N32" s="194"/>
      <c r="O32" s="194"/>
      <c r="P32" s="194"/>
      <c r="Q32" s="193"/>
      <c r="R32" s="194"/>
      <c r="S32" s="194"/>
      <c r="T32" s="194"/>
      <c r="U32" s="194"/>
      <c r="V32" s="193"/>
      <c r="W32" s="194"/>
      <c r="X32" s="194"/>
      <c r="Y32" s="194"/>
      <c r="Z32" s="194"/>
      <c r="AA32" s="193"/>
      <c r="AB32" s="194"/>
      <c r="AC32" s="194"/>
      <c r="AD32" s="194"/>
      <c r="AE32" s="194">
        <v>0.65</v>
      </c>
      <c r="AF32" s="193">
        <v>0.65</v>
      </c>
      <c r="AG32" s="195">
        <v>0.6</v>
      </c>
      <c r="AH32" s="194">
        <v>0.6</v>
      </c>
      <c r="AI32" s="194">
        <v>0.6</v>
      </c>
      <c r="AJ32" s="194">
        <v>0.6</v>
      </c>
      <c r="AK32" s="193">
        <v>0.6</v>
      </c>
      <c r="AL32" s="194"/>
      <c r="AM32" s="194"/>
      <c r="AN32" s="194"/>
      <c r="AO32" s="194"/>
      <c r="AP32" s="193">
        <v>0.65</v>
      </c>
      <c r="AQ32" s="195"/>
      <c r="AR32" s="194"/>
      <c r="AS32" s="194"/>
      <c r="AT32" s="194"/>
      <c r="AU32" s="775">
        <v>0.6</v>
      </c>
      <c r="AV32" s="195"/>
      <c r="AW32" s="194"/>
      <c r="AX32" s="194"/>
      <c r="AY32" s="194"/>
      <c r="AZ32" s="775">
        <v>0.55000000000000004</v>
      </c>
      <c r="BA32" s="775"/>
      <c r="BB32" s="195"/>
      <c r="BC32" s="194"/>
      <c r="BD32" s="194"/>
      <c r="BE32" s="194"/>
      <c r="BF32" s="193">
        <v>0.55000000000000004</v>
      </c>
      <c r="BG32" s="195"/>
      <c r="BH32" s="194"/>
      <c r="BI32" s="194"/>
      <c r="BJ32" s="194"/>
      <c r="BK32" s="775"/>
      <c r="BL32" s="195"/>
      <c r="BM32" s="194"/>
      <c r="BN32" s="194"/>
      <c r="BO32" s="194"/>
      <c r="BP32" s="1206"/>
      <c r="BQ32" s="195"/>
      <c r="BR32" s="194"/>
      <c r="BS32" s="194"/>
      <c r="BT32" s="548"/>
      <c r="BU32" s="193"/>
      <c r="BV32" s="195"/>
      <c r="BW32" s="194"/>
      <c r="BX32" s="194"/>
      <c r="BY32" s="194"/>
      <c r="BZ32" s="193"/>
      <c r="CA32" s="195"/>
      <c r="CB32" s="194"/>
      <c r="CC32" s="194"/>
      <c r="CD32" s="194"/>
      <c r="CE32" s="193"/>
      <c r="CF32" s="195"/>
      <c r="CG32" s="194"/>
      <c r="CH32" s="194"/>
      <c r="CI32" s="194"/>
      <c r="CJ32" s="193"/>
      <c r="CK32" s="196"/>
      <c r="CL32" s="238"/>
      <c r="CM32" s="661"/>
      <c r="CN32" s="661"/>
      <c r="CO32" s="661"/>
      <c r="CP32" s="661"/>
      <c r="CQ32" s="661"/>
      <c r="CR32" s="661"/>
      <c r="CS32" s="661"/>
      <c r="CT32" s="661"/>
      <c r="CU32" s="661"/>
      <c r="CV32" s="661"/>
      <c r="CW32" s="229"/>
      <c r="CX32" s="197"/>
      <c r="CY32" s="197"/>
      <c r="CZ32"/>
      <c r="DA32"/>
      <c r="DB32"/>
      <c r="DC32"/>
      <c r="DD32"/>
    </row>
    <row r="33" spans="1:108" s="476" customFormat="1" hidden="1" outlineLevel="1">
      <c r="A33" s="470" t="s">
        <v>148</v>
      </c>
      <c r="B33" s="437"/>
      <c r="C33" s="437"/>
      <c r="D33" s="437"/>
      <c r="E33" s="437"/>
      <c r="F33" s="437"/>
      <c r="G33" s="437"/>
      <c r="H33" s="438"/>
      <c r="I33" s="438"/>
      <c r="J33" s="438"/>
      <c r="K33" s="438"/>
      <c r="L33" s="437"/>
      <c r="M33" s="438"/>
      <c r="N33" s="438"/>
      <c r="O33" s="438"/>
      <c r="P33" s="438"/>
      <c r="Q33" s="437"/>
      <c r="R33" s="438"/>
      <c r="S33" s="438"/>
      <c r="T33" s="438"/>
      <c r="U33" s="438"/>
      <c r="V33" s="437"/>
      <c r="W33" s="438"/>
      <c r="X33" s="438"/>
      <c r="Y33" s="438"/>
      <c r="Z33" s="438"/>
      <c r="AA33" s="437"/>
      <c r="AB33" s="438"/>
      <c r="AC33" s="438"/>
      <c r="AD33" s="438"/>
      <c r="AE33" s="438">
        <f t="shared" ref="AE33:AK33" si="65">AE25-AE31</f>
        <v>6267.4499999999989</v>
      </c>
      <c r="AF33" s="437">
        <f t="shared" si="65"/>
        <v>6267.4499999999989</v>
      </c>
      <c r="AG33" s="471">
        <f t="shared" si="65"/>
        <v>6793.6</v>
      </c>
      <c r="AH33" s="438">
        <f t="shared" si="65"/>
        <v>6519.6</v>
      </c>
      <c r="AI33" s="438">
        <f t="shared" si="65"/>
        <v>6416.8000000000011</v>
      </c>
      <c r="AJ33" s="438">
        <f t="shared" si="65"/>
        <v>6266.8000000000011</v>
      </c>
      <c r="AK33" s="437">
        <f t="shared" si="65"/>
        <v>6266.8000000000011</v>
      </c>
      <c r="AL33" s="438"/>
      <c r="AM33" s="438"/>
      <c r="AN33" s="438"/>
      <c r="AO33" s="438"/>
      <c r="AP33" s="437">
        <f>AP25-AP31</f>
        <v>4880.0499999999993</v>
      </c>
      <c r="AQ33" s="471"/>
      <c r="AR33" s="438"/>
      <c r="AS33" s="438"/>
      <c r="AT33" s="438"/>
      <c r="AU33" s="437">
        <f>AU25-AU31</f>
        <v>5292.8</v>
      </c>
      <c r="AV33" s="471"/>
      <c r="AW33" s="438"/>
      <c r="AX33" s="438"/>
      <c r="AY33" s="438"/>
      <c r="AZ33" s="437">
        <f>AZ25-AZ31</f>
        <v>6029.0999999999995</v>
      </c>
      <c r="BA33" s="437"/>
      <c r="BB33" s="471"/>
      <c r="BC33" s="438"/>
      <c r="BD33" s="438"/>
      <c r="BE33" s="438"/>
      <c r="BF33" s="437">
        <f>BF25-BF31</f>
        <v>4945.0499999999993</v>
      </c>
      <c r="BG33" s="471"/>
      <c r="BH33" s="438"/>
      <c r="BI33" s="438"/>
      <c r="BJ33" s="438"/>
      <c r="BK33" s="437"/>
      <c r="BL33" s="471"/>
      <c r="BM33" s="438"/>
      <c r="BN33" s="438"/>
      <c r="BO33" s="438"/>
      <c r="BP33" s="1074"/>
      <c r="BQ33" s="471"/>
      <c r="BR33" s="438"/>
      <c r="BS33" s="438"/>
      <c r="BT33" s="1113"/>
      <c r="BU33" s="437"/>
      <c r="BV33" s="471"/>
      <c r="BW33" s="438"/>
      <c r="BX33" s="438"/>
      <c r="BY33" s="438"/>
      <c r="BZ33" s="437"/>
      <c r="CA33" s="471"/>
      <c r="CB33" s="438"/>
      <c r="CC33" s="438"/>
      <c r="CD33" s="438"/>
      <c r="CE33" s="437"/>
      <c r="CF33" s="471"/>
      <c r="CG33" s="438"/>
      <c r="CH33" s="438"/>
      <c r="CI33" s="438"/>
      <c r="CJ33" s="437"/>
      <c r="CK33" s="472"/>
      <c r="CL33" s="473"/>
      <c r="CM33" s="622"/>
      <c r="CN33" s="622"/>
      <c r="CO33" s="622"/>
      <c r="CP33" s="622"/>
      <c r="CQ33" s="622"/>
      <c r="CR33" s="622"/>
      <c r="CS33" s="622"/>
      <c r="CT33" s="622"/>
      <c r="CU33" s="622"/>
      <c r="CV33" s="622"/>
      <c r="CW33" s="474"/>
      <c r="CX33" s="475"/>
      <c r="CY33" s="475"/>
      <c r="CZ33"/>
      <c r="DA33"/>
      <c r="DB33"/>
      <c r="DC33"/>
      <c r="DD33"/>
    </row>
    <row r="34" spans="1:108" s="198" customFormat="1" hidden="1" outlineLevel="1">
      <c r="A34" s="457" t="s">
        <v>262</v>
      </c>
      <c r="B34" s="193"/>
      <c r="C34" s="193"/>
      <c r="D34" s="193"/>
      <c r="E34" s="193"/>
      <c r="F34" s="193"/>
      <c r="G34" s="193"/>
      <c r="H34" s="194"/>
      <c r="I34" s="194"/>
      <c r="J34" s="194"/>
      <c r="K34" s="194"/>
      <c r="L34" s="193"/>
      <c r="M34" s="194"/>
      <c r="N34" s="194"/>
      <c r="O34" s="194"/>
      <c r="P34" s="194"/>
      <c r="Q34" s="193"/>
      <c r="R34" s="194"/>
      <c r="S34" s="194"/>
      <c r="T34" s="194"/>
      <c r="U34" s="194"/>
      <c r="V34" s="193"/>
      <c r="W34" s="194"/>
      <c r="X34" s="194"/>
      <c r="Y34" s="194"/>
      <c r="Z34" s="194"/>
      <c r="AA34" s="193"/>
      <c r="AB34" s="194"/>
      <c r="AC34" s="194"/>
      <c r="AD34" s="194"/>
      <c r="AE34" s="194">
        <f t="shared" ref="AE34:AK34" si="66">AE33/AE25</f>
        <v>0.34999999999999992</v>
      </c>
      <c r="AF34" s="193">
        <f t="shared" si="66"/>
        <v>0.34999999999999992</v>
      </c>
      <c r="AG34" s="194">
        <f t="shared" si="66"/>
        <v>0.4</v>
      </c>
      <c r="AH34" s="194">
        <f t="shared" si="66"/>
        <v>0.4</v>
      </c>
      <c r="AI34" s="194">
        <f t="shared" si="66"/>
        <v>0.40000000000000008</v>
      </c>
      <c r="AJ34" s="194">
        <f t="shared" si="66"/>
        <v>0.40000000000000008</v>
      </c>
      <c r="AK34" s="193">
        <f t="shared" si="66"/>
        <v>0.40000000000000008</v>
      </c>
      <c r="AL34" s="194"/>
      <c r="AM34" s="194"/>
      <c r="AN34" s="194"/>
      <c r="AO34" s="194"/>
      <c r="AP34" s="193">
        <f>AP33/AP25</f>
        <v>0.34999999999999992</v>
      </c>
      <c r="AQ34" s="195"/>
      <c r="AR34" s="194"/>
      <c r="AS34" s="194"/>
      <c r="AT34" s="194"/>
      <c r="AU34" s="193">
        <f>AU33/AU25</f>
        <v>0.4</v>
      </c>
      <c r="AV34" s="195"/>
      <c r="AW34" s="194"/>
      <c r="AX34" s="194"/>
      <c r="AY34" s="194"/>
      <c r="AZ34" s="193">
        <f>AZ33/AZ25</f>
        <v>0.44999999999999996</v>
      </c>
      <c r="BA34" s="193"/>
      <c r="BB34" s="195"/>
      <c r="BC34" s="194"/>
      <c r="BD34" s="194"/>
      <c r="BE34" s="194"/>
      <c r="BF34" s="193">
        <f>BF33/BF25</f>
        <v>0.44999999999999996</v>
      </c>
      <c r="BG34" s="195"/>
      <c r="BH34" s="194"/>
      <c r="BI34" s="194"/>
      <c r="BJ34" s="194"/>
      <c r="BK34" s="1222"/>
      <c r="BL34" s="194"/>
      <c r="BM34" s="194"/>
      <c r="BN34" s="194"/>
      <c r="BO34" s="194"/>
      <c r="BP34" s="1206"/>
      <c r="BQ34" s="195"/>
      <c r="BR34" s="194"/>
      <c r="BS34" s="194"/>
      <c r="BT34" s="548"/>
      <c r="BU34" s="193"/>
      <c r="BV34" s="195"/>
      <c r="BW34" s="194"/>
      <c r="BX34" s="194"/>
      <c r="BY34" s="194"/>
      <c r="BZ34" s="193"/>
      <c r="CA34" s="195"/>
      <c r="CB34" s="194"/>
      <c r="CC34" s="194"/>
      <c r="CD34" s="194"/>
      <c r="CE34" s="193"/>
      <c r="CF34" s="195"/>
      <c r="CG34" s="194"/>
      <c r="CH34" s="194"/>
      <c r="CI34" s="194"/>
      <c r="CJ34" s="193"/>
      <c r="CK34" s="196"/>
      <c r="CL34" s="238"/>
      <c r="CM34" s="661"/>
      <c r="CN34" s="661"/>
      <c r="CO34" s="661"/>
      <c r="CP34" s="661"/>
      <c r="CQ34" s="661"/>
      <c r="CR34" s="661"/>
      <c r="CS34" s="661"/>
      <c r="CT34" s="661"/>
      <c r="CU34" s="661"/>
      <c r="CV34" s="661"/>
      <c r="CW34" s="229"/>
      <c r="CX34" s="197"/>
      <c r="CY34" s="197"/>
      <c r="CZ34"/>
      <c r="DA34"/>
      <c r="DB34"/>
      <c r="DC34"/>
      <c r="DD34"/>
    </row>
    <row r="35" spans="1:108" s="198" customFormat="1" ht="12.75" hidden="1" customHeight="1" outlineLevel="1">
      <c r="A35" s="452" t="s">
        <v>139</v>
      </c>
      <c r="B35" s="448"/>
      <c r="C35" s="448">
        <f t="shared" ref="C35:K35" si="67">C25-(B25-C4)</f>
        <v>3797</v>
      </c>
      <c r="D35" s="448">
        <f t="shared" si="67"/>
        <v>2689</v>
      </c>
      <c r="E35" s="448">
        <f t="shared" si="67"/>
        <v>3332</v>
      </c>
      <c r="F35" s="448">
        <f t="shared" si="67"/>
        <v>3207</v>
      </c>
      <c r="G35" s="448">
        <f t="shared" si="67"/>
        <v>5191</v>
      </c>
      <c r="H35" s="449">
        <f t="shared" si="67"/>
        <v>1847</v>
      </c>
      <c r="I35" s="449">
        <f t="shared" si="67"/>
        <v>2897</v>
      </c>
      <c r="J35" s="449">
        <f t="shared" si="67"/>
        <v>2108</v>
      </c>
      <c r="K35" s="449">
        <f t="shared" si="67"/>
        <v>2539</v>
      </c>
      <c r="L35" s="448">
        <f>L25-(G25-L4)</f>
        <v>9391</v>
      </c>
      <c r="M35" s="449">
        <f>M25-(L25-M4)</f>
        <v>1475</v>
      </c>
      <c r="N35" s="449">
        <f>N25-(M25-N4)</f>
        <v>7706</v>
      </c>
      <c r="O35" s="449">
        <f>O25-(N25-O4)</f>
        <v>4627</v>
      </c>
      <c r="P35" s="449">
        <f>P25-(O25-P4)</f>
        <v>1927</v>
      </c>
      <c r="Q35" s="448">
        <f>Q25-(L25-Q4)</f>
        <v>15735</v>
      </c>
      <c r="R35" s="449">
        <f>R25-(Q25-R4)</f>
        <v>-255</v>
      </c>
      <c r="S35" s="449">
        <f>S25-(R25-S4)</f>
        <v>522</v>
      </c>
      <c r="T35" s="449">
        <f>T25-(S25-T4)</f>
        <v>499</v>
      </c>
      <c r="U35" s="449">
        <f>U25-(T25-U4)</f>
        <v>1250</v>
      </c>
      <c r="V35" s="448">
        <f>V25-(Q25-V4)</f>
        <v>2016</v>
      </c>
      <c r="W35" s="449">
        <f>W25-(V25-W4)</f>
        <v>581</v>
      </c>
      <c r="X35" s="449">
        <f>X25-(W25-X4)</f>
        <v>636</v>
      </c>
      <c r="Y35" s="449">
        <f>Y25-(X25-Y4)</f>
        <v>1067</v>
      </c>
      <c r="Z35" s="449">
        <f>Z25-(Y25-Z4)</f>
        <v>1512</v>
      </c>
      <c r="AA35" s="448">
        <f>AA25-(V25-AA4)</f>
        <v>3796</v>
      </c>
      <c r="AB35" s="449">
        <f>AB25-(AA25-AB4)</f>
        <v>1392</v>
      </c>
      <c r="AC35" s="449">
        <f>AC25-(AB25-AC4)</f>
        <v>1804</v>
      </c>
      <c r="AD35" s="449">
        <f>AD25-(AC25-AD4)</f>
        <v>1748</v>
      </c>
      <c r="AE35" s="449">
        <f>AE25-(AD25-AE4)</f>
        <v>1140</v>
      </c>
      <c r="AF35" s="448">
        <f>AF25-(AA25-AF4)</f>
        <v>6084</v>
      </c>
      <c r="AG35" s="449">
        <f>AG25-(AF25-AG4)</f>
        <v>700</v>
      </c>
      <c r="AH35" s="449">
        <f>AH25-(AG25-AH4)</f>
        <v>907</v>
      </c>
      <c r="AI35" s="449">
        <f>AI25-(AH25-AI4)</f>
        <v>1579</v>
      </c>
      <c r="AJ35" s="449">
        <f>AJ25-(AI25-AJ4)</f>
        <v>1486</v>
      </c>
      <c r="AK35" s="448">
        <f>AK25-(AF25-AK4)</f>
        <v>4672</v>
      </c>
      <c r="AL35" s="449">
        <f>AL25-(AK25-AL4)</f>
        <v>1337</v>
      </c>
      <c r="AM35" s="449">
        <f>AM25-(AL25-AM4)</f>
        <v>1490</v>
      </c>
      <c r="AN35" s="449">
        <f>AN25-(AM25-AN4)</f>
        <v>1312</v>
      </c>
      <c r="AO35" s="449">
        <f>AO25-(AN25-AO4)</f>
        <v>2255</v>
      </c>
      <c r="AP35" s="448">
        <f>AP25-(AK25-AP4)</f>
        <v>6394</v>
      </c>
      <c r="AQ35" s="449">
        <f>AQ25-(AP25-AQ4)</f>
        <v>1128</v>
      </c>
      <c r="AR35" s="449">
        <f>AR25-(AQ25-AR4)</f>
        <v>1777</v>
      </c>
      <c r="AS35" s="449">
        <f>AS25-(AR25-AS4)</f>
        <v>1628</v>
      </c>
      <c r="AT35" s="449">
        <f>AT25-(AS25-AT4)</f>
        <v>3405</v>
      </c>
      <c r="AU35" s="448">
        <f>AU25-(AP25-AU4)</f>
        <v>7938</v>
      </c>
      <c r="AV35" s="449">
        <f>AV25-(AU25-AV4)</f>
        <v>1970</v>
      </c>
      <c r="AW35" s="449">
        <f>AW25-(AV25-AW4)</f>
        <v>3182</v>
      </c>
      <c r="AX35" s="449">
        <f>AX25-(AW25-AX4)</f>
        <v>1884</v>
      </c>
      <c r="AY35" s="449">
        <f>AY25-(AX25-AY4)</f>
        <v>1981</v>
      </c>
      <c r="AZ35" s="448">
        <f>AZ25-(AU25-AZ4)</f>
        <v>9017</v>
      </c>
      <c r="BA35" s="448"/>
      <c r="BB35" s="449">
        <f>BB25-(AZ25-BB4)</f>
        <v>1201</v>
      </c>
      <c r="BC35" s="449">
        <f>BC25-(BB25-BC4)</f>
        <v>1277</v>
      </c>
      <c r="BD35" s="449">
        <f>BD25-(BC25-BD4)</f>
        <v>1785</v>
      </c>
      <c r="BE35" s="449">
        <f>BE25-(BD25-BE4)</f>
        <v>1690</v>
      </c>
      <c r="BF35" s="448">
        <f>BF25-(AZ25-BF4)</f>
        <v>5953</v>
      </c>
      <c r="BG35" s="449"/>
      <c r="BH35" s="449">
        <f>BH25-(BG25-BH4)</f>
        <v>1275</v>
      </c>
      <c r="BI35" s="449">
        <f>BI25-(BH25-BI4)</f>
        <v>1729</v>
      </c>
      <c r="BJ35" s="449">
        <f>BJ25-(BI25-BJ4)</f>
        <v>1692</v>
      </c>
      <c r="BK35" s="1221">
        <f>BK25-(AZ25-BK4)</f>
        <v>7632</v>
      </c>
      <c r="BL35" s="449">
        <f>BL25-(BK25-BL4)</f>
        <v>1438</v>
      </c>
      <c r="BM35" s="449">
        <f>BM25-(BL25-BM4)</f>
        <v>1735</v>
      </c>
      <c r="BN35" s="449">
        <f>BN25-(BM25-BN4)</f>
        <v>1574</v>
      </c>
      <c r="BO35" s="449">
        <f>BO25-(BN25-BO4)</f>
        <v>2633</v>
      </c>
      <c r="BP35" s="1043">
        <f>BP25-(BK25-BP4)</f>
        <v>7380</v>
      </c>
      <c r="BQ35" s="451"/>
      <c r="BR35" s="449"/>
      <c r="BS35" s="449"/>
      <c r="BT35" s="453"/>
      <c r="BU35" s="448"/>
      <c r="BV35" s="451"/>
      <c r="BW35" s="449"/>
      <c r="BX35" s="449"/>
      <c r="BY35" s="449"/>
      <c r="BZ35" s="448"/>
      <c r="CA35" s="451"/>
      <c r="CB35" s="449"/>
      <c r="CC35" s="449"/>
      <c r="CD35" s="449"/>
      <c r="CE35" s="448"/>
      <c r="CF35" s="451"/>
      <c r="CG35" s="449"/>
      <c r="CH35" s="449"/>
      <c r="CI35" s="449"/>
      <c r="CJ35" s="448"/>
      <c r="CK35" s="197"/>
      <c r="CL35" s="229"/>
      <c r="CM35" s="661"/>
      <c r="CN35" s="661"/>
      <c r="CO35" s="661"/>
      <c r="CP35" s="661"/>
      <c r="CQ35" s="661"/>
      <c r="CR35" s="661"/>
      <c r="CS35" s="661"/>
      <c r="CT35" s="661"/>
      <c r="CU35" s="661"/>
      <c r="CV35" s="661"/>
      <c r="CW35" s="229"/>
      <c r="CX35" s="197"/>
      <c r="CY35" s="197"/>
      <c r="CZ35"/>
      <c r="DA35"/>
      <c r="DB35"/>
      <c r="DC35"/>
      <c r="DD35"/>
    </row>
    <row r="36" spans="1:108" s="718" customFormat="1" ht="12.75" hidden="1" customHeight="1" outlineLevel="1">
      <c r="A36" s="712" t="s">
        <v>140</v>
      </c>
      <c r="B36" s="713"/>
      <c r="C36" s="713">
        <f t="shared" ref="C36:AH36" si="68">C35/C4</f>
        <v>1.1544542414107632</v>
      </c>
      <c r="D36" s="713">
        <f t="shared" si="68"/>
        <v>0.91276306856754919</v>
      </c>
      <c r="E36" s="713">
        <f t="shared" si="68"/>
        <v>1.1062416998671978</v>
      </c>
      <c r="F36" s="713">
        <f t="shared" si="68"/>
        <v>0.93416836586076313</v>
      </c>
      <c r="G36" s="713">
        <f t="shared" si="68"/>
        <v>1.2611758989310009</v>
      </c>
      <c r="H36" s="714">
        <f t="shared" si="68"/>
        <v>1.6882998171846435</v>
      </c>
      <c r="I36" s="715">
        <f t="shared" si="68"/>
        <v>2.3981788079470197</v>
      </c>
      <c r="J36" s="715">
        <f t="shared" si="68"/>
        <v>1.6030418250950571</v>
      </c>
      <c r="K36" s="715">
        <f t="shared" si="68"/>
        <v>2.0966143682906688</v>
      </c>
      <c r="L36" s="713">
        <f t="shared" si="68"/>
        <v>1.9451118475559237</v>
      </c>
      <c r="M36" s="715">
        <f t="shared" si="68"/>
        <v>1.1532447224394058</v>
      </c>
      <c r="N36" s="715">
        <f t="shared" si="68"/>
        <v>5.7983446200150492</v>
      </c>
      <c r="O36" s="715">
        <f t="shared" si="68"/>
        <v>3.3724489795918369</v>
      </c>
      <c r="P36" s="715">
        <f t="shared" si="68"/>
        <v>1.2578328981723237</v>
      </c>
      <c r="Q36" s="713">
        <f t="shared" si="68"/>
        <v>2.8546806966618288</v>
      </c>
      <c r="R36" s="715">
        <f t="shared" si="68"/>
        <v>-0.17525773195876287</v>
      </c>
      <c r="S36" s="715">
        <f t="shared" si="68"/>
        <v>0.36890459363957595</v>
      </c>
      <c r="T36" s="715">
        <f t="shared" si="68"/>
        <v>0.44553571428571431</v>
      </c>
      <c r="U36" s="715">
        <f t="shared" si="68"/>
        <v>1.0584250635055039</v>
      </c>
      <c r="V36" s="713">
        <f t="shared" si="68"/>
        <v>0.38986656352736415</v>
      </c>
      <c r="W36" s="715">
        <f t="shared" si="68"/>
        <v>0.42815033161385407</v>
      </c>
      <c r="X36" s="715">
        <f t="shared" si="68"/>
        <v>0.4598698481561822</v>
      </c>
      <c r="Y36" s="715">
        <f t="shared" si="68"/>
        <v>0.82649109217660732</v>
      </c>
      <c r="Z36" s="715">
        <f t="shared" si="68"/>
        <v>1.1924290220820188</v>
      </c>
      <c r="AA36" s="713">
        <f t="shared" si="68"/>
        <v>0.71636157765616149</v>
      </c>
      <c r="AB36" s="714">
        <f t="shared" si="68"/>
        <v>1.0288248337028825</v>
      </c>
      <c r="AC36" s="715">
        <f t="shared" si="68"/>
        <v>1.3110465116279071</v>
      </c>
      <c r="AD36" s="715">
        <f t="shared" si="68"/>
        <v>1.2379603399433428</v>
      </c>
      <c r="AE36" s="715">
        <f t="shared" si="68"/>
        <v>0.61389337641357022</v>
      </c>
      <c r="AF36" s="713">
        <f t="shared" si="68"/>
        <v>1.0143381127042348</v>
      </c>
      <c r="AG36" s="714">
        <f t="shared" si="68"/>
        <v>0.43130006161429452</v>
      </c>
      <c r="AH36" s="715">
        <f t="shared" si="68"/>
        <v>0.56972361809045224</v>
      </c>
      <c r="AI36" s="715">
        <f t="shared" ref="AI36:AZ36" si="69">AI35/AI4</f>
        <v>0.86002178649237471</v>
      </c>
      <c r="AJ36" s="715">
        <f t="shared" si="69"/>
        <v>0.79849543256313815</v>
      </c>
      <c r="AK36" s="713">
        <f t="shared" si="69"/>
        <v>0.67592592592592593</v>
      </c>
      <c r="AL36" s="714">
        <f t="shared" si="69"/>
        <v>0.75196850393700787</v>
      </c>
      <c r="AM36" s="715">
        <f t="shared" si="69"/>
        <v>0.72576716999512902</v>
      </c>
      <c r="AN36" s="715">
        <f t="shared" si="69"/>
        <v>0.60966542750929364</v>
      </c>
      <c r="AO36" s="715">
        <f t="shared" si="69"/>
        <v>1.0562060889929743</v>
      </c>
      <c r="AP36" s="713">
        <f t="shared" si="69"/>
        <v>0.78763242177876325</v>
      </c>
      <c r="AQ36" s="714">
        <f t="shared" si="69"/>
        <v>0.53082352941176469</v>
      </c>
      <c r="AR36" s="715">
        <f t="shared" si="69"/>
        <v>0.89072681704260648</v>
      </c>
      <c r="AS36" s="715">
        <f t="shared" si="69"/>
        <v>0.71122761031017911</v>
      </c>
      <c r="AT36" s="715">
        <f t="shared" si="69"/>
        <v>1.5200892857142858</v>
      </c>
      <c r="AU36" s="713">
        <f t="shared" si="69"/>
        <v>0.91779396462018725</v>
      </c>
      <c r="AV36" s="714">
        <f t="shared" si="69"/>
        <v>0.93453510436432641</v>
      </c>
      <c r="AW36" s="715">
        <f t="shared" si="69"/>
        <v>1.4092116917626218</v>
      </c>
      <c r="AX36" s="715">
        <f t="shared" si="69"/>
        <v>0.80409731113956462</v>
      </c>
      <c r="AY36" s="715">
        <f t="shared" si="69"/>
        <v>0.92483660130718959</v>
      </c>
      <c r="AZ36" s="713">
        <f t="shared" si="69"/>
        <v>1.0187549429443001</v>
      </c>
      <c r="BA36" s="713"/>
      <c r="BB36" s="714">
        <f>BB35/BB4</f>
        <v>0.60442878711625569</v>
      </c>
      <c r="BC36" s="715">
        <f>BC35/BC4</f>
        <v>0.59840674789128401</v>
      </c>
      <c r="BD36" s="715">
        <f>BD35/BD4</f>
        <v>0.88497768963807633</v>
      </c>
      <c r="BE36" s="715">
        <f>BE35/BE4</f>
        <v>0.7598920863309353</v>
      </c>
      <c r="BF36" s="713">
        <f>BF35/BF4</f>
        <v>0.71191102607031809</v>
      </c>
      <c r="BG36" s="714"/>
      <c r="BH36" s="715">
        <f t="shared" ref="BH36:BP36" si="70">BH35/BH4</f>
        <v>0.55823117338003503</v>
      </c>
      <c r="BI36" s="715">
        <f t="shared" si="70"/>
        <v>0.90761154855643045</v>
      </c>
      <c r="BJ36" s="715">
        <f t="shared" si="70"/>
        <v>0.91707317073170735</v>
      </c>
      <c r="BK36" s="1223">
        <f t="shared" si="70"/>
        <v>0.97658349328214966</v>
      </c>
      <c r="BL36" s="715">
        <f t="shared" si="70"/>
        <v>0.69334619093539052</v>
      </c>
      <c r="BM36" s="715">
        <f t="shared" si="70"/>
        <v>0.83493743984600577</v>
      </c>
      <c r="BN36" s="715">
        <f t="shared" si="70"/>
        <v>0.78897243107769421</v>
      </c>
      <c r="BO36" s="715">
        <f t="shared" si="70"/>
        <v>1.3284561049445005</v>
      </c>
      <c r="BP36" s="1044">
        <f t="shared" si="70"/>
        <v>0.90786074547914875</v>
      </c>
      <c r="BQ36" s="714"/>
      <c r="BR36" s="715"/>
      <c r="BS36" s="715"/>
      <c r="BT36" s="719"/>
      <c r="BU36" s="713"/>
      <c r="BV36" s="714"/>
      <c r="BW36" s="715"/>
      <c r="BX36" s="715"/>
      <c r="BY36" s="715"/>
      <c r="BZ36" s="713"/>
      <c r="CA36" s="714"/>
      <c r="CB36" s="715"/>
      <c r="CC36" s="715"/>
      <c r="CD36" s="715"/>
      <c r="CE36" s="713"/>
      <c r="CF36" s="714"/>
      <c r="CG36" s="715"/>
      <c r="CH36" s="715"/>
      <c r="CI36" s="715"/>
      <c r="CJ36" s="713"/>
      <c r="CK36" s="716"/>
      <c r="CL36" s="717"/>
      <c r="CM36" s="1004"/>
      <c r="CN36" s="1004"/>
      <c r="CO36" s="1004"/>
      <c r="CP36" s="1004"/>
      <c r="CQ36" s="1004"/>
      <c r="CR36" s="1004"/>
      <c r="CS36" s="1004"/>
      <c r="CT36" s="1004"/>
      <c r="CU36" s="1004"/>
      <c r="CV36" s="1004"/>
      <c r="CW36" s="717"/>
      <c r="CX36" s="716"/>
      <c r="CY36" s="716"/>
      <c r="CZ36"/>
      <c r="DA36"/>
      <c r="DB36"/>
      <c r="DC36"/>
      <c r="DD36"/>
    </row>
    <row r="37" spans="1:108" s="718" customFormat="1" ht="12.75" hidden="1" customHeight="1" outlineLevel="1">
      <c r="A37" s="712" t="s">
        <v>203</v>
      </c>
      <c r="B37" s="713">
        <f t="shared" ref="B37:G37" si="71">B25/B4</f>
        <v>1.9212863705972434</v>
      </c>
      <c r="C37" s="713">
        <f t="shared" si="71"/>
        <v>2.0617208878078443</v>
      </c>
      <c r="D37" s="713">
        <f t="shared" si="71"/>
        <v>2.2145281737949762</v>
      </c>
      <c r="E37" s="713">
        <f t="shared" si="71"/>
        <v>2.2722443559096948</v>
      </c>
      <c r="F37" s="713">
        <f t="shared" si="71"/>
        <v>1.9277599766967666</v>
      </c>
      <c r="G37" s="713">
        <f t="shared" si="71"/>
        <v>1.8690476190476191</v>
      </c>
      <c r="H37" s="715">
        <f>H25/H4/4</f>
        <v>1.9300731261425961</v>
      </c>
      <c r="I37" s="715">
        <f>I25/I4/4</f>
        <v>2.0974751655629138</v>
      </c>
      <c r="J37" s="715">
        <f>J25/J4/4</f>
        <v>2.0775665399239545</v>
      </c>
      <c r="K37" s="715">
        <f>K25/K4/4</f>
        <v>2.5301403798513626</v>
      </c>
      <c r="L37" s="713">
        <f>L25/L4</f>
        <v>2.5385252692626348</v>
      </c>
      <c r="M37" s="715">
        <f>M25/M4/4</f>
        <v>2.4339327599687257</v>
      </c>
      <c r="N37" s="715">
        <f>N25/N4/4</f>
        <v>3.5419488337095562</v>
      </c>
      <c r="O37" s="715">
        <f>O25/O4/4</f>
        <v>4.0240524781341112</v>
      </c>
      <c r="P37" s="715">
        <f>P25/P4/4</f>
        <v>3.6682441253263707</v>
      </c>
      <c r="Q37" s="713">
        <f>Q25/Q4</f>
        <v>4.0781930333817122</v>
      </c>
      <c r="R37" s="715">
        <f>R25/R4/4</f>
        <v>3.568556701030928</v>
      </c>
      <c r="S37" s="715">
        <f>S25/S4/4</f>
        <v>3.5116607773851589</v>
      </c>
      <c r="T37" s="715">
        <f>T25/T4/4</f>
        <v>4.2979910714285712</v>
      </c>
      <c r="U37" s="715">
        <f>U25/U4/4</f>
        <v>4.0906011854360713</v>
      </c>
      <c r="V37" s="713">
        <f>V25/V4</f>
        <v>3.7369947785728099</v>
      </c>
      <c r="W37" s="715">
        <f>W25/W4/4</f>
        <v>3.4170965364775241</v>
      </c>
      <c r="X37" s="715">
        <f>X25/X4/4</f>
        <v>3.217823571945047</v>
      </c>
      <c r="Y37" s="715">
        <f>Y25/Y4/4</f>
        <v>3.4037567776917119</v>
      </c>
      <c r="Z37" s="715">
        <f>Z25/Z4/4</f>
        <v>3.5136041009463721</v>
      </c>
      <c r="AA37" s="713">
        <f>AA25/AA4</f>
        <v>3.3630873749764105</v>
      </c>
      <c r="AB37" s="715">
        <f>AB25/AB4/4</f>
        <v>3.3000739098300076</v>
      </c>
      <c r="AC37" s="715">
        <f>AC25/AC4/4</f>
        <v>3.3226744186046511</v>
      </c>
      <c r="AD37" s="715">
        <f>AD25/AD4/4</f>
        <v>3.2974504249291785</v>
      </c>
      <c r="AE37" s="715">
        <f>AE25/AE4/4</f>
        <v>2.4107431340872374</v>
      </c>
      <c r="AF37" s="713">
        <f>AF25/AF4</f>
        <v>2.9854951650550183</v>
      </c>
      <c r="AG37" s="715">
        <f>AG25/AG4/4</f>
        <v>2.6161429451632778</v>
      </c>
      <c r="AH37" s="715">
        <f>AH25/AH4/4</f>
        <v>2.5595163316582914</v>
      </c>
      <c r="AI37" s="715">
        <f>AI25/AI4/4</f>
        <v>2.1843681917211328</v>
      </c>
      <c r="AJ37" s="715">
        <f>AJ25/AJ4/4</f>
        <v>2.1046480386888771</v>
      </c>
      <c r="AK37" s="713">
        <f>AK25/AK4</f>
        <v>2.2666377314814814</v>
      </c>
      <c r="AL37" s="715">
        <f>AL25/AL4/4</f>
        <v>2.1408886389201349</v>
      </c>
      <c r="AM37" s="715">
        <f>AM25/AM4/4</f>
        <v>1.7855577204091573</v>
      </c>
      <c r="AN37" s="715">
        <f>AN25/AN4/4</f>
        <v>1.605831784386617</v>
      </c>
      <c r="AO37" s="715">
        <f>AO25/AO4/4</f>
        <v>1.6326697892271662</v>
      </c>
      <c r="AP37" s="713">
        <f>AP25/AP4</f>
        <v>1.7175412663217542</v>
      </c>
      <c r="AQ37" s="715">
        <f>AQ25/AQ4/4</f>
        <v>1.5230588235294118</v>
      </c>
      <c r="AR37" s="715">
        <f>AR25/AR4/4</f>
        <v>1.5949874686716792</v>
      </c>
      <c r="AS37" s="715">
        <f>AS25/AS4/4</f>
        <v>1.3179335954565312</v>
      </c>
      <c r="AT37" s="715">
        <f>AT25/AT4/4</f>
        <v>1.4767857142857144</v>
      </c>
      <c r="AU37" s="713">
        <f>AU25/AU4</f>
        <v>1.5298878483061626</v>
      </c>
      <c r="AV37" s="715">
        <f>AV25/AV4/4</f>
        <v>1.5528937381404175</v>
      </c>
      <c r="AW37" s="715">
        <f>AW25/AW4/4</f>
        <v>1.5520372010628876</v>
      </c>
      <c r="AX37" s="715">
        <f>AX25/AX4/4</f>
        <v>1.4467562953478446</v>
      </c>
      <c r="AY37" s="715">
        <f>AY25/AY4/4</f>
        <v>1.5637254901960784</v>
      </c>
      <c r="AZ37" s="713">
        <f>AZ25/AZ4</f>
        <v>1.5137272624562197</v>
      </c>
      <c r="BA37" s="713"/>
      <c r="BB37" s="715">
        <f>BB25/BB4/4</f>
        <v>1.5868142929038751</v>
      </c>
      <c r="BC37" s="715">
        <f>BC25/BC4/4</f>
        <v>1.3771087160262419</v>
      </c>
      <c r="BD37" s="715">
        <f>BD25/BD4/4</f>
        <v>1.4282350024789292</v>
      </c>
      <c r="BE37" s="715">
        <f>BE25/BE4/4</f>
        <v>1.2352742805755397</v>
      </c>
      <c r="BF37" s="713">
        <f>BF25/BF4</f>
        <v>1.3141592920353982</v>
      </c>
      <c r="BG37" s="715">
        <f>BG25/BG4/4</f>
        <v>2.0428130263896689</v>
      </c>
      <c r="BH37" s="715">
        <f>BH25/BH4/4</f>
        <v>1.4824868651488616</v>
      </c>
      <c r="BI37" s="715">
        <f>BI25/BI4/4</f>
        <v>1.7543307086614173</v>
      </c>
      <c r="BJ37" s="715">
        <f>BJ25/BJ4/4</f>
        <v>1.7906504065040652</v>
      </c>
      <c r="BK37" s="713">
        <f>BK25/BK4</f>
        <v>1.6909788867562381</v>
      </c>
      <c r="BL37" s="715">
        <f>BL25/BL4/4</f>
        <v>1.5162729026036643</v>
      </c>
      <c r="BM37" s="715">
        <f>BM25/BM4/4</f>
        <v>1.4720885466794995</v>
      </c>
      <c r="BN37" s="715">
        <f>BN25/BN4/4</f>
        <v>1.4805764411027569</v>
      </c>
      <c r="BO37" s="715">
        <f>BO25/BO4/4</f>
        <v>1.5724016145307771</v>
      </c>
      <c r="BP37" s="1045">
        <f>BP25/BP4</f>
        <v>1.53352195842047</v>
      </c>
      <c r="BQ37" s="745"/>
      <c r="BR37" s="746"/>
      <c r="BS37" s="746"/>
      <c r="BT37" s="1114"/>
      <c r="BU37" s="744"/>
      <c r="BV37" s="745"/>
      <c r="BW37" s="746"/>
      <c r="BX37" s="746"/>
      <c r="BY37" s="746"/>
      <c r="BZ37" s="744"/>
      <c r="CA37" s="745"/>
      <c r="CB37" s="746"/>
      <c r="CC37" s="746"/>
      <c r="CD37" s="746"/>
      <c r="CE37" s="744"/>
      <c r="CF37" s="745"/>
      <c r="CG37" s="746"/>
      <c r="CH37" s="746"/>
      <c r="CI37" s="746"/>
      <c r="CJ37" s="744"/>
      <c r="CK37" s="747"/>
      <c r="CL37" s="717"/>
      <c r="CM37" s="1004"/>
      <c r="CN37" s="1004"/>
      <c r="CO37" s="1004"/>
      <c r="CP37" s="1004"/>
      <c r="CQ37" s="1004"/>
      <c r="CR37" s="1004"/>
      <c r="CS37" s="1004"/>
      <c r="CT37" s="1004"/>
      <c r="CU37" s="1004"/>
      <c r="CV37" s="1004"/>
      <c r="CW37" s="717"/>
      <c r="CX37" s="716"/>
      <c r="CY37" s="716"/>
      <c r="CZ37"/>
      <c r="DA37"/>
      <c r="DB37"/>
      <c r="DC37"/>
      <c r="DD37"/>
    </row>
    <row r="38" spans="1:108" s="123" customFormat="1" collapsed="1">
      <c r="A38" s="23" t="s">
        <v>117</v>
      </c>
      <c r="B38" s="35">
        <v>2210</v>
      </c>
      <c r="C38" s="35">
        <v>2786</v>
      </c>
      <c r="D38" s="35">
        <v>4007</v>
      </c>
      <c r="E38" s="35">
        <v>4407</v>
      </c>
      <c r="F38" s="35">
        <v>5021</v>
      </c>
      <c r="G38" s="35">
        <v>5983</v>
      </c>
      <c r="H38" s="36">
        <v>1568</v>
      </c>
      <c r="I38" s="36">
        <v>1712</v>
      </c>
      <c r="J38" s="36">
        <v>1872</v>
      </c>
      <c r="K38" s="37">
        <v>2645</v>
      </c>
      <c r="L38" s="35">
        <f>SUM(H38:K38)</f>
        <v>7797</v>
      </c>
      <c r="M38" s="36">
        <v>1997</v>
      </c>
      <c r="N38" s="36">
        <v>2015</v>
      </c>
      <c r="O38" s="36">
        <v>1850</v>
      </c>
      <c r="P38" s="37">
        <v>2332</v>
      </c>
      <c r="Q38" s="35">
        <f>SUM(M38:P38)</f>
        <v>8194</v>
      </c>
      <c r="R38" s="36">
        <v>2407</v>
      </c>
      <c r="S38" s="36">
        <v>2405</v>
      </c>
      <c r="T38" s="36">
        <v>2347</v>
      </c>
      <c r="U38" s="37">
        <v>2486</v>
      </c>
      <c r="V38" s="35">
        <f>SUM(R38:U38)</f>
        <v>9645</v>
      </c>
      <c r="W38" s="36">
        <v>2002</v>
      </c>
      <c r="X38" s="36">
        <v>2111</v>
      </c>
      <c r="Y38" s="36">
        <v>2069</v>
      </c>
      <c r="Z38" s="37">
        <v>2696</v>
      </c>
      <c r="AA38" s="35">
        <f>SUM(W38:Z38)</f>
        <v>8878</v>
      </c>
      <c r="AB38" s="36">
        <v>1955</v>
      </c>
      <c r="AC38" s="36">
        <v>2121</v>
      </c>
      <c r="AD38" s="36">
        <v>2140</v>
      </c>
      <c r="AE38" s="37">
        <v>2611</v>
      </c>
      <c r="AF38" s="35">
        <f>SUM(AB38:AE38)</f>
        <v>8827</v>
      </c>
      <c r="AG38" s="36">
        <v>1911</v>
      </c>
      <c r="AH38" s="36">
        <v>2149</v>
      </c>
      <c r="AI38" s="36">
        <v>1956</v>
      </c>
      <c r="AJ38" s="37">
        <v>1976</v>
      </c>
      <c r="AK38" s="35">
        <f>SUM(AG38:AJ38)</f>
        <v>7992</v>
      </c>
      <c r="AL38" s="36">
        <v>1553</v>
      </c>
      <c r="AM38" s="36">
        <v>1549</v>
      </c>
      <c r="AN38" s="23">
        <v>1367</v>
      </c>
      <c r="AO38" s="23">
        <f>5832-AN38-AM38-AL38</f>
        <v>1363</v>
      </c>
      <c r="AP38" s="24">
        <f>SUM(AL38:AO38)</f>
        <v>5832</v>
      </c>
      <c r="AQ38" s="36">
        <v>1317</v>
      </c>
      <c r="AR38" s="36">
        <v>1465</v>
      </c>
      <c r="AS38" s="23">
        <v>1395</v>
      </c>
      <c r="AT38" s="23">
        <v>1555</v>
      </c>
      <c r="AU38" s="24">
        <f>SUM(AQ38:AT38)</f>
        <v>5732</v>
      </c>
      <c r="AV38" s="36">
        <v>1363</v>
      </c>
      <c r="AW38" s="36">
        <v>1408</v>
      </c>
      <c r="AX38" s="23">
        <v>1345</v>
      </c>
      <c r="AY38" s="23">
        <v>1524</v>
      </c>
      <c r="AZ38" s="24">
        <f>SUM(AV38:AY38)</f>
        <v>5640</v>
      </c>
      <c r="BA38" s="24">
        <v>5643</v>
      </c>
      <c r="BB38" s="754">
        <v>1273</v>
      </c>
      <c r="BC38" s="755">
        <v>1315</v>
      </c>
      <c r="BD38" s="755">
        <v>1330</v>
      </c>
      <c r="BE38" s="755">
        <f>5602-BD38-BC38-BB38</f>
        <v>1684</v>
      </c>
      <c r="BF38" s="24">
        <f>SUM(BB38:BE38)</f>
        <v>5602</v>
      </c>
      <c r="BG38" s="754">
        <f>+BG41+BG44+BG47+BG50</f>
        <v>1245</v>
      </c>
      <c r="BH38" s="755">
        <f>+BH41+BH44+BH47+BH50</f>
        <v>1297</v>
      </c>
      <c r="BI38" s="755">
        <f>+BI41+BI44+BI47+BI50</f>
        <v>1327</v>
      </c>
      <c r="BJ38" s="755">
        <f>+BJ41+BJ44+BJ47+BJ50</f>
        <v>1661</v>
      </c>
      <c r="BK38" s="1046">
        <f>SUM(BG38:BJ38)</f>
        <v>5530</v>
      </c>
      <c r="BL38" s="754">
        <f>+BL41+BL44+BL47+BL50</f>
        <v>1287</v>
      </c>
      <c r="BM38" s="755">
        <f>+BM41+BM44+BM47+BM50</f>
        <v>1414</v>
      </c>
      <c r="BN38" s="755">
        <f>+BN41+BN44+BN47+BN50</f>
        <v>1500</v>
      </c>
      <c r="BO38" s="755">
        <f>+BO41+BO44+BO47+BO50</f>
        <v>1748</v>
      </c>
      <c r="BP38" s="1046">
        <f>SUM(BL38:BO38)</f>
        <v>5949</v>
      </c>
      <c r="BQ38" s="754">
        <f t="shared" ref="BQ38:BU38" si="72">+BQ41+BQ44+BQ47+BQ50</f>
        <v>1332.69</v>
      </c>
      <c r="BR38" s="755">
        <f t="shared" si="72"/>
        <v>1463.55</v>
      </c>
      <c r="BS38" s="755">
        <f t="shared" si="72"/>
        <v>1553.41</v>
      </c>
      <c r="BT38" s="1115">
        <f t="shared" si="72"/>
        <v>1811.05</v>
      </c>
      <c r="BU38" s="1046">
        <f t="shared" si="72"/>
        <v>6160.7</v>
      </c>
      <c r="BV38" s="754"/>
      <c r="BW38" s="755"/>
      <c r="BX38" s="755"/>
      <c r="BY38" s="755"/>
      <c r="BZ38" s="753">
        <f>BU38*(1+BZ39)</f>
        <v>6776.77</v>
      </c>
      <c r="CA38" s="754"/>
      <c r="CB38" s="755"/>
      <c r="CC38" s="755"/>
      <c r="CD38" s="755"/>
      <c r="CE38" s="753">
        <f>BZ38*(1+CE39)</f>
        <v>7386.6793000000007</v>
      </c>
      <c r="CF38" s="754"/>
      <c r="CG38" s="755"/>
      <c r="CH38" s="755"/>
      <c r="CI38" s="755"/>
      <c r="CJ38" s="753">
        <f>CE38*(1+CJ39)</f>
        <v>7977.6136440000009</v>
      </c>
      <c r="CK38" s="748"/>
      <c r="CL38" s="237"/>
      <c r="CM38" s="661" t="s">
        <v>376</v>
      </c>
      <c r="CN38" s="999"/>
      <c r="CO38" s="622"/>
      <c r="CP38" s="654"/>
      <c r="CQ38" s="622"/>
      <c r="CR38" s="622"/>
      <c r="CS38" s="661" t="s">
        <v>383</v>
      </c>
      <c r="CT38" s="622"/>
      <c r="CU38" s="1229" t="s">
        <v>104</v>
      </c>
      <c r="CV38" s="1230">
        <f>+(CJ38/BP38)^(1/4)-1</f>
        <v>7.61114630903581E-2</v>
      </c>
      <c r="CW38" s="237"/>
      <c r="CX38" s="118"/>
      <c r="CY38" s="118"/>
      <c r="CZ38"/>
      <c r="DA38"/>
      <c r="DB38"/>
      <c r="DC38"/>
      <c r="DD38"/>
    </row>
    <row r="39" spans="1:108">
      <c r="A39" s="28" t="s">
        <v>21</v>
      </c>
      <c r="B39" s="29"/>
      <c r="C39" s="29">
        <f>C38/B38-1</f>
        <v>0.26063348416289589</v>
      </c>
      <c r="D39" s="29">
        <f>D38/C38-1</f>
        <v>0.43826274228284268</v>
      </c>
      <c r="E39" s="29">
        <f>E38/D38-1</f>
        <v>9.9825305714998702E-2</v>
      </c>
      <c r="F39" s="29">
        <f>F38/E38-1</f>
        <v>0.1393238030406172</v>
      </c>
      <c r="G39" s="29">
        <f>G38/F38-1</f>
        <v>0.19159529974108747</v>
      </c>
      <c r="H39" s="30"/>
      <c r="I39" s="30"/>
      <c r="J39" s="30"/>
      <c r="K39" s="30"/>
      <c r="L39" s="29">
        <f t="shared" ref="L39:AJ39" si="73">L38/G38-1</f>
        <v>0.30319237840548219</v>
      </c>
      <c r="M39" s="30">
        <f t="shared" si="73"/>
        <v>0.27359693877551017</v>
      </c>
      <c r="N39" s="30">
        <f t="shared" si="73"/>
        <v>0.17698598130841114</v>
      </c>
      <c r="O39" s="30">
        <f t="shared" si="73"/>
        <v>-1.175213675213671E-2</v>
      </c>
      <c r="P39" s="30">
        <f t="shared" si="73"/>
        <v>-0.11833648393194707</v>
      </c>
      <c r="Q39" s="29">
        <f t="shared" si="73"/>
        <v>5.0917019366423011E-2</v>
      </c>
      <c r="R39" s="30">
        <f t="shared" si="73"/>
        <v>0.20530796194291434</v>
      </c>
      <c r="S39" s="30">
        <f t="shared" si="73"/>
        <v>0.19354838709677424</v>
      </c>
      <c r="T39" s="30">
        <f t="shared" si="73"/>
        <v>0.26864864864864857</v>
      </c>
      <c r="U39" s="30">
        <f t="shared" si="73"/>
        <v>6.60377358490567E-2</v>
      </c>
      <c r="V39" s="29">
        <f t="shared" si="73"/>
        <v>0.17708079082255312</v>
      </c>
      <c r="W39" s="30">
        <f t="shared" si="73"/>
        <v>-0.16825924387203983</v>
      </c>
      <c r="X39" s="30">
        <f t="shared" si="73"/>
        <v>-0.12224532224532225</v>
      </c>
      <c r="Y39" s="30">
        <f t="shared" si="73"/>
        <v>-0.11844908393694076</v>
      </c>
      <c r="Z39" s="30">
        <f t="shared" si="73"/>
        <v>8.4473049074818896E-2</v>
      </c>
      <c r="AA39" s="29">
        <f t="shared" si="73"/>
        <v>-7.9523068947641273E-2</v>
      </c>
      <c r="AB39" s="30">
        <f t="shared" si="73"/>
        <v>-2.3476523476523514E-2</v>
      </c>
      <c r="AC39" s="30">
        <f t="shared" si="73"/>
        <v>4.7370914258644259E-3</v>
      </c>
      <c r="AD39" s="30">
        <f t="shared" si="73"/>
        <v>3.4316094731754454E-2</v>
      </c>
      <c r="AE39" s="30">
        <f t="shared" si="73"/>
        <v>-3.1528189910979276E-2</v>
      </c>
      <c r="AF39" s="29">
        <f t="shared" si="73"/>
        <v>-5.7445370578959043E-3</v>
      </c>
      <c r="AG39" s="30">
        <f t="shared" si="73"/>
        <v>-2.2506393861892571E-2</v>
      </c>
      <c r="AH39" s="30">
        <f t="shared" si="73"/>
        <v>1.3201320132013139E-2</v>
      </c>
      <c r="AI39" s="30">
        <f t="shared" si="73"/>
        <v>-8.5981308411214985E-2</v>
      </c>
      <c r="AJ39" s="30">
        <f t="shared" si="73"/>
        <v>-0.2432018383761011</v>
      </c>
      <c r="AK39" s="29">
        <f t="shared" ref="AK39:AS39" si="74">AK38/AF38-1</f>
        <v>-9.4596125523960573E-2</v>
      </c>
      <c r="AL39" s="30">
        <f t="shared" si="74"/>
        <v>-0.18733647305075873</v>
      </c>
      <c r="AM39" s="30">
        <f t="shared" si="74"/>
        <v>-0.27919962773382967</v>
      </c>
      <c r="AN39" s="30">
        <f t="shared" si="74"/>
        <v>-0.30112474437627812</v>
      </c>
      <c r="AO39" s="30">
        <f t="shared" si="74"/>
        <v>-0.31022267206477738</v>
      </c>
      <c r="AP39" s="29">
        <f t="shared" si="74"/>
        <v>-0.27027027027027029</v>
      </c>
      <c r="AQ39" s="30">
        <f t="shared" si="74"/>
        <v>-0.15196394075981967</v>
      </c>
      <c r="AR39" s="30">
        <f t="shared" si="74"/>
        <v>-5.4228534538411921E-2</v>
      </c>
      <c r="AS39" s="30">
        <f t="shared" si="74"/>
        <v>2.0482809070958341E-2</v>
      </c>
      <c r="AT39" s="30">
        <f t="shared" ref="AT39:AZ39" si="75">AT38/AO38-1</f>
        <v>0.1408657373440938</v>
      </c>
      <c r="AU39" s="29">
        <f t="shared" si="75"/>
        <v>-1.714677640603568E-2</v>
      </c>
      <c r="AV39" s="30">
        <f t="shared" si="75"/>
        <v>3.4927866362945981E-2</v>
      </c>
      <c r="AW39" s="30">
        <f t="shared" si="75"/>
        <v>-3.8907849829351582E-2</v>
      </c>
      <c r="AX39" s="30">
        <f t="shared" si="75"/>
        <v>-3.5842293906810041E-2</v>
      </c>
      <c r="AY39" s="30">
        <f t="shared" si="75"/>
        <v>-1.9935691318327953E-2</v>
      </c>
      <c r="AZ39" s="29">
        <f t="shared" si="75"/>
        <v>-1.6050244242847178E-2</v>
      </c>
      <c r="BA39" s="29"/>
      <c r="BB39" s="30">
        <f>BB38/AV38-1</f>
        <v>-6.603081438004399E-2</v>
      </c>
      <c r="BC39" s="30">
        <f>BC38/AW38-1</f>
        <v>-6.6051136363636354E-2</v>
      </c>
      <c r="BD39" s="30">
        <f>BD38/AX38-1</f>
        <v>-1.1152416356877359E-2</v>
      </c>
      <c r="BE39" s="30">
        <f>BE38/AY38-1</f>
        <v>0.10498687664042006</v>
      </c>
      <c r="BF39" s="29">
        <f>BF38/AZ38-1</f>
        <v>-6.737588652482307E-3</v>
      </c>
      <c r="BG39" s="30"/>
      <c r="BH39" s="30"/>
      <c r="BI39" s="30"/>
      <c r="BJ39" s="30"/>
      <c r="BK39" s="29">
        <f>BK38/BA38-1</f>
        <v>-2.0024809498493723E-2</v>
      </c>
      <c r="BL39" s="30">
        <f>BL38/BB38-1</f>
        <v>1.09976433621366E-2</v>
      </c>
      <c r="BM39" s="30">
        <f t="shared" ref="BM39:BO39" si="76">IFERROR(BM38/BH38-1,"")</f>
        <v>9.0208172706245149E-2</v>
      </c>
      <c r="BN39" s="30">
        <f t="shared" si="76"/>
        <v>0.1303692539562924</v>
      </c>
      <c r="BO39" s="30">
        <f t="shared" si="76"/>
        <v>5.2378085490668358E-2</v>
      </c>
      <c r="BP39" s="1036">
        <f>BP38/BK38-1</f>
        <v>7.5768535262206171E-2</v>
      </c>
      <c r="BQ39" s="526">
        <f t="shared" ref="BQ39" si="77">IFERROR(BQ38/BL38-1,"")</f>
        <v>3.5501165501165444E-2</v>
      </c>
      <c r="BR39" s="527">
        <f t="shared" ref="BR39" si="78">IFERROR(BR38/BM38-1,"")</f>
        <v>3.5042432814710089E-2</v>
      </c>
      <c r="BS39" s="527">
        <f t="shared" ref="BS39" si="79">IFERROR(BS38/BN38-1,"")</f>
        <v>3.5606666666666786E-2</v>
      </c>
      <c r="BT39" s="1176">
        <f t="shared" ref="BT39" si="80">IFERROR(BT38/BO38-1,"")</f>
        <v>3.6069794050343162E-2</v>
      </c>
      <c r="BU39" s="1036">
        <f>BU38/BP38-1</f>
        <v>3.5585812741637302E-2</v>
      </c>
      <c r="BV39" s="749"/>
      <c r="BW39" s="750"/>
      <c r="BX39" s="750"/>
      <c r="BY39" s="750"/>
      <c r="BZ39" s="751">
        <v>0.1</v>
      </c>
      <c r="CA39" s="749"/>
      <c r="CB39" s="750"/>
      <c r="CC39" s="750"/>
      <c r="CD39" s="750"/>
      <c r="CE39" s="751">
        <v>0.09</v>
      </c>
      <c r="CF39" s="749"/>
      <c r="CG39" s="750"/>
      <c r="CH39" s="750"/>
      <c r="CI39" s="750"/>
      <c r="CJ39" s="751">
        <v>0.08</v>
      </c>
      <c r="CK39" s="752"/>
      <c r="CL39" s="14"/>
      <c r="CM39" s="661"/>
      <c r="CN39" s="442"/>
      <c r="CO39" s="661"/>
      <c r="CP39" s="997"/>
      <c r="CQ39" s="661"/>
      <c r="CR39" s="661"/>
      <c r="CS39" s="661"/>
      <c r="CT39" s="622"/>
      <c r="CU39" s="440"/>
      <c r="CV39" s="440"/>
      <c r="CW39" s="74"/>
      <c r="CX39" s="33"/>
      <c r="CY39" s="33"/>
    </row>
    <row r="40" spans="1:108">
      <c r="A40" s="28" t="s">
        <v>250</v>
      </c>
      <c r="B40" s="29">
        <f t="shared" ref="B40:AG40" si="81">B38/B$128</f>
        <v>0.18763796909492272</v>
      </c>
      <c r="C40" s="29">
        <f t="shared" si="81"/>
        <v>0.20800358369419142</v>
      </c>
      <c r="D40" s="29">
        <f t="shared" si="81"/>
        <v>0.24868118910196735</v>
      </c>
      <c r="E40" s="29">
        <f t="shared" si="81"/>
        <v>0.23358244553983146</v>
      </c>
      <c r="F40" s="29">
        <f t="shared" si="81"/>
        <v>0.23938021454112038</v>
      </c>
      <c r="G40" s="29">
        <f t="shared" si="81"/>
        <v>0.24863898931970244</v>
      </c>
      <c r="H40" s="30">
        <f t="shared" si="81"/>
        <v>0.24888888888888888</v>
      </c>
      <c r="I40" s="30">
        <f t="shared" si="81"/>
        <v>0.25974814140494612</v>
      </c>
      <c r="J40" s="30">
        <f t="shared" si="81"/>
        <v>0.27392449517120282</v>
      </c>
      <c r="K40" s="30">
        <f t="shared" si="81"/>
        <v>0.35196274118429804</v>
      </c>
      <c r="L40" s="29">
        <f t="shared" si="81"/>
        <v>0.28623348017621147</v>
      </c>
      <c r="M40" s="30">
        <f t="shared" si="81"/>
        <v>0.2850820842255532</v>
      </c>
      <c r="N40" s="30">
        <f t="shared" si="81"/>
        <v>0.27591400794194165</v>
      </c>
      <c r="O40" s="30">
        <f t="shared" si="81"/>
        <v>0.25910364145658266</v>
      </c>
      <c r="P40" s="30">
        <f t="shared" si="81"/>
        <v>0.29699439633214469</v>
      </c>
      <c r="Q40" s="29">
        <f t="shared" si="81"/>
        <v>0.27965870307167234</v>
      </c>
      <c r="R40" s="30">
        <f t="shared" si="81"/>
        <v>0.29126331074540174</v>
      </c>
      <c r="S40" s="30">
        <f t="shared" si="81"/>
        <v>0.29691358024691356</v>
      </c>
      <c r="T40" s="30">
        <f t="shared" si="81"/>
        <v>0.30405492939499934</v>
      </c>
      <c r="U40" s="30">
        <f t="shared" si="81"/>
        <v>0.31476323119777161</v>
      </c>
      <c r="V40" s="29">
        <f t="shared" si="81"/>
        <v>0.30158531628154217</v>
      </c>
      <c r="W40" s="30">
        <f t="shared" si="81"/>
        <v>0.25832258064516128</v>
      </c>
      <c r="X40" s="30">
        <f t="shared" si="81"/>
        <v>0.26048864758144125</v>
      </c>
      <c r="Y40" s="30">
        <f t="shared" si="81"/>
        <v>0.25826987891648984</v>
      </c>
      <c r="Z40" s="30">
        <f t="shared" si="81"/>
        <v>0.31345192419486106</v>
      </c>
      <c r="AA40" s="29">
        <f t="shared" si="81"/>
        <v>0.27345530709049465</v>
      </c>
      <c r="AB40" s="30">
        <f t="shared" si="81"/>
        <v>0.2507053090536035</v>
      </c>
      <c r="AC40" s="30">
        <f t="shared" si="81"/>
        <v>0.2691965985531159</v>
      </c>
      <c r="AD40" s="30">
        <f t="shared" si="81"/>
        <v>0.27250732204253153</v>
      </c>
      <c r="AE40" s="30">
        <f t="shared" si="81"/>
        <v>0.28544878102109983</v>
      </c>
      <c r="AF40" s="29">
        <f t="shared" si="81"/>
        <v>0.27012883679652355</v>
      </c>
      <c r="AG40" s="30">
        <f t="shared" si="81"/>
        <v>0.25214408233276159</v>
      </c>
      <c r="AH40" s="30">
        <f t="shared" ref="AH40:BF40" si="82">AH38/AH$128</f>
        <v>0.27126988134309515</v>
      </c>
      <c r="AI40" s="30">
        <f t="shared" si="82"/>
        <v>0.24653390471388958</v>
      </c>
      <c r="AJ40" s="30">
        <f t="shared" si="82"/>
        <v>0.24461500371379055</v>
      </c>
      <c r="AK40" s="29">
        <f t="shared" si="82"/>
        <v>0.25360962142607812</v>
      </c>
      <c r="AL40" s="30">
        <f t="shared" si="82"/>
        <v>0.20975148568341437</v>
      </c>
      <c r="AM40" s="30">
        <f t="shared" si="82"/>
        <v>0.19580331184426747</v>
      </c>
      <c r="AN40" s="30">
        <f t="shared" si="82"/>
        <v>0.17534633145202669</v>
      </c>
      <c r="AO40" s="30">
        <f t="shared" si="82"/>
        <v>0.17431896661977234</v>
      </c>
      <c r="AP40" s="29">
        <f t="shared" si="82"/>
        <v>0.18855480116391854</v>
      </c>
      <c r="AQ40" s="30">
        <f t="shared" si="82"/>
        <v>0.1798197706171491</v>
      </c>
      <c r="AR40" s="30">
        <f t="shared" si="82"/>
        <v>0.19601284452769602</v>
      </c>
      <c r="AS40" s="30">
        <f t="shared" si="82"/>
        <v>0.17997677719003999</v>
      </c>
      <c r="AT40" s="30">
        <f t="shared" si="82"/>
        <v>0.18728170540768396</v>
      </c>
      <c r="AU40" s="29">
        <f t="shared" si="82"/>
        <v>0.18579022429664202</v>
      </c>
      <c r="AV40" s="30">
        <f t="shared" si="82"/>
        <v>0.17510277492291881</v>
      </c>
      <c r="AW40" s="30">
        <f t="shared" si="82"/>
        <v>0.17863486424765287</v>
      </c>
      <c r="AX40" s="30">
        <f t="shared" si="82"/>
        <v>0.16825118839129347</v>
      </c>
      <c r="AY40" s="30">
        <f t="shared" si="82"/>
        <v>0.19515943142527853</v>
      </c>
      <c r="AZ40" s="29">
        <f t="shared" si="82"/>
        <v>0.17922399822047094</v>
      </c>
      <c r="BA40" s="29">
        <f t="shared" si="82"/>
        <v>0.17755891885088576</v>
      </c>
      <c r="BB40" s="30">
        <f t="shared" si="82"/>
        <v>0.16481097876747799</v>
      </c>
      <c r="BC40" s="30">
        <f t="shared" si="82"/>
        <v>0.17155903457273319</v>
      </c>
      <c r="BD40" s="30">
        <f t="shared" si="82"/>
        <v>0.1720346656318717</v>
      </c>
      <c r="BE40" s="30">
        <f t="shared" si="82"/>
        <v>0.20454269403619579</v>
      </c>
      <c r="BF40" s="29">
        <f t="shared" si="82"/>
        <v>0.17867508691353298</v>
      </c>
      <c r="BG40" s="30"/>
      <c r="BH40" s="30"/>
      <c r="BI40" s="30"/>
      <c r="BJ40" s="30"/>
      <c r="BK40" s="29">
        <f t="shared" ref="BK40:BU40" si="83">BK38/BK$128</f>
        <v>0.18094957625732142</v>
      </c>
      <c r="BL40" s="30">
        <f t="shared" si="83"/>
        <v>0.17296062357210051</v>
      </c>
      <c r="BM40" s="30">
        <f t="shared" si="83"/>
        <v>0.18423452768729642</v>
      </c>
      <c r="BN40" s="30">
        <f t="shared" si="83"/>
        <v>0.19788918205804748</v>
      </c>
      <c r="BO40" s="30">
        <f t="shared" si="83"/>
        <v>0.21118762836776611</v>
      </c>
      <c r="BP40" s="1036">
        <f t="shared" si="83"/>
        <v>0.19207051302747555</v>
      </c>
      <c r="BQ40" s="31">
        <f t="shared" si="83"/>
        <v>0.17332948934159359</v>
      </c>
      <c r="BR40" s="30">
        <f t="shared" si="83"/>
        <v>0.15885072774700526</v>
      </c>
      <c r="BS40" s="30">
        <f t="shared" si="83"/>
        <v>0.16971414774380544</v>
      </c>
      <c r="BT40" s="1106">
        <f t="shared" si="83"/>
        <v>0.18070095266983024</v>
      </c>
      <c r="BU40" s="1036">
        <f t="shared" si="83"/>
        <v>0.17076251490191002</v>
      </c>
      <c r="BV40" s="31"/>
      <c r="BW40" s="30"/>
      <c r="BX40" s="30"/>
      <c r="BY40" s="30"/>
      <c r="BZ40" s="29">
        <f>BZ38/BZ$128</f>
        <v>0.17167195949508748</v>
      </c>
      <c r="CA40" s="31"/>
      <c r="CB40" s="30"/>
      <c r="CC40" s="30"/>
      <c r="CD40" s="30"/>
      <c r="CE40" s="29">
        <f>CE38/CE$128</f>
        <v>0.17637794643546006</v>
      </c>
      <c r="CF40" s="31"/>
      <c r="CG40" s="30"/>
      <c r="CH40" s="30"/>
      <c r="CI40" s="30"/>
      <c r="CJ40" s="29">
        <f>CJ38/CJ$128</f>
        <v>0.17953938836037012</v>
      </c>
      <c r="CK40" s="32"/>
      <c r="CL40" s="14"/>
      <c r="CM40" s="661"/>
      <c r="CN40" s="442"/>
      <c r="CO40" s="440"/>
      <c r="CP40" s="622" t="s">
        <v>360</v>
      </c>
      <c r="CQ40" s="661"/>
      <c r="CR40" s="661"/>
      <c r="CS40" s="661"/>
      <c r="CT40" s="661"/>
      <c r="CU40" s="661"/>
      <c r="CV40" s="661"/>
      <c r="CW40" s="74"/>
      <c r="CX40" s="33"/>
      <c r="CY40" s="33"/>
    </row>
    <row r="41" spans="1:108" s="135" customFormat="1">
      <c r="A41" s="918" t="s">
        <v>335</v>
      </c>
      <c r="B41" s="919"/>
      <c r="C41" s="919"/>
      <c r="D41" s="919"/>
      <c r="E41" s="919"/>
      <c r="F41" s="919"/>
      <c r="G41" s="919"/>
      <c r="H41" s="920"/>
      <c r="I41" s="920"/>
      <c r="J41" s="920"/>
      <c r="K41" s="920"/>
      <c r="L41" s="919"/>
      <c r="M41" s="920"/>
      <c r="N41" s="920"/>
      <c r="O41" s="920"/>
      <c r="P41" s="920"/>
      <c r="Q41" s="919"/>
      <c r="R41" s="920"/>
      <c r="S41" s="920"/>
      <c r="T41" s="920"/>
      <c r="U41" s="920"/>
      <c r="V41" s="919"/>
      <c r="W41" s="920"/>
      <c r="X41" s="920"/>
      <c r="Y41" s="920"/>
      <c r="Z41" s="920"/>
      <c r="AA41" s="919"/>
      <c r="AB41" s="920"/>
      <c r="AC41" s="920"/>
      <c r="AD41" s="920"/>
      <c r="AE41" s="920"/>
      <c r="AF41" s="919"/>
      <c r="AG41" s="920"/>
      <c r="AH41" s="920"/>
      <c r="AI41" s="920"/>
      <c r="AJ41" s="920"/>
      <c r="AK41" s="919"/>
      <c r="AL41" s="921"/>
      <c r="AM41" s="921"/>
      <c r="AN41" s="921"/>
      <c r="AO41" s="921"/>
      <c r="AP41" s="919">
        <v>2709</v>
      </c>
      <c r="AQ41" s="922"/>
      <c r="AR41" s="921"/>
      <c r="AS41" s="921"/>
      <c r="AT41" s="921"/>
      <c r="AU41" s="923">
        <v>2852</v>
      </c>
      <c r="AV41" s="922"/>
      <c r="AW41" s="921"/>
      <c r="AX41" s="921"/>
      <c r="AY41" s="921"/>
      <c r="AZ41" s="923">
        <v>2599</v>
      </c>
      <c r="BA41" s="923"/>
      <c r="BB41" s="922"/>
      <c r="BC41" s="920"/>
      <c r="BD41" s="920"/>
      <c r="BE41" s="920"/>
      <c r="BF41" s="923">
        <v>2446</v>
      </c>
      <c r="BG41" s="922">
        <v>563</v>
      </c>
      <c r="BH41" s="920">
        <v>545</v>
      </c>
      <c r="BI41" s="920">
        <v>587</v>
      </c>
      <c r="BJ41" s="1224">
        <f>2444-BI41-BH41-BG41</f>
        <v>749</v>
      </c>
      <c r="BK41" s="922">
        <f>+SUM(BG41:BJ41)</f>
        <v>2444</v>
      </c>
      <c r="BL41" s="984">
        <v>560</v>
      </c>
      <c r="BM41" s="985">
        <v>566</v>
      </c>
      <c r="BN41" s="985">
        <v>623</v>
      </c>
      <c r="BO41" s="1224">
        <f>2506-BN41-BM41-BL41</f>
        <v>757</v>
      </c>
      <c r="BP41" s="922">
        <f>+SUM(BL41:BO41)</f>
        <v>2506</v>
      </c>
      <c r="BQ41" s="922">
        <f t="shared" ref="BQ41" si="84">BL41*(1+BQ42)</f>
        <v>582.4</v>
      </c>
      <c r="BR41" s="920">
        <f t="shared" ref="BR41" si="85">BM41*(1+BR42)</f>
        <v>588.64</v>
      </c>
      <c r="BS41" s="920">
        <f t="shared" ref="BS41:BT41" si="86">BN41*(1+BS42)</f>
        <v>647.92000000000007</v>
      </c>
      <c r="BT41" s="1247">
        <f t="shared" si="86"/>
        <v>787.28</v>
      </c>
      <c r="BU41" s="922">
        <f>+SUM(BQ41:BT41)</f>
        <v>2606.2399999999998</v>
      </c>
      <c r="BV41" s="922"/>
      <c r="BW41" s="920"/>
      <c r="BX41" s="920"/>
      <c r="BY41" s="920"/>
      <c r="BZ41" s="919"/>
      <c r="CA41" s="922"/>
      <c r="CB41" s="920"/>
      <c r="CC41" s="920"/>
      <c r="CD41" s="920"/>
      <c r="CE41" s="919"/>
      <c r="CF41" s="922"/>
      <c r="CG41" s="920"/>
      <c r="CH41" s="920"/>
      <c r="CI41" s="920"/>
      <c r="CJ41" s="919"/>
      <c r="CK41" s="132"/>
      <c r="CL41" s="240"/>
      <c r="CM41" s="1005"/>
      <c r="CN41" s="703"/>
      <c r="CO41" s="622"/>
      <c r="CP41" s="1006" t="s">
        <v>361</v>
      </c>
      <c r="CQ41" s="622"/>
      <c r="CR41" s="622"/>
      <c r="CS41" s="622"/>
      <c r="CT41" s="622"/>
      <c r="CU41" s="622"/>
      <c r="CV41" s="622"/>
      <c r="CW41" s="230"/>
      <c r="CX41" s="133"/>
      <c r="CY41" s="133"/>
      <c r="CZ41"/>
      <c r="DA41"/>
      <c r="DB41"/>
      <c r="DC41"/>
      <c r="DD41"/>
    </row>
    <row r="42" spans="1:108" s="677" customFormat="1">
      <c r="A42" s="672" t="s">
        <v>21</v>
      </c>
      <c r="B42" s="316"/>
      <c r="C42" s="316"/>
      <c r="D42" s="316"/>
      <c r="E42" s="316"/>
      <c r="F42" s="316"/>
      <c r="G42" s="316"/>
      <c r="H42" s="317"/>
      <c r="I42" s="317"/>
      <c r="J42" s="317"/>
      <c r="K42" s="317"/>
      <c r="L42" s="316"/>
      <c r="M42" s="317"/>
      <c r="N42" s="317"/>
      <c r="O42" s="317"/>
      <c r="P42" s="317"/>
      <c r="Q42" s="316"/>
      <c r="R42" s="317"/>
      <c r="S42" s="317"/>
      <c r="T42" s="317"/>
      <c r="U42" s="317"/>
      <c r="V42" s="316"/>
      <c r="W42" s="317"/>
      <c r="X42" s="317"/>
      <c r="Y42" s="317"/>
      <c r="Z42" s="317"/>
      <c r="AA42" s="316"/>
      <c r="AB42" s="317"/>
      <c r="AC42" s="317"/>
      <c r="AD42" s="317"/>
      <c r="AE42" s="317"/>
      <c r="AF42" s="316"/>
      <c r="AG42" s="317"/>
      <c r="AH42" s="317"/>
      <c r="AI42" s="317"/>
      <c r="AJ42" s="317"/>
      <c r="AK42" s="316"/>
      <c r="AL42" s="317"/>
      <c r="AM42" s="317"/>
      <c r="AN42" s="317"/>
      <c r="AO42" s="317"/>
      <c r="AP42" s="316"/>
      <c r="AQ42" s="657"/>
      <c r="AR42" s="317"/>
      <c r="AS42" s="317"/>
      <c r="AT42" s="317"/>
      <c r="AU42" s="316">
        <f>AU41/AP41-1</f>
        <v>5.2787006275378356E-2</v>
      </c>
      <c r="AV42" s="657"/>
      <c r="AW42" s="317"/>
      <c r="AX42" s="317"/>
      <c r="AY42" s="317"/>
      <c r="AZ42" s="316">
        <f>AZ41/AU41-1</f>
        <v>-8.8709677419354871E-2</v>
      </c>
      <c r="BA42" s="316"/>
      <c r="BB42" s="657"/>
      <c r="BC42" s="317"/>
      <c r="BD42" s="317"/>
      <c r="BE42" s="317"/>
      <c r="BF42" s="316">
        <f>BF41/AZ41-1</f>
        <v>-5.8868795690650288E-2</v>
      </c>
      <c r="BG42" s="657"/>
      <c r="BH42" s="317"/>
      <c r="BI42" s="317"/>
      <c r="BJ42" s="317"/>
      <c r="BK42" s="316"/>
      <c r="BL42" s="657">
        <f>BL41/BG41-1</f>
        <v>-5.3285968028419228E-3</v>
      </c>
      <c r="BM42" s="317">
        <f t="shared" ref="BM42:BO42" si="87">IFERROR(BM41/BH41-1,"")</f>
        <v>3.8532110091743066E-2</v>
      </c>
      <c r="BN42" s="317">
        <f t="shared" si="87"/>
        <v>6.1328790459965976E-2</v>
      </c>
      <c r="BO42" s="317">
        <f t="shared" si="87"/>
        <v>1.0680907877169465E-2</v>
      </c>
      <c r="BP42" s="1037">
        <f>IFERROR(BP41/BK41-1,"")</f>
        <v>2.5368248772503987E-2</v>
      </c>
      <c r="BQ42" s="1177">
        <v>0.04</v>
      </c>
      <c r="BR42" s="1178">
        <v>0.04</v>
      </c>
      <c r="BS42" s="1178">
        <v>0.04</v>
      </c>
      <c r="BT42" s="1179">
        <v>0.04</v>
      </c>
      <c r="BU42" s="1037">
        <f>IFERROR(BU41/BP41-1,"")</f>
        <v>3.9999999999999813E-2</v>
      </c>
      <c r="BV42" s="657"/>
      <c r="BW42" s="317"/>
      <c r="BX42" s="317"/>
      <c r="BY42" s="317"/>
      <c r="BZ42" s="324"/>
      <c r="CA42" s="657"/>
      <c r="CB42" s="317"/>
      <c r="CC42" s="317"/>
      <c r="CD42" s="317"/>
      <c r="CE42" s="324"/>
      <c r="CF42" s="657"/>
      <c r="CG42" s="317"/>
      <c r="CH42" s="317"/>
      <c r="CI42" s="317"/>
      <c r="CJ42" s="324"/>
      <c r="CK42" s="673"/>
      <c r="CL42" s="674"/>
      <c r="CM42" s="733"/>
      <c r="CN42" s="1006"/>
      <c r="CO42" s="1006"/>
      <c r="CP42" s="731" t="s">
        <v>362</v>
      </c>
      <c r="CQ42" s="1006"/>
      <c r="CR42" s="1006"/>
      <c r="CS42" s="1006"/>
      <c r="CT42" s="1006"/>
      <c r="CU42" s="1006"/>
      <c r="CV42" s="1006"/>
      <c r="CW42" s="675"/>
      <c r="CX42" s="676"/>
      <c r="CY42" s="676"/>
      <c r="CZ42"/>
      <c r="DA42"/>
      <c r="DB42"/>
      <c r="DC42"/>
      <c r="DD42"/>
    </row>
    <row r="43" spans="1:108" s="499" customFormat="1">
      <c r="A43" s="487" t="s">
        <v>37</v>
      </c>
      <c r="B43" s="490"/>
      <c r="C43" s="490"/>
      <c r="D43" s="490"/>
      <c r="E43" s="490"/>
      <c r="F43" s="490"/>
      <c r="G43" s="490"/>
      <c r="H43" s="362"/>
      <c r="I43" s="362"/>
      <c r="J43" s="362"/>
      <c r="K43" s="362"/>
      <c r="L43" s="490"/>
      <c r="M43" s="362"/>
      <c r="N43" s="362"/>
      <c r="O43" s="362"/>
      <c r="P43" s="362"/>
      <c r="Q43" s="490"/>
      <c r="R43" s="362"/>
      <c r="S43" s="362"/>
      <c r="T43" s="362"/>
      <c r="U43" s="362"/>
      <c r="V43" s="490"/>
      <c r="W43" s="362"/>
      <c r="X43" s="362"/>
      <c r="Y43" s="362"/>
      <c r="Z43" s="362"/>
      <c r="AA43" s="490"/>
      <c r="AB43" s="362"/>
      <c r="AC43" s="362"/>
      <c r="AD43" s="362"/>
      <c r="AE43" s="362"/>
      <c r="AF43" s="490"/>
      <c r="AG43" s="362"/>
      <c r="AH43" s="362"/>
      <c r="AI43" s="362"/>
      <c r="AJ43" s="362"/>
      <c r="AK43" s="490"/>
      <c r="AL43" s="362"/>
      <c r="AM43" s="362"/>
      <c r="AN43" s="362"/>
      <c r="AO43" s="362"/>
      <c r="AP43" s="490">
        <f>AP41/AP$38</f>
        <v>0.46450617283950618</v>
      </c>
      <c r="AQ43" s="533"/>
      <c r="AR43" s="362"/>
      <c r="AS43" s="362"/>
      <c r="AT43" s="362"/>
      <c r="AU43" s="490">
        <f>AU41/AU$38</f>
        <v>0.49755757152826241</v>
      </c>
      <c r="AV43" s="533"/>
      <c r="AW43" s="362"/>
      <c r="AX43" s="362"/>
      <c r="AY43" s="362"/>
      <c r="AZ43" s="490">
        <f>AZ41/AZ$38</f>
        <v>0.46081560283687945</v>
      </c>
      <c r="BA43" s="490"/>
      <c r="BB43" s="533"/>
      <c r="BC43" s="362"/>
      <c r="BD43" s="362"/>
      <c r="BE43" s="362"/>
      <c r="BF43" s="490">
        <f>BF41/BF$38</f>
        <v>0.43662977508032846</v>
      </c>
      <c r="BG43" s="533"/>
      <c r="BH43" s="362"/>
      <c r="BI43" s="362"/>
      <c r="BJ43" s="362"/>
      <c r="BK43" s="490"/>
      <c r="BL43" s="533">
        <f t="shared" ref="BL43:BP43" si="88">BL41/BL$38</f>
        <v>0.43512043512043513</v>
      </c>
      <c r="BM43" s="362">
        <f t="shared" si="88"/>
        <v>0.40028288543140028</v>
      </c>
      <c r="BN43" s="362">
        <f t="shared" si="88"/>
        <v>0.41533333333333333</v>
      </c>
      <c r="BO43" s="362">
        <f t="shared" ref="BO43" si="89">BO41/BO$38</f>
        <v>0.43306636155606409</v>
      </c>
      <c r="BP43" s="1047">
        <f t="shared" si="88"/>
        <v>0.42124726844847876</v>
      </c>
      <c r="BQ43" s="533">
        <f t="shared" ref="BQ43:BU43" si="90">BQ41/BQ$38</f>
        <v>0.43701085773885895</v>
      </c>
      <c r="BR43" s="362">
        <f t="shared" si="90"/>
        <v>0.40220012982132486</v>
      </c>
      <c r="BS43" s="362">
        <f t="shared" si="90"/>
        <v>0.41709529357993064</v>
      </c>
      <c r="BT43" s="1108">
        <f t="shared" si="90"/>
        <v>0.43470914662764693</v>
      </c>
      <c r="BU43" s="1047">
        <f t="shared" si="90"/>
        <v>0.42304283604135889</v>
      </c>
      <c r="BV43" s="533"/>
      <c r="BW43" s="362"/>
      <c r="BX43" s="362"/>
      <c r="BY43" s="362"/>
      <c r="BZ43" s="490"/>
      <c r="CA43" s="533"/>
      <c r="CB43" s="362"/>
      <c r="CC43" s="362"/>
      <c r="CD43" s="362"/>
      <c r="CE43" s="490"/>
      <c r="CF43" s="533"/>
      <c r="CG43" s="362"/>
      <c r="CH43" s="362"/>
      <c r="CI43" s="362"/>
      <c r="CJ43" s="490"/>
      <c r="CK43" s="495"/>
      <c r="CL43" s="496"/>
      <c r="CM43" s="1006"/>
      <c r="CN43" s="997"/>
      <c r="CO43" s="997"/>
      <c r="CP43" s="731"/>
      <c r="CQ43" s="731"/>
      <c r="CR43" s="731"/>
      <c r="CS43" s="731"/>
      <c r="CT43" s="731"/>
      <c r="CU43" s="731"/>
      <c r="CV43" s="731"/>
      <c r="CW43" s="497"/>
      <c r="CX43" s="498"/>
      <c r="CY43" s="498"/>
      <c r="CZ43"/>
      <c r="DA43"/>
      <c r="DB43"/>
      <c r="DC43"/>
      <c r="DD43"/>
    </row>
    <row r="44" spans="1:108" s="135" customFormat="1">
      <c r="A44" s="918" t="s">
        <v>336</v>
      </c>
      <c r="B44" s="919"/>
      <c r="C44" s="919"/>
      <c r="D44" s="919"/>
      <c r="E44" s="919"/>
      <c r="F44" s="919"/>
      <c r="G44" s="919"/>
      <c r="H44" s="920"/>
      <c r="I44" s="920"/>
      <c r="J44" s="920"/>
      <c r="K44" s="920"/>
      <c r="L44" s="919"/>
      <c r="M44" s="920"/>
      <c r="N44" s="920"/>
      <c r="O44" s="920"/>
      <c r="P44" s="920"/>
      <c r="Q44" s="919"/>
      <c r="R44" s="920"/>
      <c r="S44" s="920"/>
      <c r="T44" s="920"/>
      <c r="U44" s="920"/>
      <c r="V44" s="919"/>
      <c r="W44" s="920"/>
      <c r="X44" s="920"/>
      <c r="Y44" s="920"/>
      <c r="Z44" s="919"/>
      <c r="AA44" s="919"/>
      <c r="AB44" s="920"/>
      <c r="AC44" s="920"/>
      <c r="AD44" s="920"/>
      <c r="AE44" s="919" t="e">
        <f>O44/AE46</f>
        <v>#DIV/0!</v>
      </c>
      <c r="AF44" s="919" t="e">
        <f>Q44/AF46</f>
        <v>#DIV/0!</v>
      </c>
      <c r="AG44" s="919" t="e">
        <f t="shared" ref="AG44:AI44" si="91">R44/AG46</f>
        <v>#DIV/0!</v>
      </c>
      <c r="AH44" s="919" t="e">
        <f t="shared" si="91"/>
        <v>#DIV/0!</v>
      </c>
      <c r="AI44" s="919" t="e">
        <f t="shared" si="91"/>
        <v>#DIV/0!</v>
      </c>
      <c r="AJ44" s="920"/>
      <c r="AK44" s="919"/>
      <c r="AL44" s="921"/>
      <c r="AM44" s="921"/>
      <c r="AN44" s="921"/>
      <c r="AO44" s="921"/>
      <c r="AP44" s="919">
        <v>1761</v>
      </c>
      <c r="AQ44" s="922"/>
      <c r="AR44" s="921"/>
      <c r="AS44" s="921"/>
      <c r="AT44" s="921"/>
      <c r="AU44" s="923">
        <v>1635</v>
      </c>
      <c r="AV44" s="922"/>
      <c r="AW44" s="921"/>
      <c r="AX44" s="921"/>
      <c r="AY44" s="921"/>
      <c r="AZ44" s="923">
        <v>1496</v>
      </c>
      <c r="BA44" s="923"/>
      <c r="BB44" s="922"/>
      <c r="BC44" s="920"/>
      <c r="BD44" s="920"/>
      <c r="BE44" s="920"/>
      <c r="BF44" s="923">
        <v>1533</v>
      </c>
      <c r="BG44" s="922">
        <v>341</v>
      </c>
      <c r="BH44" s="920">
        <v>355</v>
      </c>
      <c r="BI44" s="920">
        <v>363</v>
      </c>
      <c r="BJ44" s="1224">
        <f>1517-BI44-BH44-BG44</f>
        <v>458</v>
      </c>
      <c r="BK44" s="922">
        <f>+SUM(BG44:BJ44)</f>
        <v>1517</v>
      </c>
      <c r="BL44" s="984">
        <v>346</v>
      </c>
      <c r="BM44" s="985">
        <v>409</v>
      </c>
      <c r="BN44" s="985">
        <v>412</v>
      </c>
      <c r="BO44" s="1224">
        <f>1633-BN44-BM44-BL44</f>
        <v>466</v>
      </c>
      <c r="BP44" s="922">
        <f>+SUM(BL44:BO44)</f>
        <v>1633</v>
      </c>
      <c r="BQ44" s="922">
        <f t="shared" ref="BQ44" si="92">BL44*(1+BQ45)</f>
        <v>352.92</v>
      </c>
      <c r="BR44" s="920">
        <f t="shared" ref="BR44" si="93">BM44*(1+BR45)</f>
        <v>417.18</v>
      </c>
      <c r="BS44" s="920">
        <f t="shared" ref="BS44:BT44" si="94">BN44*(1+BS45)</f>
        <v>420.24</v>
      </c>
      <c r="BT44" s="1247">
        <f t="shared" si="94"/>
        <v>475.32</v>
      </c>
      <c r="BU44" s="922">
        <f>+SUM(BQ44:BT44)</f>
        <v>1665.66</v>
      </c>
      <c r="BV44" s="922"/>
      <c r="BW44" s="920"/>
      <c r="BX44" s="920"/>
      <c r="BY44" s="920"/>
      <c r="BZ44" s="919"/>
      <c r="CA44" s="922"/>
      <c r="CB44" s="920"/>
      <c r="CC44" s="920"/>
      <c r="CD44" s="920"/>
      <c r="CE44" s="919"/>
      <c r="CF44" s="922"/>
      <c r="CG44" s="920"/>
      <c r="CH44" s="920"/>
      <c r="CI44" s="920"/>
      <c r="CJ44" s="919"/>
      <c r="CK44" s="132"/>
      <c r="CL44" s="240"/>
      <c r="CM44" s="1005"/>
      <c r="CN44" s="703"/>
      <c r="CO44" s="622"/>
      <c r="CP44" s="622"/>
      <c r="CQ44" s="622"/>
      <c r="CR44" s="622"/>
      <c r="CS44" s="622"/>
      <c r="CT44" s="622"/>
      <c r="CU44" s="622"/>
      <c r="CV44" s="622"/>
      <c r="CW44" s="230"/>
      <c r="CX44" s="133"/>
      <c r="CY44" s="133"/>
      <c r="CZ44"/>
      <c r="DA44"/>
      <c r="DB44"/>
      <c r="DC44"/>
      <c r="DD44"/>
    </row>
    <row r="45" spans="1:108" s="677" customFormat="1">
      <c r="A45" s="672" t="s">
        <v>21</v>
      </c>
      <c r="B45" s="316"/>
      <c r="C45" s="316"/>
      <c r="D45" s="316"/>
      <c r="E45" s="316"/>
      <c r="F45" s="316"/>
      <c r="G45" s="316"/>
      <c r="H45" s="317"/>
      <c r="I45" s="317"/>
      <c r="J45" s="317"/>
      <c r="K45" s="317"/>
      <c r="L45" s="316"/>
      <c r="M45" s="317"/>
      <c r="N45" s="317"/>
      <c r="O45" s="317"/>
      <c r="P45" s="317"/>
      <c r="Q45" s="316"/>
      <c r="R45" s="317"/>
      <c r="S45" s="317"/>
      <c r="T45" s="317"/>
      <c r="U45" s="317"/>
      <c r="V45" s="316"/>
      <c r="W45" s="317"/>
      <c r="X45" s="317"/>
      <c r="Y45" s="317"/>
      <c r="Z45" s="316"/>
      <c r="AA45" s="316"/>
      <c r="AB45" s="317"/>
      <c r="AC45" s="317"/>
      <c r="AD45" s="317"/>
      <c r="AE45" s="316" t="e">
        <f>O45/AE46</f>
        <v>#DIV/0!</v>
      </c>
      <c r="AF45" s="316" t="e">
        <f>Q45/AF46</f>
        <v>#DIV/0!</v>
      </c>
      <c r="AG45" s="316" t="e">
        <f t="shared" ref="AG45:AI45" si="95">R45/AG46</f>
        <v>#DIV/0!</v>
      </c>
      <c r="AH45" s="316" t="e">
        <f t="shared" si="95"/>
        <v>#DIV/0!</v>
      </c>
      <c r="AI45" s="316" t="e">
        <f t="shared" si="95"/>
        <v>#DIV/0!</v>
      </c>
      <c r="AJ45" s="317"/>
      <c r="AK45" s="316"/>
      <c r="AL45" s="317"/>
      <c r="AM45" s="317"/>
      <c r="AN45" s="317"/>
      <c r="AO45" s="317"/>
      <c r="AP45" s="316"/>
      <c r="AQ45" s="657"/>
      <c r="AR45" s="317"/>
      <c r="AS45" s="317"/>
      <c r="AT45" s="317"/>
      <c r="AU45" s="316">
        <f>AU44/AP44-1</f>
        <v>-7.1550255536626861E-2</v>
      </c>
      <c r="AV45" s="657"/>
      <c r="AW45" s="317"/>
      <c r="AX45" s="317"/>
      <c r="AY45" s="317"/>
      <c r="AZ45" s="316">
        <f>AZ44/AU44-1</f>
        <v>-8.5015290519877662E-2</v>
      </c>
      <c r="BA45" s="316"/>
      <c r="BB45" s="657"/>
      <c r="BC45" s="317"/>
      <c r="BD45" s="317"/>
      <c r="BE45" s="317"/>
      <c r="BF45" s="316">
        <f>BF44/AZ44-1</f>
        <v>2.4732620320855547E-2</v>
      </c>
      <c r="BG45" s="657"/>
      <c r="BH45" s="317"/>
      <c r="BI45" s="317"/>
      <c r="BJ45" s="317"/>
      <c r="BK45" s="316"/>
      <c r="BL45" s="657">
        <f>BL44/BG44-1</f>
        <v>1.4662756598240456E-2</v>
      </c>
      <c r="BM45" s="680">
        <f t="shared" ref="BM45:BO45" si="96">IFERROR(BM44/BH44-1,"")</f>
        <v>0.15211267605633805</v>
      </c>
      <c r="BN45" s="680">
        <f t="shared" si="96"/>
        <v>0.13498622589531672</v>
      </c>
      <c r="BO45" s="680">
        <f t="shared" si="96"/>
        <v>1.7467248908296984E-2</v>
      </c>
      <c r="BP45" s="1037">
        <f>IFERROR(BP44/BK44-1,"")</f>
        <v>7.6466710613052102E-2</v>
      </c>
      <c r="BQ45" s="1177">
        <v>0.02</v>
      </c>
      <c r="BR45" s="1178">
        <v>0.02</v>
      </c>
      <c r="BS45" s="1178">
        <v>0.02</v>
      </c>
      <c r="BT45" s="1179">
        <v>0.02</v>
      </c>
      <c r="BU45" s="1037">
        <f>IFERROR(BU44/BP44-1,"")</f>
        <v>2.0000000000000018E-2</v>
      </c>
      <c r="BV45" s="657"/>
      <c r="BW45" s="317"/>
      <c r="BX45" s="317"/>
      <c r="BY45" s="317"/>
      <c r="BZ45" s="324"/>
      <c r="CA45" s="657"/>
      <c r="CB45" s="317"/>
      <c r="CC45" s="317"/>
      <c r="CD45" s="317"/>
      <c r="CE45" s="324"/>
      <c r="CF45" s="657"/>
      <c r="CG45" s="317"/>
      <c r="CH45" s="317"/>
      <c r="CI45" s="317"/>
      <c r="CJ45" s="324"/>
      <c r="CK45" s="673"/>
      <c r="CL45" s="674"/>
      <c r="CM45" s="733"/>
      <c r="CN45" s="1006"/>
      <c r="CO45" s="1006"/>
      <c r="CP45" s="1006"/>
      <c r="CQ45" s="1006"/>
      <c r="CR45" s="1006"/>
      <c r="CS45" s="1006"/>
      <c r="CT45" s="1006"/>
      <c r="CU45" s="1006"/>
      <c r="CV45" s="1006"/>
      <c r="CW45" s="675"/>
      <c r="CX45" s="676"/>
      <c r="CY45" s="676"/>
      <c r="CZ45"/>
      <c r="DA45"/>
      <c r="DB45"/>
      <c r="DC45"/>
      <c r="DD45"/>
    </row>
    <row r="46" spans="1:108" s="499" customFormat="1">
      <c r="A46" s="487" t="s">
        <v>37</v>
      </c>
      <c r="B46" s="490"/>
      <c r="C46" s="490"/>
      <c r="D46" s="490"/>
      <c r="E46" s="490"/>
      <c r="F46" s="490"/>
      <c r="G46" s="490"/>
      <c r="H46" s="362"/>
      <c r="I46" s="362"/>
      <c r="J46" s="362"/>
      <c r="K46" s="362"/>
      <c r="L46" s="490"/>
      <c r="M46" s="362"/>
      <c r="N46" s="362"/>
      <c r="O46" s="362"/>
      <c r="P46" s="362"/>
      <c r="Q46" s="490"/>
      <c r="R46" s="362"/>
      <c r="S46" s="362"/>
      <c r="T46" s="362"/>
      <c r="U46" s="362"/>
      <c r="V46" s="490"/>
      <c r="W46" s="362"/>
      <c r="X46" s="362"/>
      <c r="Y46" s="362"/>
      <c r="Z46" s="490"/>
      <c r="AA46" s="490"/>
      <c r="AB46" s="362"/>
      <c r="AC46" s="362"/>
      <c r="AD46" s="362"/>
      <c r="AE46" s="490">
        <f>O45+O44</f>
        <v>0</v>
      </c>
      <c r="AF46" s="490">
        <f>Q45+Q44</f>
        <v>0</v>
      </c>
      <c r="AG46" s="490">
        <f t="shared" ref="AG46:AI46" si="97">R45+R44</f>
        <v>0</v>
      </c>
      <c r="AH46" s="490">
        <f t="shared" si="97"/>
        <v>0</v>
      </c>
      <c r="AI46" s="490">
        <f t="shared" si="97"/>
        <v>0</v>
      </c>
      <c r="AJ46" s="362"/>
      <c r="AK46" s="490"/>
      <c r="AL46" s="362"/>
      <c r="AM46" s="362"/>
      <c r="AN46" s="362"/>
      <c r="AO46" s="362"/>
      <c r="AP46" s="490">
        <f>AP44/AP$38</f>
        <v>0.30195473251028809</v>
      </c>
      <c r="AQ46" s="533"/>
      <c r="AR46" s="362"/>
      <c r="AS46" s="362"/>
      <c r="AT46" s="362"/>
      <c r="AU46" s="490">
        <f>AU44/AU$38</f>
        <v>0.28524075366364271</v>
      </c>
      <c r="AV46" s="533"/>
      <c r="AW46" s="362"/>
      <c r="AX46" s="362"/>
      <c r="AY46" s="362"/>
      <c r="AZ46" s="490">
        <f>AZ44/AZ$38</f>
        <v>0.2652482269503546</v>
      </c>
      <c r="BA46" s="490"/>
      <c r="BB46" s="533"/>
      <c r="BC46" s="362"/>
      <c r="BD46" s="362"/>
      <c r="BE46" s="362"/>
      <c r="BF46" s="490">
        <f>BF44/BF$38</f>
        <v>0.27365226704748302</v>
      </c>
      <c r="BG46" s="533"/>
      <c r="BH46" s="362"/>
      <c r="BI46" s="362"/>
      <c r="BJ46" s="362"/>
      <c r="BK46" s="490"/>
      <c r="BL46" s="533">
        <f t="shared" ref="BL46:BP46" si="98">BL44/BL$38</f>
        <v>0.26884226884226886</v>
      </c>
      <c r="BM46" s="523">
        <f t="shared" si="98"/>
        <v>0.28925035360678925</v>
      </c>
      <c r="BN46" s="523">
        <f t="shared" si="98"/>
        <v>0.27466666666666667</v>
      </c>
      <c r="BO46" s="523">
        <f t="shared" ref="BO46" si="99">BO44/BO$38</f>
        <v>0.26659038901601828</v>
      </c>
      <c r="BP46" s="1047">
        <f t="shared" si="98"/>
        <v>0.27449991595226086</v>
      </c>
      <c r="BQ46" s="533">
        <f t="shared" ref="BQ46:BU46" si="100">BQ44/BQ$38</f>
        <v>0.26481777457623301</v>
      </c>
      <c r="BR46" s="362">
        <f t="shared" si="100"/>
        <v>0.28504663318643025</v>
      </c>
      <c r="BS46" s="362">
        <f t="shared" si="100"/>
        <v>0.27052742032045629</v>
      </c>
      <c r="BT46" s="1108">
        <f t="shared" si="100"/>
        <v>0.26245548162668064</v>
      </c>
      <c r="BU46" s="1047">
        <f t="shared" si="100"/>
        <v>0.27036862694174363</v>
      </c>
      <c r="BV46" s="533"/>
      <c r="BW46" s="362"/>
      <c r="BX46" s="362"/>
      <c r="BY46" s="362"/>
      <c r="BZ46" s="490"/>
      <c r="CA46" s="533"/>
      <c r="CB46" s="362"/>
      <c r="CC46" s="362"/>
      <c r="CD46" s="362"/>
      <c r="CE46" s="490"/>
      <c r="CF46" s="533"/>
      <c r="CG46" s="362"/>
      <c r="CH46" s="362"/>
      <c r="CI46" s="362"/>
      <c r="CJ46" s="490"/>
      <c r="CK46" s="495"/>
      <c r="CL46" s="496"/>
      <c r="CM46" s="1006"/>
      <c r="CN46" s="997"/>
      <c r="CO46" s="997"/>
      <c r="CP46" s="622"/>
      <c r="CQ46" s="1006"/>
      <c r="CR46" s="731"/>
      <c r="CS46" s="731"/>
      <c r="CT46" s="731"/>
      <c r="CU46" s="731"/>
      <c r="CV46" s="731"/>
      <c r="CW46" s="497"/>
      <c r="CX46" s="498"/>
      <c r="CY46" s="498"/>
      <c r="CZ46"/>
      <c r="DA46"/>
      <c r="DB46"/>
      <c r="DC46"/>
      <c r="DD46"/>
    </row>
    <row r="47" spans="1:108" s="135" customFormat="1">
      <c r="A47" s="918" t="s">
        <v>337</v>
      </c>
      <c r="B47" s="919"/>
      <c r="C47" s="919"/>
      <c r="D47" s="919"/>
      <c r="E47" s="919"/>
      <c r="F47" s="919"/>
      <c r="G47" s="919"/>
      <c r="H47" s="920"/>
      <c r="I47" s="920"/>
      <c r="J47" s="920"/>
      <c r="K47" s="920"/>
      <c r="L47" s="919"/>
      <c r="M47" s="920"/>
      <c r="N47" s="920"/>
      <c r="O47" s="920"/>
      <c r="P47" s="920"/>
      <c r="Q47" s="919"/>
      <c r="R47" s="920"/>
      <c r="S47" s="920"/>
      <c r="T47" s="920"/>
      <c r="U47" s="920"/>
      <c r="V47" s="919"/>
      <c r="W47" s="920"/>
      <c r="X47" s="920"/>
      <c r="Y47" s="920"/>
      <c r="Z47" s="920"/>
      <c r="AA47" s="919"/>
      <c r="AB47" s="920"/>
      <c r="AC47" s="920"/>
      <c r="AD47" s="920"/>
      <c r="AE47" s="920"/>
      <c r="AF47" s="919"/>
      <c r="AG47" s="920"/>
      <c r="AH47" s="920"/>
      <c r="AI47" s="920"/>
      <c r="AJ47" s="920"/>
      <c r="AK47" s="919"/>
      <c r="AL47" s="921"/>
      <c r="AM47" s="921"/>
      <c r="AN47" s="921"/>
      <c r="AO47" s="921"/>
      <c r="AP47" s="919">
        <v>595</v>
      </c>
      <c r="AQ47" s="922"/>
      <c r="AR47" s="921"/>
      <c r="AS47" s="921"/>
      <c r="AT47" s="921"/>
      <c r="AU47" s="923">
        <v>526</v>
      </c>
      <c r="AV47" s="922"/>
      <c r="AW47" s="921"/>
      <c r="AX47" s="921"/>
      <c r="AY47" s="921"/>
      <c r="AZ47" s="923">
        <v>816</v>
      </c>
      <c r="BA47" s="923"/>
      <c r="BB47" s="922"/>
      <c r="BC47" s="920"/>
      <c r="BD47" s="920"/>
      <c r="BE47" s="920"/>
      <c r="BF47" s="923">
        <v>987</v>
      </c>
      <c r="BG47" s="922">
        <v>192</v>
      </c>
      <c r="BH47" s="920">
        <v>238</v>
      </c>
      <c r="BI47" s="920">
        <v>218</v>
      </c>
      <c r="BJ47" s="1224">
        <f>934-BI47-BH47-BG47</f>
        <v>286</v>
      </c>
      <c r="BK47" s="922">
        <f>+SUM(BG47:BJ47)</f>
        <v>934</v>
      </c>
      <c r="BL47" s="922">
        <v>247</v>
      </c>
      <c r="BM47" s="985">
        <v>278</v>
      </c>
      <c r="BN47" s="985">
        <v>315</v>
      </c>
      <c r="BO47" s="1224">
        <f>1225-BN47-BM47-BL47</f>
        <v>385</v>
      </c>
      <c r="BP47" s="922">
        <f>+SUM(BL47:BO47)</f>
        <v>1225</v>
      </c>
      <c r="BQ47" s="922">
        <f t="shared" ref="BQ47" si="101">BL47*(1+BQ48)</f>
        <v>259.35000000000002</v>
      </c>
      <c r="BR47" s="920">
        <f t="shared" ref="BR47" si="102">BM47*(1+BR48)</f>
        <v>291.90000000000003</v>
      </c>
      <c r="BS47" s="920">
        <f t="shared" ref="BS47:BT47" si="103">BN47*(1+BS48)</f>
        <v>330.75</v>
      </c>
      <c r="BT47" s="1247">
        <f t="shared" si="103"/>
        <v>404.25</v>
      </c>
      <c r="BU47" s="922">
        <f>+SUM(BQ47:BT47)</f>
        <v>1286.25</v>
      </c>
      <c r="BV47" s="922"/>
      <c r="BW47" s="920"/>
      <c r="BX47" s="920"/>
      <c r="BY47" s="920"/>
      <c r="BZ47" s="919"/>
      <c r="CA47" s="922"/>
      <c r="CB47" s="920"/>
      <c r="CC47" s="920"/>
      <c r="CD47" s="920"/>
      <c r="CE47" s="919"/>
      <c r="CF47" s="922"/>
      <c r="CG47" s="920"/>
      <c r="CH47" s="920"/>
      <c r="CI47" s="920"/>
      <c r="CJ47" s="919"/>
      <c r="CK47" s="132"/>
      <c r="CL47" s="240"/>
      <c r="CM47" s="1005"/>
      <c r="CN47" s="703"/>
      <c r="CO47" s="622"/>
      <c r="CP47" s="622"/>
      <c r="CQ47" s="1011"/>
      <c r="CR47" s="622"/>
      <c r="CS47" s="622"/>
      <c r="CT47" s="622"/>
      <c r="CU47" s="622"/>
      <c r="CV47" s="622"/>
      <c r="CW47" s="230"/>
      <c r="CX47" s="133"/>
      <c r="CY47" s="133"/>
      <c r="CZ47"/>
      <c r="DA47"/>
      <c r="DB47"/>
      <c r="DC47"/>
      <c r="DD47"/>
    </row>
    <row r="48" spans="1:108" s="677" customFormat="1">
      <c r="A48" s="672" t="s">
        <v>21</v>
      </c>
      <c r="B48" s="316"/>
      <c r="C48" s="316"/>
      <c r="D48" s="316"/>
      <c r="E48" s="316"/>
      <c r="F48" s="316"/>
      <c r="G48" s="316"/>
      <c r="H48" s="317"/>
      <c r="I48" s="317"/>
      <c r="J48" s="317"/>
      <c r="K48" s="317"/>
      <c r="L48" s="316"/>
      <c r="M48" s="317"/>
      <c r="N48" s="317"/>
      <c r="O48" s="317"/>
      <c r="P48" s="317"/>
      <c r="Q48" s="316"/>
      <c r="R48" s="317"/>
      <c r="S48" s="317"/>
      <c r="T48" s="317"/>
      <c r="U48" s="317"/>
      <c r="V48" s="316"/>
      <c r="W48" s="317"/>
      <c r="X48" s="317"/>
      <c r="Y48" s="317"/>
      <c r="Z48" s="317"/>
      <c r="AA48" s="316"/>
      <c r="AB48" s="317"/>
      <c r="AC48" s="317"/>
      <c r="AD48" s="317"/>
      <c r="AE48" s="317"/>
      <c r="AF48" s="316"/>
      <c r="AG48" s="317"/>
      <c r="AH48" s="317"/>
      <c r="AI48" s="317"/>
      <c r="AJ48" s="317"/>
      <c r="AK48" s="316"/>
      <c r="AL48" s="317"/>
      <c r="AM48" s="317"/>
      <c r="AN48" s="317"/>
      <c r="AO48" s="317"/>
      <c r="AP48" s="316"/>
      <c r="AQ48" s="657"/>
      <c r="AR48" s="317"/>
      <c r="AS48" s="317"/>
      <c r="AT48" s="317"/>
      <c r="AU48" s="316">
        <f>AU47/AP47-1</f>
        <v>-0.11596638655462188</v>
      </c>
      <c r="AV48" s="657"/>
      <c r="AW48" s="317"/>
      <c r="AX48" s="317"/>
      <c r="AY48" s="317"/>
      <c r="AZ48" s="316">
        <f>AZ47/AU47-1</f>
        <v>0.55133079847908739</v>
      </c>
      <c r="BA48" s="316"/>
      <c r="BB48" s="657"/>
      <c r="BC48" s="317"/>
      <c r="BD48" s="317"/>
      <c r="BE48" s="317"/>
      <c r="BF48" s="316">
        <f>BF47/AZ47-1</f>
        <v>0.20955882352941169</v>
      </c>
      <c r="BG48" s="657"/>
      <c r="BH48" s="317"/>
      <c r="BI48" s="317"/>
      <c r="BJ48" s="317"/>
      <c r="BK48" s="316"/>
      <c r="BL48" s="657">
        <f>BL47/BG47-1</f>
        <v>0.28645833333333326</v>
      </c>
      <c r="BM48" s="680">
        <f t="shared" ref="BM48:BO48" si="104">IFERROR(BM47/BH47-1,"")</f>
        <v>0.16806722689075637</v>
      </c>
      <c r="BN48" s="680">
        <f t="shared" si="104"/>
        <v>0.44495412844036708</v>
      </c>
      <c r="BO48" s="680">
        <f t="shared" si="104"/>
        <v>0.34615384615384626</v>
      </c>
      <c r="BP48" s="1037">
        <f>IFERROR(BP47/BK47-1,"")</f>
        <v>0.31156316916488214</v>
      </c>
      <c r="BQ48" s="1177">
        <v>0.05</v>
      </c>
      <c r="BR48" s="1178">
        <v>0.05</v>
      </c>
      <c r="BS48" s="1178">
        <v>0.05</v>
      </c>
      <c r="BT48" s="1179">
        <v>0.05</v>
      </c>
      <c r="BU48" s="1037">
        <f>IFERROR(BU47/BP47-1,"")</f>
        <v>5.0000000000000044E-2</v>
      </c>
      <c r="BV48" s="657"/>
      <c r="BW48" s="317"/>
      <c r="BX48" s="317"/>
      <c r="BY48" s="317"/>
      <c r="BZ48" s="324"/>
      <c r="CA48" s="657"/>
      <c r="CB48" s="317"/>
      <c r="CC48" s="317"/>
      <c r="CD48" s="317"/>
      <c r="CE48" s="324"/>
      <c r="CF48" s="657"/>
      <c r="CG48" s="317"/>
      <c r="CH48" s="317"/>
      <c r="CI48" s="317"/>
      <c r="CJ48" s="324"/>
      <c r="CK48" s="673"/>
      <c r="CL48" s="674"/>
      <c r="CM48" s="733"/>
      <c r="CN48" s="1006"/>
      <c r="CO48" s="1006"/>
      <c r="CP48" s="1006"/>
      <c r="CQ48" s="1006"/>
      <c r="CR48" s="1006"/>
      <c r="CS48" s="1006"/>
      <c r="CT48" s="1006"/>
      <c r="CU48" s="1006"/>
      <c r="CV48" s="1006"/>
      <c r="CW48" s="675"/>
      <c r="CX48" s="676"/>
      <c r="CY48" s="676"/>
      <c r="CZ48"/>
      <c r="DA48"/>
      <c r="DB48"/>
      <c r="DC48"/>
      <c r="DD48"/>
    </row>
    <row r="49" spans="1:108" s="499" customFormat="1">
      <c r="A49" s="487" t="s">
        <v>37</v>
      </c>
      <c r="B49" s="490"/>
      <c r="C49" s="490"/>
      <c r="D49" s="490"/>
      <c r="E49" s="490"/>
      <c r="F49" s="490"/>
      <c r="G49" s="490"/>
      <c r="H49" s="362"/>
      <c r="I49" s="362"/>
      <c r="J49" s="362"/>
      <c r="K49" s="362"/>
      <c r="L49" s="490"/>
      <c r="M49" s="362"/>
      <c r="N49" s="362"/>
      <c r="O49" s="362"/>
      <c r="P49" s="362"/>
      <c r="Q49" s="490"/>
      <c r="R49" s="362"/>
      <c r="S49" s="362"/>
      <c r="T49" s="362"/>
      <c r="U49" s="362"/>
      <c r="V49" s="490"/>
      <c r="W49" s="362"/>
      <c r="X49" s="362"/>
      <c r="Y49" s="362"/>
      <c r="Z49" s="362"/>
      <c r="AA49" s="490"/>
      <c r="AB49" s="362"/>
      <c r="AC49" s="362"/>
      <c r="AD49" s="362"/>
      <c r="AE49" s="362"/>
      <c r="AF49" s="490"/>
      <c r="AG49" s="362"/>
      <c r="AH49" s="362"/>
      <c r="AI49" s="362"/>
      <c r="AJ49" s="362"/>
      <c r="AK49" s="490"/>
      <c r="AL49" s="362"/>
      <c r="AM49" s="362"/>
      <c r="AN49" s="362"/>
      <c r="AO49" s="362"/>
      <c r="AP49" s="490">
        <f>AP47/AP$38</f>
        <v>0.10202331961591221</v>
      </c>
      <c r="AQ49" s="533"/>
      <c r="AR49" s="362"/>
      <c r="AS49" s="362"/>
      <c r="AT49" s="362"/>
      <c r="AU49" s="490">
        <f>AU47/AU$38</f>
        <v>9.1765526866713187E-2</v>
      </c>
      <c r="AV49" s="533"/>
      <c r="AW49" s="362"/>
      <c r="AX49" s="362"/>
      <c r="AY49" s="362"/>
      <c r="AZ49" s="490">
        <f>AZ47/AZ$38</f>
        <v>0.14468085106382977</v>
      </c>
      <c r="BA49" s="490"/>
      <c r="BB49" s="533"/>
      <c r="BC49" s="362"/>
      <c r="BD49" s="362"/>
      <c r="BE49" s="362"/>
      <c r="BF49" s="490">
        <f>BF47/BF$38</f>
        <v>0.17618707604426989</v>
      </c>
      <c r="BG49" s="533"/>
      <c r="BH49" s="362"/>
      <c r="BI49" s="362"/>
      <c r="BJ49" s="362"/>
      <c r="BK49" s="490"/>
      <c r="BL49" s="533">
        <f t="shared" ref="BL49:BP49" si="105">BL47/BL$38</f>
        <v>0.19191919191919191</v>
      </c>
      <c r="BM49" s="523">
        <f t="shared" si="105"/>
        <v>0.19660537482319659</v>
      </c>
      <c r="BN49" s="523">
        <f t="shared" si="105"/>
        <v>0.21</v>
      </c>
      <c r="BO49" s="523">
        <f t="shared" ref="BO49" si="106">BO47/BO$38</f>
        <v>0.2202517162471396</v>
      </c>
      <c r="BP49" s="1047">
        <f t="shared" si="105"/>
        <v>0.20591696083375358</v>
      </c>
      <c r="BQ49" s="533">
        <f t="shared" ref="BQ49:BU49" si="107">BQ47/BQ$38</f>
        <v>0.19460639758683565</v>
      </c>
      <c r="BR49" s="362">
        <f t="shared" si="107"/>
        <v>0.19944655119401458</v>
      </c>
      <c r="BS49" s="362">
        <f t="shared" si="107"/>
        <v>0.21291867568768064</v>
      </c>
      <c r="BT49" s="1108">
        <f t="shared" si="107"/>
        <v>0.22321305320118165</v>
      </c>
      <c r="BU49" s="1047">
        <f t="shared" si="107"/>
        <v>0.2087830928303602</v>
      </c>
      <c r="BV49" s="533"/>
      <c r="BW49" s="362"/>
      <c r="BX49" s="362"/>
      <c r="BY49" s="362"/>
      <c r="BZ49" s="490"/>
      <c r="CA49" s="533"/>
      <c r="CB49" s="362"/>
      <c r="CC49" s="362"/>
      <c r="CD49" s="362"/>
      <c r="CE49" s="490"/>
      <c r="CF49" s="533"/>
      <c r="CG49" s="362"/>
      <c r="CH49" s="362"/>
      <c r="CI49" s="362"/>
      <c r="CJ49" s="490"/>
      <c r="CK49" s="495"/>
      <c r="CL49" s="496"/>
      <c r="CM49" s="1006"/>
      <c r="CN49" s="997"/>
      <c r="CO49" s="997"/>
      <c r="CP49" s="731"/>
      <c r="CQ49" s="731"/>
      <c r="CR49" s="731"/>
      <c r="CS49" s="731"/>
      <c r="CT49" s="731"/>
      <c r="CU49" s="731"/>
      <c r="CV49" s="731"/>
      <c r="CW49" s="497"/>
      <c r="CX49" s="498"/>
      <c r="CY49" s="498"/>
      <c r="CZ49"/>
      <c r="DA49"/>
      <c r="DB49"/>
      <c r="DC49"/>
      <c r="DD49"/>
    </row>
    <row r="50" spans="1:108" s="135" customFormat="1">
      <c r="A50" s="918" t="s">
        <v>338</v>
      </c>
      <c r="B50" s="919"/>
      <c r="C50" s="919"/>
      <c r="D50" s="919"/>
      <c r="E50" s="919"/>
      <c r="F50" s="919"/>
      <c r="G50" s="919"/>
      <c r="H50" s="920"/>
      <c r="I50" s="920"/>
      <c r="J50" s="920"/>
      <c r="K50" s="920"/>
      <c r="L50" s="919"/>
      <c r="M50" s="920"/>
      <c r="N50" s="920"/>
      <c r="O50" s="920"/>
      <c r="P50" s="920"/>
      <c r="Q50" s="919"/>
      <c r="R50" s="920"/>
      <c r="S50" s="920"/>
      <c r="T50" s="920"/>
      <c r="U50" s="920"/>
      <c r="V50" s="919"/>
      <c r="W50" s="920"/>
      <c r="X50" s="920"/>
      <c r="Y50" s="920"/>
      <c r="Z50" s="920"/>
      <c r="AA50" s="919"/>
      <c r="AB50" s="920"/>
      <c r="AC50" s="920"/>
      <c r="AD50" s="920"/>
      <c r="AE50" s="920"/>
      <c r="AF50" s="919"/>
      <c r="AG50" s="920"/>
      <c r="AH50" s="920"/>
      <c r="AI50" s="920"/>
      <c r="AJ50" s="920"/>
      <c r="AK50" s="919"/>
      <c r="AL50" s="921"/>
      <c r="AM50" s="921"/>
      <c r="AN50" s="921"/>
      <c r="AO50" s="921"/>
      <c r="AP50" s="919">
        <v>767</v>
      </c>
      <c r="AQ50" s="922"/>
      <c r="AR50" s="921"/>
      <c r="AS50" s="921"/>
      <c r="AT50" s="921"/>
      <c r="AU50" s="923">
        <v>719</v>
      </c>
      <c r="AV50" s="922"/>
      <c r="AW50" s="921"/>
      <c r="AX50" s="921"/>
      <c r="AY50" s="921"/>
      <c r="AZ50" s="923">
        <v>729</v>
      </c>
      <c r="BA50" s="923"/>
      <c r="BB50" s="922"/>
      <c r="BC50" s="920"/>
      <c r="BD50" s="920"/>
      <c r="BE50" s="920"/>
      <c r="BF50" s="923">
        <v>636</v>
      </c>
      <c r="BG50" s="922">
        <v>149</v>
      </c>
      <c r="BH50" s="920">
        <v>159</v>
      </c>
      <c r="BI50" s="920">
        <v>159</v>
      </c>
      <c r="BJ50" s="1224">
        <f>635-BI50-BH50-BG50</f>
        <v>168</v>
      </c>
      <c r="BK50" s="922">
        <f>+SUM(BG50:BJ50)</f>
        <v>635</v>
      </c>
      <c r="BL50" s="922">
        <v>134</v>
      </c>
      <c r="BM50" s="985">
        <v>161</v>
      </c>
      <c r="BN50" s="985">
        <v>150</v>
      </c>
      <c r="BO50" s="1224">
        <f>585-BN50-BM50-BL50</f>
        <v>140</v>
      </c>
      <c r="BP50" s="922">
        <f>+SUM(BL50:BO50)</f>
        <v>585</v>
      </c>
      <c r="BQ50" s="922">
        <f t="shared" ref="BQ50" si="108">BL50*(1+BQ51)</f>
        <v>138.02000000000001</v>
      </c>
      <c r="BR50" s="920">
        <f t="shared" ref="BR50" si="109">BM50*(1+BR51)</f>
        <v>165.83</v>
      </c>
      <c r="BS50" s="920">
        <f t="shared" ref="BS50:BT50" si="110">BN50*(1+BS51)</f>
        <v>154.5</v>
      </c>
      <c r="BT50" s="1247">
        <f t="shared" si="110"/>
        <v>144.20000000000002</v>
      </c>
      <c r="BU50" s="922">
        <f>+SUM(BQ50:BT50)</f>
        <v>602.55000000000007</v>
      </c>
      <c r="BV50" s="922"/>
      <c r="BW50" s="920"/>
      <c r="BX50" s="920"/>
      <c r="BY50" s="920"/>
      <c r="BZ50" s="919"/>
      <c r="CA50" s="922"/>
      <c r="CB50" s="920"/>
      <c r="CC50" s="920"/>
      <c r="CD50" s="920"/>
      <c r="CE50" s="919"/>
      <c r="CF50" s="922"/>
      <c r="CG50" s="920"/>
      <c r="CH50" s="920"/>
      <c r="CI50" s="920"/>
      <c r="CJ50" s="919"/>
      <c r="CK50" s="132"/>
      <c r="CL50" s="240"/>
      <c r="CM50" s="1005"/>
      <c r="CN50" s="703"/>
      <c r="CO50" s="622"/>
      <c r="CP50" s="622"/>
      <c r="CQ50" s="622"/>
      <c r="CR50" s="622"/>
      <c r="CS50" s="622"/>
      <c r="CT50" s="622"/>
      <c r="CU50" s="622"/>
      <c r="CV50" s="622"/>
      <c r="CW50" s="230"/>
      <c r="CX50" s="133"/>
      <c r="CY50" s="133"/>
      <c r="CZ50"/>
      <c r="DA50"/>
      <c r="DB50"/>
      <c r="DC50"/>
      <c r="DD50"/>
    </row>
    <row r="51" spans="1:108" s="677" customFormat="1">
      <c r="A51" s="672" t="s">
        <v>21</v>
      </c>
      <c r="B51" s="316"/>
      <c r="C51" s="316"/>
      <c r="D51" s="316"/>
      <c r="E51" s="316"/>
      <c r="F51" s="316"/>
      <c r="G51" s="316"/>
      <c r="H51" s="317"/>
      <c r="I51" s="317"/>
      <c r="J51" s="317"/>
      <c r="K51" s="317"/>
      <c r="L51" s="316"/>
      <c r="M51" s="317"/>
      <c r="N51" s="317"/>
      <c r="O51" s="317"/>
      <c r="P51" s="317"/>
      <c r="Q51" s="316"/>
      <c r="R51" s="317"/>
      <c r="S51" s="317"/>
      <c r="T51" s="317"/>
      <c r="U51" s="317"/>
      <c r="V51" s="316"/>
      <c r="W51" s="317"/>
      <c r="X51" s="317"/>
      <c r="Y51" s="317"/>
      <c r="Z51" s="317"/>
      <c r="AA51" s="316"/>
      <c r="AB51" s="317"/>
      <c r="AC51" s="317"/>
      <c r="AD51" s="317"/>
      <c r="AE51" s="317"/>
      <c r="AF51" s="316"/>
      <c r="AG51" s="317"/>
      <c r="AH51" s="317"/>
      <c r="AI51" s="317"/>
      <c r="AJ51" s="317"/>
      <c r="AK51" s="316"/>
      <c r="AL51" s="317"/>
      <c r="AM51" s="317"/>
      <c r="AN51" s="317"/>
      <c r="AO51" s="317"/>
      <c r="AP51" s="316"/>
      <c r="AQ51" s="657"/>
      <c r="AR51" s="317"/>
      <c r="AS51" s="317"/>
      <c r="AT51" s="317"/>
      <c r="AU51" s="316">
        <f>AU50/AP50-1</f>
        <v>-6.2581486310299916E-2</v>
      </c>
      <c r="AV51" s="657"/>
      <c r="AW51" s="317"/>
      <c r="AX51" s="317"/>
      <c r="AY51" s="317"/>
      <c r="AZ51" s="316">
        <f>AZ50/AU50-1</f>
        <v>1.3908205841446364E-2</v>
      </c>
      <c r="BA51" s="316"/>
      <c r="BB51" s="657"/>
      <c r="BC51" s="317"/>
      <c r="BD51" s="317"/>
      <c r="BE51" s="317"/>
      <c r="BF51" s="316">
        <f>BF50/AZ50-1</f>
        <v>-0.12757201646090532</v>
      </c>
      <c r="BG51" s="657"/>
      <c r="BH51" s="317"/>
      <c r="BI51" s="317"/>
      <c r="BJ51" s="317"/>
      <c r="BK51" s="316"/>
      <c r="BL51" s="657">
        <f>BL50/BG50-1</f>
        <v>-0.10067114093959728</v>
      </c>
      <c r="BM51" s="680">
        <f t="shared" ref="BM51:BO51" si="111">IFERROR(BM50/BH50-1,"")</f>
        <v>1.2578616352201255E-2</v>
      </c>
      <c r="BN51" s="680">
        <f t="shared" si="111"/>
        <v>-5.6603773584905648E-2</v>
      </c>
      <c r="BO51" s="680">
        <f t="shared" si="111"/>
        <v>-0.16666666666666663</v>
      </c>
      <c r="BP51" s="1037">
        <f>IFERROR(BP50/BK50-1,"")</f>
        <v>-7.8740157480314932E-2</v>
      </c>
      <c r="BQ51" s="1177">
        <v>0.03</v>
      </c>
      <c r="BR51" s="1178">
        <v>0.03</v>
      </c>
      <c r="BS51" s="1178">
        <v>0.03</v>
      </c>
      <c r="BT51" s="1179">
        <v>0.03</v>
      </c>
      <c r="BU51" s="1037">
        <f t="shared" ref="BU51" si="112">IFERROR(BU50/BP50-1,"")</f>
        <v>3.0000000000000027E-2</v>
      </c>
      <c r="BV51" s="657"/>
      <c r="BW51" s="317"/>
      <c r="BX51" s="317"/>
      <c r="BY51" s="317"/>
      <c r="BZ51" s="324"/>
      <c r="CA51" s="657"/>
      <c r="CB51" s="317"/>
      <c r="CC51" s="317"/>
      <c r="CD51" s="317"/>
      <c r="CE51" s="324"/>
      <c r="CF51" s="657"/>
      <c r="CG51" s="317"/>
      <c r="CH51" s="317"/>
      <c r="CI51" s="317"/>
      <c r="CJ51" s="324"/>
      <c r="CK51" s="673"/>
      <c r="CL51" s="674"/>
      <c r="CM51" s="733"/>
      <c r="CN51" s="1006"/>
      <c r="CO51" s="1006"/>
      <c r="CP51" s="1006"/>
      <c r="CQ51" s="1006"/>
      <c r="CR51" s="1006"/>
      <c r="CS51" s="1006"/>
      <c r="CT51" s="1006"/>
      <c r="CU51" s="1006"/>
      <c r="CV51" s="1006"/>
      <c r="CW51" s="675"/>
      <c r="CX51" s="676"/>
      <c r="CY51" s="676"/>
      <c r="CZ51"/>
      <c r="DA51"/>
      <c r="DB51"/>
      <c r="DC51"/>
      <c r="DD51"/>
    </row>
    <row r="52" spans="1:108" s="499" customFormat="1">
      <c r="A52" s="487" t="s">
        <v>37</v>
      </c>
      <c r="B52" s="490"/>
      <c r="C52" s="490"/>
      <c r="D52" s="490"/>
      <c r="E52" s="490"/>
      <c r="F52" s="490"/>
      <c r="G52" s="490"/>
      <c r="H52" s="362"/>
      <c r="I52" s="362"/>
      <c r="J52" s="362"/>
      <c r="K52" s="362"/>
      <c r="L52" s="490"/>
      <c r="M52" s="362"/>
      <c r="N52" s="362"/>
      <c r="O52" s="362"/>
      <c r="P52" s="362"/>
      <c r="Q52" s="490"/>
      <c r="R52" s="362"/>
      <c r="S52" s="362"/>
      <c r="T52" s="362"/>
      <c r="U52" s="362"/>
      <c r="V52" s="490"/>
      <c r="W52" s="362"/>
      <c r="X52" s="362"/>
      <c r="Y52" s="362"/>
      <c r="Z52" s="362"/>
      <c r="AA52" s="490"/>
      <c r="AB52" s="362"/>
      <c r="AC52" s="362"/>
      <c r="AD52" s="362"/>
      <c r="AE52" s="362"/>
      <c r="AF52" s="490"/>
      <c r="AG52" s="362"/>
      <c r="AH52" s="362"/>
      <c r="AI52" s="362"/>
      <c r="AJ52" s="362"/>
      <c r="AK52" s="490"/>
      <c r="AL52" s="362"/>
      <c r="AM52" s="362"/>
      <c r="AN52" s="362"/>
      <c r="AO52" s="362"/>
      <c r="AP52" s="490">
        <f>AP50/AP$38</f>
        <v>0.13151577503429354</v>
      </c>
      <c r="AQ52" s="533"/>
      <c r="AR52" s="362"/>
      <c r="AS52" s="362"/>
      <c r="AT52" s="362"/>
      <c r="AU52" s="490">
        <f>AU50/AU$38</f>
        <v>0.12543614794138172</v>
      </c>
      <c r="AV52" s="533"/>
      <c r="AW52" s="362"/>
      <c r="AX52" s="362"/>
      <c r="AY52" s="362"/>
      <c r="AZ52" s="490">
        <f>AZ50/AZ$38</f>
        <v>0.12925531914893618</v>
      </c>
      <c r="BA52" s="490"/>
      <c r="BB52" s="533"/>
      <c r="BC52" s="362"/>
      <c r="BD52" s="362"/>
      <c r="BE52" s="362"/>
      <c r="BF52" s="490">
        <f>BF50/BF$38</f>
        <v>0.11353088182791859</v>
      </c>
      <c r="BG52" s="533"/>
      <c r="BH52" s="362"/>
      <c r="BI52" s="362"/>
      <c r="BJ52" s="362"/>
      <c r="BK52" s="490"/>
      <c r="BL52" s="533">
        <f t="shared" ref="BL52:BP52" si="113">BL50/BL$38</f>
        <v>0.10411810411810411</v>
      </c>
      <c r="BM52" s="523">
        <f t="shared" si="113"/>
        <v>0.11386138613861387</v>
      </c>
      <c r="BN52" s="523">
        <f t="shared" si="113"/>
        <v>0.1</v>
      </c>
      <c r="BO52" s="523">
        <f t="shared" ref="BO52" si="114">BO50/BO$38</f>
        <v>8.0091533180778038E-2</v>
      </c>
      <c r="BP52" s="1047">
        <f t="shared" si="113"/>
        <v>9.8335854765506811E-2</v>
      </c>
      <c r="BQ52" s="533">
        <f t="shared" ref="BQ52:BU52" si="115">BQ50/BQ$38</f>
        <v>0.10356497009807232</v>
      </c>
      <c r="BR52" s="362">
        <f t="shared" si="115"/>
        <v>0.11330668579823035</v>
      </c>
      <c r="BS52" s="362">
        <f t="shared" si="115"/>
        <v>9.9458610411932449E-2</v>
      </c>
      <c r="BT52" s="1108">
        <f t="shared" si="115"/>
        <v>7.9622318544490783E-2</v>
      </c>
      <c r="BU52" s="1047">
        <f t="shared" si="115"/>
        <v>9.7805444186537263E-2</v>
      </c>
      <c r="BV52" s="533"/>
      <c r="BW52" s="362"/>
      <c r="BX52" s="362"/>
      <c r="BY52" s="362"/>
      <c r="BZ52" s="490"/>
      <c r="CA52" s="533"/>
      <c r="CB52" s="362"/>
      <c r="CC52" s="362"/>
      <c r="CD52" s="362"/>
      <c r="CE52" s="490"/>
      <c r="CF52" s="533"/>
      <c r="CG52" s="362"/>
      <c r="CH52" s="362"/>
      <c r="CI52" s="362"/>
      <c r="CJ52" s="490"/>
      <c r="CK52" s="495"/>
      <c r="CL52" s="496"/>
      <c r="CM52" s="1006"/>
      <c r="CN52" s="997"/>
      <c r="CO52" s="997"/>
      <c r="CP52" s="731"/>
      <c r="CQ52" s="731"/>
      <c r="CR52" s="731"/>
      <c r="CS52" s="731"/>
      <c r="CT52" s="731"/>
      <c r="CU52" s="731"/>
      <c r="CV52" s="731"/>
      <c r="CW52" s="497"/>
      <c r="CX52" s="498"/>
      <c r="CY52" s="498"/>
      <c r="CZ52"/>
      <c r="DA52"/>
      <c r="DB52"/>
      <c r="DC52"/>
      <c r="DD52"/>
    </row>
    <row r="53" spans="1:108" s="198" customFormat="1" ht="12.75" customHeight="1">
      <c r="A53" s="456" t="s">
        <v>260</v>
      </c>
      <c r="B53" s="445">
        <v>5194</v>
      </c>
      <c r="C53" s="445">
        <v>4966</v>
      </c>
      <c r="D53" s="445">
        <v>8259</v>
      </c>
      <c r="E53" s="445">
        <v>8716</v>
      </c>
      <c r="F53" s="445">
        <v>9328</v>
      </c>
      <c r="G53" s="445">
        <v>11969</v>
      </c>
      <c r="H53" s="444">
        <v>12359</v>
      </c>
      <c r="I53" s="444">
        <v>12843</v>
      </c>
      <c r="J53" s="444">
        <v>13566</v>
      </c>
      <c r="K53" s="444">
        <v>12901</v>
      </c>
      <c r="L53" s="445">
        <v>12901</v>
      </c>
      <c r="M53" s="444">
        <v>14287</v>
      </c>
      <c r="N53" s="444">
        <v>13874</v>
      </c>
      <c r="O53" s="444">
        <v>15840</v>
      </c>
      <c r="P53" s="444">
        <v>14958</v>
      </c>
      <c r="Q53" s="445">
        <v>14958</v>
      </c>
      <c r="R53" s="444">
        <v>14470</v>
      </c>
      <c r="S53" s="444">
        <v>12858</v>
      </c>
      <c r="T53" s="444">
        <v>12863</v>
      </c>
      <c r="U53" s="444">
        <v>13416</v>
      </c>
      <c r="V53" s="445">
        <v>13416</v>
      </c>
      <c r="W53" s="444">
        <v>12895</v>
      </c>
      <c r="X53" s="444">
        <v>12765</v>
      </c>
      <c r="Y53" s="444">
        <v>12777</v>
      </c>
      <c r="Z53" s="444">
        <v>11800</v>
      </c>
      <c r="AA53" s="445">
        <v>11800</v>
      </c>
      <c r="AB53" s="444">
        <v>11381</v>
      </c>
      <c r="AC53" s="446">
        <v>10792</v>
      </c>
      <c r="AD53" s="446">
        <v>10382</v>
      </c>
      <c r="AE53" s="444">
        <v>11420</v>
      </c>
      <c r="AF53" s="445">
        <v>11420</v>
      </c>
      <c r="AG53" s="444">
        <v>10665</v>
      </c>
      <c r="AH53" s="446">
        <v>9759</v>
      </c>
      <c r="AI53" s="446">
        <v>9360</v>
      </c>
      <c r="AJ53" s="444">
        <v>8740</v>
      </c>
      <c r="AK53" s="445">
        <f>AJ53</f>
        <v>8740</v>
      </c>
      <c r="AL53" s="446">
        <v>7857</v>
      </c>
      <c r="AM53" s="446">
        <v>7044</v>
      </c>
      <c r="AN53" s="446">
        <v>7118</v>
      </c>
      <c r="AO53" s="444">
        <v>6684</v>
      </c>
      <c r="AP53" s="445">
        <f>AO53</f>
        <v>6684</v>
      </c>
      <c r="AQ53" s="446">
        <v>16886</v>
      </c>
      <c r="AR53" s="446">
        <v>16215</v>
      </c>
      <c r="AS53" s="446">
        <v>21611</v>
      </c>
      <c r="AT53" s="757">
        <v>19798</v>
      </c>
      <c r="AU53" s="445">
        <f>AT53</f>
        <v>19798</v>
      </c>
      <c r="AV53" s="446">
        <v>19404</v>
      </c>
      <c r="AW53" s="446">
        <v>18930</v>
      </c>
      <c r="AX53" s="446">
        <v>19249</v>
      </c>
      <c r="AY53" s="757">
        <v>18995</v>
      </c>
      <c r="AZ53" s="445">
        <f>AY53</f>
        <v>18995</v>
      </c>
      <c r="BA53" s="445"/>
      <c r="BB53" s="447">
        <v>18825</v>
      </c>
      <c r="BC53" s="444">
        <v>18510</v>
      </c>
      <c r="BD53" s="444">
        <v>18095</v>
      </c>
      <c r="BE53" s="444">
        <v>17721</v>
      </c>
      <c r="BF53" s="445">
        <f>BE53</f>
        <v>17721</v>
      </c>
      <c r="BG53" s="444">
        <v>18869</v>
      </c>
      <c r="BH53" s="444">
        <v>18572</v>
      </c>
      <c r="BI53" s="444">
        <v>18159</v>
      </c>
      <c r="BJ53" s="444">
        <v>17803</v>
      </c>
      <c r="BK53" s="445">
        <v>17803</v>
      </c>
      <c r="BL53" s="447">
        <v>17581</v>
      </c>
      <c r="BM53" s="444">
        <v>17030</v>
      </c>
      <c r="BN53" s="444">
        <v>17554</v>
      </c>
      <c r="BO53" s="444">
        <v>17616</v>
      </c>
      <c r="BP53" s="447">
        <f>BO53</f>
        <v>17616</v>
      </c>
      <c r="BQ53" s="447"/>
      <c r="BR53" s="444"/>
      <c r="BS53" s="444"/>
      <c r="BT53" s="635"/>
      <c r="BU53" s="445"/>
      <c r="BV53" s="447"/>
      <c r="BW53" s="444"/>
      <c r="BX53" s="444"/>
      <c r="BY53" s="444"/>
      <c r="BZ53" s="445"/>
      <c r="CA53" s="447"/>
      <c r="CB53" s="444"/>
      <c r="CC53" s="444"/>
      <c r="CD53" s="444"/>
      <c r="CE53" s="445"/>
      <c r="CF53" s="447"/>
      <c r="CG53" s="444"/>
      <c r="CH53" s="444"/>
      <c r="CI53" s="444"/>
      <c r="CJ53" s="445"/>
      <c r="CK53" s="197"/>
      <c r="CL53" s="229"/>
      <c r="CM53" s="661"/>
      <c r="CN53" s="661"/>
      <c r="CO53" s="661"/>
      <c r="CP53" s="661"/>
      <c r="CQ53" s="661"/>
      <c r="CR53" s="661"/>
      <c r="CS53" s="661"/>
      <c r="CT53" s="661"/>
      <c r="CU53" s="661"/>
      <c r="CV53" s="661"/>
      <c r="CW53" s="229"/>
      <c r="CX53" s="197"/>
      <c r="CY53" s="197"/>
      <c r="CZ53"/>
      <c r="DA53"/>
      <c r="DB53"/>
      <c r="DC53"/>
      <c r="DD53"/>
    </row>
    <row r="54" spans="1:108" s="198" customFormat="1" hidden="1" outlineLevel="1">
      <c r="A54" s="443" t="s">
        <v>21</v>
      </c>
      <c r="B54" s="193"/>
      <c r="C54" s="193">
        <f>C53/B53-1</f>
        <v>-4.3896804004620704E-2</v>
      </c>
      <c r="D54" s="193">
        <f>D53/C53-1</f>
        <v>0.66310914216673389</v>
      </c>
      <c r="E54" s="193">
        <f>E53/D53-1</f>
        <v>5.5333575493401232E-2</v>
      </c>
      <c r="F54" s="193">
        <f>F53/E53-1</f>
        <v>7.0215695273061041E-2</v>
      </c>
      <c r="G54" s="193">
        <f>G53/F53-1</f>
        <v>0.28312607204116635</v>
      </c>
      <c r="H54" s="194"/>
      <c r="I54" s="194"/>
      <c r="J54" s="194"/>
      <c r="K54" s="194"/>
      <c r="L54" s="193">
        <f>L53/G53-1</f>
        <v>7.7867825215139019E-2</v>
      </c>
      <c r="M54" s="194">
        <f>M53/H53-1</f>
        <v>0.1559996763492193</v>
      </c>
      <c r="N54" s="194">
        <f>N53/I53-1</f>
        <v>8.0277193802071212E-2</v>
      </c>
      <c r="O54" s="194">
        <f>O53/J53-1</f>
        <v>0.167624944714728</v>
      </c>
      <c r="P54" s="194">
        <f t="shared" ref="P54:AS54" si="116">P53/K53-1</f>
        <v>0.15944500426323538</v>
      </c>
      <c r="Q54" s="193">
        <f t="shared" si="116"/>
        <v>0.15944500426323538</v>
      </c>
      <c r="R54" s="194">
        <f t="shared" si="116"/>
        <v>1.280884720375175E-2</v>
      </c>
      <c r="S54" s="194">
        <f t="shared" si="116"/>
        <v>-7.3230503099322442E-2</v>
      </c>
      <c r="T54" s="194">
        <f t="shared" si="116"/>
        <v>-0.18794191919191916</v>
      </c>
      <c r="U54" s="194">
        <f t="shared" si="116"/>
        <v>-0.10308864821500197</v>
      </c>
      <c r="V54" s="193">
        <f t="shared" si="116"/>
        <v>-0.10308864821500197</v>
      </c>
      <c r="W54" s="527">
        <f t="shared" si="116"/>
        <v>-0.10884588804422946</v>
      </c>
      <c r="X54" s="527">
        <f t="shared" si="116"/>
        <v>-7.232851143257113E-3</v>
      </c>
      <c r="Y54" s="527">
        <f t="shared" si="116"/>
        <v>-6.6858431159139142E-3</v>
      </c>
      <c r="Z54" s="527">
        <f t="shared" si="116"/>
        <v>-0.12045319022063206</v>
      </c>
      <c r="AA54" s="525">
        <f t="shared" si="116"/>
        <v>-0.12045319022063206</v>
      </c>
      <c r="AB54" s="527">
        <f t="shared" si="116"/>
        <v>-0.11740984877859639</v>
      </c>
      <c r="AC54" s="527">
        <f t="shared" si="116"/>
        <v>-0.15456325891108502</v>
      </c>
      <c r="AD54" s="527">
        <f t="shared" si="116"/>
        <v>-0.18744619237692728</v>
      </c>
      <c r="AE54" s="527">
        <f t="shared" si="116"/>
        <v>-3.2203389830508522E-2</v>
      </c>
      <c r="AF54" s="526">
        <f t="shared" si="116"/>
        <v>-3.2203389830508522E-2</v>
      </c>
      <c r="AG54" s="526">
        <f t="shared" si="116"/>
        <v>-6.2911870661629066E-2</v>
      </c>
      <c r="AH54" s="527">
        <f t="shared" si="116"/>
        <v>-9.5719051148999257E-2</v>
      </c>
      <c r="AI54" s="527">
        <f t="shared" si="116"/>
        <v>-9.8439607012136388E-2</v>
      </c>
      <c r="AJ54" s="527">
        <f t="shared" si="116"/>
        <v>-0.23467600700525393</v>
      </c>
      <c r="AK54" s="193">
        <f>AK53/AF53-1</f>
        <v>-0.23467600700525393</v>
      </c>
      <c r="AL54" s="194">
        <f t="shared" si="116"/>
        <v>-0.26329113924050629</v>
      </c>
      <c r="AM54" s="194">
        <f t="shared" si="116"/>
        <v>-0.27820473409160773</v>
      </c>
      <c r="AN54" s="194">
        <f t="shared" si="116"/>
        <v>-0.23952991452991457</v>
      </c>
      <c r="AO54" s="194">
        <f t="shared" si="116"/>
        <v>-0.23524027459954233</v>
      </c>
      <c r="AP54" s="193">
        <f>AP53/AK53-1</f>
        <v>-0.23524027459954233</v>
      </c>
      <c r="AQ54" s="194">
        <f t="shared" si="116"/>
        <v>1.1491663484790631</v>
      </c>
      <c r="AR54" s="194">
        <f t="shared" si="116"/>
        <v>1.3019591141396933</v>
      </c>
      <c r="AS54" s="194">
        <f t="shared" si="116"/>
        <v>2.0361056476538355</v>
      </c>
      <c r="AT54" s="194">
        <f t="shared" ref="AT54:AZ54" si="117">AT53/AO53-1</f>
        <v>1.9619988031119089</v>
      </c>
      <c r="AU54" s="193">
        <f t="shared" si="117"/>
        <v>1.9619988031119089</v>
      </c>
      <c r="AV54" s="194">
        <f t="shared" si="117"/>
        <v>0.14911761222314346</v>
      </c>
      <c r="AW54" s="194">
        <f t="shared" si="117"/>
        <v>0.16743755781683634</v>
      </c>
      <c r="AX54" s="194">
        <f t="shared" si="117"/>
        <v>-0.10929619175419925</v>
      </c>
      <c r="AY54" s="194">
        <f t="shared" si="117"/>
        <v>-4.0559652490150477E-2</v>
      </c>
      <c r="AZ54" s="193">
        <f t="shared" si="117"/>
        <v>-4.0559652490150477E-2</v>
      </c>
      <c r="BA54" s="193"/>
      <c r="BB54" s="194">
        <f>BB53/AV53-1</f>
        <v>-2.983920841063703E-2</v>
      </c>
      <c r="BC54" s="194">
        <f>BC53/AW53-1</f>
        <v>-2.2187004754358197E-2</v>
      </c>
      <c r="BD54" s="194">
        <f>BD53/AX53-1</f>
        <v>-5.9951166294352931E-2</v>
      </c>
      <c r="BE54" s="194">
        <f>BE53/AY53-1</f>
        <v>-6.707028165306661E-2</v>
      </c>
      <c r="BF54" s="193">
        <f>BF53/AZ53-1</f>
        <v>-6.707028165306661E-2</v>
      </c>
      <c r="BG54" s="194"/>
      <c r="BH54" s="194"/>
      <c r="BI54" s="194"/>
      <c r="BJ54" s="194"/>
      <c r="BK54" s="193"/>
      <c r="BL54" s="194"/>
      <c r="BM54" s="194"/>
      <c r="BN54" s="194"/>
      <c r="BO54" s="194"/>
      <c r="BP54" s="1041">
        <f>BP53/BK53-1</f>
        <v>-1.0503847666123667E-2</v>
      </c>
      <c r="BQ54" s="195"/>
      <c r="BR54" s="194"/>
      <c r="BS54" s="194"/>
      <c r="BT54" s="548"/>
      <c r="BU54" s="193"/>
      <c r="BV54" s="195"/>
      <c r="BW54" s="194"/>
      <c r="BX54" s="194"/>
      <c r="BY54" s="194"/>
      <c r="BZ54" s="193"/>
      <c r="CA54" s="195"/>
      <c r="CB54" s="194"/>
      <c r="CC54" s="194"/>
      <c r="CD54" s="194"/>
      <c r="CE54" s="193"/>
      <c r="CF54" s="195"/>
      <c r="CG54" s="194"/>
      <c r="CH54" s="194"/>
      <c r="CI54" s="194"/>
      <c r="CJ54" s="193"/>
      <c r="CK54" s="196"/>
      <c r="CL54" s="238"/>
      <c r="CM54" s="661"/>
      <c r="CN54" s="661"/>
      <c r="CO54" s="661"/>
      <c r="CP54" s="661"/>
      <c r="CQ54" s="661"/>
      <c r="CR54" s="661"/>
      <c r="CS54" s="661"/>
      <c r="CT54" s="661"/>
      <c r="CU54" s="661"/>
      <c r="CV54" s="661"/>
      <c r="CW54" s="229"/>
      <c r="CX54" s="197"/>
      <c r="CY54" s="197"/>
      <c r="CZ54"/>
      <c r="DA54"/>
      <c r="DB54"/>
      <c r="DC54"/>
      <c r="DD54"/>
    </row>
    <row r="55" spans="1:108" s="520" customFormat="1" hidden="1" outlineLevel="1">
      <c r="A55" s="531" t="s">
        <v>256</v>
      </c>
      <c r="B55" s="513"/>
      <c r="C55" s="513"/>
      <c r="D55" s="513"/>
      <c r="E55" s="513"/>
      <c r="F55" s="513"/>
      <c r="G55" s="513"/>
      <c r="H55" s="514"/>
      <c r="I55" s="514"/>
      <c r="J55" s="514"/>
      <c r="K55" s="514"/>
      <c r="L55" s="513"/>
      <c r="M55" s="514"/>
      <c r="N55" s="514"/>
      <c r="O55" s="514"/>
      <c r="P55" s="514"/>
      <c r="Q55" s="513"/>
      <c r="R55" s="514"/>
      <c r="S55" s="514"/>
      <c r="T55" s="514"/>
      <c r="U55" s="514"/>
      <c r="V55" s="513"/>
      <c r="W55" s="450">
        <v>11201</v>
      </c>
      <c r="X55" s="450">
        <v>11070</v>
      </c>
      <c r="Y55" s="450">
        <v>11771</v>
      </c>
      <c r="Z55" s="450">
        <v>10908</v>
      </c>
      <c r="AA55" s="396">
        <f>Z55</f>
        <v>10908</v>
      </c>
      <c r="AB55" s="450">
        <v>10289</v>
      </c>
      <c r="AC55" s="450">
        <v>9657</v>
      </c>
      <c r="AD55" s="450">
        <v>9078</v>
      </c>
      <c r="AE55" s="450">
        <v>10283</v>
      </c>
      <c r="AF55" s="396">
        <v>10283</v>
      </c>
      <c r="AG55" s="524">
        <v>9623</v>
      </c>
      <c r="AH55" s="450">
        <v>8854</v>
      </c>
      <c r="AI55" s="450">
        <v>8259</v>
      </c>
      <c r="AJ55" s="450">
        <v>7442</v>
      </c>
      <c r="AK55" s="513">
        <v>7442</v>
      </c>
      <c r="AL55" s="514">
        <v>6677</v>
      </c>
      <c r="AM55" s="514">
        <v>5915</v>
      </c>
      <c r="AN55" s="514">
        <f>6164</f>
        <v>6164</v>
      </c>
      <c r="AO55" s="514">
        <v>5571</v>
      </c>
      <c r="AP55" s="513">
        <f>AO55</f>
        <v>5571</v>
      </c>
      <c r="AQ55" s="515">
        <v>16001</v>
      </c>
      <c r="AR55" s="450">
        <v>15363</v>
      </c>
      <c r="AS55" s="450">
        <v>20879</v>
      </c>
      <c r="AT55" s="761">
        <v>19292</v>
      </c>
      <c r="AU55" s="513">
        <f>AT55</f>
        <v>19292</v>
      </c>
      <c r="AV55" s="776">
        <v>18942</v>
      </c>
      <c r="AW55" s="761">
        <v>18454</v>
      </c>
      <c r="AX55" s="761">
        <v>18591</v>
      </c>
      <c r="AY55" s="761">
        <v>18398</v>
      </c>
      <c r="AZ55" s="513">
        <f>AY55</f>
        <v>18398</v>
      </c>
      <c r="BA55" s="513"/>
      <c r="BB55" s="515">
        <v>18260</v>
      </c>
      <c r="BC55" s="514">
        <v>18032</v>
      </c>
      <c r="BD55" s="514">
        <v>17659</v>
      </c>
      <c r="BE55" s="514">
        <v>17124</v>
      </c>
      <c r="BF55" s="513">
        <f>BE55</f>
        <v>17124</v>
      </c>
      <c r="BG55" s="514">
        <v>18304</v>
      </c>
      <c r="BH55" s="514">
        <v>18094</v>
      </c>
      <c r="BI55" s="514">
        <v>17723</v>
      </c>
      <c r="BJ55" s="514">
        <v>17206</v>
      </c>
      <c r="BK55" s="1042">
        <f>BJ55</f>
        <v>17206</v>
      </c>
      <c r="BL55" s="515">
        <v>17058</v>
      </c>
      <c r="BM55" s="514">
        <v>16749</v>
      </c>
      <c r="BN55" s="450">
        <v>17060</v>
      </c>
      <c r="BO55" s="450">
        <v>17158</v>
      </c>
      <c r="BP55" s="1042">
        <f>BO55</f>
        <v>17158</v>
      </c>
      <c r="BQ55" s="515"/>
      <c r="BR55" s="514"/>
      <c r="BS55" s="514"/>
      <c r="BT55" s="1112"/>
      <c r="BU55" s="513"/>
      <c r="BV55" s="515"/>
      <c r="BW55" s="514"/>
      <c r="BX55" s="514"/>
      <c r="BY55" s="514"/>
      <c r="BZ55" s="513"/>
      <c r="CA55" s="515"/>
      <c r="CB55" s="514"/>
      <c r="CC55" s="514"/>
      <c r="CD55" s="514"/>
      <c r="CE55" s="513"/>
      <c r="CF55" s="515"/>
      <c r="CG55" s="514"/>
      <c r="CH55" s="514"/>
      <c r="CI55" s="514"/>
      <c r="CJ55" s="513"/>
      <c r="CK55" s="516"/>
      <c r="CL55" s="517"/>
      <c r="CM55" s="654"/>
      <c r="CN55" s="654"/>
      <c r="CO55" s="654"/>
      <c r="CP55" s="654"/>
      <c r="CQ55" s="654"/>
      <c r="CR55" s="654"/>
      <c r="CS55" s="654"/>
      <c r="CT55" s="654"/>
      <c r="CU55" s="654"/>
      <c r="CV55" s="654"/>
      <c r="CW55" s="518"/>
      <c r="CX55" s="519"/>
      <c r="CY55" s="519"/>
      <c r="CZ55"/>
      <c r="DA55"/>
      <c r="DB55"/>
      <c r="DC55"/>
      <c r="DD55"/>
    </row>
    <row r="56" spans="1:108" s="198" customFormat="1" hidden="1" outlineLevel="1">
      <c r="A56" s="532" t="s">
        <v>257</v>
      </c>
      <c r="B56" s="193"/>
      <c r="C56" s="193"/>
      <c r="D56" s="193"/>
      <c r="E56" s="193"/>
      <c r="F56" s="193"/>
      <c r="G56" s="193"/>
      <c r="H56" s="194"/>
      <c r="I56" s="194"/>
      <c r="J56" s="194"/>
      <c r="K56" s="194"/>
      <c r="L56" s="193"/>
      <c r="M56" s="194"/>
      <c r="N56" s="194"/>
      <c r="O56" s="194"/>
      <c r="P56" s="194"/>
      <c r="Q56" s="193"/>
      <c r="R56" s="194"/>
      <c r="S56" s="194"/>
      <c r="T56" s="194"/>
      <c r="U56" s="194"/>
      <c r="V56" s="193"/>
      <c r="W56" s="527">
        <f t="shared" ref="W56:AR56" si="118">W55/W53</f>
        <v>0.86863125242341988</v>
      </c>
      <c r="X56" s="527">
        <f t="shared" si="118"/>
        <v>0.86721504112808456</v>
      </c>
      <c r="Y56" s="527">
        <f t="shared" si="118"/>
        <v>0.92126477263833451</v>
      </c>
      <c r="Z56" s="527">
        <f t="shared" si="118"/>
        <v>0.92440677966101692</v>
      </c>
      <c r="AA56" s="525">
        <f t="shared" si="118"/>
        <v>0.92440677966101692</v>
      </c>
      <c r="AB56" s="527">
        <f t="shared" si="118"/>
        <v>0.90405061066690096</v>
      </c>
      <c r="AC56" s="527">
        <f t="shared" si="118"/>
        <v>0.89482950333580435</v>
      </c>
      <c r="AD56" s="527">
        <f t="shared" si="118"/>
        <v>0.87439799653245998</v>
      </c>
      <c r="AE56" s="527">
        <f t="shared" si="118"/>
        <v>0.9004378283712785</v>
      </c>
      <c r="AF56" s="525">
        <f t="shared" si="118"/>
        <v>0.9004378283712785</v>
      </c>
      <c r="AG56" s="527">
        <f t="shared" si="118"/>
        <v>0.90229723394280359</v>
      </c>
      <c r="AH56" s="527">
        <f t="shared" si="118"/>
        <v>0.90726508863613076</v>
      </c>
      <c r="AI56" s="527">
        <f t="shared" si="118"/>
        <v>0.88237179487179485</v>
      </c>
      <c r="AJ56" s="527">
        <f t="shared" si="118"/>
        <v>0.85148741418764307</v>
      </c>
      <c r="AK56" s="193">
        <f t="shared" si="118"/>
        <v>0.85148741418764307</v>
      </c>
      <c r="AL56" s="194">
        <f t="shared" si="118"/>
        <v>0.84981545119002166</v>
      </c>
      <c r="AM56" s="194">
        <f t="shared" si="118"/>
        <v>0.83972174900624641</v>
      </c>
      <c r="AN56" s="194">
        <f t="shared" si="118"/>
        <v>0.86597358808654112</v>
      </c>
      <c r="AO56" s="194">
        <f t="shared" si="118"/>
        <v>0.83348294434470382</v>
      </c>
      <c r="AP56" s="193">
        <f t="shared" si="118"/>
        <v>0.83348294434470382</v>
      </c>
      <c r="AQ56" s="194">
        <f t="shared" si="118"/>
        <v>0.94758971929408975</v>
      </c>
      <c r="AR56" s="194">
        <f t="shared" si="118"/>
        <v>0.94745605920444032</v>
      </c>
      <c r="AS56" s="527">
        <f t="shared" ref="AS56:AX56" si="119">AS55/AS53</f>
        <v>0.9661283605571237</v>
      </c>
      <c r="AT56" s="194">
        <f t="shared" si="119"/>
        <v>0.97444186281442569</v>
      </c>
      <c r="AU56" s="193">
        <f t="shared" si="119"/>
        <v>0.97444186281442569</v>
      </c>
      <c r="AV56" s="194">
        <f t="shared" si="119"/>
        <v>0.97619047619047616</v>
      </c>
      <c r="AW56" s="194">
        <f t="shared" si="119"/>
        <v>0.97485472794506078</v>
      </c>
      <c r="AX56" s="527">
        <f t="shared" si="119"/>
        <v>0.96581640604706742</v>
      </c>
      <c r="AY56" s="194">
        <f t="shared" ref="AY56:BG56" si="120">AY55/AY53</f>
        <v>0.96857067649381412</v>
      </c>
      <c r="AZ56" s="193">
        <f t="shared" si="120"/>
        <v>0.96857067649381412</v>
      </c>
      <c r="BA56" s="193"/>
      <c r="BB56" s="194">
        <f t="shared" si="120"/>
        <v>0.9699867197875166</v>
      </c>
      <c r="BC56" s="194">
        <f t="shared" si="120"/>
        <v>0.9741761210156672</v>
      </c>
      <c r="BD56" s="527">
        <f t="shared" si="120"/>
        <v>0.97590494611771206</v>
      </c>
      <c r="BE56" s="194">
        <f t="shared" si="120"/>
        <v>0.96631115625529029</v>
      </c>
      <c r="BF56" s="193">
        <f t="shared" si="120"/>
        <v>0.96631115625529029</v>
      </c>
      <c r="BG56" s="527">
        <f t="shared" si="120"/>
        <v>0.97005670676771427</v>
      </c>
      <c r="BH56" s="527">
        <f t="shared" ref="BH56:BJ56" si="121">BH55/BH53</f>
        <v>0.97426233038983412</v>
      </c>
      <c r="BI56" s="527">
        <f t="shared" si="121"/>
        <v>0.97598986728344073</v>
      </c>
      <c r="BJ56" s="194">
        <f t="shared" si="121"/>
        <v>0.96646632590012915</v>
      </c>
      <c r="BK56" s="193">
        <f t="shared" ref="BK56:BL56" si="122">BK55/BK53</f>
        <v>0.96646632590012915</v>
      </c>
      <c r="BL56" s="194">
        <f t="shared" si="122"/>
        <v>0.97025197656561057</v>
      </c>
      <c r="BM56" s="194">
        <f t="shared" ref="BM56:BN56" si="123">BM55/BM53</f>
        <v>0.9834997064004698</v>
      </c>
      <c r="BN56" s="194">
        <f t="shared" si="123"/>
        <v>0.97185826592229696</v>
      </c>
      <c r="BO56" s="194">
        <f t="shared" ref="BO56:BP56" si="124">BO55/BO53</f>
        <v>0.97400090826521346</v>
      </c>
      <c r="BP56" s="1041">
        <f t="shared" si="124"/>
        <v>0.97400090826521346</v>
      </c>
      <c r="BQ56" s="195"/>
      <c r="BR56" s="194"/>
      <c r="BS56" s="194"/>
      <c r="BT56" s="548"/>
      <c r="BU56" s="193"/>
      <c r="BV56" s="195"/>
      <c r="BW56" s="194"/>
      <c r="BX56" s="194"/>
      <c r="BY56" s="194"/>
      <c r="BZ56" s="193"/>
      <c r="CA56" s="195"/>
      <c r="CB56" s="194"/>
      <c r="CC56" s="194"/>
      <c r="CD56" s="194"/>
      <c r="CE56" s="193"/>
      <c r="CF56" s="195"/>
      <c r="CG56" s="194"/>
      <c r="CH56" s="194"/>
      <c r="CI56" s="194"/>
      <c r="CJ56" s="193"/>
      <c r="CK56" s="196"/>
      <c r="CL56" s="238"/>
      <c r="CM56" s="661"/>
      <c r="CN56" s="661"/>
      <c r="CO56" s="661"/>
      <c r="CP56" s="661"/>
      <c r="CQ56" s="661"/>
      <c r="CR56" s="661"/>
      <c r="CS56" s="661"/>
      <c r="CT56" s="661"/>
      <c r="CU56" s="661"/>
      <c r="CV56" s="661"/>
      <c r="CW56" s="229"/>
      <c r="CX56" s="197"/>
      <c r="CY56" s="197"/>
      <c r="CZ56"/>
      <c r="DA56"/>
      <c r="DB56"/>
      <c r="DC56"/>
      <c r="DD56"/>
    </row>
    <row r="57" spans="1:108" s="520" customFormat="1" hidden="1" outlineLevel="1">
      <c r="A57" s="531" t="s">
        <v>258</v>
      </c>
      <c r="B57" s="513"/>
      <c r="C57" s="513"/>
      <c r="D57" s="513"/>
      <c r="E57" s="513"/>
      <c r="F57" s="513"/>
      <c r="G57" s="513"/>
      <c r="H57" s="514"/>
      <c r="I57" s="514"/>
      <c r="J57" s="514"/>
      <c r="K57" s="514"/>
      <c r="L57" s="513"/>
      <c r="M57" s="514"/>
      <c r="N57" s="514"/>
      <c r="O57" s="514"/>
      <c r="P57" s="514"/>
      <c r="Q57" s="513"/>
      <c r="R57" s="514"/>
      <c r="S57" s="514"/>
      <c r="T57" s="514"/>
      <c r="U57" s="514"/>
      <c r="V57" s="513"/>
      <c r="W57" s="450">
        <f>W53-W55</f>
        <v>1694</v>
      </c>
      <c r="X57" s="450">
        <f>X53-X55</f>
        <v>1695</v>
      </c>
      <c r="Y57" s="450">
        <f>Y53-Y55</f>
        <v>1006</v>
      </c>
      <c r="Z57" s="450">
        <f>Z53-Z55</f>
        <v>892</v>
      </c>
      <c r="AA57" s="396">
        <f>Z57</f>
        <v>892</v>
      </c>
      <c r="AB57" s="450">
        <f>AB53-AB55</f>
        <v>1092</v>
      </c>
      <c r="AC57" s="450">
        <f>AC53-AC55</f>
        <v>1135</v>
      </c>
      <c r="AD57" s="450">
        <f>AD53-AD55</f>
        <v>1304</v>
      </c>
      <c r="AE57" s="450">
        <f>AE53-AE55</f>
        <v>1137</v>
      </c>
      <c r="AF57" s="396">
        <v>1137</v>
      </c>
      <c r="AG57" s="450">
        <f>AG53-AG55</f>
        <v>1042</v>
      </c>
      <c r="AH57" s="450">
        <f>AH53-AH55</f>
        <v>905</v>
      </c>
      <c r="AI57" s="450">
        <f>AI53-AI55</f>
        <v>1101</v>
      </c>
      <c r="AJ57" s="450">
        <f>AJ53-AJ55</f>
        <v>1298</v>
      </c>
      <c r="AK57" s="513">
        <v>1298</v>
      </c>
      <c r="AL57" s="514">
        <v>1180</v>
      </c>
      <c r="AM57" s="514">
        <v>1129</v>
      </c>
      <c r="AN57" s="514">
        <v>954</v>
      </c>
      <c r="AO57" s="514">
        <f>AO53-AO55</f>
        <v>1113</v>
      </c>
      <c r="AP57" s="513">
        <f>AO57</f>
        <v>1113</v>
      </c>
      <c r="AQ57" s="514">
        <f>AQ53-AQ55</f>
        <v>885</v>
      </c>
      <c r="AR57" s="514">
        <f>AR53-AR55</f>
        <v>852</v>
      </c>
      <c r="AS57" s="450">
        <v>732</v>
      </c>
      <c r="AT57" s="514">
        <f>AT53-AT55</f>
        <v>506</v>
      </c>
      <c r="AU57" s="513">
        <f>AT57</f>
        <v>506</v>
      </c>
      <c r="AV57" s="514">
        <f>AV53-AV55</f>
        <v>462</v>
      </c>
      <c r="AW57" s="514">
        <f>AW53-AW55</f>
        <v>476</v>
      </c>
      <c r="AX57" s="514">
        <f>AX53-AX55</f>
        <v>658</v>
      </c>
      <c r="AY57" s="514">
        <f>AY53-AY55</f>
        <v>597</v>
      </c>
      <c r="AZ57" s="513">
        <f>AY57</f>
        <v>597</v>
      </c>
      <c r="BA57" s="513"/>
      <c r="BB57" s="514">
        <f>BB53-BB55</f>
        <v>565</v>
      </c>
      <c r="BC57" s="514">
        <f>BC53-BC55</f>
        <v>478</v>
      </c>
      <c r="BD57" s="514">
        <f>BD53-BD55</f>
        <v>436</v>
      </c>
      <c r="BE57" s="514">
        <f>BE53-BE55</f>
        <v>597</v>
      </c>
      <c r="BF57" s="513">
        <f>BE57</f>
        <v>597</v>
      </c>
      <c r="BG57" s="514">
        <f t="shared" ref="BG57:BI57" si="125">BG53-BG55</f>
        <v>565</v>
      </c>
      <c r="BH57" s="514">
        <f t="shared" si="125"/>
        <v>478</v>
      </c>
      <c r="BI57" s="514">
        <f t="shared" si="125"/>
        <v>436</v>
      </c>
      <c r="BJ57" s="514">
        <f t="shared" ref="BJ57:BO57" si="126">BJ53-BJ55</f>
        <v>597</v>
      </c>
      <c r="BK57" s="513">
        <f t="shared" si="126"/>
        <v>597</v>
      </c>
      <c r="BL57" s="514">
        <f t="shared" si="126"/>
        <v>523</v>
      </c>
      <c r="BM57" s="514">
        <f t="shared" si="126"/>
        <v>281</v>
      </c>
      <c r="BN57" s="514">
        <f t="shared" si="126"/>
        <v>494</v>
      </c>
      <c r="BO57" s="514">
        <f t="shared" si="126"/>
        <v>458</v>
      </c>
      <c r="BP57" s="1042">
        <f>BO57</f>
        <v>458</v>
      </c>
      <c r="BQ57" s="515"/>
      <c r="BR57" s="514"/>
      <c r="BS57" s="514"/>
      <c r="BT57" s="1112"/>
      <c r="BU57" s="513"/>
      <c r="BV57" s="515"/>
      <c r="BW57" s="514"/>
      <c r="BX57" s="514"/>
      <c r="BY57" s="514"/>
      <c r="BZ57" s="513"/>
      <c r="CA57" s="515"/>
      <c r="CB57" s="514"/>
      <c r="CC57" s="514"/>
      <c r="CD57" s="514"/>
      <c r="CE57" s="513"/>
      <c r="CF57" s="515"/>
      <c r="CG57" s="514"/>
      <c r="CH57" s="514"/>
      <c r="CI57" s="514"/>
      <c r="CJ57" s="513"/>
      <c r="CK57" s="516"/>
      <c r="CL57" s="517"/>
      <c r="CM57" s="654"/>
      <c r="CN57" s="654"/>
      <c r="CO57" s="654"/>
      <c r="CP57" s="654"/>
      <c r="CQ57" s="654"/>
      <c r="CR57" s="654"/>
      <c r="CS57" s="654"/>
      <c r="CT57" s="654"/>
      <c r="CU57" s="654"/>
      <c r="CV57" s="654"/>
      <c r="CW57" s="518"/>
      <c r="CX57" s="519"/>
      <c r="CY57" s="519"/>
      <c r="CZ57"/>
      <c r="DA57"/>
      <c r="DB57"/>
      <c r="DC57"/>
      <c r="DD57"/>
    </row>
    <row r="58" spans="1:108" s="198" customFormat="1" hidden="1" outlineLevel="1">
      <c r="A58" s="532" t="s">
        <v>257</v>
      </c>
      <c r="B58" s="193"/>
      <c r="C58" s="193"/>
      <c r="D58" s="193"/>
      <c r="E58" s="193"/>
      <c r="F58" s="193"/>
      <c r="G58" s="193"/>
      <c r="H58" s="194"/>
      <c r="I58" s="194"/>
      <c r="J58" s="194"/>
      <c r="K58" s="194"/>
      <c r="L58" s="193"/>
      <c r="M58" s="194"/>
      <c r="N58" s="194"/>
      <c r="O58" s="194"/>
      <c r="P58" s="194"/>
      <c r="Q58" s="193"/>
      <c r="R58" s="194"/>
      <c r="S58" s="194"/>
      <c r="T58" s="194"/>
      <c r="U58" s="194"/>
      <c r="V58" s="193"/>
      <c r="W58" s="527">
        <f>W57/W53</f>
        <v>0.13136874757658007</v>
      </c>
      <c r="X58" s="527">
        <f>X57/X53</f>
        <v>0.13278495887191538</v>
      </c>
      <c r="Y58" s="527">
        <f>Y57/Y53</f>
        <v>7.8735227361665494E-2</v>
      </c>
      <c r="Z58" s="527">
        <f>Z57/Z53</f>
        <v>7.5593220338983053E-2</v>
      </c>
      <c r="AA58" s="525">
        <f>AA57/AA53</f>
        <v>7.5593220338983053E-2</v>
      </c>
      <c r="AB58" s="527">
        <f>AB57/AB55</f>
        <v>0.10613276314510642</v>
      </c>
      <c r="AC58" s="527">
        <f>AC57/AC55</f>
        <v>0.11753132442787616</v>
      </c>
      <c r="AD58" s="527">
        <f>AD57/AD55</f>
        <v>0.14364397444371008</v>
      </c>
      <c r="AE58" s="527">
        <f>AE57/AE55</f>
        <v>0.11057084508411942</v>
      </c>
      <c r="AF58" s="525">
        <f>AF57/AF53</f>
        <v>9.9562171628721538E-2</v>
      </c>
      <c r="AG58" s="527">
        <f>AG57/AG55</f>
        <v>0.10828224046555128</v>
      </c>
      <c r="AH58" s="527">
        <f>AH57/AH55</f>
        <v>0.10221368872825841</v>
      </c>
      <c r="AI58" s="527">
        <f>AI57/AI55</f>
        <v>0.13330911732655285</v>
      </c>
      <c r="AJ58" s="527">
        <f>AJ57/AJ55</f>
        <v>0.17441547970975543</v>
      </c>
      <c r="AK58" s="193">
        <f t="shared" ref="AK58:AR58" si="127">AK57/AK53</f>
        <v>0.14851258581235699</v>
      </c>
      <c r="AL58" s="194">
        <f>AL57/AL55</f>
        <v>0.17672607458439418</v>
      </c>
      <c r="AM58" s="194">
        <f t="shared" si="127"/>
        <v>0.16027825099375356</v>
      </c>
      <c r="AN58" s="194">
        <f t="shared" si="127"/>
        <v>0.13402641191345885</v>
      </c>
      <c r="AO58" s="194">
        <f t="shared" si="127"/>
        <v>0.16651705565529623</v>
      </c>
      <c r="AP58" s="193">
        <f t="shared" si="127"/>
        <v>0.16651705565529623</v>
      </c>
      <c r="AQ58" s="194">
        <f t="shared" si="127"/>
        <v>5.2410280705910223E-2</v>
      </c>
      <c r="AR58" s="194">
        <f t="shared" si="127"/>
        <v>5.2543940795559664E-2</v>
      </c>
      <c r="AS58" s="194">
        <f t="shared" ref="AS58:AX58" si="128">AS57/AS53</f>
        <v>3.3871639442876314E-2</v>
      </c>
      <c r="AT58" s="194">
        <f t="shared" si="128"/>
        <v>2.5558137185574301E-2</v>
      </c>
      <c r="AU58" s="193">
        <f t="shared" si="128"/>
        <v>2.5558137185574301E-2</v>
      </c>
      <c r="AV58" s="194">
        <f t="shared" si="128"/>
        <v>2.3809523809523808E-2</v>
      </c>
      <c r="AW58" s="194">
        <f t="shared" si="128"/>
        <v>2.5145272054939251E-2</v>
      </c>
      <c r="AX58" s="194">
        <f t="shared" si="128"/>
        <v>3.418359395293262E-2</v>
      </c>
      <c r="AY58" s="194">
        <f t="shared" ref="AY58:BG58" si="129">AY57/AY53</f>
        <v>3.1429323506185838E-2</v>
      </c>
      <c r="AZ58" s="193">
        <f t="shared" si="129"/>
        <v>3.1429323506185838E-2</v>
      </c>
      <c r="BA58" s="193"/>
      <c r="BB58" s="194">
        <f t="shared" si="129"/>
        <v>3.0013280212483399E-2</v>
      </c>
      <c r="BC58" s="194">
        <f t="shared" si="129"/>
        <v>2.5823878984332794E-2</v>
      </c>
      <c r="BD58" s="194">
        <f t="shared" si="129"/>
        <v>2.4095053882287925E-2</v>
      </c>
      <c r="BE58" s="194">
        <f t="shared" si="129"/>
        <v>3.3688843744709665E-2</v>
      </c>
      <c r="BF58" s="193">
        <f t="shared" si="129"/>
        <v>3.3688843744709665E-2</v>
      </c>
      <c r="BG58" s="194">
        <f t="shared" si="129"/>
        <v>2.9943293232285759E-2</v>
      </c>
      <c r="BH58" s="194">
        <f t="shared" ref="BH58:BJ58" si="130">BH57/BH53</f>
        <v>2.5737669610165843E-2</v>
      </c>
      <c r="BI58" s="194">
        <f t="shared" si="130"/>
        <v>2.4010132716559281E-2</v>
      </c>
      <c r="BJ58" s="194">
        <f t="shared" si="130"/>
        <v>3.3533674099870805E-2</v>
      </c>
      <c r="BK58" s="1222">
        <f t="shared" ref="BK58:BL58" si="131">BK57/BK53</f>
        <v>3.3533674099870805E-2</v>
      </c>
      <c r="BL58" s="194">
        <f t="shared" si="131"/>
        <v>2.9748023434389398E-2</v>
      </c>
      <c r="BM58" s="194">
        <f t="shared" ref="BM58:BN58" si="132">BM57/BM53</f>
        <v>1.6500293599530241E-2</v>
      </c>
      <c r="BN58" s="194">
        <f t="shared" si="132"/>
        <v>2.8141734077703089E-2</v>
      </c>
      <c r="BO58" s="194">
        <f t="shared" ref="BO58:BP58" si="133">BO57/BO53</f>
        <v>2.5999091734786556E-2</v>
      </c>
      <c r="BP58" s="1041">
        <f t="shared" si="133"/>
        <v>2.5999091734786556E-2</v>
      </c>
      <c r="BQ58" s="195"/>
      <c r="BR58" s="194"/>
      <c r="BS58" s="194"/>
      <c r="BT58" s="548"/>
      <c r="BU58" s="193"/>
      <c r="BV58" s="195"/>
      <c r="BW58" s="194"/>
      <c r="BX58" s="194"/>
      <c r="BY58" s="194"/>
      <c r="BZ58" s="193"/>
      <c r="CA58" s="195"/>
      <c r="CB58" s="194"/>
      <c r="CC58" s="194"/>
      <c r="CD58" s="194"/>
      <c r="CE58" s="193"/>
      <c r="CF58" s="195"/>
      <c r="CG58" s="194"/>
      <c r="CH58" s="194"/>
      <c r="CI58" s="194"/>
      <c r="CJ58" s="193"/>
      <c r="CK58" s="196"/>
      <c r="CL58" s="238"/>
      <c r="CM58" s="661"/>
      <c r="CN58" s="661"/>
      <c r="CO58" s="661"/>
      <c r="CP58" s="661"/>
      <c r="CQ58" s="661"/>
      <c r="CR58" s="661"/>
      <c r="CS58" s="661"/>
      <c r="CT58" s="661"/>
      <c r="CU58" s="661"/>
      <c r="CV58" s="661"/>
      <c r="CW58" s="229"/>
      <c r="CX58" s="197"/>
      <c r="CY58" s="197"/>
      <c r="CZ58"/>
      <c r="DA58"/>
      <c r="DB58"/>
      <c r="DC58"/>
      <c r="DD58"/>
    </row>
    <row r="59" spans="1:108" s="198" customFormat="1" ht="12.75" hidden="1" customHeight="1" outlineLevel="1">
      <c r="A59" s="452" t="s">
        <v>139</v>
      </c>
      <c r="B59" s="448"/>
      <c r="C59" s="448">
        <f t="shared" ref="C59:K59" si="134">C53-(B53-C38)</f>
        <v>2558</v>
      </c>
      <c r="D59" s="448">
        <f t="shared" si="134"/>
        <v>7300</v>
      </c>
      <c r="E59" s="448">
        <f t="shared" si="134"/>
        <v>4864</v>
      </c>
      <c r="F59" s="448">
        <f t="shared" si="134"/>
        <v>5633</v>
      </c>
      <c r="G59" s="448">
        <f t="shared" si="134"/>
        <v>8624</v>
      </c>
      <c r="H59" s="449">
        <f t="shared" si="134"/>
        <v>1958</v>
      </c>
      <c r="I59" s="449">
        <f t="shared" si="134"/>
        <v>2196</v>
      </c>
      <c r="J59" s="449">
        <f t="shared" si="134"/>
        <v>2595</v>
      </c>
      <c r="K59" s="453">
        <f t="shared" si="134"/>
        <v>1980</v>
      </c>
      <c r="L59" s="448">
        <f>L53-(G53-L38)</f>
        <v>8729</v>
      </c>
      <c r="M59" s="449">
        <f>M53-(L53-M38)</f>
        <v>3383</v>
      </c>
      <c r="N59" s="449">
        <f>N53-(M53-N38)</f>
        <v>1602</v>
      </c>
      <c r="O59" s="449">
        <f>O53-(N53-O38)</f>
        <v>3816</v>
      </c>
      <c r="P59" s="449">
        <f>P53-(O53-P38)</f>
        <v>1450</v>
      </c>
      <c r="Q59" s="448">
        <f>Q53-(L53-Q38)</f>
        <v>10251</v>
      </c>
      <c r="R59" s="449">
        <f>R53-(Q53-R38)</f>
        <v>1919</v>
      </c>
      <c r="S59" s="449">
        <f>S53-(R53-S38)</f>
        <v>793</v>
      </c>
      <c r="T59" s="449">
        <f>T53-(S53-T38)</f>
        <v>2352</v>
      </c>
      <c r="U59" s="449">
        <f>U53-(T53-U38)</f>
        <v>3039</v>
      </c>
      <c r="V59" s="448">
        <f>V53-(Q53-V38)</f>
        <v>8103</v>
      </c>
      <c r="W59" s="449">
        <f>W53-(V53-W38)</f>
        <v>1481</v>
      </c>
      <c r="X59" s="449">
        <f>X53-(W53-X38)</f>
        <v>1981</v>
      </c>
      <c r="Y59" s="449">
        <f>Y53-(X53-Y38)</f>
        <v>2081</v>
      </c>
      <c r="Z59" s="453">
        <f>Z53-(Y53-Z38)</f>
        <v>1719</v>
      </c>
      <c r="AA59" s="448">
        <f>AA53-(V53-AA38)</f>
        <v>7262</v>
      </c>
      <c r="AB59" s="449">
        <f>AB53-(AA53-AB38)</f>
        <v>1536</v>
      </c>
      <c r="AC59" s="449">
        <f>AC53-(AB53-AC38)</f>
        <v>1532</v>
      </c>
      <c r="AD59" s="449">
        <f>AD53-(AC53-AD38)</f>
        <v>1730</v>
      </c>
      <c r="AE59" s="449">
        <f>AE53-(AD53-AE38)</f>
        <v>3649</v>
      </c>
      <c r="AF59" s="448">
        <f>AF53-(AA53-AF38)</f>
        <v>8447</v>
      </c>
      <c r="AG59" s="451">
        <f>AG53-(AF53-AG38)</f>
        <v>1156</v>
      </c>
      <c r="AH59" s="449">
        <f>AH53-(AG53-AH38)</f>
        <v>1243</v>
      </c>
      <c r="AI59" s="449">
        <f>AI53-(AH53-AI38)</f>
        <v>1557</v>
      </c>
      <c r="AJ59" s="453">
        <f>AJ53-(AI53-AJ38)</f>
        <v>1356</v>
      </c>
      <c r="AK59" s="448">
        <f>AK53-(AF53-AK38)</f>
        <v>5312</v>
      </c>
      <c r="AL59" s="449">
        <f>AL53-(AK53-AL38)</f>
        <v>670</v>
      </c>
      <c r="AM59" s="449">
        <f>AM53-(AL53-AM38)</f>
        <v>736</v>
      </c>
      <c r="AN59" s="449">
        <f>AN53-(AM53-AN38)</f>
        <v>1441</v>
      </c>
      <c r="AO59" s="449">
        <f>AO53-(AN53-AO38)</f>
        <v>929</v>
      </c>
      <c r="AP59" s="448">
        <f>AP53-(AK53-AP38)</f>
        <v>3776</v>
      </c>
      <c r="AQ59" s="449">
        <f>AQ53-(AP53-AQ38)</f>
        <v>11519</v>
      </c>
      <c r="AR59" s="449">
        <f>AR53-(AQ53-AR38)</f>
        <v>794</v>
      </c>
      <c r="AS59" s="449">
        <f>AS53-(AR53-AS38)</f>
        <v>6791</v>
      </c>
      <c r="AT59" s="449">
        <f>AT53-(AS53-AT38)</f>
        <v>-258</v>
      </c>
      <c r="AU59" s="448">
        <f>AU53-(AP53-AU38)</f>
        <v>18846</v>
      </c>
      <c r="AV59" s="449">
        <f>AV53-(AU53-AV38)</f>
        <v>969</v>
      </c>
      <c r="AW59" s="449">
        <f>AW53-(AV53-AW38)</f>
        <v>934</v>
      </c>
      <c r="AX59" s="449">
        <f>AX53-(AW53-AX38)</f>
        <v>1664</v>
      </c>
      <c r="AY59" s="449">
        <f>AY53-(AX53-AY38)</f>
        <v>1270</v>
      </c>
      <c r="AZ59" s="448">
        <f>AZ53-(AU53-AZ38)</f>
        <v>4837</v>
      </c>
      <c r="BA59" s="448"/>
      <c r="BB59" s="449">
        <f>BB53-(AZ53-BB38)</f>
        <v>1103</v>
      </c>
      <c r="BC59" s="449">
        <f>BC53-(BB53-BC38)</f>
        <v>1000</v>
      </c>
      <c r="BD59" s="449">
        <f>BD53-(BC53-BD38)</f>
        <v>915</v>
      </c>
      <c r="BE59" s="449">
        <f>BE53-(BD53-BE38)</f>
        <v>1310</v>
      </c>
      <c r="BF59" s="448">
        <f>BF53-(AZ53-BF38)</f>
        <v>4328</v>
      </c>
      <c r="BG59" s="449"/>
      <c r="BH59" s="449">
        <f>BH53-(BG53-BH38)</f>
        <v>1000</v>
      </c>
      <c r="BI59" s="449">
        <f>BI53-(BH53-BI38)</f>
        <v>914</v>
      </c>
      <c r="BJ59" s="449">
        <f>BJ53-(BI53-BJ38)</f>
        <v>1305</v>
      </c>
      <c r="BK59" s="1221">
        <f>BK53-(AZ53-BK38)</f>
        <v>4338</v>
      </c>
      <c r="BL59" s="449">
        <f>BL53-(BK53-BL38)</f>
        <v>1065</v>
      </c>
      <c r="BM59" s="449">
        <f>BM53-(BL53-BM38)</f>
        <v>863</v>
      </c>
      <c r="BN59" s="449">
        <f>BN53-(BM53-BN38)</f>
        <v>2024</v>
      </c>
      <c r="BO59" s="449">
        <f>BO53-(BN53-BO38)</f>
        <v>1810</v>
      </c>
      <c r="BP59" s="1043">
        <f>BP53-(BK53-BP38)</f>
        <v>5762</v>
      </c>
      <c r="BQ59" s="451"/>
      <c r="BR59" s="449"/>
      <c r="BS59" s="449"/>
      <c r="BT59" s="453"/>
      <c r="BU59" s="448"/>
      <c r="BV59" s="451"/>
      <c r="BW59" s="449"/>
      <c r="BX59" s="449"/>
      <c r="BY59" s="449"/>
      <c r="BZ59" s="448"/>
      <c r="CA59" s="451"/>
      <c r="CB59" s="449"/>
      <c r="CC59" s="449"/>
      <c r="CD59" s="449"/>
      <c r="CE59" s="448"/>
      <c r="CF59" s="451"/>
      <c r="CG59" s="449"/>
      <c r="CH59" s="449"/>
      <c r="CI59" s="449"/>
      <c r="CJ59" s="448"/>
      <c r="CK59" s="197"/>
      <c r="CL59" s="229"/>
      <c r="CM59" s="661"/>
      <c r="CN59" s="661"/>
      <c r="CO59" s="661"/>
      <c r="CP59" s="1002"/>
      <c r="CQ59" s="661"/>
      <c r="CR59" s="661"/>
      <c r="CS59" s="661"/>
      <c r="CT59" s="661"/>
      <c r="CU59" s="661"/>
      <c r="CV59" s="661"/>
      <c r="CW59" s="229"/>
      <c r="CX59" s="197"/>
      <c r="CY59" s="197"/>
      <c r="CZ59"/>
      <c r="DA59"/>
      <c r="DB59"/>
      <c r="DC59"/>
      <c r="DD59"/>
    </row>
    <row r="60" spans="1:108" s="718" customFormat="1" ht="12.75" hidden="1" customHeight="1" outlineLevel="1">
      <c r="A60" s="712" t="s">
        <v>140</v>
      </c>
      <c r="B60" s="713"/>
      <c r="C60" s="713">
        <f t="shared" ref="C60:AH60" si="135">C59/C38</f>
        <v>0.91816223977028</v>
      </c>
      <c r="D60" s="713">
        <f t="shared" si="135"/>
        <v>1.8218118292987273</v>
      </c>
      <c r="E60" s="713">
        <f t="shared" si="135"/>
        <v>1.1036986612207851</v>
      </c>
      <c r="F60" s="713">
        <f t="shared" si="135"/>
        <v>1.1218880701055567</v>
      </c>
      <c r="G60" s="713">
        <f t="shared" si="135"/>
        <v>1.4414173491559419</v>
      </c>
      <c r="H60" s="714">
        <f t="shared" si="135"/>
        <v>1.2487244897959184</v>
      </c>
      <c r="I60" s="715">
        <f t="shared" si="135"/>
        <v>1.2827102803738317</v>
      </c>
      <c r="J60" s="715">
        <f t="shared" si="135"/>
        <v>1.3862179487179487</v>
      </c>
      <c r="K60" s="715">
        <f t="shared" si="135"/>
        <v>0.74858223062381857</v>
      </c>
      <c r="L60" s="713">
        <f t="shared" si="135"/>
        <v>1.1195331537770938</v>
      </c>
      <c r="M60" s="715">
        <f t="shared" si="135"/>
        <v>1.6940410615923887</v>
      </c>
      <c r="N60" s="715">
        <f t="shared" si="135"/>
        <v>0.79503722084367245</v>
      </c>
      <c r="O60" s="715">
        <f t="shared" si="135"/>
        <v>2.0627027027027025</v>
      </c>
      <c r="P60" s="715">
        <f t="shared" si="135"/>
        <v>0.62178387650085765</v>
      </c>
      <c r="Q60" s="713">
        <f t="shared" si="135"/>
        <v>1.2510373443983402</v>
      </c>
      <c r="R60" s="715">
        <f t="shared" si="135"/>
        <v>0.79725799750727044</v>
      </c>
      <c r="S60" s="715">
        <f t="shared" si="135"/>
        <v>0.32972972972972975</v>
      </c>
      <c r="T60" s="715">
        <f t="shared" si="135"/>
        <v>1.0021303792074989</v>
      </c>
      <c r="U60" s="715">
        <f t="shared" si="135"/>
        <v>1.2224456958970233</v>
      </c>
      <c r="V60" s="713">
        <f t="shared" si="135"/>
        <v>0.84012441679626748</v>
      </c>
      <c r="W60" s="715">
        <f t="shared" si="135"/>
        <v>0.73976023976023975</v>
      </c>
      <c r="X60" s="715">
        <f t="shared" si="135"/>
        <v>0.93841781146376124</v>
      </c>
      <c r="Y60" s="715">
        <f t="shared" si="135"/>
        <v>1.0057999033349445</v>
      </c>
      <c r="Z60" s="715">
        <f t="shared" si="135"/>
        <v>0.63761127596439171</v>
      </c>
      <c r="AA60" s="713">
        <f t="shared" si="135"/>
        <v>0.81797702185176846</v>
      </c>
      <c r="AB60" s="714">
        <f t="shared" si="135"/>
        <v>0.78567774936061385</v>
      </c>
      <c r="AC60" s="715">
        <f t="shared" si="135"/>
        <v>0.72230080150872233</v>
      </c>
      <c r="AD60" s="715">
        <f t="shared" si="135"/>
        <v>0.80841121495327106</v>
      </c>
      <c r="AE60" s="715">
        <f t="shared" si="135"/>
        <v>1.3975488318651859</v>
      </c>
      <c r="AF60" s="713">
        <f t="shared" si="135"/>
        <v>0.95695026622861679</v>
      </c>
      <c r="AG60" s="714">
        <f t="shared" si="135"/>
        <v>0.60491889063317639</v>
      </c>
      <c r="AH60" s="715">
        <f t="shared" si="135"/>
        <v>0.57840856212191716</v>
      </c>
      <c r="AI60" s="715">
        <f t="shared" ref="AI60:BK60" si="136">AI59/AI38</f>
        <v>0.79601226993865026</v>
      </c>
      <c r="AJ60" s="715">
        <f t="shared" si="136"/>
        <v>0.68623481781376516</v>
      </c>
      <c r="AK60" s="713">
        <f t="shared" si="136"/>
        <v>0.66466466466466467</v>
      </c>
      <c r="AL60" s="714">
        <f t="shared" si="136"/>
        <v>0.43142305215711524</v>
      </c>
      <c r="AM60" s="715">
        <f t="shared" si="136"/>
        <v>0.47514525500322791</v>
      </c>
      <c r="AN60" s="715">
        <f t="shared" si="136"/>
        <v>1.0541331382589612</v>
      </c>
      <c r="AO60" s="715">
        <f t="shared" si="136"/>
        <v>0.68158473954512111</v>
      </c>
      <c r="AP60" s="713">
        <f t="shared" si="136"/>
        <v>0.64746227709190673</v>
      </c>
      <c r="AQ60" s="714">
        <f t="shared" si="136"/>
        <v>8.7463933181473053</v>
      </c>
      <c r="AR60" s="715">
        <f t="shared" si="136"/>
        <v>0.54197952218430034</v>
      </c>
      <c r="AS60" s="715">
        <f t="shared" si="136"/>
        <v>4.8681003584229394</v>
      </c>
      <c r="AT60" s="715">
        <f t="shared" si="136"/>
        <v>-0.16591639871382638</v>
      </c>
      <c r="AU60" s="713">
        <f t="shared" si="136"/>
        <v>3.2878576413119331</v>
      </c>
      <c r="AV60" s="714">
        <f t="shared" si="136"/>
        <v>0.71093176815847392</v>
      </c>
      <c r="AW60" s="715">
        <f t="shared" si="136"/>
        <v>0.66335227272727271</v>
      </c>
      <c r="AX60" s="715">
        <f t="shared" si="136"/>
        <v>1.2371747211895912</v>
      </c>
      <c r="AY60" s="715">
        <f t="shared" si="136"/>
        <v>0.83333333333333337</v>
      </c>
      <c r="AZ60" s="713">
        <f t="shared" si="136"/>
        <v>0.85762411347517731</v>
      </c>
      <c r="BA60" s="713"/>
      <c r="BB60" s="714">
        <f t="shared" si="136"/>
        <v>0.86645718774548308</v>
      </c>
      <c r="BC60" s="715">
        <f t="shared" si="136"/>
        <v>0.76045627376425851</v>
      </c>
      <c r="BD60" s="715">
        <f t="shared" si="136"/>
        <v>0.68796992481203012</v>
      </c>
      <c r="BE60" s="715">
        <f t="shared" si="136"/>
        <v>0.7779097387173397</v>
      </c>
      <c r="BF60" s="713">
        <f t="shared" si="136"/>
        <v>0.7725812209925027</v>
      </c>
      <c r="BG60" s="714"/>
      <c r="BH60" s="715">
        <f t="shared" si="136"/>
        <v>0.77101002313030065</v>
      </c>
      <c r="BI60" s="715">
        <f t="shared" si="136"/>
        <v>0.68877166541070078</v>
      </c>
      <c r="BJ60" s="715">
        <f t="shared" si="136"/>
        <v>0.78567128236002404</v>
      </c>
      <c r="BK60" s="1223">
        <f t="shared" si="136"/>
        <v>0.78444846292947557</v>
      </c>
      <c r="BL60" s="715">
        <f t="shared" ref="BL60" si="137">BL59/BL38</f>
        <v>0.82750582750582746</v>
      </c>
      <c r="BM60" s="715">
        <f t="shared" ref="BM60:BN60" si="138">BM59/BM38</f>
        <v>0.61032531824611036</v>
      </c>
      <c r="BN60" s="715">
        <f t="shared" si="138"/>
        <v>1.3493333333333333</v>
      </c>
      <c r="BO60" s="715">
        <f t="shared" ref="BO60:BP60" si="139">BO59/BO38</f>
        <v>1.0354691075514875</v>
      </c>
      <c r="BP60" s="1044">
        <f t="shared" si="139"/>
        <v>0.9685661455706841</v>
      </c>
      <c r="BQ60" s="714"/>
      <c r="BR60" s="715"/>
      <c r="BS60" s="715"/>
      <c r="BT60" s="719"/>
      <c r="BU60" s="713"/>
      <c r="BV60" s="714"/>
      <c r="BW60" s="715"/>
      <c r="BX60" s="715"/>
      <c r="BY60" s="715"/>
      <c r="BZ60" s="713"/>
      <c r="CA60" s="714"/>
      <c r="CB60" s="715"/>
      <c r="CC60" s="715"/>
      <c r="CD60" s="715"/>
      <c r="CE60" s="713"/>
      <c r="CF60" s="714"/>
      <c r="CG60" s="715"/>
      <c r="CH60" s="715"/>
      <c r="CI60" s="715"/>
      <c r="CJ60" s="713"/>
      <c r="CK60" s="716"/>
      <c r="CL60" s="717"/>
      <c r="CM60" s="1004"/>
      <c r="CN60" s="1004"/>
      <c r="CO60" s="1004"/>
      <c r="CP60" s="1004"/>
      <c r="CQ60" s="1004"/>
      <c r="CR60" s="1004"/>
      <c r="CS60" s="1004"/>
      <c r="CT60" s="1004"/>
      <c r="CU60" s="1004"/>
      <c r="CV60" s="1004"/>
      <c r="CW60" s="717"/>
      <c r="CX60" s="716"/>
      <c r="CY60" s="716"/>
      <c r="CZ60"/>
      <c r="DA60"/>
      <c r="DB60"/>
      <c r="DC60"/>
      <c r="DD60"/>
    </row>
    <row r="61" spans="1:108" s="718" customFormat="1" ht="12.75" hidden="1" customHeight="1" outlineLevel="1">
      <c r="A61" s="712" t="s">
        <v>203</v>
      </c>
      <c r="B61" s="713">
        <f t="shared" ref="B61:G61" si="140">B53/B38</f>
        <v>2.3502262443438915</v>
      </c>
      <c r="C61" s="713">
        <f t="shared" si="140"/>
        <v>1.782483847810481</v>
      </c>
      <c r="D61" s="713">
        <f t="shared" si="140"/>
        <v>2.0611429997504369</v>
      </c>
      <c r="E61" s="713">
        <f t="shared" si="140"/>
        <v>1.977762650329022</v>
      </c>
      <c r="F61" s="713">
        <f t="shared" si="140"/>
        <v>1.8577972515435173</v>
      </c>
      <c r="G61" s="713">
        <f t="shared" si="140"/>
        <v>2.0005014206919607</v>
      </c>
      <c r="H61" s="715">
        <f>H53/H38/4</f>
        <v>1.9705038265306123</v>
      </c>
      <c r="I61" s="715">
        <f>I53/I38/4</f>
        <v>1.8754380841121496</v>
      </c>
      <c r="J61" s="715">
        <f>J53/J38/4</f>
        <v>1.8116987179487178</v>
      </c>
      <c r="K61" s="715">
        <f>K53/K38/4</f>
        <v>1.2193761814744801</v>
      </c>
      <c r="L61" s="713">
        <f>L53/L38</f>
        <v>1.6546107477234835</v>
      </c>
      <c r="M61" s="715">
        <f>M53/M38/4</f>
        <v>1.7885578367551327</v>
      </c>
      <c r="N61" s="715">
        <f>N53/N38/4</f>
        <v>1.7213399503722084</v>
      </c>
      <c r="O61" s="715">
        <f>O53/O38/4</f>
        <v>2.1405405405405404</v>
      </c>
      <c r="P61" s="715">
        <f>P53/P38/4</f>
        <v>1.6035591766723842</v>
      </c>
      <c r="Q61" s="713">
        <f>Q53/Q38</f>
        <v>1.8254820600439345</v>
      </c>
      <c r="R61" s="715">
        <f>R53/R38/4</f>
        <v>1.5029081844619858</v>
      </c>
      <c r="S61" s="715">
        <f>S53/S38/4</f>
        <v>1.3365904365904366</v>
      </c>
      <c r="T61" s="715">
        <f>T53/T38/4</f>
        <v>1.3701533873029399</v>
      </c>
      <c r="U61" s="715">
        <f>U53/U38/4</f>
        <v>1.3491552695092519</v>
      </c>
      <c r="V61" s="713">
        <f>V53/V38</f>
        <v>1.3909797822706065</v>
      </c>
      <c r="W61" s="715">
        <f>W53/W38/4</f>
        <v>1.6102647352647352</v>
      </c>
      <c r="X61" s="715">
        <f>X53/X38/4</f>
        <v>1.5117243012790147</v>
      </c>
      <c r="Y61" s="715">
        <f>Y53/Y38/4</f>
        <v>1.5438617689705172</v>
      </c>
      <c r="Z61" s="715">
        <f>Z53/Z38/4</f>
        <v>1.0942136498516319</v>
      </c>
      <c r="AA61" s="713">
        <f>AA53/AA38</f>
        <v>1.3291281820229781</v>
      </c>
      <c r="AB61" s="715">
        <f>AB53/AB38/4</f>
        <v>1.4553708439897699</v>
      </c>
      <c r="AC61" s="715">
        <f>AC53/AC38/4</f>
        <v>1.2720414898632721</v>
      </c>
      <c r="AD61" s="715">
        <f>AD53/AD38/4</f>
        <v>1.2128504672897196</v>
      </c>
      <c r="AE61" s="715">
        <f>AE53/AE38/4</f>
        <v>1.0934507851397932</v>
      </c>
      <c r="AF61" s="713">
        <f>AF53/AF38</f>
        <v>1.2937577886031495</v>
      </c>
      <c r="AG61" s="715">
        <f>AG53/AG38/4</f>
        <v>1.3952119309262165</v>
      </c>
      <c r="AH61" s="715">
        <f>AH53/AH38/4</f>
        <v>1.135295486272685</v>
      </c>
      <c r="AI61" s="715">
        <f>AI53/AI38/4</f>
        <v>1.196319018404908</v>
      </c>
      <c r="AJ61" s="715">
        <f>AJ53/AJ38/4</f>
        <v>1.1057692307692308</v>
      </c>
      <c r="AK61" s="713">
        <f>AK53/AK38</f>
        <v>1.0935935935935936</v>
      </c>
      <c r="AL61" s="715">
        <f>AL53/AL38/4</f>
        <v>1.2648100450740503</v>
      </c>
      <c r="AM61" s="715">
        <f>AM53/AM38/4</f>
        <v>1.1368624919302777</v>
      </c>
      <c r="AN61" s="715">
        <f>AN53/AN38/4</f>
        <v>1.3017556693489394</v>
      </c>
      <c r="AO61" s="715">
        <f>AO53/AO38/4</f>
        <v>1.2259721203228173</v>
      </c>
      <c r="AP61" s="713">
        <f>AP53/AP38</f>
        <v>1.1460905349794239</v>
      </c>
      <c r="AQ61" s="715">
        <f>AQ53/AQ38/4</f>
        <v>3.2053910402429766</v>
      </c>
      <c r="AR61" s="715">
        <f>AR53/AR38/4</f>
        <v>2.7670648464163823</v>
      </c>
      <c r="AS61" s="715">
        <f>AS53/AS38/4</f>
        <v>3.8729390681003584</v>
      </c>
      <c r="AT61" s="715">
        <f>AT53/AT38/4</f>
        <v>3.1829581993569134</v>
      </c>
      <c r="AU61" s="713">
        <f>AU53/AU38</f>
        <v>3.4539427773900906</v>
      </c>
      <c r="AV61" s="715">
        <f>AV53/AV38/4</f>
        <v>3.5590608950843725</v>
      </c>
      <c r="AW61" s="715">
        <f>AW53/AW38/4</f>
        <v>3.3611505681818183</v>
      </c>
      <c r="AX61" s="715">
        <f>AX53/AX38/4</f>
        <v>3.5778810408921933</v>
      </c>
      <c r="AY61" s="715">
        <f>AY53/AY38/4</f>
        <v>3.1159776902887137</v>
      </c>
      <c r="AZ61" s="713">
        <f>AZ53/AZ38</f>
        <v>3.3679078014184398</v>
      </c>
      <c r="BA61" s="713"/>
      <c r="BB61" s="715">
        <f>BB53/BB38/4</f>
        <v>3.6969756480754126</v>
      </c>
      <c r="BC61" s="715">
        <f>BC53/BC38/4</f>
        <v>3.5190114068441063</v>
      </c>
      <c r="BD61" s="715">
        <f>BD53/BD38/4</f>
        <v>3.4013157894736841</v>
      </c>
      <c r="BE61" s="715">
        <f>BE53/BE38/4</f>
        <v>2.6307897862232781</v>
      </c>
      <c r="BF61" s="713">
        <f>BF53/BF38</f>
        <v>3.1633345233845054</v>
      </c>
      <c r="BG61" s="715">
        <f>BG53/BG38/4</f>
        <v>3.7889558232931728</v>
      </c>
      <c r="BH61" s="715">
        <f>BH53/BH38/4</f>
        <v>3.5797995373939862</v>
      </c>
      <c r="BI61" s="715">
        <f>BI53/BI38/4</f>
        <v>3.4210625470987188</v>
      </c>
      <c r="BJ61" s="715">
        <f>BJ53/BJ38/4</f>
        <v>2.6795605057194463</v>
      </c>
      <c r="BK61" s="713">
        <f>BK53/BK38</f>
        <v>3.2193490054249549</v>
      </c>
      <c r="BL61" s="715">
        <f>BL53/BL38/4</f>
        <v>3.4151126651126651</v>
      </c>
      <c r="BM61" s="715">
        <f>BM53/BM38/4</f>
        <v>3.0109618104667608</v>
      </c>
      <c r="BN61" s="715">
        <f>BN53/BN38/4</f>
        <v>2.9256666666666669</v>
      </c>
      <c r="BO61" s="715">
        <f>BO53/BO38/4</f>
        <v>2.5194508009153318</v>
      </c>
      <c r="BP61" s="1044">
        <f>BP53/BP38</f>
        <v>2.9611699445284922</v>
      </c>
      <c r="BQ61" s="714"/>
      <c r="BR61" s="715"/>
      <c r="BS61" s="715"/>
      <c r="BT61" s="719"/>
      <c r="BU61" s="713"/>
      <c r="BV61" s="714"/>
      <c r="BW61" s="715"/>
      <c r="BX61" s="715"/>
      <c r="BY61" s="715"/>
      <c r="BZ61" s="713"/>
      <c r="CA61" s="714"/>
      <c r="CB61" s="715"/>
      <c r="CC61" s="715"/>
      <c r="CD61" s="715"/>
      <c r="CE61" s="713"/>
      <c r="CF61" s="714"/>
      <c r="CG61" s="715"/>
      <c r="CH61" s="715"/>
      <c r="CI61" s="715"/>
      <c r="CJ61" s="713"/>
      <c r="CK61" s="716"/>
      <c r="CL61" s="717"/>
      <c r="CM61" s="1004"/>
      <c r="CN61" s="1004"/>
      <c r="CO61" s="1004"/>
      <c r="CP61" s="1004"/>
      <c r="CQ61" s="1004"/>
      <c r="CR61" s="1004"/>
      <c r="CS61" s="1004"/>
      <c r="CT61" s="1004"/>
      <c r="CU61" s="1004"/>
      <c r="CV61" s="1004"/>
      <c r="CW61" s="717"/>
      <c r="CX61" s="716"/>
      <c r="CY61" s="716"/>
      <c r="CZ61"/>
      <c r="DA61"/>
      <c r="DB61"/>
      <c r="DC61"/>
      <c r="DD61"/>
    </row>
    <row r="62" spans="1:108" s="123" customFormat="1" collapsed="1">
      <c r="A62" s="267" t="s">
        <v>103</v>
      </c>
      <c r="B62" s="35">
        <v>2691</v>
      </c>
      <c r="C62" s="35">
        <v>3669</v>
      </c>
      <c r="D62" s="35">
        <v>4889</v>
      </c>
      <c r="E62" s="35">
        <v>6722</v>
      </c>
      <c r="F62" s="35">
        <v>7826</v>
      </c>
      <c r="G62" s="35">
        <v>9024</v>
      </c>
      <c r="H62" s="36">
        <v>2381</v>
      </c>
      <c r="I62" s="36">
        <v>2399</v>
      </c>
      <c r="J62" s="36">
        <v>2401</v>
      </c>
      <c r="K62" s="37">
        <v>2441</v>
      </c>
      <c r="L62" s="35">
        <f>SUM(H62:K62)</f>
        <v>9622</v>
      </c>
      <c r="M62" s="36">
        <v>2351</v>
      </c>
      <c r="N62" s="36">
        <v>2565</v>
      </c>
      <c r="O62" s="36">
        <v>2514</v>
      </c>
      <c r="P62" s="37">
        <v>2608</v>
      </c>
      <c r="Q62" s="35">
        <f>SUM(M62:P62)</f>
        <v>10038</v>
      </c>
      <c r="R62" s="36">
        <v>2733</v>
      </c>
      <c r="S62" s="36">
        <v>2655</v>
      </c>
      <c r="T62" s="36">
        <v>2734</v>
      </c>
      <c r="U62" s="37">
        <v>2680</v>
      </c>
      <c r="V62" s="35">
        <f>SUM(R62:U62)</f>
        <v>10802</v>
      </c>
      <c r="W62" s="36">
        <v>2752</v>
      </c>
      <c r="X62" s="36">
        <v>2973</v>
      </c>
      <c r="Y62" s="36">
        <v>2951</v>
      </c>
      <c r="Z62" s="37">
        <v>2936</v>
      </c>
      <c r="AA62" s="35">
        <f>SUM(W62:Z62)</f>
        <v>11612</v>
      </c>
      <c r="AB62" s="36">
        <v>2814</v>
      </c>
      <c r="AC62" s="36">
        <v>2806</v>
      </c>
      <c r="AD62" s="36">
        <v>2680</v>
      </c>
      <c r="AE62" s="37">
        <v>2921</v>
      </c>
      <c r="AF62" s="35">
        <f>SUM(AB62:AE62)</f>
        <v>11221</v>
      </c>
      <c r="AG62" s="36">
        <v>2440</v>
      </c>
      <c r="AH62" s="36">
        <v>2528</v>
      </c>
      <c r="AI62" s="36">
        <v>2472</v>
      </c>
      <c r="AJ62" s="37">
        <v>2577</v>
      </c>
      <c r="AK62" s="35">
        <f>SUM(AG62:AJ62)</f>
        <v>10017</v>
      </c>
      <c r="AL62" s="36">
        <v>2447</v>
      </c>
      <c r="AM62" s="36">
        <v>2550</v>
      </c>
      <c r="AN62" s="23">
        <v>2580</v>
      </c>
      <c r="AO62" s="23">
        <v>2691</v>
      </c>
      <c r="AP62" s="24">
        <f>SUM(AL62:AO62)</f>
        <v>10268</v>
      </c>
      <c r="AQ62" s="36">
        <v>2281</v>
      </c>
      <c r="AR62" s="36">
        <v>2163</v>
      </c>
      <c r="AS62" s="23">
        <v>2247</v>
      </c>
      <c r="AT62" s="23">
        <v>2468</v>
      </c>
      <c r="AU62" s="24">
        <f>SUM(AQ62:AT62)</f>
        <v>9159</v>
      </c>
      <c r="AV62" s="36">
        <v>2370</v>
      </c>
      <c r="AW62" s="36">
        <v>2215</v>
      </c>
      <c r="AX62" s="23">
        <v>2219</v>
      </c>
      <c r="AY62" s="23">
        <v>2161</v>
      </c>
      <c r="AZ62" s="24">
        <f>SUM(AV62:AY62)</f>
        <v>8965</v>
      </c>
      <c r="BA62" s="24">
        <v>8929</v>
      </c>
      <c r="BB62" s="26">
        <v>2333</v>
      </c>
      <c r="BC62" s="25">
        <v>2229</v>
      </c>
      <c r="BD62" s="25">
        <v>2341</v>
      </c>
      <c r="BE62" s="25">
        <f>9187-BD62-BC62-BB62</f>
        <v>2284</v>
      </c>
      <c r="BF62" s="24">
        <f>SUM(BB62:BE62)</f>
        <v>9187</v>
      </c>
      <c r="BG62" s="26">
        <v>2328</v>
      </c>
      <c r="BH62" s="25">
        <f>+BH65+BH68</f>
        <v>2215</v>
      </c>
      <c r="BI62" s="25">
        <f>+BI65+BI68</f>
        <v>2330</v>
      </c>
      <c r="BJ62" s="25">
        <f>+BJ65+BJ68</f>
        <v>2271</v>
      </c>
      <c r="BK62" s="1048">
        <f>SUM(BG62:BJ62)</f>
        <v>9144</v>
      </c>
      <c r="BL62" s="26">
        <f>+BL65+BL68</f>
        <v>2146</v>
      </c>
      <c r="BM62" s="25">
        <f>+BM65+BM68</f>
        <v>2104</v>
      </c>
      <c r="BN62" s="25">
        <f>+BN65+BN68</f>
        <v>2154</v>
      </c>
      <c r="BO62" s="25">
        <f>+BO65+BO68</f>
        <v>2487</v>
      </c>
      <c r="BP62" s="1048">
        <f>SUM(BL62:BO62)</f>
        <v>8891</v>
      </c>
      <c r="BQ62" s="26">
        <f t="shared" ref="BQ62:BT62" si="141">+BQ65+BQ68</f>
        <v>2263.88</v>
      </c>
      <c r="BR62" s="25">
        <f t="shared" si="141"/>
        <v>2219.7200000000003</v>
      </c>
      <c r="BS62" s="25">
        <f t="shared" si="141"/>
        <v>2272.38</v>
      </c>
      <c r="BT62" s="1104">
        <f t="shared" si="141"/>
        <v>2623.67</v>
      </c>
      <c r="BU62" s="1048">
        <f>+BU65+BU68</f>
        <v>9379.6500000000015</v>
      </c>
      <c r="BV62" s="26"/>
      <c r="BW62" s="25"/>
      <c r="BX62" s="25"/>
      <c r="BY62" s="25"/>
      <c r="BZ62" s="24">
        <f>BU62*(1+BZ63)</f>
        <v>9754.8360000000011</v>
      </c>
      <c r="CA62" s="26"/>
      <c r="CB62" s="25"/>
      <c r="CC62" s="25"/>
      <c r="CD62" s="25"/>
      <c r="CE62" s="24">
        <f>BZ62*(1+CE63)</f>
        <v>10145.029440000002</v>
      </c>
      <c r="CF62" s="26"/>
      <c r="CG62" s="25"/>
      <c r="CH62" s="25"/>
      <c r="CI62" s="25"/>
      <c r="CJ62" s="24">
        <f>CE62*(1+CJ63)</f>
        <v>10550.830617600002</v>
      </c>
      <c r="CK62" s="118"/>
      <c r="CL62" s="237"/>
      <c r="CM62" s="661" t="s">
        <v>378</v>
      </c>
      <c r="CN62" s="999"/>
      <c r="CO62" s="622"/>
      <c r="CP62" s="622"/>
      <c r="CQ62" s="622"/>
      <c r="CR62" s="622"/>
      <c r="CS62" s="661" t="s">
        <v>384</v>
      </c>
      <c r="CT62" s="622"/>
      <c r="CU62" s="1229" t="s">
        <v>104</v>
      </c>
      <c r="CV62" s="1230">
        <f>+(CJ62/BP62)^(1/4)-1</f>
        <v>4.3720011008751447E-2</v>
      </c>
      <c r="CW62" s="237"/>
      <c r="CX62" s="118"/>
      <c r="CY62" s="118"/>
      <c r="CZ62"/>
      <c r="DA62"/>
      <c r="DB62"/>
      <c r="DC62"/>
      <c r="DD62"/>
    </row>
    <row r="63" spans="1:108" s="40" customFormat="1">
      <c r="A63" s="28" t="s">
        <v>21</v>
      </c>
      <c r="B63" s="29"/>
      <c r="C63" s="29">
        <f>C62/B62-1</f>
        <v>0.36343366778149377</v>
      </c>
      <c r="D63" s="29">
        <f>D62/C62-1</f>
        <v>0.33251567184518938</v>
      </c>
      <c r="E63" s="29">
        <f>E62/D62-1</f>
        <v>0.37492329719779094</v>
      </c>
      <c r="F63" s="29">
        <f>F62/E62-1</f>
        <v>0.16423683427551317</v>
      </c>
      <c r="G63" s="29">
        <f>G62/F62-1</f>
        <v>0.15307947866087401</v>
      </c>
      <c r="H63" s="30"/>
      <c r="I63" s="30"/>
      <c r="J63" s="30"/>
      <c r="K63" s="30"/>
      <c r="L63" s="29">
        <f t="shared" ref="L63:AR63" si="142">L62/G62-1</f>
        <v>6.6267730496453847E-2</v>
      </c>
      <c r="M63" s="30">
        <f t="shared" si="142"/>
        <v>-1.2599748005039935E-2</v>
      </c>
      <c r="N63" s="30">
        <f t="shared" si="142"/>
        <v>6.9195498124218435E-2</v>
      </c>
      <c r="O63" s="30">
        <f t="shared" si="142"/>
        <v>4.7063723448563133E-2</v>
      </c>
      <c r="P63" s="30">
        <f t="shared" si="142"/>
        <v>6.841458418680868E-2</v>
      </c>
      <c r="Q63" s="29">
        <f t="shared" si="142"/>
        <v>4.3234254832675179E-2</v>
      </c>
      <c r="R63" s="30">
        <f t="shared" si="142"/>
        <v>0.16248404934070604</v>
      </c>
      <c r="S63" s="30">
        <f t="shared" si="142"/>
        <v>3.5087719298245723E-2</v>
      </c>
      <c r="T63" s="30">
        <f t="shared" si="142"/>
        <v>8.750994431185366E-2</v>
      </c>
      <c r="U63" s="30">
        <f t="shared" si="142"/>
        <v>2.7607361963190247E-2</v>
      </c>
      <c r="V63" s="29">
        <f t="shared" si="142"/>
        <v>7.6110779039649357E-2</v>
      </c>
      <c r="W63" s="30">
        <f t="shared" si="142"/>
        <v>6.9520673252836396E-3</v>
      </c>
      <c r="X63" s="30">
        <f t="shared" si="142"/>
        <v>0.11977401129943499</v>
      </c>
      <c r="Y63" s="30">
        <f t="shared" si="142"/>
        <v>7.9370885149963488E-2</v>
      </c>
      <c r="Z63" s="30">
        <f t="shared" si="142"/>
        <v>9.5522388059701591E-2</v>
      </c>
      <c r="AA63" s="29">
        <f t="shared" si="142"/>
        <v>7.498611368265129E-2</v>
      </c>
      <c r="AB63" s="30">
        <f t="shared" si="142"/>
        <v>2.2529069767441845E-2</v>
      </c>
      <c r="AC63" s="30">
        <f t="shared" si="142"/>
        <v>-5.6172216616212634E-2</v>
      </c>
      <c r="AD63" s="30">
        <f t="shared" si="142"/>
        <v>-9.1833276855303292E-2</v>
      </c>
      <c r="AE63" s="30">
        <f t="shared" si="142"/>
        <v>-5.1089918256130851E-3</v>
      </c>
      <c r="AF63" s="29">
        <f t="shared" si="142"/>
        <v>-3.3672063382707562E-2</v>
      </c>
      <c r="AG63" s="30">
        <f t="shared" si="142"/>
        <v>-0.13290689410092393</v>
      </c>
      <c r="AH63" s="30">
        <f t="shared" si="142"/>
        <v>-9.9073414112615832E-2</v>
      </c>
      <c r="AI63" s="30">
        <f t="shared" si="142"/>
        <v>-7.7611940298507487E-2</v>
      </c>
      <c r="AJ63" s="30">
        <f t="shared" si="142"/>
        <v>-0.11776788770968849</v>
      </c>
      <c r="AK63" s="29">
        <f>AK62/AF62-1</f>
        <v>-0.10729881472239555</v>
      </c>
      <c r="AL63" s="30">
        <f t="shared" si="142"/>
        <v>2.8688524590163578E-3</v>
      </c>
      <c r="AM63" s="30">
        <f t="shared" si="142"/>
        <v>8.7025316455695556E-3</v>
      </c>
      <c r="AN63" s="30">
        <f>AVERAGE(AL63:AM63)</f>
        <v>5.7856920522929567E-3</v>
      </c>
      <c r="AO63" s="30">
        <f>AVERAGE(AM63:AN63)</f>
        <v>7.2441118489312561E-3</v>
      </c>
      <c r="AP63" s="29">
        <f t="shared" si="142"/>
        <v>2.5057402415892938E-2</v>
      </c>
      <c r="AQ63" s="30">
        <f>AQ62/AL62-1</f>
        <v>-6.7838169186759334E-2</v>
      </c>
      <c r="AR63" s="30">
        <f t="shared" si="142"/>
        <v>-0.15176470588235291</v>
      </c>
      <c r="AS63" s="30">
        <f>AVERAGE(AQ63:AR63)</f>
        <v>-0.10980143753455612</v>
      </c>
      <c r="AT63" s="30">
        <f>AVERAGE(AR63:AS63)</f>
        <v>-0.13078307170845452</v>
      </c>
      <c r="AU63" s="29">
        <f>AU62/AP62-1</f>
        <v>-0.10800545383716398</v>
      </c>
      <c r="AV63" s="30">
        <f>AV62/AQ62-1</f>
        <v>3.9017974572555847E-2</v>
      </c>
      <c r="AW63" s="30">
        <f>AW62/AR62-1</f>
        <v>2.4040684234859055E-2</v>
      </c>
      <c r="AX63" s="30">
        <f>AX62/AS62-1</f>
        <v>-1.2461059190031154E-2</v>
      </c>
      <c r="AY63" s="30">
        <f>AVERAGE(AW63:AX63)</f>
        <v>5.7898125224139507E-3</v>
      </c>
      <c r="AZ63" s="29">
        <f>AZ62/AU62-1</f>
        <v>-2.1181351675947147E-2</v>
      </c>
      <c r="BA63" s="29"/>
      <c r="BB63" s="30">
        <f>BB62/AV62-1</f>
        <v>-1.561181434599157E-2</v>
      </c>
      <c r="BC63" s="30">
        <f>BC62/AW62-1</f>
        <v>6.3205417607223868E-3</v>
      </c>
      <c r="BD63" s="30">
        <f>BD62/AX62-1</f>
        <v>5.4979720594862558E-2</v>
      </c>
      <c r="BE63" s="30">
        <f>AVERAGE(BC63:BD63)</f>
        <v>3.0650131177792472E-2</v>
      </c>
      <c r="BF63" s="29">
        <f>BF62/AZ62-1</f>
        <v>2.4762967094255517E-2</v>
      </c>
      <c r="BG63" s="30"/>
      <c r="BH63" s="30"/>
      <c r="BI63" s="30"/>
      <c r="BJ63" s="30"/>
      <c r="BK63" s="29">
        <f>BK62/BA62-1</f>
        <v>2.4078844215477568E-2</v>
      </c>
      <c r="BL63" s="30">
        <f>BL62/BB62-1</f>
        <v>-8.0154307758251164E-2</v>
      </c>
      <c r="BM63" s="30">
        <f t="shared" ref="BM63" si="143">IFERROR(BM62/BH62-1,"")</f>
        <v>-5.0112866817155766E-2</v>
      </c>
      <c r="BN63" s="30">
        <f>BN62/BI62-1</f>
        <v>-7.5536480686695273E-2</v>
      </c>
      <c r="BO63" s="30">
        <f>BO62/BJ62-1</f>
        <v>9.5112285336856006E-2</v>
      </c>
      <c r="BP63" s="1041">
        <f>BP62/BK62-1</f>
        <v>-2.7668416447944044E-2</v>
      </c>
      <c r="BQ63" s="195">
        <f t="shared" ref="BQ63" si="144">IFERROR(BQ62/BL62-1,"")</f>
        <v>5.4930102516309365E-2</v>
      </c>
      <c r="BR63" s="194">
        <f t="shared" ref="BR63" si="145">IFERROR(BR62/BM62-1,"")</f>
        <v>5.500000000000016E-2</v>
      </c>
      <c r="BS63" s="194">
        <f t="shared" ref="BS63" si="146">IFERROR(BS62/BN62-1,"")</f>
        <v>5.4958217270195009E-2</v>
      </c>
      <c r="BT63" s="548">
        <f t="shared" ref="BT63" si="147">IFERROR(BT62/BO62-1,"")</f>
        <v>5.495375954965831E-2</v>
      </c>
      <c r="BU63" s="1041">
        <f>BU62/BP62-1</f>
        <v>5.4960071982904202E-2</v>
      </c>
      <c r="BV63" s="159"/>
      <c r="BW63" s="160"/>
      <c r="BX63" s="160"/>
      <c r="BY63" s="160"/>
      <c r="BZ63" s="158">
        <v>0.04</v>
      </c>
      <c r="CA63" s="159"/>
      <c r="CB63" s="160"/>
      <c r="CC63" s="160"/>
      <c r="CD63" s="160"/>
      <c r="CE63" s="158">
        <v>0.04</v>
      </c>
      <c r="CF63" s="159"/>
      <c r="CG63" s="160"/>
      <c r="CH63" s="160"/>
      <c r="CI63" s="160"/>
      <c r="CJ63" s="158">
        <v>0.04</v>
      </c>
      <c r="CK63" s="39">
        <v>3</v>
      </c>
      <c r="CL63" s="7"/>
      <c r="CM63" s="733"/>
      <c r="CN63" s="734"/>
      <c r="CO63" s="734"/>
      <c r="CP63" s="734"/>
      <c r="CQ63" s="734"/>
      <c r="CR63" s="734"/>
      <c r="CS63" s="661"/>
      <c r="CT63" s="622"/>
      <c r="CU63" s="661"/>
      <c r="CV63" s="661"/>
      <c r="CW63" s="75"/>
      <c r="CX63" s="38"/>
      <c r="CY63" s="38"/>
      <c r="CZ63"/>
      <c r="DA63"/>
      <c r="DB63"/>
      <c r="DC63"/>
      <c r="DD63"/>
    </row>
    <row r="64" spans="1:108">
      <c r="A64" s="28" t="s">
        <v>250</v>
      </c>
      <c r="B64" s="29">
        <f t="shared" ref="B64:AG64" si="148">B62/B$128</f>
        <v>0.22847682119205298</v>
      </c>
      <c r="C64" s="29">
        <f t="shared" si="148"/>
        <v>0.27392862475735402</v>
      </c>
      <c r="D64" s="29">
        <f t="shared" si="148"/>
        <v>0.30341959908148702</v>
      </c>
      <c r="E64" s="29">
        <f t="shared" si="148"/>
        <v>0.35628345788943661</v>
      </c>
      <c r="F64" s="29">
        <f t="shared" si="148"/>
        <v>0.37311084624553037</v>
      </c>
      <c r="G64" s="29">
        <f t="shared" si="148"/>
        <v>0.37501558409175911</v>
      </c>
      <c r="H64" s="30">
        <f t="shared" si="148"/>
        <v>0.37793650793650796</v>
      </c>
      <c r="I64" s="30">
        <f t="shared" si="148"/>
        <v>0.36398118646639355</v>
      </c>
      <c r="J64" s="30">
        <f t="shared" si="148"/>
        <v>0.35133157740708226</v>
      </c>
      <c r="K64" s="30">
        <f t="shared" si="148"/>
        <v>0.32481703260146372</v>
      </c>
      <c r="L64" s="29">
        <f t="shared" si="148"/>
        <v>0.35323054331864906</v>
      </c>
      <c r="M64" s="30">
        <f t="shared" si="148"/>
        <v>0.33561741613133478</v>
      </c>
      <c r="N64" s="30">
        <f t="shared" si="148"/>
        <v>0.35122552375735999</v>
      </c>
      <c r="O64" s="30">
        <f t="shared" si="148"/>
        <v>0.35210084033613448</v>
      </c>
      <c r="P64" s="30">
        <f t="shared" si="148"/>
        <v>0.33214467651553742</v>
      </c>
      <c r="Q64" s="29">
        <f t="shared" si="148"/>
        <v>0.34259385665529013</v>
      </c>
      <c r="R64" s="30">
        <f t="shared" si="148"/>
        <v>0.33071151984511132</v>
      </c>
      <c r="S64" s="30">
        <f t="shared" si="148"/>
        <v>0.32777777777777778</v>
      </c>
      <c r="T64" s="30">
        <f t="shared" si="148"/>
        <v>0.35419095737789869</v>
      </c>
      <c r="U64" s="30">
        <f t="shared" si="148"/>
        <v>0.3393264117498101</v>
      </c>
      <c r="V64" s="29">
        <f t="shared" si="148"/>
        <v>0.33776304680904284</v>
      </c>
      <c r="W64" s="30">
        <f t="shared" si="148"/>
        <v>0.3550967741935484</v>
      </c>
      <c r="X64" s="30">
        <f t="shared" si="148"/>
        <v>0.3668558736426456</v>
      </c>
      <c r="Y64" s="30">
        <f t="shared" si="148"/>
        <v>0.3683684933216827</v>
      </c>
      <c r="Z64" s="30">
        <f t="shared" si="148"/>
        <v>0.3413556563190327</v>
      </c>
      <c r="AA64" s="29">
        <f t="shared" si="148"/>
        <v>0.3576664818579437</v>
      </c>
      <c r="AB64" s="30">
        <f t="shared" si="148"/>
        <v>0.3608617594254937</v>
      </c>
      <c r="AC64" s="30">
        <f t="shared" si="148"/>
        <v>0.3561365655540043</v>
      </c>
      <c r="AD64" s="30">
        <f t="shared" si="148"/>
        <v>0.34127085190373108</v>
      </c>
      <c r="AE64" s="30">
        <f t="shared" si="148"/>
        <v>0.31933967421012355</v>
      </c>
      <c r="AF64" s="29">
        <f t="shared" si="148"/>
        <v>0.34339137619732535</v>
      </c>
      <c r="AG64" s="30">
        <f t="shared" si="148"/>
        <v>0.32194220873466156</v>
      </c>
      <c r="AH64" s="30">
        <f t="shared" ref="AH64:BF64" si="149">AH62/AH$128</f>
        <v>0.31911133552133297</v>
      </c>
      <c r="AI64" s="30">
        <f t="shared" si="149"/>
        <v>0.31157045626417951</v>
      </c>
      <c r="AJ64" s="30">
        <f t="shared" si="149"/>
        <v>0.3190146075761327</v>
      </c>
      <c r="AK64" s="29">
        <f t="shared" si="149"/>
        <v>0.31786881604417222</v>
      </c>
      <c r="AL64" s="30">
        <f t="shared" si="149"/>
        <v>0.33049702863317126</v>
      </c>
      <c r="AM64" s="30">
        <f t="shared" si="149"/>
        <v>0.32233598786499812</v>
      </c>
      <c r="AN64" s="30">
        <f t="shared" si="149"/>
        <v>0.33093894304771676</v>
      </c>
      <c r="AO64" s="30">
        <f t="shared" si="149"/>
        <v>0.34416165750095923</v>
      </c>
      <c r="AP64" s="29">
        <f t="shared" si="149"/>
        <v>0.33197542838667959</v>
      </c>
      <c r="AQ64" s="30">
        <f t="shared" si="149"/>
        <v>0.3114418350628072</v>
      </c>
      <c r="AR64" s="30">
        <f t="shared" si="149"/>
        <v>0.28940326465078942</v>
      </c>
      <c r="AS64" s="30">
        <f t="shared" si="149"/>
        <v>0.28989807766739778</v>
      </c>
      <c r="AT64" s="30">
        <f t="shared" si="149"/>
        <v>0.29724196073708298</v>
      </c>
      <c r="AU64" s="29">
        <f t="shared" si="149"/>
        <v>0.29686892259821079</v>
      </c>
      <c r="AV64" s="30">
        <f t="shared" si="149"/>
        <v>0.30447070914696817</v>
      </c>
      <c r="AW64" s="30">
        <f t="shared" si="149"/>
        <v>0.28102004567368688</v>
      </c>
      <c r="AX64" s="30">
        <f t="shared" si="149"/>
        <v>0.27758318739054288</v>
      </c>
      <c r="AY64" s="30">
        <f t="shared" si="149"/>
        <v>0.27673197592521448</v>
      </c>
      <c r="AZ64" s="29">
        <f t="shared" si="149"/>
        <v>0.28488353617846135</v>
      </c>
      <c r="BA64" s="29">
        <f t="shared" si="149"/>
        <v>0.2809540291369057</v>
      </c>
      <c r="BB64" s="30">
        <f t="shared" si="149"/>
        <v>0.30204557224236145</v>
      </c>
      <c r="BC64" s="30">
        <f t="shared" si="149"/>
        <v>0.29080234833659491</v>
      </c>
      <c r="BD64" s="30">
        <f t="shared" si="149"/>
        <v>0.30280688138662526</v>
      </c>
      <c r="BE64" s="30">
        <f t="shared" si="149"/>
        <v>0.27742013846714442</v>
      </c>
      <c r="BF64" s="29">
        <f t="shared" si="149"/>
        <v>0.29301821197333588</v>
      </c>
      <c r="BG64" s="30"/>
      <c r="BH64" s="30"/>
      <c r="BI64" s="30"/>
      <c r="BJ64" s="30"/>
      <c r="BK64" s="29">
        <f t="shared" ref="BK64:BU64" si="150">BK62/BK$128</f>
        <v>0.29920486895062337</v>
      </c>
      <c r="BL64" s="30">
        <f t="shared" si="150"/>
        <v>0.28840209649240695</v>
      </c>
      <c r="BM64" s="30">
        <f t="shared" si="150"/>
        <v>0.27413680781758959</v>
      </c>
      <c r="BN64" s="30">
        <f t="shared" si="150"/>
        <v>0.28416886543535619</v>
      </c>
      <c r="BO64" s="30">
        <f t="shared" si="150"/>
        <v>0.30047118521203336</v>
      </c>
      <c r="BP64" s="1041">
        <f t="shared" si="150"/>
        <v>0.28705646853711297</v>
      </c>
      <c r="BQ64" s="31">
        <f t="shared" si="150"/>
        <v>0.29443994051928574</v>
      </c>
      <c r="BR64" s="30">
        <f t="shared" si="150"/>
        <v>0.24092387509451849</v>
      </c>
      <c r="BS64" s="30">
        <f t="shared" si="150"/>
        <v>0.24826352028766946</v>
      </c>
      <c r="BT64" s="1106">
        <f t="shared" si="150"/>
        <v>0.26178165621669947</v>
      </c>
      <c r="BU64" s="1041">
        <f t="shared" si="150"/>
        <v>0.25998549237906421</v>
      </c>
      <c r="BV64" s="31"/>
      <c r="BW64" s="30"/>
      <c r="BX64" s="30"/>
      <c r="BY64" s="30"/>
      <c r="BZ64" s="29">
        <f>BZ62/BZ$128</f>
        <v>0.24711356747731164</v>
      </c>
      <c r="CA64" s="31"/>
      <c r="CB64" s="30"/>
      <c r="CC64" s="30"/>
      <c r="CD64" s="30"/>
      <c r="CE64" s="29">
        <f>CE62/CE$128</f>
        <v>0.24224138973442175</v>
      </c>
      <c r="CF64" s="31"/>
      <c r="CG64" s="30"/>
      <c r="CH64" s="30"/>
      <c r="CI64" s="30"/>
      <c r="CJ64" s="29">
        <f>CJ62/CJ$128</f>
        <v>0.23745066636593443</v>
      </c>
      <c r="CK64" s="32"/>
      <c r="CL64" s="14"/>
      <c r="CM64" s="733"/>
      <c r="CN64" s="622"/>
      <c r="CO64" s="440"/>
      <c r="CP64" s="440"/>
      <c r="CQ64" s="661"/>
      <c r="CR64" s="661"/>
      <c r="CS64" s="661"/>
      <c r="CT64" s="661"/>
      <c r="CU64" s="661"/>
      <c r="CV64" s="661"/>
      <c r="CW64" s="74"/>
      <c r="CX64" s="33"/>
      <c r="CY64" s="33"/>
    </row>
    <row r="65" spans="1:108" s="135" customFormat="1">
      <c r="A65" s="918" t="s">
        <v>334</v>
      </c>
      <c r="B65" s="919"/>
      <c r="C65" s="919"/>
      <c r="D65" s="919"/>
      <c r="E65" s="919"/>
      <c r="F65" s="919"/>
      <c r="G65" s="919"/>
      <c r="H65" s="920"/>
      <c r="I65" s="920"/>
      <c r="J65" s="920"/>
      <c r="K65" s="920"/>
      <c r="L65" s="919"/>
      <c r="M65" s="920"/>
      <c r="N65" s="920"/>
      <c r="O65" s="920"/>
      <c r="P65" s="920"/>
      <c r="Q65" s="919">
        <v>6502</v>
      </c>
      <c r="R65" s="920"/>
      <c r="S65" s="920"/>
      <c r="T65" s="920"/>
      <c r="U65" s="920"/>
      <c r="V65" s="919">
        <v>6882</v>
      </c>
      <c r="W65" s="920"/>
      <c r="X65" s="920"/>
      <c r="Y65" s="920"/>
      <c r="Z65" s="920"/>
      <c r="AA65" s="919">
        <v>7350</v>
      </c>
      <c r="AB65" s="920"/>
      <c r="AC65" s="920"/>
      <c r="AD65" s="920"/>
      <c r="AE65" s="920"/>
      <c r="AF65" s="919">
        <v>6620</v>
      </c>
      <c r="AG65" s="920"/>
      <c r="AH65" s="920"/>
      <c r="AI65" s="920"/>
      <c r="AJ65" s="920"/>
      <c r="AK65" s="919">
        <v>5472</v>
      </c>
      <c r="AL65" s="921"/>
      <c r="AM65" s="921"/>
      <c r="AN65" s="921"/>
      <c r="AO65" s="921"/>
      <c r="AP65" s="919">
        <v>5534</v>
      </c>
      <c r="AQ65" s="922"/>
      <c r="AR65" s="921"/>
      <c r="AS65" s="921"/>
      <c r="AT65" s="921"/>
      <c r="AU65" s="923">
        <v>4499</v>
      </c>
      <c r="AV65" s="922"/>
      <c r="AW65" s="921"/>
      <c r="AX65" s="921"/>
      <c r="AY65" s="921"/>
      <c r="AZ65" s="923">
        <v>4460</v>
      </c>
      <c r="BA65" s="923"/>
      <c r="BB65" s="922"/>
      <c r="BC65" s="920"/>
      <c r="BD65" s="920"/>
      <c r="BE65" s="920"/>
      <c r="BF65" s="923">
        <v>4742</v>
      </c>
      <c r="BG65" s="922">
        <v>1186</v>
      </c>
      <c r="BH65" s="920">
        <v>1119</v>
      </c>
      <c r="BI65" s="920">
        <v>1254</v>
      </c>
      <c r="BJ65" s="1224">
        <f>4716-BI65-BH65-BG65</f>
        <v>1157</v>
      </c>
      <c r="BK65" s="984">
        <f>+SUM(BG65:BJ65)</f>
        <v>4716</v>
      </c>
      <c r="BL65" s="984">
        <v>1088</v>
      </c>
      <c r="BM65" s="985">
        <v>1052</v>
      </c>
      <c r="BN65" s="985">
        <v>1086</v>
      </c>
      <c r="BO65" s="1224">
        <f>4481-BN65-BM65-BL65</f>
        <v>1255</v>
      </c>
      <c r="BP65" s="984">
        <f>+SUM(BL65:BO65)</f>
        <v>4481</v>
      </c>
      <c r="BQ65" s="922">
        <f t="shared" ref="BQ65" si="151">BL65*(1+BQ66)</f>
        <v>1142.4000000000001</v>
      </c>
      <c r="BR65" s="920">
        <f t="shared" ref="BR65" si="152">BM65*(1+BR66)</f>
        <v>1104.6000000000001</v>
      </c>
      <c r="BS65" s="920">
        <f t="shared" ref="BS65:BT65" si="153">BN65*(1+BS66)</f>
        <v>1140.3</v>
      </c>
      <c r="BT65" s="1247">
        <f t="shared" si="153"/>
        <v>1317.75</v>
      </c>
      <c r="BU65" s="984">
        <f>+SUM(BQ65:BT65)</f>
        <v>4705.05</v>
      </c>
      <c r="BV65" s="922"/>
      <c r="BW65" s="920"/>
      <c r="BX65" s="920"/>
      <c r="BY65" s="920"/>
      <c r="BZ65" s="919"/>
      <c r="CA65" s="922"/>
      <c r="CB65" s="920"/>
      <c r="CC65" s="920"/>
      <c r="CD65" s="920"/>
      <c r="CE65" s="919"/>
      <c r="CF65" s="922"/>
      <c r="CG65" s="920"/>
      <c r="CH65" s="920"/>
      <c r="CI65" s="920"/>
      <c r="CJ65" s="919"/>
      <c r="CK65" s="132"/>
      <c r="CL65" s="240"/>
      <c r="CM65" s="1005"/>
      <c r="CN65" s="703"/>
      <c r="CO65" s="622"/>
      <c r="CP65" s="622"/>
      <c r="CQ65" s="622"/>
      <c r="CR65" s="622"/>
      <c r="CS65" s="622"/>
      <c r="CT65" s="622"/>
      <c r="CU65" s="622"/>
      <c r="CV65" s="622"/>
      <c r="CW65" s="230"/>
      <c r="CX65" s="133"/>
      <c r="CY65" s="133"/>
      <c r="CZ65"/>
      <c r="DA65"/>
      <c r="DB65"/>
      <c r="DC65"/>
      <c r="DD65"/>
    </row>
    <row r="66" spans="1:108" s="677" customFormat="1">
      <c r="A66" s="672" t="s">
        <v>21</v>
      </c>
      <c r="B66" s="316"/>
      <c r="C66" s="316"/>
      <c r="D66" s="316"/>
      <c r="E66" s="316"/>
      <c r="F66" s="316"/>
      <c r="G66" s="316"/>
      <c r="H66" s="317"/>
      <c r="I66" s="317"/>
      <c r="J66" s="317"/>
      <c r="K66" s="317"/>
      <c r="L66" s="316"/>
      <c r="M66" s="317"/>
      <c r="N66" s="317"/>
      <c r="O66" s="317"/>
      <c r="P66" s="317"/>
      <c r="Q66" s="316"/>
      <c r="R66" s="317"/>
      <c r="S66" s="317"/>
      <c r="T66" s="317"/>
      <c r="U66" s="317"/>
      <c r="V66" s="316">
        <f>V65/Q65-1</f>
        <v>5.8443555828975757E-2</v>
      </c>
      <c r="W66" s="317"/>
      <c r="X66" s="317"/>
      <c r="Y66" s="317"/>
      <c r="Z66" s="317"/>
      <c r="AA66" s="316">
        <f>AA65/V65-1</f>
        <v>6.8003487358326176E-2</v>
      </c>
      <c r="AB66" s="317"/>
      <c r="AC66" s="317"/>
      <c r="AD66" s="317"/>
      <c r="AE66" s="317"/>
      <c r="AF66" s="316">
        <f>AF65/AA65-1</f>
        <v>-9.9319727891156506E-2</v>
      </c>
      <c r="AG66" s="317"/>
      <c r="AH66" s="317"/>
      <c r="AI66" s="317"/>
      <c r="AJ66" s="317"/>
      <c r="AK66" s="316">
        <f>AK65/AF65-1</f>
        <v>-0.17341389728096679</v>
      </c>
      <c r="AL66" s="317"/>
      <c r="AM66" s="317"/>
      <c r="AN66" s="317"/>
      <c r="AO66" s="317"/>
      <c r="AP66" s="316">
        <f>AP65/AK65-1</f>
        <v>1.1330409356725246E-2</v>
      </c>
      <c r="AQ66" s="657"/>
      <c r="AR66" s="317"/>
      <c r="AS66" s="317"/>
      <c r="AT66" s="317"/>
      <c r="AU66" s="316">
        <f>AU65/AP65-1</f>
        <v>-0.18702565955908923</v>
      </c>
      <c r="AV66" s="657"/>
      <c r="AW66" s="317"/>
      <c r="AX66" s="317"/>
      <c r="AY66" s="317"/>
      <c r="AZ66" s="316">
        <f>AZ65/AU65-1</f>
        <v>-8.6685930206712447E-3</v>
      </c>
      <c r="BA66" s="316"/>
      <c r="BB66" s="657"/>
      <c r="BC66" s="317"/>
      <c r="BD66" s="317"/>
      <c r="BE66" s="317"/>
      <c r="BF66" s="316">
        <f>BF65/AZ65-1</f>
        <v>6.3228699551569401E-2</v>
      </c>
      <c r="BG66" s="657"/>
      <c r="BH66" s="317"/>
      <c r="BI66" s="317"/>
      <c r="BJ66" s="317"/>
      <c r="BK66" s="316"/>
      <c r="BL66" s="657">
        <f>BL65/BG65-1</f>
        <v>-8.2630691399662726E-2</v>
      </c>
      <c r="BM66" s="317">
        <f t="shared" ref="BM66:BO66" si="154">IFERROR(BM65/BH65-1,"")</f>
        <v>-5.9874888293118822E-2</v>
      </c>
      <c r="BN66" s="317">
        <f t="shared" si="154"/>
        <v>-0.13397129186602874</v>
      </c>
      <c r="BO66" s="317">
        <f t="shared" si="154"/>
        <v>8.4701815038893624E-2</v>
      </c>
      <c r="BP66" s="1180">
        <f>IFERROR(BP65/BK65-1,"")</f>
        <v>-4.9830364715860886E-2</v>
      </c>
      <c r="BQ66" s="1177">
        <v>0.05</v>
      </c>
      <c r="BR66" s="1178">
        <v>0.05</v>
      </c>
      <c r="BS66" s="1178">
        <v>0.05</v>
      </c>
      <c r="BT66" s="1179">
        <v>0.05</v>
      </c>
      <c r="BU66" s="1180">
        <f t="shared" ref="BU66" si="155">IFERROR(BU65/BP65-1,"")</f>
        <v>5.0000000000000044E-2</v>
      </c>
      <c r="BV66" s="657"/>
      <c r="BW66" s="317"/>
      <c r="BX66" s="317"/>
      <c r="BY66" s="317"/>
      <c r="BZ66" s="324"/>
      <c r="CA66" s="657"/>
      <c r="CB66" s="317"/>
      <c r="CC66" s="317"/>
      <c r="CD66" s="317"/>
      <c r="CE66" s="324"/>
      <c r="CF66" s="657"/>
      <c r="CG66" s="317"/>
      <c r="CH66" s="317"/>
      <c r="CI66" s="317"/>
      <c r="CJ66" s="324"/>
      <c r="CK66" s="673"/>
      <c r="CL66" s="674"/>
      <c r="CM66" s="733"/>
      <c r="CN66" s="1006"/>
      <c r="CO66" s="1006"/>
      <c r="CP66" s="1006"/>
      <c r="CQ66" s="1006"/>
      <c r="CR66" s="1006"/>
      <c r="CS66" s="1006"/>
      <c r="CT66" s="1006"/>
      <c r="CU66" s="1006"/>
      <c r="CV66" s="1006"/>
      <c r="CW66" s="675"/>
      <c r="CX66" s="676"/>
      <c r="CY66" s="676"/>
      <c r="CZ66"/>
      <c r="DA66"/>
      <c r="DB66"/>
      <c r="DC66"/>
      <c r="DD66"/>
    </row>
    <row r="67" spans="1:108" s="499" customFormat="1">
      <c r="A67" s="487" t="s">
        <v>37</v>
      </c>
      <c r="B67" s="490"/>
      <c r="C67" s="490"/>
      <c r="D67" s="490"/>
      <c r="E67" s="490"/>
      <c r="F67" s="490"/>
      <c r="G67" s="490"/>
      <c r="H67" s="362"/>
      <c r="I67" s="362"/>
      <c r="J67" s="362"/>
      <c r="K67" s="362"/>
      <c r="L67" s="490"/>
      <c r="M67" s="362"/>
      <c r="N67" s="362"/>
      <c r="O67" s="362"/>
      <c r="P67" s="362"/>
      <c r="Q67" s="490">
        <f>Q65/Q$62</f>
        <v>0.64773859334528794</v>
      </c>
      <c r="R67" s="362"/>
      <c r="S67" s="362"/>
      <c r="T67" s="362"/>
      <c r="U67" s="362"/>
      <c r="V67" s="490">
        <f>V65/V$62</f>
        <v>0.63710423995556376</v>
      </c>
      <c r="W67" s="362"/>
      <c r="X67" s="362"/>
      <c r="Y67" s="362"/>
      <c r="Z67" s="362"/>
      <c r="AA67" s="490">
        <f>AA65/AA$62</f>
        <v>0.63296589734757147</v>
      </c>
      <c r="AB67" s="362"/>
      <c r="AC67" s="362"/>
      <c r="AD67" s="362"/>
      <c r="AE67" s="362"/>
      <c r="AF67" s="490">
        <f>AF65/AF$62</f>
        <v>0.58996524373941717</v>
      </c>
      <c r="AG67" s="362"/>
      <c r="AH67" s="362"/>
      <c r="AI67" s="362"/>
      <c r="AJ67" s="362"/>
      <c r="AK67" s="490">
        <f>AK65/AK$62</f>
        <v>0.54627133872416889</v>
      </c>
      <c r="AL67" s="362"/>
      <c r="AM67" s="362"/>
      <c r="AN67" s="362"/>
      <c r="AO67" s="362"/>
      <c r="AP67" s="490">
        <f>AP65/AP$62</f>
        <v>0.53895597974289056</v>
      </c>
      <c r="AQ67" s="533"/>
      <c r="AR67" s="362"/>
      <c r="AS67" s="362"/>
      <c r="AT67" s="362"/>
      <c r="AU67" s="490">
        <f>AU65/AU$62</f>
        <v>0.49121083087673328</v>
      </c>
      <c r="AV67" s="533"/>
      <c r="AW67" s="362"/>
      <c r="AX67" s="362"/>
      <c r="AY67" s="362"/>
      <c r="AZ67" s="490">
        <f>AZ65/AZ$62</f>
        <v>0.49749023982152818</v>
      </c>
      <c r="BA67" s="490"/>
      <c r="BB67" s="533"/>
      <c r="BC67" s="362"/>
      <c r="BD67" s="362"/>
      <c r="BE67" s="362"/>
      <c r="BF67" s="490">
        <f>BF65/BF$62</f>
        <v>0.51616414498748231</v>
      </c>
      <c r="BG67" s="533"/>
      <c r="BH67" s="362"/>
      <c r="BI67" s="362"/>
      <c r="BJ67" s="362"/>
      <c r="BK67" s="490"/>
      <c r="BL67" s="533">
        <f t="shared" ref="BL67:BP67" si="156">BL65/BL$62</f>
        <v>0.50698974836905875</v>
      </c>
      <c r="BM67" s="362">
        <f t="shared" si="156"/>
        <v>0.5</v>
      </c>
      <c r="BN67" s="362">
        <f t="shared" si="156"/>
        <v>0.50417827298050144</v>
      </c>
      <c r="BO67" s="362">
        <f t="shared" ref="BO67" si="157">BO65/BO$62</f>
        <v>0.50462404503417768</v>
      </c>
      <c r="BP67" s="1051">
        <f t="shared" si="156"/>
        <v>0.50399280170959393</v>
      </c>
      <c r="BQ67" s="533">
        <f t="shared" ref="BQ67:BU67" si="158">BQ65/BQ$62</f>
        <v>0.5046203862395533</v>
      </c>
      <c r="BR67" s="362">
        <f t="shared" si="158"/>
        <v>0.49763033175355453</v>
      </c>
      <c r="BS67" s="362">
        <f t="shared" si="158"/>
        <v>0.50180867636574866</v>
      </c>
      <c r="BT67" s="1108">
        <f t="shared" si="158"/>
        <v>0.50225447560097114</v>
      </c>
      <c r="BU67" s="1051">
        <f t="shared" si="158"/>
        <v>0.5016231948953318</v>
      </c>
      <c r="BV67" s="533"/>
      <c r="BW67" s="362"/>
      <c r="BX67" s="362"/>
      <c r="BY67" s="362"/>
      <c r="BZ67" s="490"/>
      <c r="CA67" s="533"/>
      <c r="CB67" s="362"/>
      <c r="CC67" s="362"/>
      <c r="CD67" s="362"/>
      <c r="CE67" s="490"/>
      <c r="CF67" s="533"/>
      <c r="CG67" s="362"/>
      <c r="CH67" s="362"/>
      <c r="CI67" s="362"/>
      <c r="CJ67" s="490"/>
      <c r="CK67" s="495"/>
      <c r="CL67" s="496"/>
      <c r="CM67" s="1006"/>
      <c r="CN67" s="997"/>
      <c r="CO67" s="997"/>
      <c r="CP67" s="731"/>
      <c r="CQ67" s="731"/>
      <c r="CR67" s="731"/>
      <c r="CS67" s="731"/>
      <c r="CT67" s="731"/>
      <c r="CU67" s="731"/>
      <c r="CV67" s="731"/>
      <c r="CW67" s="497"/>
      <c r="CX67" s="498"/>
      <c r="CY67" s="498"/>
      <c r="CZ67"/>
      <c r="DA67"/>
      <c r="DB67"/>
      <c r="DC67"/>
      <c r="DD67"/>
    </row>
    <row r="68" spans="1:108" s="135" customFormat="1">
      <c r="A68" s="924" t="s">
        <v>0</v>
      </c>
      <c r="B68" s="919"/>
      <c r="C68" s="919"/>
      <c r="D68" s="919"/>
      <c r="E68" s="919"/>
      <c r="F68" s="919"/>
      <c r="G68" s="919"/>
      <c r="H68" s="920"/>
      <c r="I68" s="920"/>
      <c r="J68" s="920"/>
      <c r="K68" s="920"/>
      <c r="L68" s="919"/>
      <c r="M68" s="920"/>
      <c r="N68" s="920"/>
      <c r="O68" s="920"/>
      <c r="P68" s="920"/>
      <c r="Q68" s="919">
        <v>3536</v>
      </c>
      <c r="R68" s="920"/>
      <c r="S68" s="920"/>
      <c r="T68" s="920"/>
      <c r="U68" s="920"/>
      <c r="V68" s="919">
        <v>3920</v>
      </c>
      <c r="W68" s="920"/>
      <c r="X68" s="920"/>
      <c r="Y68" s="920"/>
      <c r="Z68" s="920"/>
      <c r="AA68" s="919">
        <v>4262</v>
      </c>
      <c r="AB68" s="920"/>
      <c r="AC68" s="920"/>
      <c r="AD68" s="920"/>
      <c r="AE68" s="920"/>
      <c r="AF68" s="919">
        <v>4601</v>
      </c>
      <c r="AG68" s="920"/>
      <c r="AH68" s="920"/>
      <c r="AI68" s="920"/>
      <c r="AJ68" s="920"/>
      <c r="AK68" s="919">
        <v>4545</v>
      </c>
      <c r="AL68" s="921"/>
      <c r="AM68" s="921"/>
      <c r="AN68" s="921"/>
      <c r="AO68" s="921"/>
      <c r="AP68" s="919">
        <v>4734</v>
      </c>
      <c r="AQ68" s="922"/>
      <c r="AR68" s="921"/>
      <c r="AS68" s="921"/>
      <c r="AT68" s="921"/>
      <c r="AU68" s="923">
        <v>4660</v>
      </c>
      <c r="AV68" s="922"/>
      <c r="AW68" s="921"/>
      <c r="AX68" s="921"/>
      <c r="AY68" s="921"/>
      <c r="AZ68" s="923">
        <v>4505</v>
      </c>
      <c r="BA68" s="923"/>
      <c r="BB68" s="922"/>
      <c r="BC68" s="920"/>
      <c r="BD68" s="920"/>
      <c r="BE68" s="920"/>
      <c r="BF68" s="923">
        <v>4445</v>
      </c>
      <c r="BG68" s="922">
        <v>1142</v>
      </c>
      <c r="BH68" s="920">
        <v>1096</v>
      </c>
      <c r="BI68" s="920">
        <v>1076</v>
      </c>
      <c r="BJ68" s="1224">
        <f>4428-BI68-BH68-BG68</f>
        <v>1114</v>
      </c>
      <c r="BK68" s="984">
        <f>+SUM(BG68:BJ68)</f>
        <v>4428</v>
      </c>
      <c r="BL68" s="984">
        <v>1058</v>
      </c>
      <c r="BM68" s="985">
        <v>1052</v>
      </c>
      <c r="BN68" s="985">
        <v>1068</v>
      </c>
      <c r="BO68" s="1224">
        <f>4410-BN68-BM68-BL68</f>
        <v>1232</v>
      </c>
      <c r="BP68" s="984">
        <f>+SUM(BL68:BO68)</f>
        <v>4410</v>
      </c>
      <c r="BQ68" s="922">
        <f t="shared" ref="BQ68" si="159">BL68*(1+BQ69)</f>
        <v>1121.48</v>
      </c>
      <c r="BR68" s="920">
        <f t="shared" ref="BR68" si="160">BM68*(1+BR69)</f>
        <v>1115.1200000000001</v>
      </c>
      <c r="BS68" s="920">
        <f t="shared" ref="BS68:BT68" si="161">BN68*(1+BS69)</f>
        <v>1132.0800000000002</v>
      </c>
      <c r="BT68" s="1116">
        <f t="shared" si="161"/>
        <v>1305.92</v>
      </c>
      <c r="BU68" s="984">
        <f>+SUM(BQ68:BT68)</f>
        <v>4674.6000000000004</v>
      </c>
      <c r="BV68" s="922"/>
      <c r="BW68" s="920"/>
      <c r="BX68" s="920"/>
      <c r="BY68" s="920"/>
      <c r="BZ68" s="919"/>
      <c r="CA68" s="922"/>
      <c r="CB68" s="920"/>
      <c r="CC68" s="920"/>
      <c r="CD68" s="920"/>
      <c r="CE68" s="919"/>
      <c r="CF68" s="922"/>
      <c r="CG68" s="920"/>
      <c r="CH68" s="920"/>
      <c r="CI68" s="920"/>
      <c r="CJ68" s="919"/>
      <c r="CK68" s="132"/>
      <c r="CL68" s="240"/>
      <c r="CM68" s="733"/>
      <c r="CN68" s="622"/>
      <c r="CO68" s="622"/>
      <c r="CP68" s="733"/>
      <c r="CQ68" s="622"/>
      <c r="CR68" s="622"/>
      <c r="CS68" s="622"/>
      <c r="CT68" s="622"/>
      <c r="CU68" s="622"/>
      <c r="CV68" s="622"/>
      <c r="CW68" s="230"/>
      <c r="CX68" s="133"/>
      <c r="CY68" s="133"/>
      <c r="CZ68"/>
      <c r="DA68"/>
      <c r="DB68"/>
      <c r="DC68"/>
      <c r="DD68"/>
    </row>
    <row r="69" spans="1:108" s="677" customFormat="1">
      <c r="A69" s="672" t="s">
        <v>21</v>
      </c>
      <c r="B69" s="316"/>
      <c r="C69" s="316"/>
      <c r="D69" s="316"/>
      <c r="E69" s="316"/>
      <c r="F69" s="316"/>
      <c r="G69" s="316"/>
      <c r="H69" s="317"/>
      <c r="I69" s="317"/>
      <c r="J69" s="317"/>
      <c r="K69" s="317"/>
      <c r="L69" s="316"/>
      <c r="M69" s="317"/>
      <c r="N69" s="317"/>
      <c r="O69" s="317"/>
      <c r="P69" s="317"/>
      <c r="Q69" s="316"/>
      <c r="R69" s="317"/>
      <c r="S69" s="317"/>
      <c r="T69" s="317"/>
      <c r="U69" s="317"/>
      <c r="V69" s="316">
        <f>V68/Q68-1</f>
        <v>0.10859728506787336</v>
      </c>
      <c r="W69" s="317"/>
      <c r="X69" s="317"/>
      <c r="Y69" s="317"/>
      <c r="Z69" s="317"/>
      <c r="AA69" s="316">
        <f>AA68/V68-1</f>
        <v>8.7244897959183776E-2</v>
      </c>
      <c r="AB69" s="317"/>
      <c r="AC69" s="317"/>
      <c r="AD69" s="317"/>
      <c r="AE69" s="317"/>
      <c r="AF69" s="316">
        <f>AF68/AA68-1</f>
        <v>7.9540122008446845E-2</v>
      </c>
      <c r="AG69" s="317"/>
      <c r="AH69" s="317"/>
      <c r="AI69" s="317"/>
      <c r="AJ69" s="317"/>
      <c r="AK69" s="316">
        <f>AK68/AF68-1</f>
        <v>-1.2171267115844375E-2</v>
      </c>
      <c r="AL69" s="317"/>
      <c r="AM69" s="317"/>
      <c r="AN69" s="317"/>
      <c r="AO69" s="317"/>
      <c r="AP69" s="316">
        <f>AP68/AK68-1</f>
        <v>4.1584158415841621E-2</v>
      </c>
      <c r="AQ69" s="657"/>
      <c r="AR69" s="317"/>
      <c r="AS69" s="317"/>
      <c r="AT69" s="317"/>
      <c r="AU69" s="765">
        <f>AU68/AP68-1</f>
        <v>-1.5631601182931942E-2</v>
      </c>
      <c r="AV69" s="657"/>
      <c r="AW69" s="317"/>
      <c r="AX69" s="317"/>
      <c r="AY69" s="317"/>
      <c r="AZ69" s="765">
        <f>AZ68/AU68-1</f>
        <v>-3.3261802575107247E-2</v>
      </c>
      <c r="BA69" s="765"/>
      <c r="BB69" s="657"/>
      <c r="BC69" s="317"/>
      <c r="BD69" s="317"/>
      <c r="BE69" s="317"/>
      <c r="BF69" s="765">
        <f>BF68/AZ68-1</f>
        <v>-1.3318534961154316E-2</v>
      </c>
      <c r="BG69" s="657"/>
      <c r="BH69" s="317"/>
      <c r="BI69" s="317"/>
      <c r="BJ69" s="317"/>
      <c r="BK69" s="765"/>
      <c r="BL69" s="657">
        <f>BL68/BG68-1</f>
        <v>-7.35551663747811E-2</v>
      </c>
      <c r="BM69" s="317">
        <f t="shared" ref="BM69:BO69" si="162">IFERROR(BM68/BH68-1,"")</f>
        <v>-4.014598540145986E-2</v>
      </c>
      <c r="BN69" s="317">
        <f t="shared" si="162"/>
        <v>-7.4349442379182396E-3</v>
      </c>
      <c r="BO69" s="317">
        <f t="shared" si="162"/>
        <v>0.10592459605026927</v>
      </c>
      <c r="BP69" s="1180">
        <f>IFERROR(BP68/BK68-1,"")</f>
        <v>-4.0650406504064707E-3</v>
      </c>
      <c r="BQ69" s="1177">
        <v>0.06</v>
      </c>
      <c r="BR69" s="1178">
        <v>0.06</v>
      </c>
      <c r="BS69" s="1178">
        <v>0.06</v>
      </c>
      <c r="BT69" s="1179">
        <v>0.06</v>
      </c>
      <c r="BU69" s="1180">
        <f t="shared" ref="BU69" si="163">IFERROR(BU68/BP68-1,"")</f>
        <v>6.0000000000000053E-2</v>
      </c>
      <c r="BV69" s="657"/>
      <c r="BW69" s="317"/>
      <c r="BX69" s="317"/>
      <c r="BY69" s="317"/>
      <c r="BZ69" s="324"/>
      <c r="CA69" s="657"/>
      <c r="CB69" s="317"/>
      <c r="CC69" s="317"/>
      <c r="CD69" s="317"/>
      <c r="CE69" s="324"/>
      <c r="CF69" s="657"/>
      <c r="CG69" s="317"/>
      <c r="CH69" s="317"/>
      <c r="CI69" s="317"/>
      <c r="CJ69" s="324"/>
      <c r="CK69" s="673"/>
      <c r="CL69" s="674"/>
      <c r="CM69" s="1007"/>
      <c r="CN69" s="1006"/>
      <c r="CO69" s="1008"/>
      <c r="CP69" s="1006"/>
      <c r="CQ69" s="1006"/>
      <c r="CR69" s="1006"/>
      <c r="CS69" s="1006"/>
      <c r="CT69" s="1006"/>
      <c r="CU69" s="1006"/>
      <c r="CV69" s="1006"/>
      <c r="CW69" s="675"/>
      <c r="CX69" s="676"/>
      <c r="CY69" s="676"/>
      <c r="CZ69"/>
      <c r="DA69"/>
      <c r="DB69"/>
      <c r="DC69"/>
      <c r="DD69"/>
    </row>
    <row r="70" spans="1:108" s="499" customFormat="1">
      <c r="A70" s="487" t="s">
        <v>37</v>
      </c>
      <c r="B70" s="490"/>
      <c r="C70" s="490"/>
      <c r="D70" s="490"/>
      <c r="E70" s="490"/>
      <c r="F70" s="490"/>
      <c r="G70" s="490"/>
      <c r="H70" s="362"/>
      <c r="I70" s="362"/>
      <c r="J70" s="362"/>
      <c r="K70" s="362"/>
      <c r="L70" s="490"/>
      <c r="M70" s="362"/>
      <c r="N70" s="362"/>
      <c r="O70" s="362"/>
      <c r="P70" s="362"/>
      <c r="Q70" s="490">
        <f>Q68/Q$62</f>
        <v>0.35226140665471212</v>
      </c>
      <c r="R70" s="362"/>
      <c r="S70" s="362"/>
      <c r="T70" s="362"/>
      <c r="U70" s="362"/>
      <c r="V70" s="490">
        <f>V68/V$62</f>
        <v>0.36289576004443619</v>
      </c>
      <c r="W70" s="362"/>
      <c r="X70" s="362"/>
      <c r="Y70" s="362"/>
      <c r="Z70" s="362"/>
      <c r="AA70" s="490">
        <f>AA68/AA$62</f>
        <v>0.36703410265242853</v>
      </c>
      <c r="AB70" s="362"/>
      <c r="AC70" s="362"/>
      <c r="AD70" s="362"/>
      <c r="AE70" s="362"/>
      <c r="AF70" s="490">
        <f>AF68/AF$62</f>
        <v>0.41003475626058283</v>
      </c>
      <c r="AG70" s="362"/>
      <c r="AH70" s="362"/>
      <c r="AI70" s="362"/>
      <c r="AJ70" s="362"/>
      <c r="AK70" s="490">
        <f>AK68/AK$62</f>
        <v>0.45372866127583111</v>
      </c>
      <c r="AL70" s="362"/>
      <c r="AM70" s="362"/>
      <c r="AN70" s="362"/>
      <c r="AO70" s="362"/>
      <c r="AP70" s="490">
        <f>AP68/AP$62</f>
        <v>0.46104402025710944</v>
      </c>
      <c r="AQ70" s="533"/>
      <c r="AR70" s="362"/>
      <c r="AS70" s="362"/>
      <c r="AT70" s="362"/>
      <c r="AU70" s="490">
        <f>AU68/AU$62</f>
        <v>0.50878916912326677</v>
      </c>
      <c r="AV70" s="533"/>
      <c r="AW70" s="362"/>
      <c r="AX70" s="362"/>
      <c r="AY70" s="362"/>
      <c r="AZ70" s="490">
        <f>AZ68/AZ$62</f>
        <v>0.50250976017847182</v>
      </c>
      <c r="BA70" s="490"/>
      <c r="BB70" s="530"/>
      <c r="BC70" s="529"/>
      <c r="BD70" s="529"/>
      <c r="BE70" s="529"/>
      <c r="BF70" s="490">
        <f>BF68/BF$62</f>
        <v>0.48383585501251769</v>
      </c>
      <c r="BG70" s="530"/>
      <c r="BH70" s="529"/>
      <c r="BI70" s="529"/>
      <c r="BJ70" s="529"/>
      <c r="BK70" s="490"/>
      <c r="BL70" s="1034">
        <f t="shared" ref="BL70:BP70" si="164">BL68/BL$62</f>
        <v>0.49301025163094131</v>
      </c>
      <c r="BM70" s="523">
        <f t="shared" si="164"/>
        <v>0.5</v>
      </c>
      <c r="BN70" s="523">
        <f t="shared" si="164"/>
        <v>0.49582172701949861</v>
      </c>
      <c r="BO70" s="523">
        <f t="shared" ref="BO70" si="165">BO68/BO$62</f>
        <v>0.49537595496582226</v>
      </c>
      <c r="BP70" s="1051">
        <f t="shared" si="164"/>
        <v>0.49600719829040602</v>
      </c>
      <c r="BQ70" s="1034">
        <f t="shared" ref="BQ70:BU70" si="166">BQ68/BQ$62</f>
        <v>0.49537961376044665</v>
      </c>
      <c r="BR70" s="523">
        <f t="shared" si="166"/>
        <v>0.50236966824644547</v>
      </c>
      <c r="BS70" s="523">
        <f t="shared" si="166"/>
        <v>0.49819132363425134</v>
      </c>
      <c r="BT70" s="1121">
        <f t="shared" si="166"/>
        <v>0.49774552439902886</v>
      </c>
      <c r="BU70" s="1051">
        <f t="shared" si="166"/>
        <v>0.49837680510466803</v>
      </c>
      <c r="BV70" s="530"/>
      <c r="BW70" s="529"/>
      <c r="BX70" s="529"/>
      <c r="BY70" s="529"/>
      <c r="BZ70" s="490"/>
      <c r="CA70" s="530"/>
      <c r="CB70" s="529"/>
      <c r="CC70" s="529"/>
      <c r="CD70" s="529"/>
      <c r="CE70" s="490"/>
      <c r="CF70" s="530"/>
      <c r="CG70" s="529"/>
      <c r="CH70" s="529"/>
      <c r="CI70" s="529"/>
      <c r="CJ70" s="490"/>
      <c r="CK70" s="495"/>
      <c r="CL70" s="496"/>
      <c r="CM70" s="622"/>
      <c r="CN70" s="622"/>
      <c r="CO70" s="661"/>
      <c r="CP70" s="997"/>
      <c r="CQ70" s="731"/>
      <c r="CR70" s="731"/>
      <c r="CS70" s="731"/>
      <c r="CT70" s="731"/>
      <c r="CU70" s="731"/>
      <c r="CV70" s="731"/>
      <c r="CW70" s="497"/>
      <c r="CX70" s="498"/>
      <c r="CY70" s="498"/>
      <c r="CZ70"/>
      <c r="DA70"/>
      <c r="DB70"/>
      <c r="DC70"/>
      <c r="DD70"/>
    </row>
    <row r="71" spans="1:108" s="198" customFormat="1" ht="12.75" customHeight="1">
      <c r="A71" s="456" t="s">
        <v>365</v>
      </c>
      <c r="B71" s="445">
        <v>4955</v>
      </c>
      <c r="C71" s="445">
        <v>5307</v>
      </c>
      <c r="D71" s="445">
        <v>7479</v>
      </c>
      <c r="E71" s="445">
        <v>9347</v>
      </c>
      <c r="F71" s="445">
        <v>9375</v>
      </c>
      <c r="G71" s="445">
        <v>9980</v>
      </c>
      <c r="H71" s="444">
        <v>9454</v>
      </c>
      <c r="I71" s="444">
        <v>8951</v>
      </c>
      <c r="J71" s="444">
        <v>9307</v>
      </c>
      <c r="K71" s="446">
        <v>9615</v>
      </c>
      <c r="L71" s="445">
        <v>9615</v>
      </c>
      <c r="M71" s="444">
        <v>10420</v>
      </c>
      <c r="N71" s="444">
        <v>10481</v>
      </c>
      <c r="O71" s="444">
        <v>11085</v>
      </c>
      <c r="P71" s="444">
        <v>10245</v>
      </c>
      <c r="Q71" s="445">
        <v>10245</v>
      </c>
      <c r="R71" s="444">
        <v>10424</v>
      </c>
      <c r="S71" s="444">
        <v>10505</v>
      </c>
      <c r="T71" s="444">
        <v>10641</v>
      </c>
      <c r="U71" s="444">
        <v>10332</v>
      </c>
      <c r="V71" s="445">
        <v>10332</v>
      </c>
      <c r="W71" s="444">
        <v>10332</v>
      </c>
      <c r="X71" s="444">
        <v>10654</v>
      </c>
      <c r="Y71" s="444">
        <v>10885</v>
      </c>
      <c r="Z71" s="444">
        <v>9821</v>
      </c>
      <c r="AA71" s="445">
        <v>9821</v>
      </c>
      <c r="AB71" s="444">
        <v>9682</v>
      </c>
      <c r="AC71" s="446">
        <v>9636</v>
      </c>
      <c r="AD71" s="446">
        <v>10637</v>
      </c>
      <c r="AE71" s="444">
        <v>9579</v>
      </c>
      <c r="AF71" s="447">
        <v>9579</v>
      </c>
      <c r="AG71" s="447">
        <v>9562</v>
      </c>
      <c r="AH71" s="446">
        <v>9299</v>
      </c>
      <c r="AI71" s="446">
        <v>10111</v>
      </c>
      <c r="AJ71" s="444">
        <v>9773</v>
      </c>
      <c r="AK71" s="445">
        <f>AJ71</f>
        <v>9773</v>
      </c>
      <c r="AL71" s="446">
        <v>9709</v>
      </c>
      <c r="AM71" s="446">
        <v>9799</v>
      </c>
      <c r="AN71" s="446">
        <v>9435</v>
      </c>
      <c r="AO71" s="444">
        <v>8520</v>
      </c>
      <c r="AP71" s="445">
        <f>AO71</f>
        <v>8520</v>
      </c>
      <c r="AQ71" s="446">
        <v>8477</v>
      </c>
      <c r="AR71" s="446">
        <v>8945</v>
      </c>
      <c r="AS71" s="446">
        <v>8873</v>
      </c>
      <c r="AT71" s="757">
        <v>8609</v>
      </c>
      <c r="AU71" s="445">
        <f>AT71</f>
        <v>8609</v>
      </c>
      <c r="AV71" s="446">
        <v>8657</v>
      </c>
      <c r="AW71" s="446">
        <v>9133</v>
      </c>
      <c r="AX71" s="446">
        <v>9416</v>
      </c>
      <c r="AY71" s="757">
        <v>8582</v>
      </c>
      <c r="AZ71" s="445">
        <f>AY71</f>
        <v>8582</v>
      </c>
      <c r="BA71" s="445"/>
      <c r="BB71" s="447">
        <v>9433</v>
      </c>
      <c r="BC71" s="444">
        <v>9800</v>
      </c>
      <c r="BD71" s="444">
        <v>9200</v>
      </c>
      <c r="BE71" s="444">
        <v>8440</v>
      </c>
      <c r="BF71" s="445">
        <f>BE71</f>
        <v>8440</v>
      </c>
      <c r="BG71" s="444">
        <v>9420</v>
      </c>
      <c r="BH71" s="444">
        <v>9801</v>
      </c>
      <c r="BI71" s="444">
        <v>9212</v>
      </c>
      <c r="BJ71" s="444">
        <v>8465</v>
      </c>
      <c r="BK71" s="445">
        <v>8465</v>
      </c>
      <c r="BL71" s="447">
        <v>8720</v>
      </c>
      <c r="BM71" s="444">
        <v>8894</v>
      </c>
      <c r="BN71" s="444">
        <v>9522</v>
      </c>
      <c r="BO71" s="444">
        <v>8874</v>
      </c>
      <c r="BP71" s="445">
        <f>BO71</f>
        <v>8874</v>
      </c>
      <c r="BQ71" s="447"/>
      <c r="BR71" s="444"/>
      <c r="BS71" s="444"/>
      <c r="BT71" s="635"/>
      <c r="BU71" s="447"/>
      <c r="BV71" s="447"/>
      <c r="BW71" s="444"/>
      <c r="BX71" s="444"/>
      <c r="BY71" s="444"/>
      <c r="BZ71" s="445"/>
      <c r="CA71" s="447"/>
      <c r="CB71" s="444"/>
      <c r="CC71" s="444"/>
      <c r="CD71" s="444"/>
      <c r="CE71" s="445"/>
      <c r="CF71" s="447"/>
      <c r="CG71" s="444"/>
      <c r="CH71" s="444"/>
      <c r="CI71" s="444"/>
      <c r="CJ71" s="445"/>
      <c r="CK71" s="197"/>
      <c r="CL71" s="229"/>
      <c r="CM71" s="661"/>
      <c r="CN71" s="661"/>
      <c r="CO71" s="661"/>
      <c r="CP71" s="661"/>
      <c r="CQ71" s="661"/>
      <c r="CR71" s="661"/>
      <c r="CS71" s="661"/>
      <c r="CT71" s="661"/>
      <c r="CU71" s="661"/>
      <c r="CV71" s="661"/>
      <c r="CW71" s="229"/>
      <c r="CX71" s="197"/>
      <c r="CY71" s="197"/>
      <c r="CZ71"/>
      <c r="DA71"/>
      <c r="DB71"/>
      <c r="DC71"/>
      <c r="DD71"/>
    </row>
    <row r="72" spans="1:108" s="198" customFormat="1">
      <c r="A72" s="443" t="s">
        <v>21</v>
      </c>
      <c r="B72" s="193"/>
      <c r="C72" s="193">
        <f>C71/B71-1</f>
        <v>7.1039354187689252E-2</v>
      </c>
      <c r="D72" s="193">
        <f>D71/C71-1</f>
        <v>0.40927077444884108</v>
      </c>
      <c r="E72" s="193">
        <f>E71/D71-1</f>
        <v>0.24976601149886357</v>
      </c>
      <c r="F72" s="193">
        <f>F71/E71-1</f>
        <v>2.9956135658499861E-3</v>
      </c>
      <c r="G72" s="193">
        <f>G71/F71-1</f>
        <v>6.4533333333333331E-2</v>
      </c>
      <c r="H72" s="194"/>
      <c r="I72" s="194"/>
      <c r="J72" s="194"/>
      <c r="K72" s="194"/>
      <c r="L72" s="193">
        <f>L71/G71-1</f>
        <v>-3.6573146292585124E-2</v>
      </c>
      <c r="M72" s="194">
        <f>M71/H71-1</f>
        <v>0.10217897186376135</v>
      </c>
      <c r="N72" s="194">
        <f>N71/I71-1</f>
        <v>0.17093062227684053</v>
      </c>
      <c r="O72" s="194">
        <f>O71/J71-1</f>
        <v>0.19103900290104225</v>
      </c>
      <c r="P72" s="194">
        <f t="shared" ref="P72:AS72" si="167">P71/K71-1</f>
        <v>6.5522620904836293E-2</v>
      </c>
      <c r="Q72" s="193">
        <f t="shared" si="167"/>
        <v>6.5522620904836293E-2</v>
      </c>
      <c r="R72" s="194">
        <f t="shared" si="167"/>
        <v>3.8387715930898736E-4</v>
      </c>
      <c r="S72" s="194">
        <f t="shared" si="167"/>
        <v>2.289857837992626E-3</v>
      </c>
      <c r="T72" s="194">
        <f t="shared" si="167"/>
        <v>-4.0054127198917433E-2</v>
      </c>
      <c r="U72" s="194">
        <f t="shared" si="167"/>
        <v>8.4919472913616012E-3</v>
      </c>
      <c r="V72" s="193">
        <f t="shared" si="167"/>
        <v>8.4919472913616012E-3</v>
      </c>
      <c r="W72" s="194">
        <f t="shared" si="167"/>
        <v>-8.8257866462010393E-3</v>
      </c>
      <c r="X72" s="194">
        <f t="shared" si="167"/>
        <v>1.4183722037125257E-2</v>
      </c>
      <c r="Y72" s="194">
        <f t="shared" si="167"/>
        <v>2.2930175735363267E-2</v>
      </c>
      <c r="Z72" s="194">
        <f t="shared" si="167"/>
        <v>-4.9457994579945819E-2</v>
      </c>
      <c r="AA72" s="193">
        <f t="shared" si="167"/>
        <v>-4.9457994579945819E-2</v>
      </c>
      <c r="AB72" s="194">
        <f t="shared" si="167"/>
        <v>-6.2911343399148278E-2</v>
      </c>
      <c r="AC72" s="194">
        <f t="shared" si="167"/>
        <v>-9.5550966773042978E-2</v>
      </c>
      <c r="AD72" s="194">
        <f t="shared" si="167"/>
        <v>-2.2783647220946279E-2</v>
      </c>
      <c r="AE72" s="194">
        <f t="shared" si="167"/>
        <v>-2.464107524691983E-2</v>
      </c>
      <c r="AF72" s="511">
        <f t="shared" si="167"/>
        <v>-2.464107524691983E-2</v>
      </c>
      <c r="AG72" s="195">
        <f t="shared" si="167"/>
        <v>-1.2394133443503375E-2</v>
      </c>
      <c r="AH72" s="194">
        <f t="shared" si="167"/>
        <v>-3.497301784973017E-2</v>
      </c>
      <c r="AI72" s="194">
        <f t="shared" si="167"/>
        <v>-4.9450032904014285E-2</v>
      </c>
      <c r="AJ72" s="194">
        <f t="shared" si="167"/>
        <v>2.0252635974527644E-2</v>
      </c>
      <c r="AK72" s="193">
        <f t="shared" si="167"/>
        <v>2.0252635974527644E-2</v>
      </c>
      <c r="AL72" s="194">
        <f t="shared" si="167"/>
        <v>1.5373352855051259E-2</v>
      </c>
      <c r="AM72" s="194">
        <f t="shared" si="167"/>
        <v>5.3769222497042746E-2</v>
      </c>
      <c r="AN72" s="194">
        <f t="shared" si="167"/>
        <v>-6.6857877559094003E-2</v>
      </c>
      <c r="AO72" s="194">
        <f t="shared" si="167"/>
        <v>-0.12821037552440395</v>
      </c>
      <c r="AP72" s="193">
        <f t="shared" si="167"/>
        <v>-0.12821037552440395</v>
      </c>
      <c r="AQ72" s="194">
        <f t="shared" si="167"/>
        <v>-0.12689257390050468</v>
      </c>
      <c r="AR72" s="194">
        <f t="shared" si="167"/>
        <v>-8.7151750178589671E-2</v>
      </c>
      <c r="AS72" s="194">
        <f t="shared" si="167"/>
        <v>-5.9565447800741911E-2</v>
      </c>
      <c r="AT72" s="194">
        <f t="shared" ref="AT72:AZ72" si="168">AT71/AO71-1</f>
        <v>1.044600938967144E-2</v>
      </c>
      <c r="AU72" s="193">
        <f t="shared" si="168"/>
        <v>1.044600938967144E-2</v>
      </c>
      <c r="AV72" s="194">
        <f t="shared" si="168"/>
        <v>2.1233927096850236E-2</v>
      </c>
      <c r="AW72" s="194">
        <f t="shared" si="168"/>
        <v>2.1017328116265999E-2</v>
      </c>
      <c r="AX72" s="194">
        <f t="shared" si="168"/>
        <v>6.1196889439873781E-2</v>
      </c>
      <c r="AY72" s="194">
        <f t="shared" si="168"/>
        <v>-3.136252758740854E-3</v>
      </c>
      <c r="AZ72" s="193">
        <f t="shared" si="168"/>
        <v>-3.136252758740854E-3</v>
      </c>
      <c r="BA72" s="193"/>
      <c r="BB72" s="194">
        <f>BB71/AV71-1</f>
        <v>8.9638442878595459E-2</v>
      </c>
      <c r="BC72" s="194">
        <f>BC71/AW71-1</f>
        <v>7.3031862476732767E-2</v>
      </c>
      <c r="BD72" s="194">
        <f>BD71/AX71-1</f>
        <v>-2.2939677145284665E-2</v>
      </c>
      <c r="BE72" s="194">
        <f>BE71/AY71-1</f>
        <v>-1.6546259613143821E-2</v>
      </c>
      <c r="BF72" s="193">
        <f>BF71/AZ71-1</f>
        <v>-1.6546259613143821E-2</v>
      </c>
      <c r="BG72" s="194"/>
      <c r="BH72" s="194"/>
      <c r="BI72" s="194"/>
      <c r="BJ72" s="194"/>
      <c r="BK72" s="193"/>
      <c r="BL72" s="194">
        <f t="shared" ref="BL72:BO72" si="169">BL71/BG71-1</f>
        <v>-7.4309978768577478E-2</v>
      </c>
      <c r="BM72" s="194">
        <f t="shared" si="169"/>
        <v>-9.2541577390062191E-2</v>
      </c>
      <c r="BN72" s="194">
        <f t="shared" si="169"/>
        <v>3.365175857577074E-2</v>
      </c>
      <c r="BO72" s="194">
        <f t="shared" si="169"/>
        <v>4.8316597755463597E-2</v>
      </c>
      <c r="BP72" s="193">
        <f>BP71/BK71-1</f>
        <v>4.8316597755463597E-2</v>
      </c>
      <c r="BQ72" s="195"/>
      <c r="BR72" s="194"/>
      <c r="BS72" s="194"/>
      <c r="BT72" s="548"/>
      <c r="BU72" s="193"/>
      <c r="BV72" s="195"/>
      <c r="BW72" s="194"/>
      <c r="BX72" s="194"/>
      <c r="BY72" s="194"/>
      <c r="BZ72" s="193"/>
      <c r="CA72" s="195"/>
      <c r="CB72" s="194"/>
      <c r="CC72" s="194"/>
      <c r="CD72" s="194"/>
      <c r="CE72" s="193"/>
      <c r="CF72" s="195"/>
      <c r="CG72" s="194"/>
      <c r="CH72" s="194"/>
      <c r="CI72" s="194"/>
      <c r="CJ72" s="193"/>
      <c r="CK72" s="196"/>
      <c r="CL72" s="238"/>
      <c r="CM72" s="622"/>
      <c r="CN72" s="661"/>
      <c r="CO72" s="661"/>
      <c r="CP72" s="661"/>
      <c r="CQ72" s="661"/>
      <c r="CR72" s="661"/>
      <c r="CS72" s="661"/>
      <c r="CT72" s="661"/>
      <c r="CU72" s="661"/>
      <c r="CV72" s="661"/>
      <c r="CW72" s="229"/>
      <c r="CX72" s="197"/>
      <c r="CY72" s="197"/>
      <c r="CZ72"/>
      <c r="DA72"/>
      <c r="DB72"/>
      <c r="DC72"/>
      <c r="DD72"/>
    </row>
    <row r="73" spans="1:108" s="520" customFormat="1">
      <c r="A73" s="531" t="s">
        <v>256</v>
      </c>
      <c r="B73" s="513"/>
      <c r="C73" s="513"/>
      <c r="D73" s="513"/>
      <c r="E73" s="513"/>
      <c r="F73" s="513"/>
      <c r="G73" s="513"/>
      <c r="H73" s="514"/>
      <c r="I73" s="514"/>
      <c r="J73" s="514"/>
      <c r="K73" s="514"/>
      <c r="L73" s="513"/>
      <c r="M73" s="514"/>
      <c r="N73" s="514"/>
      <c r="O73" s="514"/>
      <c r="P73" s="514"/>
      <c r="Q73" s="513"/>
      <c r="R73" s="514"/>
      <c r="S73" s="514"/>
      <c r="T73" s="514"/>
      <c r="U73" s="514"/>
      <c r="V73" s="513"/>
      <c r="W73" s="450">
        <v>8452</v>
      </c>
      <c r="X73" s="450">
        <v>8658</v>
      </c>
      <c r="Y73" s="450">
        <v>8666</v>
      </c>
      <c r="Z73" s="450">
        <v>7978</v>
      </c>
      <c r="AA73" s="396">
        <f>Z73</f>
        <v>7978</v>
      </c>
      <c r="AB73" s="450">
        <v>7958</v>
      </c>
      <c r="AC73" s="450">
        <v>7468</v>
      </c>
      <c r="AD73" s="450">
        <v>8248</v>
      </c>
      <c r="AE73" s="450">
        <v>7434</v>
      </c>
      <c r="AF73" s="396">
        <v>7434</v>
      </c>
      <c r="AG73" s="524">
        <v>7649</v>
      </c>
      <c r="AH73" s="450">
        <v>7348</v>
      </c>
      <c r="AI73" s="450">
        <v>8224</v>
      </c>
      <c r="AJ73" s="450">
        <v>8130</v>
      </c>
      <c r="AK73" s="513">
        <v>8130</v>
      </c>
      <c r="AL73" s="514">
        <v>8158</v>
      </c>
      <c r="AM73" s="514">
        <v>7943</v>
      </c>
      <c r="AN73" s="514">
        <v>7950</v>
      </c>
      <c r="AO73" s="514">
        <v>7253</v>
      </c>
      <c r="AP73" s="513">
        <f>AO73</f>
        <v>7253</v>
      </c>
      <c r="AQ73" s="515">
        <v>7134</v>
      </c>
      <c r="AR73" s="450">
        <v>7343</v>
      </c>
      <c r="AS73" s="450">
        <v>7421</v>
      </c>
      <c r="AT73" s="761">
        <v>7070</v>
      </c>
      <c r="AU73" s="513">
        <f>AT73</f>
        <v>7070</v>
      </c>
      <c r="AV73" s="776">
        <v>6842</v>
      </c>
      <c r="AW73" s="761">
        <v>7096</v>
      </c>
      <c r="AX73" s="761">
        <v>7294</v>
      </c>
      <c r="AY73" s="761">
        <v>6827</v>
      </c>
      <c r="AZ73" s="513">
        <f>AY73</f>
        <v>6827</v>
      </c>
      <c r="BA73" s="513"/>
      <c r="BB73" s="515">
        <v>7442</v>
      </c>
      <c r="BC73" s="514">
        <v>7508</v>
      </c>
      <c r="BD73" s="514">
        <v>7143</v>
      </c>
      <c r="BE73" s="514">
        <v>6425</v>
      </c>
      <c r="BF73" s="513">
        <f>BE73</f>
        <v>6425</v>
      </c>
      <c r="BG73" s="514">
        <v>7431</v>
      </c>
      <c r="BH73" s="514">
        <v>7509</v>
      </c>
      <c r="BI73" s="514">
        <v>7155</v>
      </c>
      <c r="BJ73" s="514">
        <v>6458</v>
      </c>
      <c r="BK73" s="1042">
        <f>BJ73</f>
        <v>6458</v>
      </c>
      <c r="BL73" s="515">
        <v>6682</v>
      </c>
      <c r="BM73" s="514">
        <v>6809</v>
      </c>
      <c r="BN73" s="450">
        <v>7109</v>
      </c>
      <c r="BO73" s="450">
        <v>6682</v>
      </c>
      <c r="BP73" s="513">
        <f>BO73</f>
        <v>6682</v>
      </c>
      <c r="BQ73" s="515"/>
      <c r="BR73" s="514"/>
      <c r="BS73" s="514"/>
      <c r="BT73" s="1112"/>
      <c r="BU73" s="513"/>
      <c r="BV73" s="515"/>
      <c r="BW73" s="514"/>
      <c r="BX73" s="514"/>
      <c r="BY73" s="514"/>
      <c r="BZ73" s="513"/>
      <c r="CA73" s="515"/>
      <c r="CB73" s="514"/>
      <c r="CC73" s="514"/>
      <c r="CD73" s="514"/>
      <c r="CE73" s="513"/>
      <c r="CF73" s="515"/>
      <c r="CG73" s="514"/>
      <c r="CH73" s="514"/>
      <c r="CI73" s="514"/>
      <c r="CJ73" s="513"/>
      <c r="CK73" s="516"/>
      <c r="CL73" s="517"/>
      <c r="CM73" s="654"/>
      <c r="CN73" s="654"/>
      <c r="CO73" s="654"/>
      <c r="CP73" s="654"/>
      <c r="CQ73" s="654"/>
      <c r="CR73" s="654"/>
      <c r="CS73" s="654"/>
      <c r="CT73" s="654"/>
      <c r="CU73" s="654"/>
      <c r="CV73" s="654"/>
      <c r="CW73" s="518"/>
      <c r="CX73" s="519"/>
      <c r="CY73" s="519"/>
      <c r="CZ73"/>
      <c r="DA73"/>
      <c r="DB73"/>
      <c r="DC73"/>
      <c r="DD73"/>
    </row>
    <row r="74" spans="1:108" s="198" customFormat="1">
      <c r="A74" s="532" t="s">
        <v>268</v>
      </c>
      <c r="B74" s="193"/>
      <c r="C74" s="193"/>
      <c r="D74" s="193"/>
      <c r="E74" s="193"/>
      <c r="F74" s="193"/>
      <c r="G74" s="193"/>
      <c r="H74" s="194"/>
      <c r="I74" s="194"/>
      <c r="J74" s="194"/>
      <c r="K74" s="194"/>
      <c r="L74" s="193"/>
      <c r="M74" s="194"/>
      <c r="N74" s="194"/>
      <c r="O74" s="194"/>
      <c r="P74" s="194"/>
      <c r="Q74" s="193"/>
      <c r="R74" s="194"/>
      <c r="S74" s="194"/>
      <c r="T74" s="194"/>
      <c r="U74" s="194"/>
      <c r="V74" s="193"/>
      <c r="W74" s="527">
        <f t="shared" ref="W74:AJ74" si="170">W73/W71</f>
        <v>0.81804103755323265</v>
      </c>
      <c r="X74" s="527">
        <f t="shared" si="170"/>
        <v>0.81265252487328699</v>
      </c>
      <c r="Y74" s="527">
        <f t="shared" si="170"/>
        <v>0.79614147909967847</v>
      </c>
      <c r="Z74" s="527">
        <f t="shared" si="170"/>
        <v>0.81234090214845733</v>
      </c>
      <c r="AA74" s="525">
        <f t="shared" si="170"/>
        <v>0.81234090214845733</v>
      </c>
      <c r="AB74" s="527">
        <f t="shared" si="170"/>
        <v>0.82193761619500105</v>
      </c>
      <c r="AC74" s="527">
        <f t="shared" si="170"/>
        <v>0.77501037775010373</v>
      </c>
      <c r="AD74" s="527">
        <f t="shared" si="170"/>
        <v>0.77540659960515179</v>
      </c>
      <c r="AE74" s="527">
        <f t="shared" si="170"/>
        <v>0.7760726589414344</v>
      </c>
      <c r="AF74" s="525">
        <f t="shared" si="170"/>
        <v>0.7760726589414344</v>
      </c>
      <c r="AG74" s="527">
        <f t="shared" si="170"/>
        <v>0.79993725162099982</v>
      </c>
      <c r="AH74" s="527">
        <f t="shared" si="170"/>
        <v>0.79019249381653944</v>
      </c>
      <c r="AI74" s="527">
        <f t="shared" si="170"/>
        <v>0.81337157551181882</v>
      </c>
      <c r="AJ74" s="527">
        <f t="shared" si="170"/>
        <v>0.83188376138340325</v>
      </c>
      <c r="AK74" s="193">
        <f t="shared" ref="AK74:AR74" si="171">AK73/AK71</f>
        <v>0.83188376138340325</v>
      </c>
      <c r="AL74" s="194">
        <f t="shared" si="171"/>
        <v>0.84025131321454316</v>
      </c>
      <c r="AM74" s="194">
        <f t="shared" si="171"/>
        <v>0.81059291764465757</v>
      </c>
      <c r="AN74" s="194">
        <f t="shared" si="171"/>
        <v>0.84260731319554849</v>
      </c>
      <c r="AO74" s="194">
        <f t="shared" si="171"/>
        <v>0.85129107981220653</v>
      </c>
      <c r="AP74" s="193">
        <f t="shared" si="171"/>
        <v>0.85129107981220653</v>
      </c>
      <c r="AQ74" s="194">
        <f t="shared" si="171"/>
        <v>0.84157131060516688</v>
      </c>
      <c r="AR74" s="194">
        <f t="shared" si="171"/>
        <v>0.82090553381777531</v>
      </c>
      <c r="AS74" s="527">
        <f t="shared" ref="AS74:AX74" si="172">AS73/AS71</f>
        <v>0.83635748901160822</v>
      </c>
      <c r="AT74" s="194">
        <f t="shared" si="172"/>
        <v>0.82123359275177144</v>
      </c>
      <c r="AU74" s="193">
        <f t="shared" si="172"/>
        <v>0.82123359275177144</v>
      </c>
      <c r="AV74" s="194">
        <f t="shared" si="172"/>
        <v>0.79034307496823375</v>
      </c>
      <c r="AW74" s="194">
        <f t="shared" si="172"/>
        <v>0.77696266287090765</v>
      </c>
      <c r="AX74" s="527">
        <f t="shared" si="172"/>
        <v>0.77463891248937977</v>
      </c>
      <c r="AY74" s="194">
        <f t="shared" ref="AY74:BK74" si="173">AY73/AY71</f>
        <v>0.7955022139361454</v>
      </c>
      <c r="AZ74" s="193">
        <f t="shared" si="173"/>
        <v>0.7955022139361454</v>
      </c>
      <c r="BA74" s="193"/>
      <c r="BB74" s="194">
        <f t="shared" si="173"/>
        <v>0.78893247111205345</v>
      </c>
      <c r="BC74" s="194">
        <f t="shared" si="173"/>
        <v>0.76612244897959181</v>
      </c>
      <c r="BD74" s="527">
        <f t="shared" si="173"/>
        <v>0.7764130434782609</v>
      </c>
      <c r="BE74" s="194">
        <f t="shared" si="173"/>
        <v>0.76125592417061616</v>
      </c>
      <c r="BF74" s="193">
        <f t="shared" si="173"/>
        <v>0.76125592417061616</v>
      </c>
      <c r="BG74" s="527">
        <f t="shared" si="173"/>
        <v>0.78885350318471337</v>
      </c>
      <c r="BH74" s="527">
        <f t="shared" si="173"/>
        <v>0.76614631160085711</v>
      </c>
      <c r="BI74" s="527">
        <f t="shared" si="173"/>
        <v>0.77670429874077296</v>
      </c>
      <c r="BJ74" s="194">
        <f t="shared" si="173"/>
        <v>0.76290608387477854</v>
      </c>
      <c r="BK74" s="193">
        <f t="shared" si="173"/>
        <v>0.76290608387477854</v>
      </c>
      <c r="BL74" s="194">
        <f t="shared" ref="BL74:BN74" si="174">BL73/BL71</f>
        <v>0.76628440366972472</v>
      </c>
      <c r="BM74" s="194">
        <f t="shared" si="174"/>
        <v>0.76557229592984033</v>
      </c>
      <c r="BN74" s="194">
        <f t="shared" si="174"/>
        <v>0.74658685150178539</v>
      </c>
      <c r="BO74" s="194">
        <f t="shared" ref="BO74:BP74" si="175">BO73/BO71</f>
        <v>0.75298625197205316</v>
      </c>
      <c r="BP74" s="193">
        <f t="shared" si="175"/>
        <v>0.75298625197205316</v>
      </c>
      <c r="BQ74" s="195"/>
      <c r="BR74" s="194"/>
      <c r="BS74" s="194"/>
      <c r="BT74" s="548"/>
      <c r="BU74" s="193"/>
      <c r="BV74" s="195"/>
      <c r="BW74" s="194"/>
      <c r="BX74" s="194"/>
      <c r="BY74" s="194"/>
      <c r="BZ74" s="193"/>
      <c r="CA74" s="195"/>
      <c r="CB74" s="194"/>
      <c r="CC74" s="194"/>
      <c r="CD74" s="194"/>
      <c r="CE74" s="193"/>
      <c r="CF74" s="195"/>
      <c r="CG74" s="194"/>
      <c r="CH74" s="194"/>
      <c r="CI74" s="194"/>
      <c r="CJ74" s="193"/>
      <c r="CK74" s="196"/>
      <c r="CL74" s="238"/>
      <c r="CM74" s="661"/>
      <c r="CN74" s="661"/>
      <c r="CO74" s="661"/>
      <c r="CP74" s="661"/>
      <c r="CQ74" s="661"/>
      <c r="CR74" s="661"/>
      <c r="CS74" s="661"/>
      <c r="CT74" s="661"/>
      <c r="CU74" s="661"/>
      <c r="CV74" s="661"/>
      <c r="CW74" s="229"/>
      <c r="CX74" s="197"/>
      <c r="CY74" s="197"/>
      <c r="CZ74"/>
      <c r="DA74"/>
      <c r="DB74"/>
      <c r="DC74"/>
      <c r="DD74"/>
    </row>
    <row r="75" spans="1:108" s="520" customFormat="1">
      <c r="A75" s="531" t="s">
        <v>258</v>
      </c>
      <c r="B75" s="513"/>
      <c r="C75" s="513"/>
      <c r="D75" s="513"/>
      <c r="E75" s="513"/>
      <c r="F75" s="513"/>
      <c r="G75" s="513"/>
      <c r="H75" s="514"/>
      <c r="I75" s="514"/>
      <c r="J75" s="514"/>
      <c r="K75" s="514"/>
      <c r="L75" s="513"/>
      <c r="M75" s="514"/>
      <c r="N75" s="514"/>
      <c r="O75" s="514"/>
      <c r="P75" s="514"/>
      <c r="Q75" s="513"/>
      <c r="R75" s="514"/>
      <c r="S75" s="514"/>
      <c r="T75" s="514"/>
      <c r="U75" s="514"/>
      <c r="V75" s="513"/>
      <c r="W75" s="450">
        <f>W71-W73</f>
        <v>1880</v>
      </c>
      <c r="X75" s="450">
        <f>X71-X73</f>
        <v>1996</v>
      </c>
      <c r="Y75" s="450">
        <f>Y71-Y73</f>
        <v>2219</v>
      </c>
      <c r="Z75" s="450">
        <f>Z71-Z73</f>
        <v>1843</v>
      </c>
      <c r="AA75" s="396">
        <f>Z75</f>
        <v>1843</v>
      </c>
      <c r="AB75" s="450">
        <f>AB71-AB73</f>
        <v>1724</v>
      </c>
      <c r="AC75" s="450">
        <f>AC71-AC73</f>
        <v>2168</v>
      </c>
      <c r="AD75" s="450">
        <f>AD71-AD73</f>
        <v>2389</v>
      </c>
      <c r="AE75" s="450">
        <f>AE71-AE73</f>
        <v>2145</v>
      </c>
      <c r="AF75" s="396">
        <v>2145</v>
      </c>
      <c r="AG75" s="450">
        <f>AG71-AG73</f>
        <v>1913</v>
      </c>
      <c r="AH75" s="450">
        <f>AH71-AH73</f>
        <v>1951</v>
      </c>
      <c r="AI75" s="450">
        <f>AI71-AI73</f>
        <v>1887</v>
      </c>
      <c r="AJ75" s="450">
        <f>AJ71-AJ73</f>
        <v>1643</v>
      </c>
      <c r="AK75" s="513">
        <v>1643</v>
      </c>
      <c r="AL75" s="514">
        <v>1551</v>
      </c>
      <c r="AM75" s="514">
        <v>1856</v>
      </c>
      <c r="AN75" s="514">
        <v>1485</v>
      </c>
      <c r="AO75" s="514">
        <v>1267</v>
      </c>
      <c r="AP75" s="513">
        <f>AO75</f>
        <v>1267</v>
      </c>
      <c r="AQ75" s="514">
        <f>AQ71-AQ73</f>
        <v>1343</v>
      </c>
      <c r="AR75" s="514">
        <f>AR71-AR73</f>
        <v>1602</v>
      </c>
      <c r="AS75" s="450">
        <v>1452</v>
      </c>
      <c r="AT75" s="761">
        <f>AT71-AT73</f>
        <v>1539</v>
      </c>
      <c r="AU75" s="513">
        <f>AT75</f>
        <v>1539</v>
      </c>
      <c r="AV75" s="514">
        <f>AV71-AV73</f>
        <v>1815</v>
      </c>
      <c r="AW75" s="514">
        <f>AW71-AW73</f>
        <v>2037</v>
      </c>
      <c r="AX75" s="514">
        <f>AX71-AX73</f>
        <v>2122</v>
      </c>
      <c r="AY75" s="761">
        <f>AY71-AY73</f>
        <v>1755</v>
      </c>
      <c r="AZ75" s="513">
        <f>AY75</f>
        <v>1755</v>
      </c>
      <c r="BA75" s="513"/>
      <c r="BB75" s="514">
        <f>BB71-BB73</f>
        <v>1991</v>
      </c>
      <c r="BC75" s="514">
        <f>BC71-BC73</f>
        <v>2292</v>
      </c>
      <c r="BD75" s="514">
        <f>BD71-BD73</f>
        <v>2057</v>
      </c>
      <c r="BE75" s="761">
        <f>BE71-BE73</f>
        <v>2015</v>
      </c>
      <c r="BF75" s="513">
        <f>BE75</f>
        <v>2015</v>
      </c>
      <c r="BG75" s="514">
        <f t="shared" ref="BG75:BK75" si="176">BG71-BG73</f>
        <v>1989</v>
      </c>
      <c r="BH75" s="514">
        <f t="shared" si="176"/>
        <v>2292</v>
      </c>
      <c r="BI75" s="514">
        <f t="shared" si="176"/>
        <v>2057</v>
      </c>
      <c r="BJ75" s="514">
        <f t="shared" si="176"/>
        <v>2007</v>
      </c>
      <c r="BK75" s="513">
        <f t="shared" si="176"/>
        <v>2007</v>
      </c>
      <c r="BL75" s="514">
        <f>BL71-BL73</f>
        <v>2038</v>
      </c>
      <c r="BM75" s="514">
        <v>2085</v>
      </c>
      <c r="BN75" s="514">
        <f>BN71-BN73</f>
        <v>2413</v>
      </c>
      <c r="BO75" s="514">
        <f>BO71-BO73</f>
        <v>2192</v>
      </c>
      <c r="BP75" s="513">
        <f>BO75</f>
        <v>2192</v>
      </c>
      <c r="BQ75" s="515"/>
      <c r="BR75" s="514"/>
      <c r="BS75" s="514"/>
      <c r="BT75" s="1112"/>
      <c r="BU75" s="513"/>
      <c r="BV75" s="515"/>
      <c r="BW75" s="514"/>
      <c r="BX75" s="514"/>
      <c r="BY75" s="514"/>
      <c r="BZ75" s="513"/>
      <c r="CA75" s="515"/>
      <c r="CB75" s="514"/>
      <c r="CC75" s="514"/>
      <c r="CD75" s="514"/>
      <c r="CE75" s="513"/>
      <c r="CF75" s="515"/>
      <c r="CG75" s="514"/>
      <c r="CH75" s="514"/>
      <c r="CI75" s="514"/>
      <c r="CJ75" s="513"/>
      <c r="CK75" s="516"/>
      <c r="CL75" s="517"/>
      <c r="CM75" s="654"/>
      <c r="CN75" s="654"/>
      <c r="CO75" s="654"/>
      <c r="CP75" s="654"/>
      <c r="CQ75" s="654"/>
      <c r="CR75" s="654"/>
      <c r="CS75" s="654"/>
      <c r="CT75" s="654"/>
      <c r="CU75" s="654"/>
      <c r="CV75" s="654"/>
      <c r="CW75" s="518"/>
      <c r="CX75" s="519"/>
      <c r="CY75" s="519"/>
      <c r="CZ75"/>
      <c r="DA75"/>
      <c r="DB75"/>
      <c r="DC75"/>
      <c r="DD75"/>
    </row>
    <row r="76" spans="1:108" s="198" customFormat="1">
      <c r="A76" s="532" t="s">
        <v>268</v>
      </c>
      <c r="B76" s="193"/>
      <c r="C76" s="193"/>
      <c r="D76" s="193"/>
      <c r="E76" s="193"/>
      <c r="F76" s="193"/>
      <c r="G76" s="193"/>
      <c r="H76" s="194"/>
      <c r="I76" s="194"/>
      <c r="J76" s="194"/>
      <c r="K76" s="194"/>
      <c r="L76" s="193"/>
      <c r="M76" s="194"/>
      <c r="N76" s="194"/>
      <c r="O76" s="194"/>
      <c r="P76" s="194"/>
      <c r="Q76" s="193"/>
      <c r="R76" s="194"/>
      <c r="S76" s="194"/>
      <c r="T76" s="194"/>
      <c r="U76" s="194"/>
      <c r="V76" s="193"/>
      <c r="W76" s="527">
        <f t="shared" ref="W76:AJ76" si="177">W75/W71</f>
        <v>0.18195896244676732</v>
      </c>
      <c r="X76" s="527">
        <f t="shared" si="177"/>
        <v>0.18734747512671296</v>
      </c>
      <c r="Y76" s="527">
        <f t="shared" si="177"/>
        <v>0.20385852090032155</v>
      </c>
      <c r="Z76" s="527">
        <f t="shared" si="177"/>
        <v>0.18765909785154261</v>
      </c>
      <c r="AA76" s="525">
        <f t="shared" si="177"/>
        <v>0.18765909785154261</v>
      </c>
      <c r="AB76" s="527">
        <f t="shared" si="177"/>
        <v>0.17806238380499897</v>
      </c>
      <c r="AC76" s="527">
        <f t="shared" si="177"/>
        <v>0.22498962224989622</v>
      </c>
      <c r="AD76" s="527">
        <f t="shared" si="177"/>
        <v>0.22459340039484818</v>
      </c>
      <c r="AE76" s="527">
        <f t="shared" si="177"/>
        <v>0.2239273410585656</v>
      </c>
      <c r="AF76" s="525">
        <f t="shared" si="177"/>
        <v>0.2239273410585656</v>
      </c>
      <c r="AG76" s="527">
        <f t="shared" si="177"/>
        <v>0.2000627483790002</v>
      </c>
      <c r="AH76" s="527">
        <f t="shared" si="177"/>
        <v>0.20980750618346058</v>
      </c>
      <c r="AI76" s="527">
        <f t="shared" si="177"/>
        <v>0.18662842448818118</v>
      </c>
      <c r="AJ76" s="527">
        <f t="shared" si="177"/>
        <v>0.16811623861659675</v>
      </c>
      <c r="AK76" s="193">
        <f t="shared" ref="AK76:AR76" si="178">AK75/AK71</f>
        <v>0.16811623861659675</v>
      </c>
      <c r="AL76" s="194">
        <f t="shared" si="178"/>
        <v>0.15974868678545678</v>
      </c>
      <c r="AM76" s="194">
        <f t="shared" si="178"/>
        <v>0.18940708235534237</v>
      </c>
      <c r="AN76" s="194">
        <f t="shared" si="178"/>
        <v>0.15739268680445151</v>
      </c>
      <c r="AO76" s="194">
        <f t="shared" si="178"/>
        <v>0.14870892018779341</v>
      </c>
      <c r="AP76" s="193">
        <f t="shared" si="178"/>
        <v>0.14870892018779341</v>
      </c>
      <c r="AQ76" s="194">
        <f t="shared" si="178"/>
        <v>0.15842868939483307</v>
      </c>
      <c r="AR76" s="194">
        <f t="shared" si="178"/>
        <v>0.17909446618222472</v>
      </c>
      <c r="AS76" s="194">
        <f t="shared" ref="AS76:AX76" si="179">AS75/AS71</f>
        <v>0.16364251098839175</v>
      </c>
      <c r="AT76" s="194">
        <f t="shared" si="179"/>
        <v>0.17876640724822859</v>
      </c>
      <c r="AU76" s="193">
        <f t="shared" si="179"/>
        <v>0.17876640724822859</v>
      </c>
      <c r="AV76" s="194">
        <f t="shared" si="179"/>
        <v>0.20965692503176619</v>
      </c>
      <c r="AW76" s="194">
        <f t="shared" si="179"/>
        <v>0.22303733712909229</v>
      </c>
      <c r="AX76" s="194">
        <f t="shared" si="179"/>
        <v>0.22536108751062023</v>
      </c>
      <c r="AY76" s="194">
        <f t="shared" ref="AY76:BG76" si="180">AY75/AY71</f>
        <v>0.20449778606385458</v>
      </c>
      <c r="AZ76" s="193">
        <f t="shared" si="180"/>
        <v>0.20449778606385458</v>
      </c>
      <c r="BA76" s="193"/>
      <c r="BB76" s="194">
        <f t="shared" si="180"/>
        <v>0.21106752888794658</v>
      </c>
      <c r="BC76" s="194">
        <f t="shared" si="180"/>
        <v>0.23387755102040816</v>
      </c>
      <c r="BD76" s="194">
        <f t="shared" si="180"/>
        <v>0.22358695652173913</v>
      </c>
      <c r="BE76" s="194">
        <f t="shared" si="180"/>
        <v>0.23874407582938389</v>
      </c>
      <c r="BF76" s="193">
        <f t="shared" si="180"/>
        <v>0.23874407582938389</v>
      </c>
      <c r="BG76" s="194">
        <f t="shared" si="180"/>
        <v>0.21114649681528663</v>
      </c>
      <c r="BH76" s="194">
        <f t="shared" ref="BH76:BK76" si="181">BH75/BH71</f>
        <v>0.23385368839914294</v>
      </c>
      <c r="BI76" s="194">
        <f t="shared" si="181"/>
        <v>0.2232957012592271</v>
      </c>
      <c r="BJ76" s="194">
        <f t="shared" si="181"/>
        <v>0.23709391612522149</v>
      </c>
      <c r="BK76" s="1222">
        <f t="shared" si="181"/>
        <v>0.23709391612522149</v>
      </c>
      <c r="BL76" s="194">
        <f t="shared" ref="BL76" si="182">BL75/BL71</f>
        <v>0.23371559633027522</v>
      </c>
      <c r="BM76" s="194">
        <f t="shared" ref="BM76:BN76" si="183">BM75/BM71</f>
        <v>0.23442770407015967</v>
      </c>
      <c r="BN76" s="194">
        <f t="shared" si="183"/>
        <v>0.25341314849821467</v>
      </c>
      <c r="BO76" s="194">
        <f t="shared" ref="BO76:BP76" si="184">BO75/BO71</f>
        <v>0.24701374802794682</v>
      </c>
      <c r="BP76" s="193">
        <f t="shared" si="184"/>
        <v>0.24701374802794682</v>
      </c>
      <c r="BQ76" s="195"/>
      <c r="BR76" s="194"/>
      <c r="BS76" s="194"/>
      <c r="BT76" s="548"/>
      <c r="BU76" s="193"/>
      <c r="BV76" s="195"/>
      <c r="BW76" s="194"/>
      <c r="BX76" s="194"/>
      <c r="BY76" s="194"/>
      <c r="BZ76" s="193"/>
      <c r="CA76" s="195"/>
      <c r="CB76" s="194"/>
      <c r="CC76" s="194"/>
      <c r="CD76" s="194"/>
      <c r="CE76" s="193"/>
      <c r="CF76" s="195"/>
      <c r="CG76" s="194"/>
      <c r="CH76" s="194"/>
      <c r="CI76" s="194"/>
      <c r="CJ76" s="193"/>
      <c r="CK76" s="196"/>
      <c r="CL76" s="238"/>
      <c r="CM76" s="661"/>
      <c r="CN76" s="661"/>
      <c r="CO76" s="661"/>
      <c r="CP76" s="661"/>
      <c r="CQ76" s="661"/>
      <c r="CR76" s="661"/>
      <c r="CS76" s="661"/>
      <c r="CT76" s="661"/>
      <c r="CU76" s="661"/>
      <c r="CV76" s="661"/>
      <c r="CW76" s="229"/>
      <c r="CX76" s="197"/>
      <c r="CY76" s="197"/>
      <c r="CZ76"/>
      <c r="DA76"/>
      <c r="DB76"/>
      <c r="DC76"/>
      <c r="DD76"/>
    </row>
    <row r="77" spans="1:108" s="198" customFormat="1" ht="12.75" customHeight="1">
      <c r="A77" s="452" t="s">
        <v>139</v>
      </c>
      <c r="B77" s="448"/>
      <c r="C77" s="448">
        <f t="shared" ref="C77:K77" si="185">C71-(B71-C62)</f>
        <v>4021</v>
      </c>
      <c r="D77" s="448">
        <f t="shared" si="185"/>
        <v>7061</v>
      </c>
      <c r="E77" s="448">
        <f t="shared" si="185"/>
        <v>8590</v>
      </c>
      <c r="F77" s="448">
        <f t="shared" si="185"/>
        <v>7854</v>
      </c>
      <c r="G77" s="448">
        <f t="shared" si="185"/>
        <v>9629</v>
      </c>
      <c r="H77" s="449">
        <f t="shared" si="185"/>
        <v>1855</v>
      </c>
      <c r="I77" s="449">
        <f t="shared" si="185"/>
        <v>1896</v>
      </c>
      <c r="J77" s="449">
        <f t="shared" si="185"/>
        <v>2757</v>
      </c>
      <c r="K77" s="453">
        <f t="shared" si="185"/>
        <v>2749</v>
      </c>
      <c r="L77" s="448">
        <f>L71-(G71-L62)</f>
        <v>9257</v>
      </c>
      <c r="M77" s="449">
        <f>M71-(L71-M62)</f>
        <v>3156</v>
      </c>
      <c r="N77" s="449">
        <f>N71-(M71-N62)</f>
        <v>2626</v>
      </c>
      <c r="O77" s="449">
        <f>O71-(N71-O62)</f>
        <v>3118</v>
      </c>
      <c r="P77" s="449">
        <f>P71-(O71-P62)</f>
        <v>1768</v>
      </c>
      <c r="Q77" s="448">
        <f>Q71-(L71-Q62)</f>
        <v>10668</v>
      </c>
      <c r="R77" s="449">
        <f>R71-(Q71-R62)</f>
        <v>2912</v>
      </c>
      <c r="S77" s="449">
        <f>S71-(R71-S62)</f>
        <v>2736</v>
      </c>
      <c r="T77" s="449">
        <f>T71-(S71-T62)</f>
        <v>2870</v>
      </c>
      <c r="U77" s="449">
        <f>U71-(T71-U62)</f>
        <v>2371</v>
      </c>
      <c r="V77" s="448">
        <f>V71-(Q71-V62)</f>
        <v>10889</v>
      </c>
      <c r="W77" s="449">
        <f>W71-(V71-W62)</f>
        <v>2752</v>
      </c>
      <c r="X77" s="449">
        <f>X71-(W71-X62)</f>
        <v>3295</v>
      </c>
      <c r="Y77" s="449">
        <f>Y71-(X71-Y62)</f>
        <v>3182</v>
      </c>
      <c r="Z77" s="453">
        <f>Z71-(Y71-Z62)</f>
        <v>1872</v>
      </c>
      <c r="AA77" s="448">
        <f>AA71-(V71-AA62)</f>
        <v>11101</v>
      </c>
      <c r="AB77" s="449">
        <f>AB71-(AA71-AB62)</f>
        <v>2675</v>
      </c>
      <c r="AC77" s="449">
        <f>AC71-(AB71-AC62)</f>
        <v>2760</v>
      </c>
      <c r="AD77" s="449">
        <f>AD71-(AC71-AD62)</f>
        <v>3681</v>
      </c>
      <c r="AE77" s="449">
        <f>AE71-(AD71-AE62)</f>
        <v>1863</v>
      </c>
      <c r="AF77" s="448">
        <f>AF71-(AA71-AF62)</f>
        <v>10979</v>
      </c>
      <c r="AG77" s="451">
        <f>AG71-(AF71-AG62)</f>
        <v>2423</v>
      </c>
      <c r="AH77" s="449">
        <f>AH71-(AG71-AH62)</f>
        <v>2265</v>
      </c>
      <c r="AI77" s="449">
        <f>AI71-(AH71-AI62)</f>
        <v>3284</v>
      </c>
      <c r="AJ77" s="453">
        <f>AJ71-(AI71-AJ62)</f>
        <v>2239</v>
      </c>
      <c r="AK77" s="448">
        <f>AK71-(AF71-AK62)</f>
        <v>10211</v>
      </c>
      <c r="AL77" s="449">
        <f>AL71-(AK71-AL62)</f>
        <v>2383</v>
      </c>
      <c r="AM77" s="449">
        <f>AM71-(AL71-AM62)</f>
        <v>2640</v>
      </c>
      <c r="AN77" s="449">
        <f>AN71-(AM71-AN62)</f>
        <v>2216</v>
      </c>
      <c r="AO77" s="449">
        <f>AO71-(AN71-AO62)</f>
        <v>1776</v>
      </c>
      <c r="AP77" s="448">
        <f>AP71-(AK71-AP62)</f>
        <v>9015</v>
      </c>
      <c r="AQ77" s="449">
        <f>AQ71-(AP71-AQ62)</f>
        <v>2238</v>
      </c>
      <c r="AR77" s="449">
        <f>AR71-(AQ71-AR62)</f>
        <v>2631</v>
      </c>
      <c r="AS77" s="449">
        <f>AS71-(AR71-AS62)</f>
        <v>2175</v>
      </c>
      <c r="AT77" s="449">
        <f>AT71-(AS71-AT62)</f>
        <v>2204</v>
      </c>
      <c r="AU77" s="448">
        <f>AU71-(AP71-AU62)</f>
        <v>9248</v>
      </c>
      <c r="AV77" s="449">
        <f>AV71-(AU71-AV62)</f>
        <v>2418</v>
      </c>
      <c r="AW77" s="449">
        <f>AW71-(AV71-AW62)</f>
        <v>2691</v>
      </c>
      <c r="AX77" s="449">
        <f>AX71-(AW71-AX62)</f>
        <v>2502</v>
      </c>
      <c r="AY77" s="449">
        <f>AY71-(AX71-AY62)</f>
        <v>1327</v>
      </c>
      <c r="AZ77" s="448">
        <f>AZ71-(AU71-AZ62)</f>
        <v>8938</v>
      </c>
      <c r="BA77" s="448"/>
      <c r="BB77" s="449">
        <f>BB71-(AZ71-BB62)</f>
        <v>3184</v>
      </c>
      <c r="BC77" s="449">
        <f>BC71-(BB71-BC62)</f>
        <v>2596</v>
      </c>
      <c r="BD77" s="449">
        <f>BD71-(BC71-BD62)</f>
        <v>1741</v>
      </c>
      <c r="BE77" s="449">
        <f>BE71-(BD71-BE62)</f>
        <v>1524</v>
      </c>
      <c r="BF77" s="448">
        <f>BF71-(AZ71-BF62)</f>
        <v>9045</v>
      </c>
      <c r="BG77" s="449"/>
      <c r="BH77" s="449">
        <f>BH71-(BG71-BH62)</f>
        <v>2596</v>
      </c>
      <c r="BI77" s="449">
        <f>BI71-(BH71-BI62)</f>
        <v>1741</v>
      </c>
      <c r="BJ77" s="449">
        <f>BJ71-(BI71-BJ62)</f>
        <v>1524</v>
      </c>
      <c r="BK77" s="448">
        <f>BK71-(AZ71-BK62)</f>
        <v>9027</v>
      </c>
      <c r="BL77" s="449">
        <f>BL71-(BK71-BL62)</f>
        <v>2401</v>
      </c>
      <c r="BM77" s="449">
        <f>BM71-(BL71-BM62)</f>
        <v>2278</v>
      </c>
      <c r="BN77" s="449">
        <f>BN71-(BM71-BN62)</f>
        <v>2782</v>
      </c>
      <c r="BO77" s="449">
        <f>BO71-(BN71-BO62)</f>
        <v>1839</v>
      </c>
      <c r="BP77" s="448">
        <f>BP71-(BK71-BP62)</f>
        <v>9300</v>
      </c>
      <c r="BQ77" s="451"/>
      <c r="BR77" s="449"/>
      <c r="BS77" s="449"/>
      <c r="BT77" s="453"/>
      <c r="BU77" s="448"/>
      <c r="BV77" s="451"/>
      <c r="BW77" s="449"/>
      <c r="BX77" s="449"/>
      <c r="BY77" s="449"/>
      <c r="BZ77" s="448"/>
      <c r="CA77" s="451"/>
      <c r="CB77" s="449"/>
      <c r="CC77" s="449"/>
      <c r="CD77" s="449"/>
      <c r="CE77" s="448"/>
      <c r="CF77" s="451"/>
      <c r="CG77" s="449"/>
      <c r="CH77" s="449"/>
      <c r="CI77" s="449"/>
      <c r="CJ77" s="448"/>
      <c r="CK77" s="197"/>
      <c r="CL77" s="229"/>
      <c r="CM77" s="661"/>
      <c r="CN77" s="661"/>
      <c r="CO77" s="661"/>
      <c r="CP77" s="661"/>
      <c r="CQ77" s="661"/>
      <c r="CR77" s="661"/>
      <c r="CS77" s="661"/>
      <c r="CT77" s="661"/>
      <c r="CU77" s="661"/>
      <c r="CV77" s="661"/>
      <c r="CW77" s="229"/>
      <c r="CX77" s="197"/>
      <c r="CY77" s="197"/>
      <c r="CZ77"/>
      <c r="DA77"/>
      <c r="DB77"/>
      <c r="DC77"/>
      <c r="DD77"/>
    </row>
    <row r="78" spans="1:108" s="718" customFormat="1" ht="12.75" customHeight="1">
      <c r="A78" s="712" t="s">
        <v>140</v>
      </c>
      <c r="B78" s="713"/>
      <c r="C78" s="713">
        <f t="shared" ref="C78:AH78" si="186">C77/C62</f>
        <v>1.0959389479422186</v>
      </c>
      <c r="D78" s="713">
        <f t="shared" si="186"/>
        <v>1.4442626303947637</v>
      </c>
      <c r="E78" s="713">
        <f t="shared" si="186"/>
        <v>1.2778934840821183</v>
      </c>
      <c r="F78" s="713">
        <f t="shared" si="186"/>
        <v>1.0035778175313059</v>
      </c>
      <c r="G78" s="713">
        <f t="shared" si="186"/>
        <v>1.067043439716312</v>
      </c>
      <c r="H78" s="714">
        <f t="shared" si="186"/>
        <v>0.77908441831163378</v>
      </c>
      <c r="I78" s="715">
        <f t="shared" si="186"/>
        <v>0.79032930387661526</v>
      </c>
      <c r="J78" s="715">
        <f t="shared" si="186"/>
        <v>1.1482715535193668</v>
      </c>
      <c r="K78" s="719">
        <f t="shared" si="186"/>
        <v>1.1261777959852519</v>
      </c>
      <c r="L78" s="713">
        <f t="shared" si="186"/>
        <v>0.96206609852421532</v>
      </c>
      <c r="M78" s="715">
        <f t="shared" si="186"/>
        <v>1.3424074861760953</v>
      </c>
      <c r="N78" s="715">
        <f t="shared" si="186"/>
        <v>1.0237816764132555</v>
      </c>
      <c r="O78" s="715">
        <f t="shared" si="186"/>
        <v>1.2402545743834528</v>
      </c>
      <c r="P78" s="715">
        <f t="shared" si="186"/>
        <v>0.67791411042944782</v>
      </c>
      <c r="Q78" s="713">
        <f t="shared" si="186"/>
        <v>1.0627615062761506</v>
      </c>
      <c r="R78" s="715">
        <f t="shared" si="186"/>
        <v>1.0654957921697767</v>
      </c>
      <c r="S78" s="715">
        <f t="shared" si="186"/>
        <v>1.0305084745762711</v>
      </c>
      <c r="T78" s="715">
        <f t="shared" si="186"/>
        <v>1.0497439648866129</v>
      </c>
      <c r="U78" s="715">
        <f t="shared" si="186"/>
        <v>0.88470149253731345</v>
      </c>
      <c r="V78" s="713">
        <f t="shared" si="186"/>
        <v>1.0080540640622107</v>
      </c>
      <c r="W78" s="715">
        <f t="shared" si="186"/>
        <v>1</v>
      </c>
      <c r="X78" s="715">
        <f t="shared" si="186"/>
        <v>1.1083081062899429</v>
      </c>
      <c r="Y78" s="715">
        <f t="shared" si="186"/>
        <v>1.0782785496441885</v>
      </c>
      <c r="Z78" s="719">
        <f t="shared" si="186"/>
        <v>0.63760217983651224</v>
      </c>
      <c r="AA78" s="713">
        <f t="shared" si="186"/>
        <v>0.95599379951774022</v>
      </c>
      <c r="AB78" s="714">
        <f t="shared" si="186"/>
        <v>0.95060412224591329</v>
      </c>
      <c r="AC78" s="715">
        <f t="shared" si="186"/>
        <v>0.98360655737704916</v>
      </c>
      <c r="AD78" s="715">
        <f t="shared" si="186"/>
        <v>1.3735074626865671</v>
      </c>
      <c r="AE78" s="715">
        <f t="shared" si="186"/>
        <v>0.63779527559055116</v>
      </c>
      <c r="AF78" s="713">
        <f t="shared" si="186"/>
        <v>0.97843329471526597</v>
      </c>
      <c r="AG78" s="714">
        <f t="shared" si="186"/>
        <v>0.99303278688524588</v>
      </c>
      <c r="AH78" s="715">
        <f t="shared" si="186"/>
        <v>0.89596518987341767</v>
      </c>
      <c r="AI78" s="715">
        <f t="shared" ref="AI78:AZ78" si="187">AI77/AI62</f>
        <v>1.3284789644012944</v>
      </c>
      <c r="AJ78" s="719">
        <f t="shared" si="187"/>
        <v>0.86883973612727983</v>
      </c>
      <c r="AK78" s="713">
        <f t="shared" si="187"/>
        <v>1.0193670759708495</v>
      </c>
      <c r="AL78" s="714">
        <f t="shared" si="187"/>
        <v>0.97384552513281575</v>
      </c>
      <c r="AM78" s="715">
        <f t="shared" si="187"/>
        <v>1.0352941176470589</v>
      </c>
      <c r="AN78" s="715">
        <f t="shared" si="187"/>
        <v>0.85891472868217056</v>
      </c>
      <c r="AO78" s="715">
        <f t="shared" si="187"/>
        <v>0.65997770345596429</v>
      </c>
      <c r="AP78" s="713">
        <f t="shared" si="187"/>
        <v>0.8779703934553954</v>
      </c>
      <c r="AQ78" s="714">
        <f t="shared" si="187"/>
        <v>0.98114861902674266</v>
      </c>
      <c r="AR78" s="715">
        <f t="shared" si="187"/>
        <v>1.2163661581137308</v>
      </c>
      <c r="AS78" s="715">
        <f t="shared" si="187"/>
        <v>0.96795727636849127</v>
      </c>
      <c r="AT78" s="715">
        <f t="shared" si="187"/>
        <v>0.89303079416531606</v>
      </c>
      <c r="AU78" s="713">
        <f t="shared" si="187"/>
        <v>1.0097172180369036</v>
      </c>
      <c r="AV78" s="714">
        <f t="shared" si="187"/>
        <v>1.0202531645569621</v>
      </c>
      <c r="AW78" s="715">
        <f t="shared" si="187"/>
        <v>1.2148984198645598</v>
      </c>
      <c r="AX78" s="715">
        <f t="shared" si="187"/>
        <v>1.1275349256421812</v>
      </c>
      <c r="AY78" s="715">
        <f t="shared" si="187"/>
        <v>0.61406756131420637</v>
      </c>
      <c r="AZ78" s="713">
        <f t="shared" si="187"/>
        <v>0.99698828778583382</v>
      </c>
      <c r="BA78" s="713"/>
      <c r="BB78" s="714">
        <f>BB77/BB62</f>
        <v>1.3647663951993141</v>
      </c>
      <c r="BC78" s="715">
        <f>BC77/BC62</f>
        <v>1.164647824136384</v>
      </c>
      <c r="BD78" s="715">
        <f>BD77/BD62</f>
        <v>0.7436992738146091</v>
      </c>
      <c r="BE78" s="715">
        <f>BE77/BE62</f>
        <v>0.66725043782837123</v>
      </c>
      <c r="BF78" s="713">
        <f>BF77/BF62</f>
        <v>0.98454337651028623</v>
      </c>
      <c r="BG78" s="714"/>
      <c r="BH78" s="715">
        <f t="shared" ref="BH78:BP78" si="188">BH77/BH62</f>
        <v>1.1720090293453724</v>
      </c>
      <c r="BI78" s="715">
        <f t="shared" si="188"/>
        <v>0.74721030042918457</v>
      </c>
      <c r="BJ78" s="715">
        <f t="shared" si="188"/>
        <v>0.67107001321003967</v>
      </c>
      <c r="BK78" s="713">
        <f t="shared" si="188"/>
        <v>0.98720472440944884</v>
      </c>
      <c r="BL78" s="714">
        <f t="shared" si="188"/>
        <v>1.1188257222739981</v>
      </c>
      <c r="BM78" s="715">
        <f t="shared" si="188"/>
        <v>1.082699619771863</v>
      </c>
      <c r="BN78" s="715">
        <f t="shared" si="188"/>
        <v>1.2915506035283193</v>
      </c>
      <c r="BO78" s="715">
        <f t="shared" si="188"/>
        <v>0.73944511459589868</v>
      </c>
      <c r="BP78" s="713">
        <f t="shared" si="188"/>
        <v>1.0460015746260263</v>
      </c>
      <c r="BQ78" s="714"/>
      <c r="BR78" s="715"/>
      <c r="BS78" s="715"/>
      <c r="BT78" s="719"/>
      <c r="BU78" s="713"/>
      <c r="BV78" s="714"/>
      <c r="BW78" s="715"/>
      <c r="BX78" s="715"/>
      <c r="BY78" s="715"/>
      <c r="BZ78" s="713"/>
      <c r="CA78" s="714"/>
      <c r="CB78" s="715"/>
      <c r="CC78" s="715"/>
      <c r="CD78" s="715"/>
      <c r="CE78" s="713"/>
      <c r="CF78" s="714"/>
      <c r="CG78" s="715"/>
      <c r="CH78" s="715"/>
      <c r="CI78" s="715"/>
      <c r="CJ78" s="713"/>
      <c r="CK78" s="716"/>
      <c r="CL78" s="717"/>
      <c r="CM78" s="1004"/>
      <c r="CN78" s="1004"/>
      <c r="CO78" s="1004"/>
      <c r="CP78" s="1004"/>
      <c r="CQ78" s="1004"/>
      <c r="CR78" s="1004"/>
      <c r="CS78" s="1004"/>
      <c r="CT78" s="1004"/>
      <c r="CU78" s="1004"/>
      <c r="CV78" s="1004"/>
      <c r="CW78" s="717"/>
      <c r="CX78" s="716"/>
      <c r="CY78" s="716"/>
      <c r="CZ78"/>
      <c r="DA78"/>
      <c r="DB78"/>
      <c r="DC78"/>
      <c r="DD78"/>
    </row>
    <row r="79" spans="1:108" s="718" customFormat="1" ht="12.75" customHeight="1">
      <c r="A79" s="712" t="s">
        <v>203</v>
      </c>
      <c r="B79" s="713">
        <f t="shared" ref="B79:G79" si="189">B71/B62</f>
        <v>1.8413229282794501</v>
      </c>
      <c r="C79" s="713">
        <f t="shared" si="189"/>
        <v>1.4464431725265741</v>
      </c>
      <c r="D79" s="713">
        <f t="shared" si="189"/>
        <v>1.5297606872571079</v>
      </c>
      <c r="E79" s="713">
        <f t="shared" si="189"/>
        <v>1.3905087771496578</v>
      </c>
      <c r="F79" s="713">
        <f t="shared" si="189"/>
        <v>1.1979299769997445</v>
      </c>
      <c r="G79" s="713">
        <f t="shared" si="189"/>
        <v>1.1059397163120568</v>
      </c>
      <c r="H79" s="715">
        <f>H71/H62/4</f>
        <v>0.99265014699706011</v>
      </c>
      <c r="I79" s="715">
        <f>I71/I62/4</f>
        <v>0.93278449353897452</v>
      </c>
      <c r="J79" s="715">
        <f>J71/J62/4</f>
        <v>0.96907538525614323</v>
      </c>
      <c r="K79" s="715">
        <f>K71/K62/4</f>
        <v>0.9847398607128226</v>
      </c>
      <c r="L79" s="713">
        <f>L71/L62</f>
        <v>0.99927250051964245</v>
      </c>
      <c r="M79" s="715">
        <f>M71/M62/4</f>
        <v>1.1080391322841343</v>
      </c>
      <c r="N79" s="715">
        <f>N71/N62/4</f>
        <v>1.0215399610136453</v>
      </c>
      <c r="O79" s="715">
        <f>O71/O62/4</f>
        <v>1.1023269689737469</v>
      </c>
      <c r="P79" s="715">
        <f>P71/P62/4</f>
        <v>0.98207438650306744</v>
      </c>
      <c r="Q79" s="713">
        <f>Q71/Q62</f>
        <v>1.0206216377764494</v>
      </c>
      <c r="R79" s="715">
        <f>R71/R62/4</f>
        <v>0.95353091840468351</v>
      </c>
      <c r="S79" s="715">
        <f>S71/S62/4</f>
        <v>0.98917137476459516</v>
      </c>
      <c r="T79" s="715">
        <f>T71/T62/4</f>
        <v>0.97302487198244325</v>
      </c>
      <c r="U79" s="715">
        <f>U71/U62/4</f>
        <v>0.96380597014925373</v>
      </c>
      <c r="V79" s="713">
        <f>V71/V62</f>
        <v>0.95648953897426403</v>
      </c>
      <c r="W79" s="715">
        <f>W71/W62/4</f>
        <v>0.93859011627906974</v>
      </c>
      <c r="X79" s="715">
        <f>X71/X62/4</f>
        <v>0.89589640094180967</v>
      </c>
      <c r="Y79" s="715">
        <f>Y71/Y62/4</f>
        <v>0.9221450355811589</v>
      </c>
      <c r="Z79" s="715">
        <f>Z71/Z62/4</f>
        <v>0.83625681198910085</v>
      </c>
      <c r="AA79" s="713">
        <f>AA71/AA62</f>
        <v>0.84576300378918357</v>
      </c>
      <c r="AB79" s="715">
        <f>AB71/AB62/4</f>
        <v>0.86016346837242363</v>
      </c>
      <c r="AC79" s="715">
        <f>AC71/AC62/4</f>
        <v>0.85851746258018535</v>
      </c>
      <c r="AD79" s="715">
        <f>AD71/AD62/4</f>
        <v>0.99225746268656712</v>
      </c>
      <c r="AE79" s="715">
        <f>AE71/AE62/4</f>
        <v>0.81983909619993156</v>
      </c>
      <c r="AF79" s="713">
        <f>AF71/AF62</f>
        <v>0.85366723108457354</v>
      </c>
      <c r="AG79" s="715">
        <f>AG71/AG62/4</f>
        <v>0.97971311475409839</v>
      </c>
      <c r="AH79" s="715">
        <f>AH71/AH62/4</f>
        <v>0.91960047468354433</v>
      </c>
      <c r="AI79" s="715">
        <f>AI71/AI62/4</f>
        <v>1.0225525889967637</v>
      </c>
      <c r="AJ79" s="715">
        <f>AJ71/AJ62/4</f>
        <v>0.94809856422196348</v>
      </c>
      <c r="AK79" s="713">
        <f>AK71/AK62</f>
        <v>0.97564140960367374</v>
      </c>
      <c r="AL79" s="715">
        <f>AL71/AL62/4</f>
        <v>0.99192889252145489</v>
      </c>
      <c r="AM79" s="715">
        <f>AM71/AM62/4</f>
        <v>0.96068627450980393</v>
      </c>
      <c r="AN79" s="715">
        <f>AN71/AN62/4</f>
        <v>0.91424418604651159</v>
      </c>
      <c r="AO79" s="715">
        <f>AO71/AO62/4</f>
        <v>0.79152731326644366</v>
      </c>
      <c r="AP79" s="713">
        <f>AP71/AP62</f>
        <v>0.82976236852356833</v>
      </c>
      <c r="AQ79" s="715">
        <f>AQ71/AQ62/4</f>
        <v>0.92908811924594481</v>
      </c>
      <c r="AR79" s="715">
        <f>AR71/AR62/4</f>
        <v>1.0338650023116043</v>
      </c>
      <c r="AS79" s="715">
        <f>AS71/AS62/4</f>
        <v>0.98720516243880729</v>
      </c>
      <c r="AT79" s="715">
        <f>AT71/AT62/4</f>
        <v>0.87206239870340352</v>
      </c>
      <c r="AU79" s="713">
        <f>AU71/AU62</f>
        <v>0.93994977617643849</v>
      </c>
      <c r="AV79" s="715">
        <f>AV71/AV62/4</f>
        <v>0.91318565400843887</v>
      </c>
      <c r="AW79" s="715">
        <f>AW71/AW62/4</f>
        <v>1.0308126410835214</v>
      </c>
      <c r="AX79" s="715">
        <f>AX71/AX62/4</f>
        <v>1.0608382154123479</v>
      </c>
      <c r="AY79" s="715">
        <f>AY71/AY62/4</f>
        <v>0.99282739472466452</v>
      </c>
      <c r="AZ79" s="713">
        <f>AZ71/AZ62</f>
        <v>0.95727830451756835</v>
      </c>
      <c r="BA79" s="713"/>
      <c r="BB79" s="715">
        <f>BB71/BB62/4</f>
        <v>1.010822974710673</v>
      </c>
      <c r="BC79" s="715">
        <f>BC71/BC62/4</f>
        <v>1.0991475998205473</v>
      </c>
      <c r="BD79" s="715">
        <f>BD71/BD62/4</f>
        <v>0.98248611704399824</v>
      </c>
      <c r="BE79" s="715">
        <f>BE71/BE62/4</f>
        <v>0.92381786339754812</v>
      </c>
      <c r="BF79" s="713">
        <f>BF71/BF62</f>
        <v>0.91868945248721023</v>
      </c>
      <c r="BG79" s="715">
        <f>BG71/BG62/4</f>
        <v>1.0115979381443299</v>
      </c>
      <c r="BH79" s="715">
        <f>BH71/BH62/4</f>
        <v>1.1062076749435665</v>
      </c>
      <c r="BI79" s="715">
        <f>BI71/BI62/4</f>
        <v>0.98841201716738203</v>
      </c>
      <c r="BJ79" s="715">
        <f>BJ71/BJ62/4</f>
        <v>0.93185821224130339</v>
      </c>
      <c r="BK79" s="713">
        <f>BK71/BK62</f>
        <v>0.92574365704286965</v>
      </c>
      <c r="BL79" s="715">
        <f>BL71/BL62/4</f>
        <v>1.0158434296365331</v>
      </c>
      <c r="BM79" s="715">
        <f>BM71/BM62/4</f>
        <v>1.0567965779467681</v>
      </c>
      <c r="BN79" s="715">
        <f>BN71/BN62/4</f>
        <v>1.1051532033426184</v>
      </c>
      <c r="BO79" s="715">
        <f>BO71/BO62/4</f>
        <v>0.89203860072376362</v>
      </c>
      <c r="BP79" s="713">
        <f>BP71/BP62</f>
        <v>0.99808795411089868</v>
      </c>
      <c r="BQ79" s="714"/>
      <c r="BR79" s="715"/>
      <c r="BS79" s="715"/>
      <c r="BT79" s="719"/>
      <c r="BU79" s="713"/>
      <c r="BV79" s="714"/>
      <c r="BW79" s="715"/>
      <c r="BX79" s="715"/>
      <c r="BY79" s="715"/>
      <c r="BZ79" s="713"/>
      <c r="CA79" s="714"/>
      <c r="CB79" s="715"/>
      <c r="CC79" s="715"/>
      <c r="CD79" s="715"/>
      <c r="CE79" s="713"/>
      <c r="CF79" s="714"/>
      <c r="CG79" s="715"/>
      <c r="CH79" s="715"/>
      <c r="CI79" s="715"/>
      <c r="CJ79" s="713"/>
      <c r="CK79" s="716"/>
      <c r="CL79" s="717"/>
      <c r="CM79" s="1004"/>
      <c r="CN79" s="1004"/>
      <c r="CO79" s="1004"/>
      <c r="CP79" s="1004"/>
      <c r="CQ79" s="1004"/>
      <c r="CR79" s="1004"/>
      <c r="CS79" s="1004"/>
      <c r="CT79" s="1004"/>
      <c r="CU79" s="1004"/>
      <c r="CV79" s="1004"/>
      <c r="CW79" s="717"/>
      <c r="CX79" s="716"/>
      <c r="CY79" s="716"/>
      <c r="CZ79"/>
      <c r="DA79"/>
      <c r="DB79"/>
      <c r="DC79"/>
      <c r="DD79"/>
    </row>
    <row r="80" spans="1:108" s="718" customFormat="1" ht="12.75" customHeight="1">
      <c r="A80" s="267" t="s">
        <v>400</v>
      </c>
      <c r="B80" s="35"/>
      <c r="C80" s="35"/>
      <c r="D80" s="35"/>
      <c r="E80" s="35"/>
      <c r="F80" s="35"/>
      <c r="G80" s="35"/>
      <c r="H80" s="36"/>
      <c r="I80" s="36"/>
      <c r="J80" s="36"/>
      <c r="K80" s="37"/>
      <c r="L80" s="35"/>
      <c r="M80" s="36"/>
      <c r="N80" s="36"/>
      <c r="O80" s="36"/>
      <c r="P80" s="37"/>
      <c r="Q80" s="35"/>
      <c r="R80" s="36"/>
      <c r="S80" s="36"/>
      <c r="T80" s="36"/>
      <c r="U80" s="37"/>
      <c r="V80" s="35"/>
      <c r="W80" s="36"/>
      <c r="X80" s="36"/>
      <c r="Y80" s="36"/>
      <c r="Z80" s="37"/>
      <c r="AA80" s="35"/>
      <c r="AB80" s="36"/>
      <c r="AC80" s="36"/>
      <c r="AD80" s="36"/>
      <c r="AE80" s="37"/>
      <c r="AF80" s="35"/>
      <c r="AG80" s="36"/>
      <c r="AH80" s="36"/>
      <c r="AI80" s="36"/>
      <c r="AJ80" s="37"/>
      <c r="AK80" s="35"/>
      <c r="AL80" s="36"/>
      <c r="AM80" s="36"/>
      <c r="AN80" s="23"/>
      <c r="AO80" s="23"/>
      <c r="AP80" s="24"/>
      <c r="AQ80" s="36"/>
      <c r="AR80" s="36"/>
      <c r="AS80" s="23"/>
      <c r="AT80" s="23"/>
      <c r="AU80" s="24"/>
      <c r="AV80" s="36"/>
      <c r="AW80" s="36"/>
      <c r="AX80" s="23"/>
      <c r="AY80" s="23"/>
      <c r="AZ80" s="24"/>
      <c r="BA80" s="24"/>
      <c r="BB80" s="26"/>
      <c r="BC80" s="25"/>
      <c r="BD80" s="25"/>
      <c r="BE80" s="25"/>
      <c r="BF80" s="24"/>
      <c r="BG80" s="26"/>
      <c r="BH80" s="25"/>
      <c r="BI80" s="25"/>
      <c r="BJ80" s="25"/>
      <c r="BK80" s="1048"/>
      <c r="BL80" s="26"/>
      <c r="BM80" s="25"/>
      <c r="BN80" s="25"/>
      <c r="BO80" s="25"/>
      <c r="BP80" s="1048"/>
      <c r="BQ80" s="26"/>
      <c r="BR80" s="1290">
        <v>1250</v>
      </c>
      <c r="BS80" s="1290">
        <v>1250</v>
      </c>
      <c r="BT80" s="1291">
        <v>1250</v>
      </c>
      <c r="BU80" s="1048">
        <f>SUM(BQ80:BT80)</f>
        <v>3750</v>
      </c>
      <c r="BV80" s="1292"/>
      <c r="BW80" s="1290"/>
      <c r="BX80" s="25"/>
      <c r="BY80" s="25"/>
      <c r="BZ80" s="24">
        <f>(BT80*4)*(1+BZ81)</f>
        <v>5200</v>
      </c>
      <c r="CA80" s="26"/>
      <c r="CB80" s="25"/>
      <c r="CC80" s="25"/>
      <c r="CD80" s="25"/>
      <c r="CE80" s="24">
        <f>BZ80*(1+CE81)</f>
        <v>5408</v>
      </c>
      <c r="CF80" s="26"/>
      <c r="CG80" s="25"/>
      <c r="CH80" s="25"/>
      <c r="CI80" s="25"/>
      <c r="CJ80" s="24">
        <f>CE80*(1+CJ81)</f>
        <v>5624.3200000000006</v>
      </c>
      <c r="CK80" s="716"/>
      <c r="CL80" s="717"/>
      <c r="CM80" s="1004"/>
      <c r="CN80" s="1004"/>
      <c r="CO80" s="1004"/>
      <c r="CP80" s="1004"/>
      <c r="CQ80" s="1004"/>
      <c r="CR80" s="1004"/>
      <c r="CS80" s="1004"/>
      <c r="CT80" s="1004"/>
      <c r="CU80" s="1229"/>
      <c r="CV80" s="1230"/>
      <c r="CW80" s="717"/>
      <c r="CX80" s="716"/>
      <c r="CY80" s="716"/>
      <c r="CZ80"/>
      <c r="DA80"/>
      <c r="DB80"/>
      <c r="DC80"/>
      <c r="DD80"/>
    </row>
    <row r="81" spans="1:108" s="718" customFormat="1" ht="12.75" customHeight="1">
      <c r="A81" s="28" t="s">
        <v>21</v>
      </c>
      <c r="B81" s="29"/>
      <c r="C81" s="29"/>
      <c r="D81" s="29"/>
      <c r="E81" s="29"/>
      <c r="F81" s="29"/>
      <c r="G81" s="29"/>
      <c r="H81" s="30"/>
      <c r="I81" s="30"/>
      <c r="J81" s="30"/>
      <c r="K81" s="30"/>
      <c r="L81" s="29"/>
      <c r="M81" s="30"/>
      <c r="N81" s="30"/>
      <c r="O81" s="30"/>
      <c r="P81" s="30"/>
      <c r="Q81" s="29"/>
      <c r="R81" s="30"/>
      <c r="S81" s="30"/>
      <c r="T81" s="30"/>
      <c r="U81" s="30"/>
      <c r="V81" s="29"/>
      <c r="W81" s="30"/>
      <c r="X81" s="30"/>
      <c r="Y81" s="30"/>
      <c r="Z81" s="30"/>
      <c r="AA81" s="29"/>
      <c r="AB81" s="30"/>
      <c r="AC81" s="30"/>
      <c r="AD81" s="30"/>
      <c r="AE81" s="30"/>
      <c r="AF81" s="29"/>
      <c r="AG81" s="30"/>
      <c r="AH81" s="30"/>
      <c r="AI81" s="30"/>
      <c r="AJ81" s="30"/>
      <c r="AK81" s="29"/>
      <c r="AL81" s="30"/>
      <c r="AM81" s="30"/>
      <c r="AN81" s="30"/>
      <c r="AO81" s="30"/>
      <c r="AP81" s="29"/>
      <c r="AQ81" s="30"/>
      <c r="AR81" s="30"/>
      <c r="AS81" s="30"/>
      <c r="AT81" s="30"/>
      <c r="AU81" s="29"/>
      <c r="AV81" s="30"/>
      <c r="AW81" s="30"/>
      <c r="AX81" s="30"/>
      <c r="AY81" s="30"/>
      <c r="AZ81" s="29"/>
      <c r="BA81" s="29"/>
      <c r="BB81" s="30"/>
      <c r="BC81" s="30"/>
      <c r="BD81" s="30"/>
      <c r="BE81" s="30"/>
      <c r="BF81" s="29"/>
      <c r="BG81" s="30"/>
      <c r="BH81" s="30"/>
      <c r="BI81" s="30"/>
      <c r="BJ81" s="30"/>
      <c r="BK81" s="29"/>
      <c r="BL81" s="30"/>
      <c r="BM81" s="30"/>
      <c r="BN81" s="30"/>
      <c r="BO81" s="30"/>
      <c r="BP81" s="1041"/>
      <c r="BQ81" s="195"/>
      <c r="BR81" s="194"/>
      <c r="BS81" s="194"/>
      <c r="BT81" s="548"/>
      <c r="BU81" s="1041"/>
      <c r="BV81" s="159"/>
      <c r="BW81" s="160"/>
      <c r="BX81" s="160"/>
      <c r="BY81" s="160"/>
      <c r="BZ81" s="158">
        <v>0.04</v>
      </c>
      <c r="CA81" s="159"/>
      <c r="CB81" s="160"/>
      <c r="CC81" s="160"/>
      <c r="CD81" s="160"/>
      <c r="CE81" s="158">
        <v>0.04</v>
      </c>
      <c r="CF81" s="159"/>
      <c r="CG81" s="160"/>
      <c r="CH81" s="160"/>
      <c r="CI81" s="160"/>
      <c r="CJ81" s="158">
        <v>0.04</v>
      </c>
      <c r="CK81" s="716"/>
      <c r="CL81" s="717"/>
      <c r="CM81" s="1004"/>
      <c r="CN81" s="1004"/>
      <c r="CO81" s="1004"/>
      <c r="CP81" s="1004"/>
      <c r="CQ81" s="1004"/>
      <c r="CR81" s="1004"/>
      <c r="CS81" s="1004"/>
      <c r="CT81" s="1004"/>
      <c r="CU81" s="1004"/>
      <c r="CV81" s="1004"/>
      <c r="CW81" s="717"/>
      <c r="CX81" s="716"/>
      <c r="CY81" s="716"/>
      <c r="CZ81"/>
      <c r="DA81"/>
      <c r="DB81"/>
      <c r="DC81"/>
      <c r="DD81"/>
    </row>
    <row r="82" spans="1:108" s="718" customFormat="1" ht="12.75" customHeight="1">
      <c r="A82" s="28" t="s">
        <v>250</v>
      </c>
      <c r="B82" s="29"/>
      <c r="C82" s="29"/>
      <c r="D82" s="29"/>
      <c r="E82" s="29"/>
      <c r="F82" s="29"/>
      <c r="G82" s="29"/>
      <c r="H82" s="30"/>
      <c r="I82" s="30"/>
      <c r="J82" s="30"/>
      <c r="K82" s="30"/>
      <c r="L82" s="29"/>
      <c r="M82" s="30"/>
      <c r="N82" s="30"/>
      <c r="O82" s="30"/>
      <c r="P82" s="30"/>
      <c r="Q82" s="29"/>
      <c r="R82" s="30"/>
      <c r="S82" s="30"/>
      <c r="T82" s="30"/>
      <c r="U82" s="30"/>
      <c r="V82" s="29"/>
      <c r="W82" s="30"/>
      <c r="X82" s="30"/>
      <c r="Y82" s="30"/>
      <c r="Z82" s="30"/>
      <c r="AA82" s="29"/>
      <c r="AB82" s="30"/>
      <c r="AC82" s="30"/>
      <c r="AD82" s="30"/>
      <c r="AE82" s="30"/>
      <c r="AF82" s="29"/>
      <c r="AG82" s="30"/>
      <c r="AH82" s="30"/>
      <c r="AI82" s="30"/>
      <c r="AJ82" s="30"/>
      <c r="AK82" s="29"/>
      <c r="AL82" s="30"/>
      <c r="AM82" s="30"/>
      <c r="AN82" s="30"/>
      <c r="AO82" s="30"/>
      <c r="AP82" s="29"/>
      <c r="AQ82" s="30"/>
      <c r="AR82" s="30"/>
      <c r="AS82" s="30"/>
      <c r="AT82" s="30"/>
      <c r="AU82" s="29"/>
      <c r="AV82" s="30"/>
      <c r="AW82" s="30"/>
      <c r="AX82" s="30"/>
      <c r="AY82" s="30"/>
      <c r="AZ82" s="29"/>
      <c r="BA82" s="29"/>
      <c r="BB82" s="30"/>
      <c r="BC82" s="30"/>
      <c r="BD82" s="30"/>
      <c r="BE82" s="30"/>
      <c r="BF82" s="29"/>
      <c r="BG82" s="30"/>
      <c r="BH82" s="30"/>
      <c r="BI82" s="30"/>
      <c r="BJ82" s="30"/>
      <c r="BK82" s="1284"/>
      <c r="BL82" s="30"/>
      <c r="BM82" s="30"/>
      <c r="BN82" s="30"/>
      <c r="BO82" s="30"/>
      <c r="BP82" s="1041"/>
      <c r="BQ82" s="31"/>
      <c r="BR82" s="30">
        <f>BR80/BR$128</f>
        <v>0.13567244691589395</v>
      </c>
      <c r="BS82" s="30">
        <f>BS80/BS$128</f>
        <v>0.13656580341297969</v>
      </c>
      <c r="BT82" s="1106">
        <f>BT80/BT$128</f>
        <v>0.12472112356770261</v>
      </c>
      <c r="BU82" s="1041">
        <f>BU80/BU$128</f>
        <v>0.10394264140149052</v>
      </c>
      <c r="BV82" s="31"/>
      <c r="BW82" s="30"/>
      <c r="BX82" s="30"/>
      <c r="BY82" s="30"/>
      <c r="BZ82" s="29">
        <f>BZ80/BZ$128</f>
        <v>0.13172856528618423</v>
      </c>
      <c r="CA82" s="31"/>
      <c r="CB82" s="30"/>
      <c r="CC82" s="30"/>
      <c r="CD82" s="30"/>
      <c r="CE82" s="29">
        <f>CE80/CE$128</f>
        <v>0.12913135870444084</v>
      </c>
      <c r="CF82" s="31"/>
      <c r="CG82" s="30"/>
      <c r="CH82" s="30"/>
      <c r="CI82" s="30"/>
      <c r="CJ82" s="29">
        <f>CJ80/CJ$128</f>
        <v>0.12657757291899718</v>
      </c>
      <c r="CK82" s="716"/>
      <c r="CL82" s="717"/>
      <c r="CM82" s="1004"/>
      <c r="CN82" s="1004"/>
      <c r="CO82" s="1004"/>
      <c r="CP82" s="1004"/>
      <c r="CQ82" s="1004"/>
      <c r="CR82" s="1004"/>
      <c r="CS82" s="1004"/>
      <c r="CT82" s="1004"/>
      <c r="CU82" s="1004"/>
      <c r="CV82" s="1004"/>
      <c r="CW82" s="717"/>
      <c r="CX82" s="716"/>
      <c r="CY82" s="716"/>
      <c r="CZ82"/>
      <c r="DA82"/>
      <c r="DB82"/>
      <c r="DC82"/>
      <c r="DD82"/>
    </row>
    <row r="83" spans="1:108" s="718" customFormat="1" ht="12.75" customHeight="1">
      <c r="A83" s="1285" t="s">
        <v>401</v>
      </c>
      <c r="B83" s="1286"/>
      <c r="C83" s="1286"/>
      <c r="D83" s="1286"/>
      <c r="E83" s="1286"/>
      <c r="F83" s="1286"/>
      <c r="G83" s="1286"/>
      <c r="H83" s="1287"/>
      <c r="I83" s="1287"/>
      <c r="J83" s="1287"/>
      <c r="K83" s="1287"/>
      <c r="L83" s="1286"/>
      <c r="M83" s="1287"/>
      <c r="N83" s="1287"/>
      <c r="O83" s="1287"/>
      <c r="P83" s="1287"/>
      <c r="Q83" s="1286"/>
      <c r="R83" s="1287"/>
      <c r="S83" s="1287"/>
      <c r="T83" s="1287"/>
      <c r="U83" s="1287"/>
      <c r="V83" s="1286"/>
      <c r="W83" s="1287"/>
      <c r="X83" s="1287"/>
      <c r="Y83" s="1287"/>
      <c r="Z83" s="1287"/>
      <c r="AA83" s="1286"/>
      <c r="AB83" s="1287"/>
      <c r="AC83" s="1287"/>
      <c r="AD83" s="1287"/>
      <c r="AE83" s="1287"/>
      <c r="AF83" s="1286"/>
      <c r="AG83" s="1287"/>
      <c r="AH83" s="1287"/>
      <c r="AI83" s="1287"/>
      <c r="AJ83" s="1287"/>
      <c r="AK83" s="1286"/>
      <c r="AL83" s="1287"/>
      <c r="AM83" s="1287"/>
      <c r="AN83" s="1287"/>
      <c r="AO83" s="1287"/>
      <c r="AP83" s="1286"/>
      <c r="AQ83" s="1287"/>
      <c r="AR83" s="1287"/>
      <c r="AS83" s="1287"/>
      <c r="AT83" s="1287"/>
      <c r="AU83" s="1286"/>
      <c r="AV83" s="1287"/>
      <c r="AW83" s="1287"/>
      <c r="AX83" s="1287"/>
      <c r="AY83" s="1287"/>
      <c r="AZ83" s="1286"/>
      <c r="BA83" s="1286"/>
      <c r="BB83" s="1287"/>
      <c r="BC83" s="1287"/>
      <c r="BD83" s="1287"/>
      <c r="BE83" s="1287"/>
      <c r="BF83" s="1286"/>
      <c r="BG83" s="1287"/>
      <c r="BH83" s="1287"/>
      <c r="BI83" s="1287"/>
      <c r="BJ83" s="1287"/>
      <c r="BK83" s="1286"/>
      <c r="BL83" s="1287"/>
      <c r="BM83" s="1287"/>
      <c r="BN83" s="1287"/>
      <c r="BO83" s="1287"/>
      <c r="BP83" s="1288"/>
      <c r="BQ83" s="1288"/>
      <c r="BR83" s="1287"/>
      <c r="BS83" s="1287"/>
      <c r="BT83" s="1289"/>
      <c r="BU83" s="1288"/>
      <c r="BV83" s="1288"/>
      <c r="BW83" s="1287"/>
      <c r="BX83" s="1287"/>
      <c r="BY83" s="1287"/>
      <c r="BZ83" s="1286"/>
      <c r="CA83" s="1288"/>
      <c r="CB83" s="1287"/>
      <c r="CC83" s="1287"/>
      <c r="CD83" s="1287"/>
      <c r="CE83" s="1286"/>
      <c r="CF83" s="1288"/>
      <c r="CG83" s="1287"/>
      <c r="CH83" s="1287"/>
      <c r="CI83" s="1287"/>
      <c r="CJ83" s="1286"/>
      <c r="CK83" s="716"/>
      <c r="CL83" s="717"/>
      <c r="CM83" s="1004"/>
      <c r="CN83" s="1004"/>
      <c r="CO83" s="1004"/>
      <c r="CP83" s="1004"/>
      <c r="CQ83" s="1004"/>
      <c r="CR83" s="1004"/>
      <c r="CS83" s="1004"/>
      <c r="CT83" s="1004"/>
      <c r="CU83" s="1004"/>
      <c r="CV83" s="1004"/>
      <c r="CW83" s="717"/>
      <c r="CX83" s="716"/>
      <c r="CY83" s="716"/>
      <c r="CZ83"/>
      <c r="DA83"/>
      <c r="DB83"/>
      <c r="DC83"/>
      <c r="DD83"/>
    </row>
    <row r="84" spans="1:108" s="718" customFormat="1" ht="12.75" customHeight="1">
      <c r="A84" s="443" t="s">
        <v>21</v>
      </c>
      <c r="B84" s="1223"/>
      <c r="C84" s="1223"/>
      <c r="D84" s="1223"/>
      <c r="E84" s="1223"/>
      <c r="F84" s="1223"/>
      <c r="G84" s="1223"/>
      <c r="H84" s="715"/>
      <c r="I84" s="715"/>
      <c r="J84" s="715"/>
      <c r="K84" s="715"/>
      <c r="L84" s="1223"/>
      <c r="M84" s="715"/>
      <c r="N84" s="715"/>
      <c r="O84" s="715"/>
      <c r="P84" s="715"/>
      <c r="Q84" s="1223"/>
      <c r="R84" s="715"/>
      <c r="S84" s="715"/>
      <c r="T84" s="715"/>
      <c r="U84" s="715"/>
      <c r="V84" s="1223"/>
      <c r="W84" s="715"/>
      <c r="X84" s="715"/>
      <c r="Y84" s="715"/>
      <c r="Z84" s="715"/>
      <c r="AA84" s="1223"/>
      <c r="AB84" s="715"/>
      <c r="AC84" s="715"/>
      <c r="AD84" s="715"/>
      <c r="AE84" s="715"/>
      <c r="AF84" s="1223"/>
      <c r="AG84" s="715"/>
      <c r="AH84" s="715"/>
      <c r="AI84" s="715"/>
      <c r="AJ84" s="715"/>
      <c r="AK84" s="1223"/>
      <c r="AL84" s="715"/>
      <c r="AM84" s="715"/>
      <c r="AN84" s="715"/>
      <c r="AO84" s="715"/>
      <c r="AP84" s="1223"/>
      <c r="AQ84" s="715"/>
      <c r="AR84" s="715"/>
      <c r="AS84" s="715"/>
      <c r="AT84" s="715"/>
      <c r="AU84" s="1223"/>
      <c r="AV84" s="715"/>
      <c r="AW84" s="715"/>
      <c r="AX84" s="715"/>
      <c r="AY84" s="715"/>
      <c r="AZ84" s="1223"/>
      <c r="BA84" s="1223"/>
      <c r="BB84" s="715"/>
      <c r="BC84" s="715"/>
      <c r="BD84" s="715"/>
      <c r="BE84" s="715"/>
      <c r="BF84" s="1223"/>
      <c r="BG84" s="715"/>
      <c r="BH84" s="715"/>
      <c r="BI84" s="715"/>
      <c r="BJ84" s="715"/>
      <c r="BK84" s="1223"/>
      <c r="BL84" s="715"/>
      <c r="BM84" s="715"/>
      <c r="BN84" s="715"/>
      <c r="BO84" s="715"/>
      <c r="BP84" s="1044"/>
      <c r="BQ84" s="1044"/>
      <c r="BR84" s="715"/>
      <c r="BS84" s="715"/>
      <c r="BT84" s="1283"/>
      <c r="BU84" s="1044"/>
      <c r="BV84" s="1044"/>
      <c r="BW84" s="715"/>
      <c r="BX84" s="715"/>
      <c r="BY84" s="715"/>
      <c r="BZ84" s="1223"/>
      <c r="CA84" s="1044"/>
      <c r="CB84" s="715"/>
      <c r="CC84" s="715"/>
      <c r="CD84" s="715"/>
      <c r="CE84" s="1223"/>
      <c r="CF84" s="1044"/>
      <c r="CG84" s="715"/>
      <c r="CH84" s="715"/>
      <c r="CI84" s="715"/>
      <c r="CJ84" s="1223"/>
      <c r="CK84" s="716"/>
      <c r="CL84" s="717"/>
      <c r="CM84" s="1004"/>
      <c r="CN84" s="1004"/>
      <c r="CO84" s="1004"/>
      <c r="CP84" s="1004"/>
      <c r="CQ84" s="1004"/>
      <c r="CR84" s="1004"/>
      <c r="CS84" s="1004"/>
      <c r="CT84" s="1004"/>
      <c r="CU84" s="1004"/>
      <c r="CV84" s="1004"/>
      <c r="CW84" s="717"/>
      <c r="CX84" s="716"/>
      <c r="CY84" s="716"/>
      <c r="CZ84"/>
      <c r="DA84"/>
      <c r="DB84"/>
      <c r="DC84"/>
      <c r="DD84"/>
    </row>
    <row r="85" spans="1:108" s="718" customFormat="1" ht="12.75" customHeight="1">
      <c r="A85" s="531" t="s">
        <v>256</v>
      </c>
      <c r="B85" s="1223"/>
      <c r="C85" s="1223"/>
      <c r="D85" s="1223"/>
      <c r="E85" s="1223"/>
      <c r="F85" s="1223"/>
      <c r="G85" s="1223"/>
      <c r="H85" s="715"/>
      <c r="I85" s="715"/>
      <c r="J85" s="715"/>
      <c r="K85" s="715"/>
      <c r="L85" s="1223"/>
      <c r="M85" s="715"/>
      <c r="N85" s="715"/>
      <c r="O85" s="715"/>
      <c r="P85" s="715"/>
      <c r="Q85" s="1223"/>
      <c r="R85" s="715"/>
      <c r="S85" s="715"/>
      <c r="T85" s="715"/>
      <c r="U85" s="715"/>
      <c r="V85" s="1223"/>
      <c r="W85" s="715"/>
      <c r="X85" s="715"/>
      <c r="Y85" s="715"/>
      <c r="Z85" s="715"/>
      <c r="AA85" s="1223"/>
      <c r="AB85" s="715"/>
      <c r="AC85" s="715"/>
      <c r="AD85" s="715"/>
      <c r="AE85" s="715"/>
      <c r="AF85" s="1223"/>
      <c r="AG85" s="715"/>
      <c r="AH85" s="715"/>
      <c r="AI85" s="715"/>
      <c r="AJ85" s="715"/>
      <c r="AK85" s="1223"/>
      <c r="AL85" s="715"/>
      <c r="AM85" s="715"/>
      <c r="AN85" s="715"/>
      <c r="AO85" s="715"/>
      <c r="AP85" s="1223"/>
      <c r="AQ85" s="715"/>
      <c r="AR85" s="715"/>
      <c r="AS85" s="715"/>
      <c r="AT85" s="715"/>
      <c r="AU85" s="1223"/>
      <c r="AV85" s="715"/>
      <c r="AW85" s="715"/>
      <c r="AX85" s="715"/>
      <c r="AY85" s="715"/>
      <c r="AZ85" s="1223"/>
      <c r="BA85" s="1223"/>
      <c r="BB85" s="715"/>
      <c r="BC85" s="715"/>
      <c r="BD85" s="715"/>
      <c r="BE85" s="715"/>
      <c r="BF85" s="1223"/>
      <c r="BG85" s="715"/>
      <c r="BH85" s="715"/>
      <c r="BI85" s="715"/>
      <c r="BJ85" s="715"/>
      <c r="BK85" s="1223"/>
      <c r="BL85" s="715"/>
      <c r="BM85" s="715"/>
      <c r="BN85" s="715"/>
      <c r="BO85" s="715"/>
      <c r="BP85" s="1044"/>
      <c r="BQ85" s="1044"/>
      <c r="BR85" s="715"/>
      <c r="BS85" s="715"/>
      <c r="BT85" s="1283"/>
      <c r="BU85" s="1044"/>
      <c r="BV85" s="1044"/>
      <c r="BW85" s="715"/>
      <c r="BX85" s="715"/>
      <c r="BY85" s="715"/>
      <c r="BZ85" s="1223"/>
      <c r="CA85" s="1044"/>
      <c r="CB85" s="715"/>
      <c r="CC85" s="715"/>
      <c r="CD85" s="715"/>
      <c r="CE85" s="1223"/>
      <c r="CF85" s="1044"/>
      <c r="CG85" s="715"/>
      <c r="CH85" s="715"/>
      <c r="CI85" s="715"/>
      <c r="CJ85" s="1223"/>
      <c r="CK85" s="716"/>
      <c r="CL85" s="717"/>
      <c r="CM85" s="1004"/>
      <c r="CN85" s="1004"/>
      <c r="CO85" s="1004"/>
      <c r="CP85" s="1004"/>
      <c r="CQ85" s="1004"/>
      <c r="CR85" s="1004"/>
      <c r="CS85" s="1004"/>
      <c r="CT85" s="1004"/>
      <c r="CU85" s="1004"/>
      <c r="CV85" s="1004"/>
      <c r="CW85" s="717"/>
      <c r="CX85" s="716"/>
      <c r="CY85" s="716"/>
      <c r="CZ85"/>
      <c r="DA85"/>
      <c r="DB85"/>
      <c r="DC85"/>
      <c r="DD85"/>
    </row>
    <row r="86" spans="1:108" s="718" customFormat="1" ht="12.75" customHeight="1">
      <c r="A86" s="532" t="s">
        <v>268</v>
      </c>
      <c r="B86" s="1223"/>
      <c r="C86" s="1223"/>
      <c r="D86" s="1223"/>
      <c r="E86" s="1223"/>
      <c r="F86" s="1223"/>
      <c r="G86" s="1223"/>
      <c r="H86" s="715"/>
      <c r="I86" s="715"/>
      <c r="J86" s="715"/>
      <c r="K86" s="715"/>
      <c r="L86" s="1223"/>
      <c r="M86" s="715"/>
      <c r="N86" s="715"/>
      <c r="O86" s="715"/>
      <c r="P86" s="715"/>
      <c r="Q86" s="1223"/>
      <c r="R86" s="715"/>
      <c r="S86" s="715"/>
      <c r="T86" s="715"/>
      <c r="U86" s="715"/>
      <c r="V86" s="1223"/>
      <c r="W86" s="715"/>
      <c r="X86" s="715"/>
      <c r="Y86" s="715"/>
      <c r="Z86" s="715"/>
      <c r="AA86" s="1223"/>
      <c r="AB86" s="715"/>
      <c r="AC86" s="715"/>
      <c r="AD86" s="715"/>
      <c r="AE86" s="715"/>
      <c r="AF86" s="1223"/>
      <c r="AG86" s="715"/>
      <c r="AH86" s="715"/>
      <c r="AI86" s="715"/>
      <c r="AJ86" s="715"/>
      <c r="AK86" s="1223"/>
      <c r="AL86" s="715"/>
      <c r="AM86" s="715"/>
      <c r="AN86" s="715"/>
      <c r="AO86" s="715"/>
      <c r="AP86" s="1223"/>
      <c r="AQ86" s="715"/>
      <c r="AR86" s="715"/>
      <c r="AS86" s="715"/>
      <c r="AT86" s="715"/>
      <c r="AU86" s="1223"/>
      <c r="AV86" s="715"/>
      <c r="AW86" s="715"/>
      <c r="AX86" s="715"/>
      <c r="AY86" s="715"/>
      <c r="AZ86" s="1223"/>
      <c r="BA86" s="1223"/>
      <c r="BB86" s="715"/>
      <c r="BC86" s="715"/>
      <c r="BD86" s="715"/>
      <c r="BE86" s="715"/>
      <c r="BF86" s="1223"/>
      <c r="BG86" s="715"/>
      <c r="BH86" s="715"/>
      <c r="BI86" s="715"/>
      <c r="BJ86" s="715"/>
      <c r="BK86" s="1223"/>
      <c r="BL86" s="715"/>
      <c r="BM86" s="715"/>
      <c r="BN86" s="715"/>
      <c r="BO86" s="715"/>
      <c r="BP86" s="1044"/>
      <c r="BQ86" s="1044"/>
      <c r="BR86" s="715"/>
      <c r="BS86" s="715"/>
      <c r="BT86" s="1283"/>
      <c r="BU86" s="1044"/>
      <c r="BV86" s="1044"/>
      <c r="BW86" s="715"/>
      <c r="BX86" s="715"/>
      <c r="BY86" s="715"/>
      <c r="BZ86" s="1223"/>
      <c r="CA86" s="1044"/>
      <c r="CB86" s="715"/>
      <c r="CC86" s="715"/>
      <c r="CD86" s="715"/>
      <c r="CE86" s="1223"/>
      <c r="CF86" s="1044"/>
      <c r="CG86" s="715"/>
      <c r="CH86" s="715"/>
      <c r="CI86" s="715"/>
      <c r="CJ86" s="1223"/>
      <c r="CK86" s="716"/>
      <c r="CL86" s="717"/>
      <c r="CM86" s="1004"/>
      <c r="CN86" s="1004"/>
      <c r="CO86" s="1004"/>
      <c r="CP86" s="1004"/>
      <c r="CQ86" s="1004"/>
      <c r="CR86" s="1004"/>
      <c r="CS86" s="1004"/>
      <c r="CT86" s="1004"/>
      <c r="CU86" s="1004"/>
      <c r="CV86" s="1004"/>
      <c r="CW86" s="717"/>
      <c r="CX86" s="716"/>
      <c r="CY86" s="716"/>
      <c r="CZ86"/>
      <c r="DA86"/>
      <c r="DB86"/>
      <c r="DC86"/>
      <c r="DD86"/>
    </row>
    <row r="87" spans="1:108" s="718" customFormat="1" ht="12.75" customHeight="1">
      <c r="A87" s="531" t="s">
        <v>258</v>
      </c>
      <c r="B87" s="1223"/>
      <c r="C87" s="1223"/>
      <c r="D87" s="1223"/>
      <c r="E87" s="1223"/>
      <c r="F87" s="1223"/>
      <c r="G87" s="1223"/>
      <c r="H87" s="715"/>
      <c r="I87" s="715"/>
      <c r="J87" s="715"/>
      <c r="K87" s="715"/>
      <c r="L87" s="1223"/>
      <c r="M87" s="715"/>
      <c r="N87" s="715"/>
      <c r="O87" s="715"/>
      <c r="P87" s="715"/>
      <c r="Q87" s="1223"/>
      <c r="R87" s="715"/>
      <c r="S87" s="715"/>
      <c r="T87" s="715"/>
      <c r="U87" s="715"/>
      <c r="V87" s="1223"/>
      <c r="W87" s="715"/>
      <c r="X87" s="715"/>
      <c r="Y87" s="715"/>
      <c r="Z87" s="715"/>
      <c r="AA87" s="1223"/>
      <c r="AB87" s="715"/>
      <c r="AC87" s="715"/>
      <c r="AD87" s="715"/>
      <c r="AE87" s="715"/>
      <c r="AF87" s="1223"/>
      <c r="AG87" s="715"/>
      <c r="AH87" s="715"/>
      <c r="AI87" s="715"/>
      <c r="AJ87" s="715"/>
      <c r="AK87" s="1223"/>
      <c r="AL87" s="715"/>
      <c r="AM87" s="715"/>
      <c r="AN87" s="715"/>
      <c r="AO87" s="715"/>
      <c r="AP87" s="1223"/>
      <c r="AQ87" s="715"/>
      <c r="AR87" s="715"/>
      <c r="AS87" s="715"/>
      <c r="AT87" s="715"/>
      <c r="AU87" s="1223"/>
      <c r="AV87" s="715"/>
      <c r="AW87" s="715"/>
      <c r="AX87" s="715"/>
      <c r="AY87" s="715"/>
      <c r="AZ87" s="1223"/>
      <c r="BA87" s="1223"/>
      <c r="BB87" s="715"/>
      <c r="BC87" s="715"/>
      <c r="BD87" s="715"/>
      <c r="BE87" s="715"/>
      <c r="BF87" s="1223"/>
      <c r="BG87" s="715"/>
      <c r="BH87" s="715"/>
      <c r="BI87" s="715"/>
      <c r="BJ87" s="715"/>
      <c r="BK87" s="1223"/>
      <c r="BL87" s="715"/>
      <c r="BM87" s="715"/>
      <c r="BN87" s="715"/>
      <c r="BO87" s="715"/>
      <c r="BP87" s="1044"/>
      <c r="BQ87" s="1044"/>
      <c r="BR87" s="715"/>
      <c r="BS87" s="715"/>
      <c r="BT87" s="1283"/>
      <c r="BU87" s="1044"/>
      <c r="BV87" s="1044"/>
      <c r="BW87" s="715"/>
      <c r="BX87" s="715"/>
      <c r="BY87" s="715"/>
      <c r="BZ87" s="1223"/>
      <c r="CA87" s="1044"/>
      <c r="CB87" s="715"/>
      <c r="CC87" s="715"/>
      <c r="CD87" s="715"/>
      <c r="CE87" s="1223"/>
      <c r="CF87" s="1044"/>
      <c r="CG87" s="715"/>
      <c r="CH87" s="715"/>
      <c r="CI87" s="715"/>
      <c r="CJ87" s="1223"/>
      <c r="CK87" s="716"/>
      <c r="CL87" s="717"/>
      <c r="CM87" s="1004"/>
      <c r="CN87" s="1004"/>
      <c r="CO87" s="1004"/>
      <c r="CP87" s="1004"/>
      <c r="CQ87" s="1004"/>
      <c r="CR87" s="1004"/>
      <c r="CS87" s="1004"/>
      <c r="CT87" s="1004"/>
      <c r="CU87" s="1004"/>
      <c r="CV87" s="1004"/>
      <c r="CW87" s="717"/>
      <c r="CX87" s="716"/>
      <c r="CY87" s="716"/>
      <c r="CZ87"/>
      <c r="DA87"/>
      <c r="DB87"/>
      <c r="DC87"/>
      <c r="DD87"/>
    </row>
    <row r="88" spans="1:108" s="718" customFormat="1" ht="12.75" customHeight="1">
      <c r="A88" s="532" t="s">
        <v>268</v>
      </c>
      <c r="B88" s="1223"/>
      <c r="C88" s="1223"/>
      <c r="D88" s="1223"/>
      <c r="E88" s="1223"/>
      <c r="F88" s="1223"/>
      <c r="G88" s="1223"/>
      <c r="H88" s="715"/>
      <c r="I88" s="715"/>
      <c r="J88" s="715"/>
      <c r="K88" s="715"/>
      <c r="L88" s="1223"/>
      <c r="M88" s="715"/>
      <c r="N88" s="715"/>
      <c r="O88" s="715"/>
      <c r="P88" s="715"/>
      <c r="Q88" s="1223"/>
      <c r="R88" s="715"/>
      <c r="S88" s="715"/>
      <c r="T88" s="715"/>
      <c r="U88" s="715"/>
      <c r="V88" s="1223"/>
      <c r="W88" s="715"/>
      <c r="X88" s="715"/>
      <c r="Y88" s="715"/>
      <c r="Z88" s="715"/>
      <c r="AA88" s="1223"/>
      <c r="AB88" s="715"/>
      <c r="AC88" s="715"/>
      <c r="AD88" s="715"/>
      <c r="AE88" s="715"/>
      <c r="AF88" s="1223"/>
      <c r="AG88" s="715"/>
      <c r="AH88" s="715"/>
      <c r="AI88" s="715"/>
      <c r="AJ88" s="715"/>
      <c r="AK88" s="1223"/>
      <c r="AL88" s="715"/>
      <c r="AM88" s="715"/>
      <c r="AN88" s="715"/>
      <c r="AO88" s="715"/>
      <c r="AP88" s="1223"/>
      <c r="AQ88" s="715"/>
      <c r="AR88" s="715"/>
      <c r="AS88" s="715"/>
      <c r="AT88" s="715"/>
      <c r="AU88" s="1223"/>
      <c r="AV88" s="715"/>
      <c r="AW88" s="715"/>
      <c r="AX88" s="715"/>
      <c r="AY88" s="715"/>
      <c r="AZ88" s="1223"/>
      <c r="BA88" s="1223"/>
      <c r="BB88" s="715"/>
      <c r="BC88" s="715"/>
      <c r="BD88" s="715"/>
      <c r="BE88" s="715"/>
      <c r="BF88" s="1223"/>
      <c r="BG88" s="715"/>
      <c r="BH88" s="715"/>
      <c r="BI88" s="715"/>
      <c r="BJ88" s="715"/>
      <c r="BK88" s="1223"/>
      <c r="BL88" s="715"/>
      <c r="BM88" s="715"/>
      <c r="BN88" s="715"/>
      <c r="BO88" s="715"/>
      <c r="BP88" s="1044"/>
      <c r="BQ88" s="1044"/>
      <c r="BR88" s="715"/>
      <c r="BS88" s="715"/>
      <c r="BT88" s="1283"/>
      <c r="BU88" s="1044"/>
      <c r="BV88" s="1044"/>
      <c r="BW88" s="715"/>
      <c r="BX88" s="715"/>
      <c r="BY88" s="715"/>
      <c r="BZ88" s="1223"/>
      <c r="CA88" s="1044"/>
      <c r="CB88" s="715"/>
      <c r="CC88" s="715"/>
      <c r="CD88" s="715"/>
      <c r="CE88" s="1223"/>
      <c r="CF88" s="1044"/>
      <c r="CG88" s="715"/>
      <c r="CH88" s="715"/>
      <c r="CI88" s="715"/>
      <c r="CJ88" s="1223"/>
      <c r="CK88" s="716"/>
      <c r="CL88" s="717"/>
      <c r="CM88" s="1004"/>
      <c r="CN88" s="1004"/>
      <c r="CO88" s="1004"/>
      <c r="CP88" s="1004"/>
      <c r="CQ88" s="1004"/>
      <c r="CR88" s="1004"/>
      <c r="CS88" s="1004"/>
      <c r="CT88" s="1004"/>
      <c r="CU88" s="1004"/>
      <c r="CV88" s="1004"/>
      <c r="CW88" s="717"/>
      <c r="CX88" s="716"/>
      <c r="CY88" s="716"/>
      <c r="CZ88"/>
      <c r="DA88"/>
      <c r="DB88"/>
      <c r="DC88"/>
      <c r="DD88"/>
    </row>
    <row r="89" spans="1:108" s="718" customFormat="1" ht="12.75" customHeight="1">
      <c r="A89" s="452" t="s">
        <v>139</v>
      </c>
      <c r="B89" s="1223"/>
      <c r="C89" s="1223"/>
      <c r="D89" s="1223"/>
      <c r="E89" s="1223"/>
      <c r="F89" s="1223"/>
      <c r="G89" s="1223"/>
      <c r="H89" s="715"/>
      <c r="I89" s="715"/>
      <c r="J89" s="715"/>
      <c r="K89" s="715"/>
      <c r="L89" s="1223"/>
      <c r="M89" s="715"/>
      <c r="N89" s="715"/>
      <c r="O89" s="715"/>
      <c r="P89" s="715"/>
      <c r="Q89" s="1223"/>
      <c r="R89" s="715"/>
      <c r="S89" s="715"/>
      <c r="T89" s="715"/>
      <c r="U89" s="715"/>
      <c r="V89" s="1223"/>
      <c r="W89" s="715"/>
      <c r="X89" s="715"/>
      <c r="Y89" s="715"/>
      <c r="Z89" s="715"/>
      <c r="AA89" s="1223"/>
      <c r="AB89" s="715"/>
      <c r="AC89" s="715"/>
      <c r="AD89" s="715"/>
      <c r="AE89" s="715"/>
      <c r="AF89" s="1223"/>
      <c r="AG89" s="715"/>
      <c r="AH89" s="715"/>
      <c r="AI89" s="715"/>
      <c r="AJ89" s="715"/>
      <c r="AK89" s="1223"/>
      <c r="AL89" s="715"/>
      <c r="AM89" s="715"/>
      <c r="AN89" s="715"/>
      <c r="AO89" s="715"/>
      <c r="AP89" s="1223"/>
      <c r="AQ89" s="715"/>
      <c r="AR89" s="715"/>
      <c r="AS89" s="715"/>
      <c r="AT89" s="715"/>
      <c r="AU89" s="1223"/>
      <c r="AV89" s="715"/>
      <c r="AW89" s="715"/>
      <c r="AX89" s="715"/>
      <c r="AY89" s="715"/>
      <c r="AZ89" s="1223"/>
      <c r="BA89" s="1223"/>
      <c r="BB89" s="715"/>
      <c r="BC89" s="715"/>
      <c r="BD89" s="715"/>
      <c r="BE89" s="715"/>
      <c r="BF89" s="1223"/>
      <c r="BG89" s="715"/>
      <c r="BH89" s="715"/>
      <c r="BI89" s="715"/>
      <c r="BJ89" s="715"/>
      <c r="BK89" s="1223"/>
      <c r="BL89" s="715"/>
      <c r="BM89" s="715"/>
      <c r="BN89" s="715"/>
      <c r="BO89" s="715"/>
      <c r="BP89" s="1044"/>
      <c r="BQ89" s="1044"/>
      <c r="BR89" s="715"/>
      <c r="BS89" s="715"/>
      <c r="BT89" s="1283"/>
      <c r="BU89" s="1044"/>
      <c r="BV89" s="1044"/>
      <c r="BW89" s="715"/>
      <c r="BX89" s="715"/>
      <c r="BY89" s="715"/>
      <c r="BZ89" s="1223"/>
      <c r="CA89" s="1044"/>
      <c r="CB89" s="715"/>
      <c r="CC89" s="715"/>
      <c r="CD89" s="715"/>
      <c r="CE89" s="1223"/>
      <c r="CF89" s="1044"/>
      <c r="CG89" s="715"/>
      <c r="CH89" s="715"/>
      <c r="CI89" s="715"/>
      <c r="CJ89" s="1223"/>
      <c r="CK89" s="716"/>
      <c r="CL89" s="717"/>
      <c r="CM89" s="1004"/>
      <c r="CN89" s="1004"/>
      <c r="CO89" s="1004"/>
      <c r="CP89" s="1004"/>
      <c r="CQ89" s="1004"/>
      <c r="CR89" s="1004"/>
      <c r="CS89" s="1004"/>
      <c r="CT89" s="1004"/>
      <c r="CU89" s="1004"/>
      <c r="CV89" s="1004"/>
      <c r="CW89" s="717"/>
      <c r="CX89" s="716"/>
      <c r="CY89" s="716"/>
      <c r="CZ89"/>
      <c r="DA89"/>
      <c r="DB89"/>
      <c r="DC89"/>
      <c r="DD89"/>
    </row>
    <row r="90" spans="1:108" s="718" customFormat="1" ht="12.75" customHeight="1">
      <c r="A90" s="712" t="s">
        <v>140</v>
      </c>
      <c r="B90" s="1223"/>
      <c r="C90" s="1223"/>
      <c r="D90" s="1223"/>
      <c r="E90" s="1223"/>
      <c r="F90" s="1223"/>
      <c r="G90" s="1223"/>
      <c r="H90" s="715"/>
      <c r="I90" s="715"/>
      <c r="J90" s="715"/>
      <c r="K90" s="715"/>
      <c r="L90" s="1223"/>
      <c r="M90" s="715"/>
      <c r="N90" s="715"/>
      <c r="O90" s="715"/>
      <c r="P90" s="715"/>
      <c r="Q90" s="1223"/>
      <c r="R90" s="715"/>
      <c r="S90" s="715"/>
      <c r="T90" s="715"/>
      <c r="U90" s="715"/>
      <c r="V90" s="1223"/>
      <c r="W90" s="715"/>
      <c r="X90" s="715"/>
      <c r="Y90" s="715"/>
      <c r="Z90" s="715"/>
      <c r="AA90" s="1223"/>
      <c r="AB90" s="715"/>
      <c r="AC90" s="715"/>
      <c r="AD90" s="715"/>
      <c r="AE90" s="715"/>
      <c r="AF90" s="1223"/>
      <c r="AG90" s="715"/>
      <c r="AH90" s="715"/>
      <c r="AI90" s="715"/>
      <c r="AJ90" s="715"/>
      <c r="AK90" s="1223"/>
      <c r="AL90" s="715"/>
      <c r="AM90" s="715"/>
      <c r="AN90" s="715"/>
      <c r="AO90" s="715"/>
      <c r="AP90" s="1223"/>
      <c r="AQ90" s="715"/>
      <c r="AR90" s="715"/>
      <c r="AS90" s="715"/>
      <c r="AT90" s="715"/>
      <c r="AU90" s="1223"/>
      <c r="AV90" s="715"/>
      <c r="AW90" s="715"/>
      <c r="AX90" s="715"/>
      <c r="AY90" s="715"/>
      <c r="AZ90" s="1223"/>
      <c r="BA90" s="1223"/>
      <c r="BB90" s="715"/>
      <c r="BC90" s="715"/>
      <c r="BD90" s="715"/>
      <c r="BE90" s="715"/>
      <c r="BF90" s="1223"/>
      <c r="BG90" s="715"/>
      <c r="BH90" s="715"/>
      <c r="BI90" s="715"/>
      <c r="BJ90" s="715"/>
      <c r="BK90" s="1223"/>
      <c r="BL90" s="715"/>
      <c r="BM90" s="715"/>
      <c r="BN90" s="715"/>
      <c r="BO90" s="715"/>
      <c r="BP90" s="1044"/>
      <c r="BQ90" s="1044"/>
      <c r="BR90" s="715"/>
      <c r="BS90" s="715"/>
      <c r="BT90" s="1283"/>
      <c r="BU90" s="1044"/>
      <c r="BV90" s="1044"/>
      <c r="BW90" s="715"/>
      <c r="BX90" s="715"/>
      <c r="BY90" s="715"/>
      <c r="BZ90" s="1223"/>
      <c r="CA90" s="1044"/>
      <c r="CB90" s="715"/>
      <c r="CC90" s="715"/>
      <c r="CD90" s="715"/>
      <c r="CE90" s="1223"/>
      <c r="CF90" s="1044"/>
      <c r="CG90" s="715"/>
      <c r="CH90" s="715"/>
      <c r="CI90" s="715"/>
      <c r="CJ90" s="1223"/>
      <c r="CK90" s="716"/>
      <c r="CL90" s="717"/>
      <c r="CM90" s="1004"/>
      <c r="CN90" s="1004"/>
      <c r="CO90" s="1004"/>
      <c r="CP90" s="1004"/>
      <c r="CQ90" s="1004"/>
      <c r="CR90" s="1004"/>
      <c r="CS90" s="1004"/>
      <c r="CT90" s="1004"/>
      <c r="CU90" s="1004"/>
      <c r="CV90" s="1004"/>
      <c r="CW90" s="717"/>
      <c r="CX90" s="716"/>
      <c r="CY90" s="716"/>
      <c r="CZ90"/>
      <c r="DA90"/>
      <c r="DB90"/>
      <c r="DC90"/>
      <c r="DD90"/>
    </row>
    <row r="91" spans="1:108" s="718" customFormat="1" ht="12.75" customHeight="1">
      <c r="A91" s="712" t="s">
        <v>203</v>
      </c>
      <c r="B91" s="1223"/>
      <c r="C91" s="1223"/>
      <c r="D91" s="1223"/>
      <c r="E91" s="1223"/>
      <c r="F91" s="1223"/>
      <c r="G91" s="1223"/>
      <c r="H91" s="715"/>
      <c r="I91" s="715"/>
      <c r="J91" s="715"/>
      <c r="K91" s="715"/>
      <c r="L91" s="1223"/>
      <c r="M91" s="715"/>
      <c r="N91" s="715"/>
      <c r="O91" s="715"/>
      <c r="P91" s="715"/>
      <c r="Q91" s="1223"/>
      <c r="R91" s="715"/>
      <c r="S91" s="715"/>
      <c r="T91" s="715"/>
      <c r="U91" s="715"/>
      <c r="V91" s="1223"/>
      <c r="W91" s="715"/>
      <c r="X91" s="715"/>
      <c r="Y91" s="715"/>
      <c r="Z91" s="715"/>
      <c r="AA91" s="1223"/>
      <c r="AB91" s="715"/>
      <c r="AC91" s="715"/>
      <c r="AD91" s="715"/>
      <c r="AE91" s="715"/>
      <c r="AF91" s="1223"/>
      <c r="AG91" s="715"/>
      <c r="AH91" s="715"/>
      <c r="AI91" s="715"/>
      <c r="AJ91" s="715"/>
      <c r="AK91" s="1223"/>
      <c r="AL91" s="715"/>
      <c r="AM91" s="715"/>
      <c r="AN91" s="715"/>
      <c r="AO91" s="715"/>
      <c r="AP91" s="1223"/>
      <c r="AQ91" s="715"/>
      <c r="AR91" s="715"/>
      <c r="AS91" s="715"/>
      <c r="AT91" s="715"/>
      <c r="AU91" s="1223"/>
      <c r="AV91" s="715"/>
      <c r="AW91" s="715"/>
      <c r="AX91" s="715"/>
      <c r="AY91" s="715"/>
      <c r="AZ91" s="1223"/>
      <c r="BA91" s="1223"/>
      <c r="BB91" s="715"/>
      <c r="BC91" s="715"/>
      <c r="BD91" s="715"/>
      <c r="BE91" s="715"/>
      <c r="BF91" s="1223"/>
      <c r="BG91" s="715"/>
      <c r="BH91" s="715"/>
      <c r="BI91" s="715"/>
      <c r="BJ91" s="715"/>
      <c r="BK91" s="1223"/>
      <c r="BL91" s="715"/>
      <c r="BM91" s="715"/>
      <c r="BN91" s="715"/>
      <c r="BO91" s="715"/>
      <c r="BP91" s="1044"/>
      <c r="BQ91" s="1044"/>
      <c r="BR91" s="715"/>
      <c r="BS91" s="715"/>
      <c r="BT91" s="1283"/>
      <c r="BU91" s="1044"/>
      <c r="BV91" s="1044"/>
      <c r="BW91" s="715"/>
      <c r="BX91" s="715"/>
      <c r="BY91" s="715"/>
      <c r="BZ91" s="1223"/>
      <c r="CA91" s="1044"/>
      <c r="CB91" s="715"/>
      <c r="CC91" s="715"/>
      <c r="CD91" s="715"/>
      <c r="CE91" s="1223"/>
      <c r="CF91" s="1044"/>
      <c r="CG91" s="715"/>
      <c r="CH91" s="715"/>
      <c r="CI91" s="715"/>
      <c r="CJ91" s="1223"/>
      <c r="CK91" s="716"/>
      <c r="CL91" s="717"/>
      <c r="CM91" s="1004"/>
      <c r="CN91" s="1004"/>
      <c r="CO91" s="1004"/>
      <c r="CP91" s="1004"/>
      <c r="CQ91" s="1004"/>
      <c r="CR91" s="1004"/>
      <c r="CS91" s="1004"/>
      <c r="CT91" s="1004"/>
      <c r="CU91" s="1004"/>
      <c r="CV91" s="1004"/>
      <c r="CW91" s="717"/>
      <c r="CX91" s="716"/>
      <c r="CY91" s="716"/>
      <c r="CZ91"/>
      <c r="DA91"/>
      <c r="DB91"/>
      <c r="DC91"/>
      <c r="DD91"/>
    </row>
    <row r="92" spans="1:108" s="123" customFormat="1">
      <c r="A92" s="23" t="s">
        <v>118</v>
      </c>
      <c r="B92" s="35">
        <v>3612</v>
      </c>
      <c r="C92" s="35">
        <v>3650</v>
      </c>
      <c r="D92" s="35">
        <v>4271</v>
      </c>
      <c r="E92" s="35">
        <v>4726</v>
      </c>
      <c r="F92" s="35">
        <v>4695</v>
      </c>
      <c r="G92" s="35">
        <v>4940</v>
      </c>
      <c r="H92" s="36">
        <v>1257</v>
      </c>
      <c r="I92" s="36">
        <v>1272</v>
      </c>
      <c r="J92" s="36">
        <v>1246</v>
      </c>
      <c r="K92" s="37">
        <v>1218</v>
      </c>
      <c r="L92" s="35">
        <f>SUM(H92:K92)</f>
        <v>4993</v>
      </c>
      <c r="M92" s="36">
        <v>1378</v>
      </c>
      <c r="N92" s="36">
        <v>1394</v>
      </c>
      <c r="O92" s="36">
        <v>1404</v>
      </c>
      <c r="P92" s="37">
        <v>1380</v>
      </c>
      <c r="Q92" s="35">
        <f>SUM(M92:P92)</f>
        <v>5556</v>
      </c>
      <c r="R92" s="36">
        <v>1669</v>
      </c>
      <c r="S92" s="36">
        <v>1625</v>
      </c>
      <c r="T92" s="36">
        <v>1518</v>
      </c>
      <c r="U92" s="37">
        <v>1551</v>
      </c>
      <c r="V92" s="35">
        <f>SUM(R92:U92)</f>
        <v>6363</v>
      </c>
      <c r="W92" s="36">
        <v>1639</v>
      </c>
      <c r="X92" s="36">
        <v>1637</v>
      </c>
      <c r="Y92" s="36">
        <v>1700</v>
      </c>
      <c r="Z92" s="37">
        <v>1701</v>
      </c>
      <c r="AA92" s="35">
        <f>SUM(W92:Z92)</f>
        <v>6677</v>
      </c>
      <c r="AB92" s="36">
        <v>1676</v>
      </c>
      <c r="AC92" s="36">
        <v>1576</v>
      </c>
      <c r="AD92" s="36">
        <v>1621</v>
      </c>
      <c r="AE92" s="37">
        <v>1758</v>
      </c>
      <c r="AF92" s="35">
        <f>SUM(AB92:AE92)</f>
        <v>6631</v>
      </c>
      <c r="AG92" s="36">
        <v>1605</v>
      </c>
      <c r="AH92" s="36">
        <v>1653</v>
      </c>
      <c r="AI92" s="36">
        <v>1670</v>
      </c>
      <c r="AJ92" s="37">
        <v>1664</v>
      </c>
      <c r="AK92" s="35">
        <f>SUM(AG92:AJ92)</f>
        <v>6592</v>
      </c>
      <c r="AL92" s="36">
        <v>1626</v>
      </c>
      <c r="AM92" s="36">
        <v>1759</v>
      </c>
      <c r="AN92" s="23">
        <v>1697</v>
      </c>
      <c r="AO92" s="23">
        <v>1630</v>
      </c>
      <c r="AP92" s="24">
        <f>SUM(AL92:AO92)</f>
        <v>6712</v>
      </c>
      <c r="AQ92" s="36">
        <v>1601</v>
      </c>
      <c r="AR92" s="36">
        <v>1851</v>
      </c>
      <c r="AS92" s="23">
        <v>1820</v>
      </c>
      <c r="AT92" s="23">
        <v>2040</v>
      </c>
      <c r="AU92" s="24">
        <f>SUM(AQ92:AT92)</f>
        <v>7312</v>
      </c>
      <c r="AV92" s="36">
        <v>1943</v>
      </c>
      <c r="AW92" s="36">
        <v>2001</v>
      </c>
      <c r="AX92" s="23">
        <v>2087</v>
      </c>
      <c r="AY92" s="23">
        <v>1982</v>
      </c>
      <c r="AZ92" s="24">
        <f>SUM(AV92:AY92)</f>
        <v>8013</v>
      </c>
      <c r="BA92" s="24">
        <v>8032</v>
      </c>
      <c r="BB92" s="26">
        <v>2131</v>
      </c>
      <c r="BC92" s="25">
        <v>1987</v>
      </c>
      <c r="BD92" s="25">
        <v>2043</v>
      </c>
      <c r="BE92" s="25">
        <f>8202-BD92-BC92-BB92</f>
        <v>2041</v>
      </c>
      <c r="BF92" s="24">
        <f>SUM(BB92:BE92)</f>
        <v>8202</v>
      </c>
      <c r="BG92" s="26">
        <f>+BG95+BG98+BG101+BG104</f>
        <v>2122</v>
      </c>
      <c r="BH92" s="25">
        <f t="shared" ref="BH92:BJ92" si="190">+BH95+BH98+BH101+BH104</f>
        <v>1978</v>
      </c>
      <c r="BI92" s="25">
        <f t="shared" si="190"/>
        <v>2075</v>
      </c>
      <c r="BJ92" s="25">
        <f t="shared" si="190"/>
        <v>1897</v>
      </c>
      <c r="BK92" s="1048">
        <f>SUM(BG92:BJ92)</f>
        <v>8072</v>
      </c>
      <c r="BL92" s="26">
        <f>+BL95+BL98+BL101+BL104</f>
        <v>1934</v>
      </c>
      <c r="BM92" s="25">
        <f t="shared" ref="BM92:BO92" si="191">+BM95+BM98+BM101+BM104</f>
        <v>2079</v>
      </c>
      <c r="BN92" s="25">
        <f t="shared" si="191"/>
        <v>1931</v>
      </c>
      <c r="BO92" s="25">
        <f t="shared" si="191"/>
        <v>2060</v>
      </c>
      <c r="BP92" s="1048">
        <f>SUM(BL92:BO92)</f>
        <v>8004</v>
      </c>
      <c r="BQ92" s="1181">
        <f>+BQ95+BQ98+BQ101+BQ104</f>
        <v>2036.48</v>
      </c>
      <c r="BR92" s="1182">
        <f t="shared" ref="BR92:BU92" si="192">+BR95+BR98+BR101+BR104</f>
        <v>2189.9900000000002</v>
      </c>
      <c r="BS92" s="1182">
        <f t="shared" si="192"/>
        <v>2034.4700000000003</v>
      </c>
      <c r="BT92" s="1183">
        <f t="shared" si="192"/>
        <v>2171.5100000000002</v>
      </c>
      <c r="BU92" s="1184">
        <f t="shared" si="192"/>
        <v>8432.4500000000007</v>
      </c>
      <c r="BV92" s="26"/>
      <c r="BW92" s="25"/>
      <c r="BX92" s="25"/>
      <c r="BY92" s="25"/>
      <c r="BZ92" s="24">
        <f>BU92*(1+BZ93)</f>
        <v>8938.3970000000008</v>
      </c>
      <c r="CA92" s="26"/>
      <c r="CB92" s="25"/>
      <c r="CC92" s="25"/>
      <c r="CD92" s="25"/>
      <c r="CE92" s="24">
        <f>BZ92*(1+CE93)</f>
        <v>9474.7008200000018</v>
      </c>
      <c r="CF92" s="26"/>
      <c r="CG92" s="25"/>
      <c r="CH92" s="25"/>
      <c r="CI92" s="25"/>
      <c r="CJ92" s="24">
        <f>CE92*(1+CJ93)</f>
        <v>10043.182869200002</v>
      </c>
      <c r="CK92" s="118"/>
      <c r="CL92" s="237"/>
      <c r="CM92" s="661" t="s">
        <v>378</v>
      </c>
      <c r="CN92" s="999"/>
      <c r="CO92" s="654"/>
      <c r="CP92" s="654"/>
      <c r="CQ92" s="622"/>
      <c r="CR92" s="622"/>
      <c r="CS92" s="661" t="s">
        <v>385</v>
      </c>
      <c r="CT92" s="622"/>
      <c r="CU92" s="1229" t="s">
        <v>104</v>
      </c>
      <c r="CV92" s="1230">
        <f>+(CJ92/BP92)^(1/4)-1</f>
        <v>5.8378655164078364E-2</v>
      </c>
      <c r="CW92" s="237"/>
      <c r="CX92" s="118"/>
      <c r="CY92" s="118"/>
      <c r="CZ92"/>
      <c r="DA92"/>
      <c r="DB92"/>
      <c r="DC92"/>
      <c r="DD92"/>
    </row>
    <row r="93" spans="1:108">
      <c r="A93" s="28" t="s">
        <v>21</v>
      </c>
      <c r="B93" s="29"/>
      <c r="C93" s="29">
        <f>C92/B92-1</f>
        <v>1.0520487264673362E-2</v>
      </c>
      <c r="D93" s="29">
        <f>D92/C92-1</f>
        <v>0.17013698630136975</v>
      </c>
      <c r="E93" s="29">
        <f>E92/D92-1</f>
        <v>0.10653242800280971</v>
      </c>
      <c r="F93" s="29">
        <f>F92/E92-1</f>
        <v>-6.5594583157003727E-3</v>
      </c>
      <c r="G93" s="29">
        <f>G92/F92-1</f>
        <v>5.2183173588924436E-2</v>
      </c>
      <c r="H93" s="30"/>
      <c r="I93" s="30"/>
      <c r="J93" s="30"/>
      <c r="K93" s="30"/>
      <c r="L93" s="29">
        <f t="shared" ref="L93:AM93" si="193">L92/G92-1</f>
        <v>1.0728744939271229E-2</v>
      </c>
      <c r="M93" s="30">
        <f t="shared" si="193"/>
        <v>9.6260938743038871E-2</v>
      </c>
      <c r="N93" s="30">
        <f t="shared" si="193"/>
        <v>9.5911949685534514E-2</v>
      </c>
      <c r="O93" s="30">
        <f t="shared" si="193"/>
        <v>0.12680577849117181</v>
      </c>
      <c r="P93" s="30">
        <f t="shared" si="193"/>
        <v>0.13300492610837433</v>
      </c>
      <c r="Q93" s="29">
        <f t="shared" si="193"/>
        <v>0.11275786100540763</v>
      </c>
      <c r="R93" s="30">
        <f t="shared" si="193"/>
        <v>0.21117561683599417</v>
      </c>
      <c r="S93" s="30">
        <f t="shared" si="193"/>
        <v>0.1657101865136299</v>
      </c>
      <c r="T93" s="30">
        <f t="shared" si="193"/>
        <v>8.119658119658113E-2</v>
      </c>
      <c r="U93" s="30">
        <f t="shared" si="193"/>
        <v>0.12391304347826093</v>
      </c>
      <c r="V93" s="29">
        <f t="shared" si="193"/>
        <v>0.14524838012958963</v>
      </c>
      <c r="W93" s="30">
        <f t="shared" si="193"/>
        <v>-1.7974835230677E-2</v>
      </c>
      <c r="X93" s="30">
        <f t="shared" si="193"/>
        <v>7.3846153846153229E-3</v>
      </c>
      <c r="Y93" s="30">
        <f t="shared" si="193"/>
        <v>0.11989459815546777</v>
      </c>
      <c r="Z93" s="30">
        <f t="shared" si="193"/>
        <v>9.6711798839458352E-2</v>
      </c>
      <c r="AA93" s="29">
        <f t="shared" si="193"/>
        <v>4.93477919220493E-2</v>
      </c>
      <c r="AB93" s="30">
        <f t="shared" si="193"/>
        <v>2.2574740695546103E-2</v>
      </c>
      <c r="AC93" s="30">
        <f t="shared" si="193"/>
        <v>-3.726328649969457E-2</v>
      </c>
      <c r="AD93" s="30">
        <f t="shared" si="193"/>
        <v>-4.6470588235294152E-2</v>
      </c>
      <c r="AE93" s="30">
        <f t="shared" si="193"/>
        <v>3.3509700176366897E-2</v>
      </c>
      <c r="AF93" s="29">
        <f t="shared" si="193"/>
        <v>-6.8893215515950512E-3</v>
      </c>
      <c r="AG93" s="30">
        <f t="shared" si="193"/>
        <v>-4.2362768496420067E-2</v>
      </c>
      <c r="AH93" s="30">
        <f t="shared" si="193"/>
        <v>4.8857868020304673E-2</v>
      </c>
      <c r="AI93" s="30">
        <f t="shared" si="193"/>
        <v>3.0228254164096136E-2</v>
      </c>
      <c r="AJ93" s="30">
        <f t="shared" si="193"/>
        <v>-5.3469852104664373E-2</v>
      </c>
      <c r="AK93" s="29">
        <f>AK92/AF92-1</f>
        <v>-5.8814658422560173E-3</v>
      </c>
      <c r="AL93" s="30">
        <f t="shared" si="193"/>
        <v>1.3084112149532645E-2</v>
      </c>
      <c r="AM93" s="30">
        <f t="shared" si="193"/>
        <v>6.4125831820931678E-2</v>
      </c>
      <c r="AN93" s="30">
        <f>AVERAGE(AL93:AM93)</f>
        <v>3.8604971985232162E-2</v>
      </c>
      <c r="AO93" s="30">
        <f>AVERAGE(AM93:AN93)</f>
        <v>5.136540190308192E-2</v>
      </c>
      <c r="AP93" s="29">
        <f>AP92/AK92-1</f>
        <v>1.8203883495145678E-2</v>
      </c>
      <c r="AQ93" s="30">
        <f>AQ92/AL92-1</f>
        <v>-1.5375153751537529E-2</v>
      </c>
      <c r="AR93" s="30">
        <f>AR92/AM92-1</f>
        <v>5.2302444570778928E-2</v>
      </c>
      <c r="AS93" s="30">
        <f>AVERAGE(AQ93:AR93)</f>
        <v>1.8463645409620699E-2</v>
      </c>
      <c r="AT93" s="30">
        <f>AVERAGE(AR93:AS93)</f>
        <v>3.5383044990199813E-2</v>
      </c>
      <c r="AU93" s="29">
        <f>AU92/AP92-1</f>
        <v>8.9392133492252723E-2</v>
      </c>
      <c r="AV93" s="30">
        <f>AV92/AQ92-1</f>
        <v>0.2136164896939412</v>
      </c>
      <c r="AW93" s="30">
        <f>AW92/AR92-1</f>
        <v>8.1037277147487874E-2</v>
      </c>
      <c r="AX93" s="30">
        <f>AX92/AS92-1</f>
        <v>0.14670329670329663</v>
      </c>
      <c r="AY93" s="30">
        <f>AVERAGE(AW93:AX93)</f>
        <v>0.11387028692539225</v>
      </c>
      <c r="AZ93" s="29">
        <f>AZ92/AU92-1</f>
        <v>9.5869803063457271E-2</v>
      </c>
      <c r="BA93" s="29"/>
      <c r="BB93" s="30">
        <f>BB92/AV92-1</f>
        <v>9.6757591353576977E-2</v>
      </c>
      <c r="BC93" s="30">
        <f>BC92/AW92-1</f>
        <v>-6.9965017491254722E-3</v>
      </c>
      <c r="BD93" s="30">
        <f>BD92/AX92-1</f>
        <v>-2.1082894106372763E-2</v>
      </c>
      <c r="BE93" s="30">
        <f>AVERAGE(BC93:BD93)</f>
        <v>-1.4039697927749117E-2</v>
      </c>
      <c r="BF93" s="29">
        <f>BF92/AZ92-1</f>
        <v>2.3586671658554881E-2</v>
      </c>
      <c r="BG93" s="30"/>
      <c r="BH93" s="30"/>
      <c r="BI93" s="30"/>
      <c r="BJ93" s="30"/>
      <c r="BK93" s="29">
        <f>BK92/BA92-1</f>
        <v>4.980079681274896E-3</v>
      </c>
      <c r="BL93" s="30">
        <f>BL92/BG92-1</f>
        <v>-8.8595664467483459E-2</v>
      </c>
      <c r="BM93" s="30">
        <f t="shared" ref="BM93" si="194">IFERROR(BM92/BH92-1,"")</f>
        <v>5.1061678463093951E-2</v>
      </c>
      <c r="BN93" s="30">
        <f>BN92/BI92-1</f>
        <v>-6.9397590361445771E-2</v>
      </c>
      <c r="BO93" s="30">
        <f>BO92/BJ92-1</f>
        <v>8.5925144965735445E-2</v>
      </c>
      <c r="BP93" s="29">
        <f>BP92/BK92-1</f>
        <v>-8.4241823587710707E-3</v>
      </c>
      <c r="BQ93" s="195">
        <f t="shared" ref="BQ93" si="195">IFERROR(BQ92/BL92-1,"")</f>
        <v>5.2988624612202662E-2</v>
      </c>
      <c r="BR93" s="194">
        <f t="shared" ref="BR93" si="196">IFERROR(BR92/BM92-1,"")</f>
        <v>5.3386243386243537E-2</v>
      </c>
      <c r="BS93" s="194">
        <f t="shared" ref="BS93" si="197">IFERROR(BS92/BN92-1,"")</f>
        <v>5.3583635422061349E-2</v>
      </c>
      <c r="BT93" s="548">
        <f t="shared" ref="BT93" si="198">IFERROR(BT92/BO92-1,"")</f>
        <v>5.4131067961165069E-2</v>
      </c>
      <c r="BU93" s="1041">
        <f>BU92/BP92-1</f>
        <v>5.3529485257371334E-2</v>
      </c>
      <c r="BV93" s="159"/>
      <c r="BW93" s="160"/>
      <c r="BX93" s="160"/>
      <c r="BY93" s="160"/>
      <c r="BZ93" s="158">
        <v>0.06</v>
      </c>
      <c r="CA93" s="159"/>
      <c r="CB93" s="160"/>
      <c r="CC93" s="160"/>
      <c r="CD93" s="160"/>
      <c r="CE93" s="158">
        <v>0.06</v>
      </c>
      <c r="CF93" s="159"/>
      <c r="CG93" s="160"/>
      <c r="CH93" s="160"/>
      <c r="CI93" s="160"/>
      <c r="CJ93" s="158">
        <v>0.06</v>
      </c>
      <c r="CK93" s="32"/>
      <c r="CL93" s="14"/>
      <c r="CM93" s="661"/>
      <c r="CN93" s="442"/>
      <c r="CO93" s="654"/>
      <c r="CP93" s="661"/>
      <c r="CQ93" s="661"/>
      <c r="CR93" s="661"/>
      <c r="CS93" s="661"/>
      <c r="CT93" s="622"/>
      <c r="CU93" s="440"/>
      <c r="CV93" s="440"/>
      <c r="CW93" s="74"/>
      <c r="CX93" s="33"/>
      <c r="CY93" s="33"/>
    </row>
    <row r="94" spans="1:108">
      <c r="A94" s="28" t="s">
        <v>250</v>
      </c>
      <c r="B94" s="29">
        <f t="shared" ref="B94:AG94" si="199">B92/B$128</f>
        <v>0.3066734589913398</v>
      </c>
      <c r="C94" s="29">
        <f t="shared" si="199"/>
        <v>0.27251007913991337</v>
      </c>
      <c r="D94" s="29">
        <f t="shared" si="199"/>
        <v>0.26506547508223172</v>
      </c>
      <c r="E94" s="29">
        <f t="shared" si="199"/>
        <v>0.25049027402342716</v>
      </c>
      <c r="F94" s="29">
        <f t="shared" si="199"/>
        <v>0.22383790226460071</v>
      </c>
      <c r="G94" s="29">
        <f t="shared" si="199"/>
        <v>0.20529443544030254</v>
      </c>
      <c r="H94" s="30">
        <f t="shared" si="199"/>
        <v>0.19952380952380952</v>
      </c>
      <c r="I94" s="30">
        <f t="shared" si="199"/>
        <v>0.19299044151115158</v>
      </c>
      <c r="J94" s="30">
        <f t="shared" si="199"/>
        <v>0.18232367573895231</v>
      </c>
      <c r="K94" s="30">
        <f t="shared" si="199"/>
        <v>0.16207584830339322</v>
      </c>
      <c r="L94" s="29">
        <f t="shared" si="199"/>
        <v>0.18329662261380322</v>
      </c>
      <c r="M94" s="30">
        <f t="shared" si="199"/>
        <v>0.19671663097787295</v>
      </c>
      <c r="N94" s="30">
        <f t="shared" si="199"/>
        <v>0.19088046008489662</v>
      </c>
      <c r="O94" s="30">
        <f t="shared" si="199"/>
        <v>0.19663865546218487</v>
      </c>
      <c r="P94" s="30">
        <f t="shared" si="199"/>
        <v>0.17575140091696384</v>
      </c>
      <c r="Q94" s="29">
        <f t="shared" si="199"/>
        <v>0.18962457337883959</v>
      </c>
      <c r="R94" s="30">
        <f t="shared" si="199"/>
        <v>0.20196030977734752</v>
      </c>
      <c r="S94" s="30">
        <f t="shared" si="199"/>
        <v>0.20061728395061729</v>
      </c>
      <c r="T94" s="30">
        <f t="shared" si="199"/>
        <v>0.19665759813447337</v>
      </c>
      <c r="U94" s="30">
        <f t="shared" si="199"/>
        <v>0.19637883008356546</v>
      </c>
      <c r="V94" s="29">
        <f t="shared" si="199"/>
        <v>0.19896188361839842</v>
      </c>
      <c r="W94" s="30">
        <f t="shared" si="199"/>
        <v>0.21148387096774193</v>
      </c>
      <c r="X94" s="30">
        <f t="shared" si="199"/>
        <v>0.20199901283316882</v>
      </c>
      <c r="Y94" s="30">
        <f t="shared" si="199"/>
        <v>0.21220821370615403</v>
      </c>
      <c r="Z94" s="30">
        <f t="shared" si="199"/>
        <v>0.19776770143006628</v>
      </c>
      <c r="AA94" s="29">
        <f t="shared" si="199"/>
        <v>0.20566130721370049</v>
      </c>
      <c r="AB94" s="30">
        <f t="shared" si="199"/>
        <v>0.21492690433444472</v>
      </c>
      <c r="AC94" s="30">
        <f t="shared" si="199"/>
        <v>0.20002538393197106</v>
      </c>
      <c r="AD94" s="30">
        <f t="shared" si="199"/>
        <v>0.20641792945371196</v>
      </c>
      <c r="AE94" s="30">
        <f t="shared" si="199"/>
        <v>0.19219416202033454</v>
      </c>
      <c r="AF94" s="29">
        <f t="shared" si="199"/>
        <v>0.2029256051657129</v>
      </c>
      <c r="AG94" s="30">
        <f t="shared" si="199"/>
        <v>0.21176936271275895</v>
      </c>
      <c r="AH94" s="30">
        <f t="shared" ref="AH94:BF94" si="200">AH92/AH$128</f>
        <v>0.20865942943701085</v>
      </c>
      <c r="AI94" s="30">
        <f t="shared" si="200"/>
        <v>0.21048651373834132</v>
      </c>
      <c r="AJ94" s="30">
        <f t="shared" si="200"/>
        <v>0.20599158207477097</v>
      </c>
      <c r="AK94" s="29">
        <f t="shared" si="200"/>
        <v>0.20918351156665504</v>
      </c>
      <c r="AL94" s="30">
        <f t="shared" si="200"/>
        <v>0.21961102106969205</v>
      </c>
      <c r="AM94" s="30">
        <f t="shared" si="200"/>
        <v>0.2223486284919732</v>
      </c>
      <c r="AN94" s="30">
        <f t="shared" si="200"/>
        <v>0.21767573114417649</v>
      </c>
      <c r="AO94" s="30">
        <f t="shared" si="200"/>
        <v>0.20846655582555315</v>
      </c>
      <c r="AP94" s="29">
        <f t="shared" si="200"/>
        <v>0.21700614290333009</v>
      </c>
      <c r="AQ94" s="30">
        <f t="shared" si="200"/>
        <v>0.21859639541234299</v>
      </c>
      <c r="AR94" s="30">
        <f t="shared" si="200"/>
        <v>0.24765854963874767</v>
      </c>
      <c r="AS94" s="30">
        <f t="shared" si="200"/>
        <v>0.23480841181782997</v>
      </c>
      <c r="AT94" s="30">
        <f t="shared" si="200"/>
        <v>0.24569432735155969</v>
      </c>
      <c r="AU94" s="29">
        <f t="shared" si="200"/>
        <v>0.23700246337352521</v>
      </c>
      <c r="AV94" s="30">
        <f t="shared" si="200"/>
        <v>0.24961459403905448</v>
      </c>
      <c r="AW94" s="30">
        <f t="shared" si="200"/>
        <v>0.25386957624968282</v>
      </c>
      <c r="AX94" s="30">
        <f t="shared" si="200"/>
        <v>0.26107080310232672</v>
      </c>
      <c r="AY94" s="30">
        <f t="shared" si="200"/>
        <v>0.25380970674862341</v>
      </c>
      <c r="AZ94" s="29">
        <f t="shared" si="200"/>
        <v>0.25463154215259459</v>
      </c>
      <c r="BA94" s="29">
        <f t="shared" si="200"/>
        <v>0.25272961832541457</v>
      </c>
      <c r="BB94" s="30">
        <f t="shared" si="200"/>
        <v>0.27589331952356294</v>
      </c>
      <c r="BC94" s="30">
        <f t="shared" si="200"/>
        <v>0.25923026744944555</v>
      </c>
      <c r="BD94" s="30">
        <f t="shared" si="200"/>
        <v>0.26426076833527357</v>
      </c>
      <c r="BE94" s="30">
        <f t="shared" si="200"/>
        <v>0.24790477347261022</v>
      </c>
      <c r="BF94" s="29">
        <f t="shared" si="200"/>
        <v>0.26160176059707207</v>
      </c>
      <c r="BG94" s="30"/>
      <c r="BH94" s="30"/>
      <c r="BI94" s="30"/>
      <c r="BJ94" s="30"/>
      <c r="BK94" s="29">
        <f t="shared" ref="BK94:BP94" si="201">BK92/BK$128</f>
        <v>0.26412748273943915</v>
      </c>
      <c r="BL94" s="30">
        <f t="shared" si="201"/>
        <v>0.25991130224432202</v>
      </c>
      <c r="BM94" s="30">
        <f t="shared" si="201"/>
        <v>0.27087947882736158</v>
      </c>
      <c r="BN94" s="30">
        <f t="shared" si="201"/>
        <v>0.25474934036939312</v>
      </c>
      <c r="BO94" s="30">
        <f t="shared" ref="BO94" si="202">BO92/BO$128</f>
        <v>0.24888244533043374</v>
      </c>
      <c r="BP94" s="29">
        <f t="shared" si="201"/>
        <v>0.2584186226713589</v>
      </c>
      <c r="BQ94" s="31">
        <f t="shared" ref="BQ94:BU94" si="203">BQ92/BQ$128</f>
        <v>0.26486432587801251</v>
      </c>
      <c r="BR94" s="30">
        <f t="shared" si="203"/>
        <v>0.23769704161707086</v>
      </c>
      <c r="BS94" s="30">
        <f t="shared" si="203"/>
        <v>0.22227122405568389</v>
      </c>
      <c r="BT94" s="1106">
        <f t="shared" si="203"/>
        <v>0.21666653363080154</v>
      </c>
      <c r="BU94" s="1041">
        <f t="shared" si="203"/>
        <v>0.233730967062933</v>
      </c>
      <c r="BV94" s="31"/>
      <c r="BW94" s="30"/>
      <c r="BX94" s="30"/>
      <c r="BY94" s="30"/>
      <c r="BZ94" s="29">
        <f>BZ92/BZ$128</f>
        <v>0.22643119476314105</v>
      </c>
      <c r="CA94" s="31"/>
      <c r="CB94" s="30"/>
      <c r="CC94" s="30"/>
      <c r="CD94" s="30"/>
      <c r="CE94" s="29">
        <f>CE92/CE$128</f>
        <v>0.22623539020056954</v>
      </c>
      <c r="CF94" s="31"/>
      <c r="CG94" s="30"/>
      <c r="CH94" s="30"/>
      <c r="CI94" s="30"/>
      <c r="CJ94" s="29">
        <f>CJ92/CJ$128</f>
        <v>0.2260258505854906</v>
      </c>
      <c r="CK94" s="32"/>
      <c r="CL94" s="14"/>
      <c r="CM94" s="661"/>
      <c r="CN94" s="661"/>
      <c r="CO94" s="440"/>
      <c r="CP94" s="731" t="s">
        <v>358</v>
      </c>
      <c r="CQ94" s="661"/>
      <c r="CR94" s="661"/>
      <c r="CS94" s="733"/>
      <c r="CT94" s="661"/>
      <c r="CU94" s="661"/>
      <c r="CV94" s="661"/>
      <c r="CW94" s="74"/>
      <c r="CX94" s="33"/>
      <c r="CY94" s="33"/>
    </row>
    <row r="95" spans="1:108" s="486" customFormat="1">
      <c r="A95" s="506" t="s">
        <v>36</v>
      </c>
      <c r="B95" s="507"/>
      <c r="C95" s="507"/>
      <c r="D95" s="507"/>
      <c r="E95" s="507"/>
      <c r="F95" s="507"/>
      <c r="G95" s="507"/>
      <c r="H95" s="508"/>
      <c r="I95" s="508"/>
      <c r="J95" s="508"/>
      <c r="K95" s="508"/>
      <c r="L95" s="507"/>
      <c r="M95" s="508"/>
      <c r="N95" s="508"/>
      <c r="O95" s="508"/>
      <c r="P95" s="508"/>
      <c r="Q95" s="507">
        <v>2579</v>
      </c>
      <c r="R95" s="508"/>
      <c r="S95" s="508"/>
      <c r="T95" s="508"/>
      <c r="U95" s="508"/>
      <c r="V95" s="507">
        <v>3173</v>
      </c>
      <c r="W95" s="508"/>
      <c r="X95" s="508"/>
      <c r="Y95" s="508"/>
      <c r="Z95" s="508"/>
      <c r="AA95" s="507">
        <v>3587</v>
      </c>
      <c r="AB95" s="508"/>
      <c r="AC95" s="508"/>
      <c r="AD95" s="508"/>
      <c r="AE95" s="508"/>
      <c r="AF95" s="507">
        <v>3696</v>
      </c>
      <c r="AG95" s="508"/>
      <c r="AH95" s="508"/>
      <c r="AI95" s="508"/>
      <c r="AJ95" s="508"/>
      <c r="AK95" s="507">
        <v>3601</v>
      </c>
      <c r="AL95" s="508"/>
      <c r="AM95" s="508"/>
      <c r="AN95" s="508"/>
      <c r="AO95" s="508"/>
      <c r="AP95" s="507">
        <v>3697</v>
      </c>
      <c r="AQ95" s="509"/>
      <c r="AR95" s="508"/>
      <c r="AS95" s="508"/>
      <c r="AT95" s="508"/>
      <c r="AU95" s="766">
        <v>4310</v>
      </c>
      <c r="AV95" s="509"/>
      <c r="AW95" s="508"/>
      <c r="AX95" s="508"/>
      <c r="AY95" s="508"/>
      <c r="AZ95" s="766">
        <v>5003</v>
      </c>
      <c r="BA95" s="766"/>
      <c r="BB95" s="509"/>
      <c r="BC95" s="508"/>
      <c r="BD95" s="508"/>
      <c r="BE95" s="508"/>
      <c r="BF95" s="507">
        <v>5376</v>
      </c>
      <c r="BG95" s="509">
        <v>1387</v>
      </c>
      <c r="BH95" s="508">
        <v>1278</v>
      </c>
      <c r="BI95" s="508">
        <v>1357</v>
      </c>
      <c r="BJ95" s="1225">
        <f>5264-BI95-BH95-BG95</f>
        <v>1242</v>
      </c>
      <c r="BK95" s="507">
        <f>+SUM(BG95:BJ95)</f>
        <v>5264</v>
      </c>
      <c r="BL95" s="509">
        <v>1204</v>
      </c>
      <c r="BM95" s="993">
        <v>1342</v>
      </c>
      <c r="BN95" s="993">
        <v>1248</v>
      </c>
      <c r="BO95" s="1225">
        <f>5175-BN95-BM95-BL95</f>
        <v>1381</v>
      </c>
      <c r="BP95" s="507">
        <f>+SUM(BL95:BO95)</f>
        <v>5175</v>
      </c>
      <c r="BQ95" s="922">
        <f t="shared" ref="BQ95" si="204">BL95*(1+BQ96)</f>
        <v>1276.24</v>
      </c>
      <c r="BR95" s="920">
        <f t="shared" ref="BR95" si="205">BM95*(1+BR96)</f>
        <v>1422.52</v>
      </c>
      <c r="BS95" s="920">
        <f t="shared" ref="BS95:BT95" si="206">BN95*(1+BS96)</f>
        <v>1322.88</v>
      </c>
      <c r="BT95" s="1247">
        <f t="shared" si="206"/>
        <v>1463.8600000000001</v>
      </c>
      <c r="BU95" s="984">
        <f>+SUM(BQ95:BT95)</f>
        <v>5485.5</v>
      </c>
      <c r="BV95" s="509"/>
      <c r="BW95" s="508"/>
      <c r="BX95" s="508"/>
      <c r="BY95" s="508"/>
      <c r="BZ95" s="507"/>
      <c r="CA95" s="509"/>
      <c r="CB95" s="508"/>
      <c r="CC95" s="508"/>
      <c r="CD95" s="508"/>
      <c r="CE95" s="507"/>
      <c r="CF95" s="509"/>
      <c r="CG95" s="508"/>
      <c r="CH95" s="508"/>
      <c r="CI95" s="508"/>
      <c r="CJ95" s="507"/>
      <c r="CK95" s="228"/>
      <c r="CL95" s="246"/>
      <c r="CM95" s="661"/>
      <c r="CN95" s="622"/>
      <c r="CO95" s="661"/>
      <c r="CP95" s="733" t="s">
        <v>367</v>
      </c>
      <c r="CQ95" s="654"/>
      <c r="CR95" s="654"/>
      <c r="CS95" s="654"/>
      <c r="CT95" s="654"/>
      <c r="CU95" s="654"/>
      <c r="CV95" s="654"/>
      <c r="CW95" s="484"/>
      <c r="CX95" s="485"/>
      <c r="CY95" s="485"/>
      <c r="CZ95"/>
      <c r="DA95"/>
      <c r="DB95"/>
      <c r="DC95"/>
      <c r="DD95"/>
    </row>
    <row r="96" spans="1:108" s="493" customFormat="1">
      <c r="A96" s="487" t="s">
        <v>21</v>
      </c>
      <c r="B96" s="489"/>
      <c r="C96" s="489"/>
      <c r="D96" s="489"/>
      <c r="E96" s="489"/>
      <c r="F96" s="489"/>
      <c r="G96" s="489"/>
      <c r="H96" s="488"/>
      <c r="I96" s="488"/>
      <c r="J96" s="488"/>
      <c r="K96" s="488"/>
      <c r="L96" s="489"/>
      <c r="M96" s="488"/>
      <c r="N96" s="488"/>
      <c r="O96" s="488"/>
      <c r="P96" s="488"/>
      <c r="Q96" s="489"/>
      <c r="R96" s="488"/>
      <c r="S96" s="488"/>
      <c r="T96" s="488"/>
      <c r="U96" s="488"/>
      <c r="V96" s="29">
        <f>V95/Q95-1</f>
        <v>0.23032183016673136</v>
      </c>
      <c r="W96" s="488"/>
      <c r="X96" s="488"/>
      <c r="Y96" s="488"/>
      <c r="Z96" s="488"/>
      <c r="AA96" s="29">
        <f>AA95/V95-1</f>
        <v>0.13047589032461393</v>
      </c>
      <c r="AB96" s="488"/>
      <c r="AC96" s="488"/>
      <c r="AD96" s="488"/>
      <c r="AE96" s="488"/>
      <c r="AF96" s="29">
        <f>AF95/AA95-1</f>
        <v>3.0387510454418676E-2</v>
      </c>
      <c r="AG96" s="488"/>
      <c r="AH96" s="488"/>
      <c r="AI96" s="488"/>
      <c r="AJ96" s="488"/>
      <c r="AK96" s="29">
        <f>AK95/AF95-1</f>
        <v>-2.5703463203463173E-2</v>
      </c>
      <c r="AL96" s="488"/>
      <c r="AM96" s="488"/>
      <c r="AN96" s="488"/>
      <c r="AO96" s="488"/>
      <c r="AP96" s="29">
        <f>AP95/AK95-1</f>
        <v>2.6659261316301031E-2</v>
      </c>
      <c r="AQ96" s="503"/>
      <c r="AR96" s="488"/>
      <c r="AS96" s="488"/>
      <c r="AT96" s="488"/>
      <c r="AU96" s="29">
        <f>AU95/AP95-1</f>
        <v>0.16581011631052212</v>
      </c>
      <c r="AV96" s="503"/>
      <c r="AW96" s="488"/>
      <c r="AX96" s="488"/>
      <c r="AY96" s="488"/>
      <c r="AZ96" s="29">
        <f>AZ95/AU95-1</f>
        <v>0.16078886310904883</v>
      </c>
      <c r="BA96" s="29"/>
      <c r="BB96" s="503"/>
      <c r="BC96" s="488"/>
      <c r="BD96" s="488"/>
      <c r="BE96" s="488"/>
      <c r="BF96" s="29">
        <f>BF95/AZ95-1</f>
        <v>7.4555266839896106E-2</v>
      </c>
      <c r="BG96" s="503"/>
      <c r="BH96" s="488"/>
      <c r="BI96" s="488"/>
      <c r="BJ96" s="488"/>
      <c r="BK96" s="29"/>
      <c r="BL96" s="657">
        <f>BL95/BG95-1</f>
        <v>-0.1319394376351839</v>
      </c>
      <c r="BM96" s="680">
        <f t="shared" ref="BM96:BO96" si="207">IFERROR(BM95/BH95-1,"")</f>
        <v>5.007824726134591E-2</v>
      </c>
      <c r="BN96" s="680">
        <f t="shared" si="207"/>
        <v>-8.0324244657332344E-2</v>
      </c>
      <c r="BO96" s="680">
        <f t="shared" si="207"/>
        <v>0.11191626409017719</v>
      </c>
      <c r="BP96" s="29">
        <f>IFERROR(BP95/BK95-1,"")</f>
        <v>-1.6907294832826714E-2</v>
      </c>
      <c r="BQ96" s="1177">
        <v>0.06</v>
      </c>
      <c r="BR96" s="1178">
        <v>0.06</v>
      </c>
      <c r="BS96" s="1178">
        <v>0.06</v>
      </c>
      <c r="BT96" s="1179">
        <v>0.06</v>
      </c>
      <c r="BU96" s="1180">
        <f t="shared" ref="BU96" si="208">IFERROR(BU95/BP95-1,"")</f>
        <v>6.0000000000000053E-2</v>
      </c>
      <c r="BV96" s="503"/>
      <c r="BW96" s="488"/>
      <c r="BX96" s="488"/>
      <c r="BY96" s="488"/>
      <c r="BZ96" s="29"/>
      <c r="CA96" s="503"/>
      <c r="CB96" s="488"/>
      <c r="CC96" s="488"/>
      <c r="CD96" s="488"/>
      <c r="CE96" s="29"/>
      <c r="CF96" s="503"/>
      <c r="CG96" s="488"/>
      <c r="CH96" s="488"/>
      <c r="CI96" s="488"/>
      <c r="CJ96" s="29"/>
      <c r="CK96" s="226"/>
      <c r="CL96" s="245"/>
      <c r="CM96" s="661"/>
      <c r="CN96" s="661"/>
      <c r="CO96" s="654"/>
      <c r="CP96" s="731"/>
      <c r="CQ96" s="997"/>
      <c r="CR96" s="997"/>
      <c r="CS96" s="997"/>
      <c r="CT96" s="997"/>
      <c r="CU96" s="997"/>
      <c r="CV96" s="997"/>
      <c r="CW96" s="491"/>
      <c r="CX96" s="492"/>
      <c r="CY96" s="492"/>
      <c r="CZ96"/>
      <c r="DA96"/>
      <c r="DB96"/>
      <c r="DC96"/>
      <c r="DD96"/>
    </row>
    <row r="97" spans="1:108" s="499" customFormat="1">
      <c r="A97" s="487" t="s">
        <v>37</v>
      </c>
      <c r="B97" s="490"/>
      <c r="C97" s="490"/>
      <c r="D97" s="490"/>
      <c r="E97" s="490"/>
      <c r="F97" s="490"/>
      <c r="G97" s="490"/>
      <c r="H97" s="362"/>
      <c r="I97" s="362"/>
      <c r="J97" s="362"/>
      <c r="K97" s="362"/>
      <c r="L97" s="490"/>
      <c r="M97" s="362"/>
      <c r="N97" s="362"/>
      <c r="O97" s="362"/>
      <c r="P97" s="362"/>
      <c r="Q97" s="490">
        <f>Q95/$Q$92</f>
        <v>0.46418286537077036</v>
      </c>
      <c r="R97" s="362"/>
      <c r="S97" s="362"/>
      <c r="T97" s="362"/>
      <c r="U97" s="362"/>
      <c r="V97" s="490">
        <f>V95/V$92</f>
        <v>0.49866415212949866</v>
      </c>
      <c r="W97" s="362"/>
      <c r="X97" s="362"/>
      <c r="Y97" s="362"/>
      <c r="Z97" s="362"/>
      <c r="AA97" s="490">
        <f>AA95/AA$92</f>
        <v>0.53721731316459487</v>
      </c>
      <c r="AB97" s="362"/>
      <c r="AC97" s="362"/>
      <c r="AD97" s="362"/>
      <c r="AE97" s="362"/>
      <c r="AF97" s="490">
        <f>AF95/AF$92</f>
        <v>0.55738199366611374</v>
      </c>
      <c r="AG97" s="362"/>
      <c r="AH97" s="362"/>
      <c r="AI97" s="362"/>
      <c r="AJ97" s="362"/>
      <c r="AK97" s="490">
        <f>AK95/AK$92</f>
        <v>0.54626820388349517</v>
      </c>
      <c r="AL97" s="362"/>
      <c r="AM97" s="362"/>
      <c r="AN97" s="362"/>
      <c r="AO97" s="362"/>
      <c r="AP97" s="490">
        <f>AP95/AP$92</f>
        <v>0.5508045292014303</v>
      </c>
      <c r="AQ97" s="530"/>
      <c r="AR97" s="362"/>
      <c r="AS97" s="362"/>
      <c r="AT97" s="362"/>
      <c r="AU97" s="490">
        <f>AU95/AU$92</f>
        <v>0.58944201312910283</v>
      </c>
      <c r="AV97" s="530"/>
      <c r="AW97" s="362"/>
      <c r="AX97" s="362"/>
      <c r="AY97" s="362"/>
      <c r="AZ97" s="490">
        <f>AZ95/AZ$92</f>
        <v>0.62436041432671907</v>
      </c>
      <c r="BA97" s="490"/>
      <c r="BB97" s="530"/>
      <c r="BC97" s="529"/>
      <c r="BD97" s="529"/>
      <c r="BE97" s="529"/>
      <c r="BF97" s="490">
        <f>BF95/BF$92</f>
        <v>0.65544989027066569</v>
      </c>
      <c r="BG97" s="530"/>
      <c r="BH97" s="529"/>
      <c r="BI97" s="529"/>
      <c r="BJ97" s="529"/>
      <c r="BK97" s="490"/>
      <c r="BL97" s="1034">
        <f t="shared" ref="BL97:BP97" si="209">BL95/BL$92</f>
        <v>0.62254395036194421</v>
      </c>
      <c r="BM97" s="523">
        <f t="shared" si="209"/>
        <v>0.64550264550264547</v>
      </c>
      <c r="BN97" s="523">
        <f t="shared" si="209"/>
        <v>0.64629725530813054</v>
      </c>
      <c r="BO97" s="523">
        <f t="shared" ref="BO97" si="210">BO95/BO$92</f>
        <v>0.67038834951456305</v>
      </c>
      <c r="BP97" s="490">
        <f t="shared" si="209"/>
        <v>0.64655172413793105</v>
      </c>
      <c r="BQ97" s="1034">
        <f t="shared" ref="BQ97:BU97" si="211">BQ95/BQ$92</f>
        <v>0.62668918918918914</v>
      </c>
      <c r="BR97" s="523">
        <f t="shared" si="211"/>
        <v>0.64955547742227127</v>
      </c>
      <c r="BS97" s="523">
        <f t="shared" si="211"/>
        <v>0.65023323027618984</v>
      </c>
      <c r="BT97" s="1121">
        <f t="shared" si="211"/>
        <v>0.67412077310258756</v>
      </c>
      <c r="BU97" s="1051">
        <f t="shared" si="211"/>
        <v>0.65052268320594842</v>
      </c>
      <c r="BV97" s="530"/>
      <c r="BW97" s="529"/>
      <c r="BX97" s="529"/>
      <c r="BY97" s="529"/>
      <c r="BZ97" s="490"/>
      <c r="CA97" s="530"/>
      <c r="CB97" s="529"/>
      <c r="CC97" s="529"/>
      <c r="CD97" s="529"/>
      <c r="CE97" s="490"/>
      <c r="CF97" s="530"/>
      <c r="CG97" s="529"/>
      <c r="CH97" s="529"/>
      <c r="CI97" s="529"/>
      <c r="CJ97" s="490"/>
      <c r="CK97" s="495"/>
      <c r="CL97" s="496"/>
      <c r="CM97" s="1009"/>
      <c r="CN97" s="1009"/>
      <c r="CO97" s="997"/>
      <c r="CP97" s="733"/>
      <c r="CQ97" s="731"/>
      <c r="CR97" s="731"/>
      <c r="CS97" s="731"/>
      <c r="CT97" s="731"/>
      <c r="CU97" s="731"/>
      <c r="CV97" s="731"/>
      <c r="CW97" s="497"/>
      <c r="CX97" s="498"/>
      <c r="CY97" s="498"/>
      <c r="CZ97"/>
      <c r="DA97"/>
      <c r="DB97"/>
      <c r="DC97"/>
      <c r="DD97"/>
    </row>
    <row r="98" spans="1:108" s="486" customFormat="1">
      <c r="A98" s="573" t="s">
        <v>38</v>
      </c>
      <c r="B98" s="507"/>
      <c r="C98" s="507"/>
      <c r="D98" s="507"/>
      <c r="E98" s="507"/>
      <c r="F98" s="507"/>
      <c r="G98" s="507"/>
      <c r="H98" s="508"/>
      <c r="I98" s="508"/>
      <c r="J98" s="508"/>
      <c r="K98" s="508"/>
      <c r="L98" s="507"/>
      <c r="M98" s="508"/>
      <c r="N98" s="508"/>
      <c r="O98" s="508"/>
      <c r="P98" s="508"/>
      <c r="Q98" s="507">
        <v>1195</v>
      </c>
      <c r="R98" s="508"/>
      <c r="S98" s="508"/>
      <c r="T98" s="508"/>
      <c r="U98" s="508"/>
      <c r="V98" s="507">
        <v>1278</v>
      </c>
      <c r="W98" s="508"/>
      <c r="X98" s="508"/>
      <c r="Y98" s="508"/>
      <c r="Z98" s="508"/>
      <c r="AA98" s="507">
        <v>1360</v>
      </c>
      <c r="AB98" s="508"/>
      <c r="AC98" s="508"/>
      <c r="AD98" s="508"/>
      <c r="AE98" s="508"/>
      <c r="AF98" s="507">
        <v>1191</v>
      </c>
      <c r="AG98" s="508"/>
      <c r="AH98" s="508"/>
      <c r="AI98" s="508"/>
      <c r="AJ98" s="508"/>
      <c r="AK98" s="507">
        <v>1152</v>
      </c>
      <c r="AL98" s="508"/>
      <c r="AM98" s="508"/>
      <c r="AN98" s="508"/>
      <c r="AO98" s="508"/>
      <c r="AP98" s="507">
        <v>1139</v>
      </c>
      <c r="AQ98" s="509"/>
      <c r="AR98" s="508"/>
      <c r="AS98" s="508"/>
      <c r="AT98" s="508"/>
      <c r="AU98" s="766">
        <v>1084</v>
      </c>
      <c r="AV98" s="509"/>
      <c r="AW98" s="508"/>
      <c r="AX98" s="508"/>
      <c r="AY98" s="508"/>
      <c r="AZ98" s="766">
        <v>1049</v>
      </c>
      <c r="BA98" s="766"/>
      <c r="BB98" s="509"/>
      <c r="BC98" s="508"/>
      <c r="BD98" s="508"/>
      <c r="BE98" s="508"/>
      <c r="BF98" s="507">
        <v>1019</v>
      </c>
      <c r="BG98" s="509">
        <v>273</v>
      </c>
      <c r="BH98" s="508">
        <v>282</v>
      </c>
      <c r="BI98" s="508">
        <v>250</v>
      </c>
      <c r="BJ98" s="1225">
        <f>994-BI98-BH98-BG98</f>
        <v>189</v>
      </c>
      <c r="BK98" s="507">
        <f>+SUM(BG98:BJ98)</f>
        <v>994</v>
      </c>
      <c r="BL98" s="509">
        <v>247</v>
      </c>
      <c r="BM98" s="993">
        <v>254</v>
      </c>
      <c r="BN98" s="993">
        <v>256</v>
      </c>
      <c r="BO98" s="1225">
        <f>1043-BN98-BM98-BL98</f>
        <v>286</v>
      </c>
      <c r="BP98" s="507">
        <f>+SUM(BL98:BO98)</f>
        <v>1043</v>
      </c>
      <c r="BQ98" s="922">
        <f t="shared" ref="BQ98" si="212">BL98*(1+BQ99)</f>
        <v>259.35000000000002</v>
      </c>
      <c r="BR98" s="920">
        <f t="shared" ref="BR98" si="213">BM98*(1+BR99)</f>
        <v>266.7</v>
      </c>
      <c r="BS98" s="920">
        <f t="shared" ref="BS98:BT98" si="214">BN98*(1+BS99)</f>
        <v>268.8</v>
      </c>
      <c r="BT98" s="1247">
        <f t="shared" si="214"/>
        <v>300.3</v>
      </c>
      <c r="BU98" s="984">
        <f>+SUM(BQ98:BT98)</f>
        <v>1095.1499999999999</v>
      </c>
      <c r="BV98" s="509"/>
      <c r="BW98" s="508"/>
      <c r="BX98" s="508"/>
      <c r="BY98" s="508"/>
      <c r="BZ98" s="507"/>
      <c r="CA98" s="509"/>
      <c r="CB98" s="508"/>
      <c r="CC98" s="508"/>
      <c r="CD98" s="508"/>
      <c r="CE98" s="507"/>
      <c r="CF98" s="509"/>
      <c r="CG98" s="508"/>
      <c r="CH98" s="508"/>
      <c r="CI98" s="508"/>
      <c r="CJ98" s="507"/>
      <c r="CK98" s="228"/>
      <c r="CL98" s="246"/>
      <c r="CM98" s="654"/>
      <c r="CN98" s="654"/>
      <c r="CO98" s="654"/>
      <c r="CP98" s="654"/>
      <c r="CQ98" s="654"/>
      <c r="CR98" s="654"/>
      <c r="CS98" s="654"/>
      <c r="CT98" s="654"/>
      <c r="CU98" s="654"/>
      <c r="CV98" s="654"/>
      <c r="CW98" s="484"/>
      <c r="CX98" s="485"/>
      <c r="CY98" s="485"/>
      <c r="CZ98"/>
      <c r="DA98"/>
      <c r="DB98"/>
      <c r="DC98"/>
      <c r="DD98"/>
    </row>
    <row r="99" spans="1:108" s="493" customFormat="1">
      <c r="A99" s="487" t="s">
        <v>21</v>
      </c>
      <c r="B99" s="489"/>
      <c r="C99" s="489"/>
      <c r="D99" s="489"/>
      <c r="E99" s="489"/>
      <c r="F99" s="489"/>
      <c r="G99" s="489"/>
      <c r="H99" s="488"/>
      <c r="I99" s="488"/>
      <c r="J99" s="488"/>
      <c r="K99" s="488"/>
      <c r="L99" s="489"/>
      <c r="M99" s="488"/>
      <c r="N99" s="488"/>
      <c r="O99" s="488"/>
      <c r="P99" s="488"/>
      <c r="Q99" s="489"/>
      <c r="R99" s="488"/>
      <c r="S99" s="488"/>
      <c r="T99" s="488"/>
      <c r="U99" s="488"/>
      <c r="V99" s="29">
        <f>V98/Q98-1</f>
        <v>6.9456066945606798E-2</v>
      </c>
      <c r="W99" s="488"/>
      <c r="X99" s="488"/>
      <c r="Y99" s="488"/>
      <c r="Z99" s="488"/>
      <c r="AA99" s="29">
        <f>AA98/V98-1</f>
        <v>6.4162754303599412E-2</v>
      </c>
      <c r="AB99" s="488"/>
      <c r="AC99" s="488"/>
      <c r="AD99" s="488"/>
      <c r="AE99" s="488"/>
      <c r="AF99" s="29">
        <f>AF98/AA98-1</f>
        <v>-0.12426470588235294</v>
      </c>
      <c r="AG99" s="488"/>
      <c r="AH99" s="488"/>
      <c r="AI99" s="488"/>
      <c r="AJ99" s="488"/>
      <c r="AK99" s="29">
        <f>AK98/AF98-1</f>
        <v>-3.2745591939546626E-2</v>
      </c>
      <c r="AL99" s="488"/>
      <c r="AM99" s="488"/>
      <c r="AN99" s="488"/>
      <c r="AO99" s="488"/>
      <c r="AP99" s="29">
        <f>AP98/AK98-1</f>
        <v>-1.128472222222221E-2</v>
      </c>
      <c r="AQ99" s="503"/>
      <c r="AR99" s="488"/>
      <c r="AS99" s="488"/>
      <c r="AT99" s="488"/>
      <c r="AU99" s="29">
        <f>AU98/AP98-1</f>
        <v>-4.8287971905179972E-2</v>
      </c>
      <c r="AV99" s="503"/>
      <c r="AW99" s="488"/>
      <c r="AX99" s="488"/>
      <c r="AY99" s="488"/>
      <c r="AZ99" s="29">
        <f>AZ98/AU98-1</f>
        <v>-3.2287822878228734E-2</v>
      </c>
      <c r="BA99" s="29"/>
      <c r="BB99" s="503"/>
      <c r="BC99" s="488"/>
      <c r="BD99" s="488"/>
      <c r="BE99" s="488"/>
      <c r="BF99" s="29">
        <f>BF98/AZ98-1</f>
        <v>-2.8598665395614842E-2</v>
      </c>
      <c r="BG99" s="503"/>
      <c r="BH99" s="488"/>
      <c r="BI99" s="488"/>
      <c r="BJ99" s="488"/>
      <c r="BK99" s="29"/>
      <c r="BL99" s="657">
        <f>BL98/BG98-1</f>
        <v>-9.5238095238095233E-2</v>
      </c>
      <c r="BM99" s="680">
        <f t="shared" ref="BM99:BO99" si="215">IFERROR(BM98/BH98-1,"")</f>
        <v>-9.9290780141844004E-2</v>
      </c>
      <c r="BN99" s="680">
        <f t="shared" si="215"/>
        <v>2.4000000000000021E-2</v>
      </c>
      <c r="BO99" s="680">
        <f t="shared" si="215"/>
        <v>0.51322751322751325</v>
      </c>
      <c r="BP99" s="29">
        <f>IFERROR(BP98/BK98-1,"")</f>
        <v>4.9295774647887258E-2</v>
      </c>
      <c r="BQ99" s="1177">
        <v>0.05</v>
      </c>
      <c r="BR99" s="1178">
        <v>0.05</v>
      </c>
      <c r="BS99" s="1178">
        <v>0.05</v>
      </c>
      <c r="BT99" s="1179">
        <v>0.05</v>
      </c>
      <c r="BU99" s="1180">
        <f t="shared" ref="BU99" si="216">IFERROR(BU98/BP98-1,"")</f>
        <v>4.9999999999999822E-2</v>
      </c>
      <c r="BV99" s="503"/>
      <c r="BW99" s="488"/>
      <c r="BX99" s="488"/>
      <c r="BY99" s="488"/>
      <c r="BZ99" s="29"/>
      <c r="CA99" s="503"/>
      <c r="CB99" s="488"/>
      <c r="CC99" s="488"/>
      <c r="CD99" s="488"/>
      <c r="CE99" s="29"/>
      <c r="CF99" s="503"/>
      <c r="CG99" s="488"/>
      <c r="CH99" s="488"/>
      <c r="CI99" s="488"/>
      <c r="CJ99" s="29"/>
      <c r="CK99" s="226"/>
      <c r="CL99" s="245"/>
      <c r="CM99" s="998"/>
      <c r="CN99" s="997"/>
      <c r="CO99" s="997"/>
      <c r="CP99" s="997"/>
      <c r="CQ99" s="997"/>
      <c r="CR99" s="997"/>
      <c r="CS99" s="997"/>
      <c r="CT99" s="997"/>
      <c r="CU99" s="997"/>
      <c r="CV99" s="997"/>
      <c r="CW99" s="491"/>
      <c r="CX99" s="492"/>
      <c r="CY99" s="492"/>
      <c r="CZ99"/>
      <c r="DA99"/>
      <c r="DB99"/>
      <c r="DC99"/>
      <c r="DD99"/>
    </row>
    <row r="100" spans="1:108" s="499" customFormat="1">
      <c r="A100" s="487" t="s">
        <v>37</v>
      </c>
      <c r="B100" s="490"/>
      <c r="C100" s="490"/>
      <c r="D100" s="490"/>
      <c r="E100" s="490"/>
      <c r="F100" s="490"/>
      <c r="G100" s="490"/>
      <c r="H100" s="362"/>
      <c r="I100" s="362"/>
      <c r="J100" s="362"/>
      <c r="K100" s="362"/>
      <c r="L100" s="490"/>
      <c r="M100" s="362"/>
      <c r="N100" s="362"/>
      <c r="O100" s="362"/>
      <c r="P100" s="362"/>
      <c r="Q100" s="490">
        <f>Q98/Q$92</f>
        <v>0.21508279337652988</v>
      </c>
      <c r="R100" s="362"/>
      <c r="S100" s="362"/>
      <c r="T100" s="362"/>
      <c r="U100" s="362"/>
      <c r="V100" s="490">
        <f>V98/V$92</f>
        <v>0.20084865629420084</v>
      </c>
      <c r="W100" s="362"/>
      <c r="X100" s="362"/>
      <c r="Y100" s="362"/>
      <c r="Z100" s="362"/>
      <c r="AA100" s="490">
        <f>AA98/AA$92</f>
        <v>0.20368428935150518</v>
      </c>
      <c r="AB100" s="362"/>
      <c r="AC100" s="362"/>
      <c r="AD100" s="362"/>
      <c r="AE100" s="362"/>
      <c r="AF100" s="490">
        <f>AF98/AF$92</f>
        <v>0.17961091841351229</v>
      </c>
      <c r="AG100" s="362"/>
      <c r="AH100" s="362"/>
      <c r="AI100" s="362"/>
      <c r="AJ100" s="362"/>
      <c r="AK100" s="490">
        <f>AK98/AK$92</f>
        <v>0.17475728155339806</v>
      </c>
      <c r="AL100" s="362"/>
      <c r="AM100" s="362"/>
      <c r="AN100" s="362"/>
      <c r="AO100" s="362"/>
      <c r="AP100" s="490">
        <f>AP98/AP$92</f>
        <v>0.16969606674612633</v>
      </c>
      <c r="AQ100" s="533"/>
      <c r="AR100" s="362"/>
      <c r="AS100" s="362"/>
      <c r="AT100" s="362"/>
      <c r="AU100" s="490">
        <f>AU98/AU$92</f>
        <v>0.14824945295404815</v>
      </c>
      <c r="AV100" s="533"/>
      <c r="AW100" s="362"/>
      <c r="AX100" s="362"/>
      <c r="AY100" s="362"/>
      <c r="AZ100" s="490">
        <f>AZ98/AZ$92</f>
        <v>0.13091226756520655</v>
      </c>
      <c r="BA100" s="490"/>
      <c r="BB100" s="530"/>
      <c r="BC100" s="529"/>
      <c r="BD100" s="529"/>
      <c r="BE100" s="529"/>
      <c r="BF100" s="490">
        <f>BF98/BF$92</f>
        <v>0.12423799073396732</v>
      </c>
      <c r="BG100" s="530"/>
      <c r="BH100" s="529"/>
      <c r="BI100" s="529"/>
      <c r="BJ100" s="529"/>
      <c r="BK100" s="490"/>
      <c r="BL100" s="1034">
        <f t="shared" ref="BL100:BP100" si="217">BL98/BL$92</f>
        <v>0.12771458117890383</v>
      </c>
      <c r="BM100" s="523">
        <f t="shared" si="217"/>
        <v>0.12217412217412217</v>
      </c>
      <c r="BN100" s="523">
        <f t="shared" si="217"/>
        <v>0.13257379596064214</v>
      </c>
      <c r="BO100" s="523">
        <f t="shared" ref="BO100" si="218">BO98/BO$92</f>
        <v>0.13883495145631067</v>
      </c>
      <c r="BP100" s="490">
        <f t="shared" si="217"/>
        <v>0.13030984507746127</v>
      </c>
      <c r="BQ100" s="1034">
        <f t="shared" ref="BQ100:BU100" si="219">BQ98/BQ$92</f>
        <v>0.12735209773727216</v>
      </c>
      <c r="BR100" s="523">
        <f t="shared" si="219"/>
        <v>0.12178137799715978</v>
      </c>
      <c r="BS100" s="523">
        <f t="shared" si="219"/>
        <v>0.13212286246540866</v>
      </c>
      <c r="BT100" s="1121">
        <f t="shared" si="219"/>
        <v>0.13829086672407678</v>
      </c>
      <c r="BU100" s="1051">
        <f t="shared" si="219"/>
        <v>0.12987328712295948</v>
      </c>
      <c r="BV100" s="530"/>
      <c r="BW100" s="529"/>
      <c r="BX100" s="529"/>
      <c r="BY100" s="529"/>
      <c r="BZ100" s="528"/>
      <c r="CA100" s="530"/>
      <c r="CB100" s="529"/>
      <c r="CC100" s="529"/>
      <c r="CD100" s="529"/>
      <c r="CE100" s="528"/>
      <c r="CF100" s="530"/>
      <c r="CG100" s="529"/>
      <c r="CH100" s="529"/>
      <c r="CI100" s="529"/>
      <c r="CJ100" s="528"/>
      <c r="CK100" s="495"/>
      <c r="CL100" s="496"/>
      <c r="CM100" s="1010"/>
      <c r="CN100" s="731"/>
      <c r="CO100" s="731"/>
      <c r="CP100" s="731"/>
      <c r="CQ100" s="731"/>
      <c r="CR100" s="731"/>
      <c r="CS100" s="731"/>
      <c r="CT100" s="731"/>
      <c r="CU100" s="731"/>
      <c r="CV100" s="731"/>
      <c r="CW100" s="497"/>
      <c r="CX100" s="498"/>
      <c r="CY100" s="498"/>
      <c r="CZ100"/>
      <c r="DA100"/>
      <c r="DB100"/>
      <c r="DC100"/>
      <c r="DD100"/>
    </row>
    <row r="101" spans="1:108" s="486" customFormat="1">
      <c r="A101" s="573" t="s">
        <v>39</v>
      </c>
      <c r="B101" s="507"/>
      <c r="C101" s="507"/>
      <c r="D101" s="507"/>
      <c r="E101" s="507"/>
      <c r="F101" s="507"/>
      <c r="G101" s="507"/>
      <c r="H101" s="508"/>
      <c r="I101" s="508"/>
      <c r="J101" s="508"/>
      <c r="K101" s="508"/>
      <c r="L101" s="507"/>
      <c r="M101" s="508"/>
      <c r="N101" s="508"/>
      <c r="O101" s="508"/>
      <c r="P101" s="508"/>
      <c r="Q101" s="507">
        <v>1192</v>
      </c>
      <c r="R101" s="508"/>
      <c r="S101" s="508"/>
      <c r="T101" s="508"/>
      <c r="U101" s="508"/>
      <c r="V101" s="507">
        <v>1179</v>
      </c>
      <c r="W101" s="508"/>
      <c r="X101" s="508"/>
      <c r="Y101" s="508"/>
      <c r="Z101" s="508"/>
      <c r="AA101" s="507">
        <v>961</v>
      </c>
      <c r="AB101" s="508"/>
      <c r="AC101" s="508"/>
      <c r="AD101" s="508"/>
      <c r="AE101" s="508"/>
      <c r="AF101" s="507">
        <v>930</v>
      </c>
      <c r="AG101" s="508"/>
      <c r="AH101" s="508"/>
      <c r="AI101" s="508"/>
      <c r="AJ101" s="508"/>
      <c r="AK101" s="507">
        <v>746</v>
      </c>
      <c r="AL101" s="508"/>
      <c r="AM101" s="508"/>
      <c r="AN101" s="508"/>
      <c r="AO101" s="508"/>
      <c r="AP101" s="507">
        <v>499</v>
      </c>
      <c r="AQ101" s="509"/>
      <c r="AR101" s="508"/>
      <c r="AS101" s="508"/>
      <c r="AT101" s="508"/>
      <c r="AU101" s="766">
        <v>640</v>
      </c>
      <c r="AV101" s="509"/>
      <c r="AW101" s="508"/>
      <c r="AX101" s="508"/>
      <c r="AY101" s="508"/>
      <c r="AZ101" s="766">
        <v>692</v>
      </c>
      <c r="BA101" s="766"/>
      <c r="BB101" s="509"/>
      <c r="BC101" s="508"/>
      <c r="BD101" s="508"/>
      <c r="BE101" s="508"/>
      <c r="BF101" s="507">
        <v>648</v>
      </c>
      <c r="BG101" s="509">
        <v>149</v>
      </c>
      <c r="BH101" s="508">
        <v>152</v>
      </c>
      <c r="BI101" s="508">
        <v>190</v>
      </c>
      <c r="BJ101" s="1225">
        <f>654-BI101-BH101-BG101</f>
        <v>163</v>
      </c>
      <c r="BK101" s="507">
        <f>+SUM(BG101:BJ101)</f>
        <v>654</v>
      </c>
      <c r="BL101" s="509">
        <v>143</v>
      </c>
      <c r="BM101" s="993">
        <v>155</v>
      </c>
      <c r="BN101" s="993">
        <v>129</v>
      </c>
      <c r="BO101" s="1225">
        <f>564-BN101-BM101-BL101</f>
        <v>137</v>
      </c>
      <c r="BP101" s="507">
        <f>+SUM(BL101:BO101)</f>
        <v>564</v>
      </c>
      <c r="BQ101" s="922">
        <f t="shared" ref="BQ101" si="220">BL101*(1+BQ102)</f>
        <v>147.29</v>
      </c>
      <c r="BR101" s="920">
        <f t="shared" ref="BR101" si="221">BM101*(1+BR102)</f>
        <v>159.65</v>
      </c>
      <c r="BS101" s="920">
        <f t="shared" ref="BS101:BT101" si="222">BN101*(1+BS102)</f>
        <v>132.87</v>
      </c>
      <c r="BT101" s="1247">
        <f t="shared" si="222"/>
        <v>141.11000000000001</v>
      </c>
      <c r="BU101" s="984">
        <f>+SUM(BQ101:BT101)</f>
        <v>580.92000000000007</v>
      </c>
      <c r="BV101" s="509"/>
      <c r="BW101" s="508"/>
      <c r="BX101" s="508"/>
      <c r="BY101" s="508"/>
      <c r="BZ101" s="507"/>
      <c r="CA101" s="509"/>
      <c r="CB101" s="508"/>
      <c r="CC101" s="508"/>
      <c r="CD101" s="508"/>
      <c r="CE101" s="507"/>
      <c r="CF101" s="509"/>
      <c r="CG101" s="508"/>
      <c r="CH101" s="508"/>
      <c r="CI101" s="508"/>
      <c r="CJ101" s="507"/>
      <c r="CK101" s="228"/>
      <c r="CL101" s="246"/>
      <c r="CM101" s="1001"/>
      <c r="CN101" s="654"/>
      <c r="CO101" s="654"/>
      <c r="CP101" s="654"/>
      <c r="CQ101" s="654"/>
      <c r="CR101" s="654"/>
      <c r="CS101" s="654"/>
      <c r="CT101" s="654"/>
      <c r="CU101" s="654"/>
      <c r="CV101" s="654"/>
      <c r="CW101" s="484"/>
      <c r="CX101" s="485"/>
      <c r="CY101" s="485"/>
      <c r="CZ101"/>
      <c r="DA101"/>
      <c r="DB101"/>
      <c r="DC101"/>
      <c r="DD101"/>
    </row>
    <row r="102" spans="1:108" s="493" customFormat="1">
      <c r="A102" s="487" t="s">
        <v>21</v>
      </c>
      <c r="B102" s="489"/>
      <c r="C102" s="489"/>
      <c r="D102" s="489"/>
      <c r="E102" s="489"/>
      <c r="F102" s="489"/>
      <c r="G102" s="489"/>
      <c r="H102" s="488"/>
      <c r="I102" s="488"/>
      <c r="J102" s="488"/>
      <c r="K102" s="488"/>
      <c r="L102" s="489"/>
      <c r="M102" s="488"/>
      <c r="N102" s="488"/>
      <c r="O102" s="488"/>
      <c r="P102" s="488"/>
      <c r="Q102" s="489"/>
      <c r="R102" s="488"/>
      <c r="S102" s="488"/>
      <c r="T102" s="488"/>
      <c r="U102" s="488"/>
      <c r="V102" s="29">
        <f>V101/Q101-1</f>
        <v>-1.0906040268456429E-2</v>
      </c>
      <c r="W102" s="488"/>
      <c r="X102" s="488"/>
      <c r="Y102" s="488"/>
      <c r="Z102" s="488"/>
      <c r="AA102" s="29">
        <f>AA101/V101-1</f>
        <v>-0.18490245971162</v>
      </c>
      <c r="AB102" s="488"/>
      <c r="AC102" s="488"/>
      <c r="AD102" s="488"/>
      <c r="AE102" s="488"/>
      <c r="AF102" s="29">
        <f>AF101/AA101-1</f>
        <v>-3.2258064516129004E-2</v>
      </c>
      <c r="AG102" s="488"/>
      <c r="AH102" s="488"/>
      <c r="AI102" s="488"/>
      <c r="AJ102" s="488"/>
      <c r="AK102" s="29">
        <f>AK101/AF101-1</f>
        <v>-0.19784946236559142</v>
      </c>
      <c r="AL102" s="488"/>
      <c r="AM102" s="488"/>
      <c r="AN102" s="488"/>
      <c r="AO102" s="488"/>
      <c r="AP102" s="29">
        <f>AP101/AK101-1</f>
        <v>-0.33109919571045576</v>
      </c>
      <c r="AQ102" s="503"/>
      <c r="AR102" s="488"/>
      <c r="AS102" s="488"/>
      <c r="AT102" s="488"/>
      <c r="AU102" s="29">
        <f>AU101/AP101-1</f>
        <v>0.28256513026052099</v>
      </c>
      <c r="AV102" s="503"/>
      <c r="AW102" s="488"/>
      <c r="AX102" s="488"/>
      <c r="AY102" s="488"/>
      <c r="AZ102" s="29">
        <f>AZ101/AU101-1</f>
        <v>8.1250000000000044E-2</v>
      </c>
      <c r="BA102" s="29"/>
      <c r="BB102" s="503"/>
      <c r="BC102" s="488"/>
      <c r="BD102" s="488"/>
      <c r="BE102" s="488"/>
      <c r="BF102" s="29">
        <f>BF101/AZ101-1</f>
        <v>-6.3583815028901758E-2</v>
      </c>
      <c r="BG102" s="503"/>
      <c r="BH102" s="488"/>
      <c r="BI102" s="488"/>
      <c r="BJ102" s="488"/>
      <c r="BK102" s="29"/>
      <c r="BL102" s="657">
        <f>BL101/BG101-1</f>
        <v>-4.0268456375838979E-2</v>
      </c>
      <c r="BM102" s="680">
        <f t="shared" ref="BM102:BO102" si="223">IFERROR(BM101/BH101-1,"")</f>
        <v>1.9736842105263053E-2</v>
      </c>
      <c r="BN102" s="680">
        <f t="shared" si="223"/>
        <v>-0.32105263157894737</v>
      </c>
      <c r="BO102" s="680">
        <f t="shared" si="223"/>
        <v>-0.1595092024539877</v>
      </c>
      <c r="BP102" s="29">
        <f>IFERROR(BP101/BK101-1,"")</f>
        <v>-0.13761467889908252</v>
      </c>
      <c r="BQ102" s="1177">
        <v>0.03</v>
      </c>
      <c r="BR102" s="1178">
        <v>0.03</v>
      </c>
      <c r="BS102" s="1178">
        <v>0.03</v>
      </c>
      <c r="BT102" s="1179">
        <v>0.03</v>
      </c>
      <c r="BU102" s="1180">
        <f t="shared" ref="BU102" si="224">IFERROR(BU101/BP101-1,"")</f>
        <v>3.0000000000000027E-2</v>
      </c>
      <c r="BV102" s="503"/>
      <c r="BW102" s="488"/>
      <c r="BX102" s="488"/>
      <c r="BY102" s="488"/>
      <c r="BZ102" s="29"/>
      <c r="CA102" s="503"/>
      <c r="CB102" s="488"/>
      <c r="CC102" s="488"/>
      <c r="CD102" s="488"/>
      <c r="CE102" s="29"/>
      <c r="CF102" s="503"/>
      <c r="CG102" s="488"/>
      <c r="CH102" s="488"/>
      <c r="CI102" s="488"/>
      <c r="CJ102" s="29"/>
      <c r="CK102" s="226"/>
      <c r="CL102" s="245"/>
      <c r="CM102" s="998"/>
      <c r="CN102" s="997"/>
      <c r="CO102" s="997"/>
      <c r="CP102" s="997"/>
      <c r="CQ102" s="997"/>
      <c r="CR102" s="997"/>
      <c r="CS102" s="997"/>
      <c r="CT102" s="997"/>
      <c r="CU102" s="997"/>
      <c r="CV102" s="997"/>
      <c r="CW102" s="491"/>
      <c r="CX102" s="492"/>
      <c r="CY102" s="492"/>
      <c r="CZ102"/>
      <c r="DA102"/>
      <c r="DB102"/>
      <c r="DC102"/>
      <c r="DD102"/>
    </row>
    <row r="103" spans="1:108" s="499" customFormat="1">
      <c r="A103" s="487" t="s">
        <v>37</v>
      </c>
      <c r="B103" s="490"/>
      <c r="C103" s="490"/>
      <c r="D103" s="490"/>
      <c r="E103" s="490"/>
      <c r="F103" s="490"/>
      <c r="G103" s="490"/>
      <c r="H103" s="362"/>
      <c r="I103" s="362"/>
      <c r="J103" s="362"/>
      <c r="K103" s="362"/>
      <c r="L103" s="490"/>
      <c r="M103" s="362"/>
      <c r="N103" s="362"/>
      <c r="O103" s="362"/>
      <c r="P103" s="362"/>
      <c r="Q103" s="490">
        <f>Q101/Q$92</f>
        <v>0.21454283657307416</v>
      </c>
      <c r="R103" s="362"/>
      <c r="S103" s="362"/>
      <c r="T103" s="362"/>
      <c r="U103" s="362"/>
      <c r="V103" s="490">
        <f>V101/V$92</f>
        <v>0.18528995756718528</v>
      </c>
      <c r="W103" s="362"/>
      <c r="X103" s="362"/>
      <c r="Y103" s="362"/>
      <c r="Z103" s="362"/>
      <c r="AA103" s="490">
        <f>AA101/AA$92</f>
        <v>0.14392691328440915</v>
      </c>
      <c r="AB103" s="362"/>
      <c r="AC103" s="362"/>
      <c r="AD103" s="362"/>
      <c r="AE103" s="362"/>
      <c r="AF103" s="490">
        <f>AF101/AF$92</f>
        <v>0.14025033931533706</v>
      </c>
      <c r="AG103" s="362"/>
      <c r="AH103" s="362"/>
      <c r="AI103" s="362"/>
      <c r="AJ103" s="362"/>
      <c r="AK103" s="490">
        <f>AK101/AK$92</f>
        <v>0.11316747572815535</v>
      </c>
      <c r="AL103" s="362"/>
      <c r="AM103" s="362"/>
      <c r="AN103" s="362"/>
      <c r="AO103" s="362"/>
      <c r="AP103" s="490">
        <f>AP101/AP$92</f>
        <v>7.4344457687723478E-2</v>
      </c>
      <c r="AQ103" s="530"/>
      <c r="AR103" s="362"/>
      <c r="AS103" s="362"/>
      <c r="AT103" s="362"/>
      <c r="AU103" s="490">
        <f>AU101/AU$92</f>
        <v>8.7527352297592995E-2</v>
      </c>
      <c r="AV103" s="530"/>
      <c r="AW103" s="362"/>
      <c r="AX103" s="362"/>
      <c r="AY103" s="362"/>
      <c r="AZ103" s="490">
        <f>AZ101/AZ$92</f>
        <v>8.6359665543491823E-2</v>
      </c>
      <c r="BA103" s="490"/>
      <c r="BB103" s="530"/>
      <c r="BC103" s="529"/>
      <c r="BD103" s="529"/>
      <c r="BE103" s="529"/>
      <c r="BF103" s="490">
        <f>BF101/BF$92</f>
        <v>7.9005120702267742E-2</v>
      </c>
      <c r="BG103" s="530"/>
      <c r="BH103" s="529"/>
      <c r="BI103" s="529"/>
      <c r="BJ103" s="529"/>
      <c r="BK103" s="490"/>
      <c r="BL103" s="1034">
        <f t="shared" ref="BL103:BP103" si="225">BL101/BL$92</f>
        <v>7.3940020682523269E-2</v>
      </c>
      <c r="BM103" s="523">
        <f t="shared" si="225"/>
        <v>7.4555074555074555E-2</v>
      </c>
      <c r="BN103" s="523">
        <f t="shared" si="225"/>
        <v>6.680476437079233E-2</v>
      </c>
      <c r="BO103" s="523">
        <f t="shared" ref="BO103" si="226">BO101/BO$92</f>
        <v>6.650485436893204E-2</v>
      </c>
      <c r="BP103" s="490">
        <f t="shared" si="225"/>
        <v>7.0464767616191901E-2</v>
      </c>
      <c r="BQ103" s="1034">
        <f t="shared" ref="BQ103:BU103" si="227">BQ101/BQ$92</f>
        <v>7.2325777812696418E-2</v>
      </c>
      <c r="BR103" s="523">
        <f t="shared" si="227"/>
        <v>7.2899876255142715E-2</v>
      </c>
      <c r="BS103" s="523">
        <f t="shared" si="227"/>
        <v>6.5309392618224882E-2</v>
      </c>
      <c r="BT103" s="1121">
        <f t="shared" si="227"/>
        <v>6.4982431579868383E-2</v>
      </c>
      <c r="BU103" s="1051">
        <f t="shared" si="227"/>
        <v>6.8891010323215679E-2</v>
      </c>
      <c r="BV103" s="530"/>
      <c r="BW103" s="529"/>
      <c r="BX103" s="529"/>
      <c r="BY103" s="529"/>
      <c r="BZ103" s="528"/>
      <c r="CA103" s="530"/>
      <c r="CB103" s="529"/>
      <c r="CC103" s="529"/>
      <c r="CD103" s="529"/>
      <c r="CE103" s="528"/>
      <c r="CF103" s="530"/>
      <c r="CG103" s="529"/>
      <c r="CH103" s="529"/>
      <c r="CI103" s="529"/>
      <c r="CJ103" s="528"/>
      <c r="CK103" s="495"/>
      <c r="CL103" s="496"/>
      <c r="CM103" s="654"/>
      <c r="CN103" s="731"/>
      <c r="CO103" s="731"/>
      <c r="CP103" s="731"/>
      <c r="CQ103" s="731"/>
      <c r="CR103" s="731"/>
      <c r="CS103" s="731"/>
      <c r="CT103" s="731"/>
      <c r="CU103" s="731"/>
      <c r="CV103" s="731"/>
      <c r="CW103" s="497"/>
      <c r="CX103" s="498"/>
      <c r="CY103" s="498"/>
      <c r="CZ103"/>
      <c r="DA103"/>
      <c r="DB103"/>
      <c r="DC103"/>
      <c r="DD103"/>
    </row>
    <row r="104" spans="1:108" s="135" customFormat="1">
      <c r="A104" s="924" t="s">
        <v>13</v>
      </c>
      <c r="B104" s="919"/>
      <c r="C104" s="919"/>
      <c r="D104" s="919"/>
      <c r="E104" s="919"/>
      <c r="F104" s="919"/>
      <c r="G104" s="919"/>
      <c r="H104" s="920"/>
      <c r="I104" s="920"/>
      <c r="J104" s="920"/>
      <c r="K104" s="920"/>
      <c r="L104" s="919"/>
      <c r="M104" s="920"/>
      <c r="N104" s="920"/>
      <c r="O104" s="920"/>
      <c r="P104" s="920"/>
      <c r="Q104" s="919">
        <v>590</v>
      </c>
      <c r="R104" s="920"/>
      <c r="S104" s="920"/>
      <c r="T104" s="920"/>
      <c r="U104" s="920"/>
      <c r="V104" s="919">
        <v>733</v>
      </c>
      <c r="W104" s="920"/>
      <c r="X104" s="920"/>
      <c r="Y104" s="920"/>
      <c r="Z104" s="920"/>
      <c r="AA104" s="919">
        <v>769</v>
      </c>
      <c r="AB104" s="920"/>
      <c r="AC104" s="920"/>
      <c r="AD104" s="920"/>
      <c r="AE104" s="920"/>
      <c r="AF104" s="919">
        <f>AF92-SUM(AF95,AF98,AF101)</f>
        <v>814</v>
      </c>
      <c r="AG104" s="920"/>
      <c r="AH104" s="920"/>
      <c r="AI104" s="920"/>
      <c r="AJ104" s="920"/>
      <c r="AK104" s="919">
        <f>AK92-SUM(AK95,AK98,AK101)</f>
        <v>1093</v>
      </c>
      <c r="AL104" s="920"/>
      <c r="AM104" s="920"/>
      <c r="AN104" s="920"/>
      <c r="AO104" s="920"/>
      <c r="AP104" s="919">
        <v>1377</v>
      </c>
      <c r="AQ104" s="922"/>
      <c r="AR104" s="920"/>
      <c r="AS104" s="920"/>
      <c r="AT104" s="920"/>
      <c r="AU104" s="923">
        <v>1278</v>
      </c>
      <c r="AV104" s="922"/>
      <c r="AW104" s="920"/>
      <c r="AX104" s="920"/>
      <c r="AY104" s="920"/>
      <c r="AZ104" s="923">
        <v>1269</v>
      </c>
      <c r="BA104" s="923"/>
      <c r="BB104" s="922"/>
      <c r="BC104" s="920"/>
      <c r="BD104" s="920"/>
      <c r="BE104" s="920"/>
      <c r="BF104" s="919">
        <v>1159</v>
      </c>
      <c r="BG104" s="922">
        <v>313</v>
      </c>
      <c r="BH104" s="920">
        <v>266</v>
      </c>
      <c r="BI104" s="920">
        <v>278</v>
      </c>
      <c r="BJ104" s="1225">
        <f>1160-BI104-BH104-BG104</f>
        <v>303</v>
      </c>
      <c r="BK104" s="919">
        <f>+SUM(BG104:BJ104)</f>
        <v>1160</v>
      </c>
      <c r="BL104" s="922">
        <v>340</v>
      </c>
      <c r="BM104" s="993">
        <v>328</v>
      </c>
      <c r="BN104" s="993">
        <v>298</v>
      </c>
      <c r="BO104" s="1225">
        <f>1222-BN104-BM104-BL104</f>
        <v>256</v>
      </c>
      <c r="BP104" s="919">
        <f>+SUM(BL104:BO104)</f>
        <v>1222</v>
      </c>
      <c r="BQ104" s="922">
        <f t="shared" ref="BQ104" si="228">BL104*(1+BQ105)</f>
        <v>353.6</v>
      </c>
      <c r="BR104" s="920">
        <f t="shared" ref="BR104" si="229">BM104*(1+BR105)</f>
        <v>341.12</v>
      </c>
      <c r="BS104" s="920">
        <f t="shared" ref="BS104:BT104" si="230">BN104*(1+BS105)</f>
        <v>309.92</v>
      </c>
      <c r="BT104" s="1247">
        <f t="shared" si="230"/>
        <v>266.24</v>
      </c>
      <c r="BU104" s="984">
        <f>+SUM(BQ104:BT104)</f>
        <v>1270.8800000000001</v>
      </c>
      <c r="BV104" s="922"/>
      <c r="BW104" s="920"/>
      <c r="BX104" s="920"/>
      <c r="BY104" s="920"/>
      <c r="BZ104" s="919"/>
      <c r="CA104" s="922"/>
      <c r="CB104" s="920"/>
      <c r="CC104" s="920"/>
      <c r="CD104" s="920"/>
      <c r="CE104" s="919"/>
      <c r="CF104" s="922"/>
      <c r="CG104" s="920"/>
      <c r="CH104" s="920"/>
      <c r="CI104" s="920"/>
      <c r="CJ104" s="919"/>
      <c r="CK104" s="132"/>
      <c r="CL104" s="240"/>
      <c r="CM104" s="622"/>
      <c r="CN104" s="622"/>
      <c r="CO104" s="622"/>
      <c r="CP104" s="622"/>
      <c r="CQ104" s="622"/>
      <c r="CR104" s="622"/>
      <c r="CS104" s="622"/>
      <c r="CT104" s="622"/>
      <c r="CU104" s="622"/>
      <c r="CV104" s="622"/>
      <c r="CW104" s="230"/>
      <c r="CX104" s="133"/>
      <c r="CY104" s="133"/>
      <c r="CZ104"/>
      <c r="DA104"/>
      <c r="DB104"/>
      <c r="DC104"/>
      <c r="DD104"/>
    </row>
    <row r="105" spans="1:108" s="493" customFormat="1">
      <c r="A105" s="487" t="s">
        <v>21</v>
      </c>
      <c r="B105" s="489"/>
      <c r="C105" s="489"/>
      <c r="D105" s="489"/>
      <c r="E105" s="489"/>
      <c r="F105" s="489"/>
      <c r="G105" s="489"/>
      <c r="H105" s="488"/>
      <c r="I105" s="488"/>
      <c r="J105" s="488"/>
      <c r="K105" s="488"/>
      <c r="L105" s="489"/>
      <c r="M105" s="488"/>
      <c r="N105" s="488"/>
      <c r="O105" s="488"/>
      <c r="P105" s="488"/>
      <c r="Q105" s="489"/>
      <c r="R105" s="488"/>
      <c r="S105" s="488"/>
      <c r="T105" s="488"/>
      <c r="U105" s="488"/>
      <c r="V105" s="29">
        <f>V104/Q104-1</f>
        <v>0.24237288135593227</v>
      </c>
      <c r="W105" s="488"/>
      <c r="X105" s="488"/>
      <c r="Y105" s="488"/>
      <c r="Z105" s="488"/>
      <c r="AA105" s="29">
        <f>AA104/V104-1</f>
        <v>4.9113233287858105E-2</v>
      </c>
      <c r="AB105" s="488"/>
      <c r="AC105" s="488"/>
      <c r="AD105" s="488"/>
      <c r="AE105" s="488"/>
      <c r="AF105" s="29">
        <f>AF104/AA104-1</f>
        <v>5.8517555266579979E-2</v>
      </c>
      <c r="AG105" s="488"/>
      <c r="AH105" s="488"/>
      <c r="AI105" s="488"/>
      <c r="AJ105" s="488"/>
      <c r="AK105" s="29">
        <f>AK104/AF104-1</f>
        <v>0.34275184275184278</v>
      </c>
      <c r="AL105" s="488"/>
      <c r="AM105" s="488"/>
      <c r="AN105" s="488"/>
      <c r="AO105" s="488"/>
      <c r="AP105" s="29">
        <f>AP104/AK104-1</f>
        <v>0.25983531564501372</v>
      </c>
      <c r="AQ105" s="503"/>
      <c r="AR105" s="488"/>
      <c r="AS105" s="488"/>
      <c r="AT105" s="488"/>
      <c r="AU105" s="29">
        <f>AU104/AP104-1</f>
        <v>-7.1895424836601274E-2</v>
      </c>
      <c r="AV105" s="503"/>
      <c r="AW105" s="488"/>
      <c r="AX105" s="488"/>
      <c r="AY105" s="488"/>
      <c r="AZ105" s="29">
        <f>AZ104/AU104-1</f>
        <v>-7.0422535211267512E-3</v>
      </c>
      <c r="BA105" s="29"/>
      <c r="BB105" s="503"/>
      <c r="BC105" s="488"/>
      <c r="BD105" s="488"/>
      <c r="BE105" s="488"/>
      <c r="BF105" s="29">
        <f>BF104/AZ104-1</f>
        <v>-8.6682427107959037E-2</v>
      </c>
      <c r="BG105" s="503"/>
      <c r="BH105" s="488"/>
      <c r="BI105" s="488"/>
      <c r="BJ105" s="488"/>
      <c r="BK105" s="29"/>
      <c r="BL105" s="657">
        <f>BL104/BG104-1</f>
        <v>8.6261980830670826E-2</v>
      </c>
      <c r="BM105" s="680">
        <f t="shared" ref="BM105:BO105" si="231">IFERROR(BM104/BH104-1,"")</f>
        <v>0.23308270676691722</v>
      </c>
      <c r="BN105" s="680">
        <f t="shared" si="231"/>
        <v>7.1942446043165464E-2</v>
      </c>
      <c r="BO105" s="680">
        <f t="shared" si="231"/>
        <v>-0.15511551155115511</v>
      </c>
      <c r="BP105" s="29">
        <f>IFERROR(BP104/BK104-1,"")</f>
        <v>5.3448275862068906E-2</v>
      </c>
      <c r="BQ105" s="1177">
        <v>0.04</v>
      </c>
      <c r="BR105" s="1178">
        <v>0.04</v>
      </c>
      <c r="BS105" s="1178">
        <v>0.04</v>
      </c>
      <c r="BT105" s="1179">
        <v>0.04</v>
      </c>
      <c r="BU105" s="1180">
        <f t="shared" ref="BU105" si="232">IFERROR(BU104/BP104-1,"")</f>
        <v>4.0000000000000036E-2</v>
      </c>
      <c r="BV105" s="503"/>
      <c r="BW105" s="488"/>
      <c r="BX105" s="488"/>
      <c r="BY105" s="488"/>
      <c r="BZ105" s="29"/>
      <c r="CA105" s="503"/>
      <c r="CB105" s="488"/>
      <c r="CC105" s="488"/>
      <c r="CD105" s="488"/>
      <c r="CE105" s="29"/>
      <c r="CF105" s="503"/>
      <c r="CG105" s="488"/>
      <c r="CH105" s="488"/>
      <c r="CI105" s="488"/>
      <c r="CJ105" s="29"/>
      <c r="CK105" s="226"/>
      <c r="CL105" s="245"/>
      <c r="CM105" s="998"/>
      <c r="CN105" s="997"/>
      <c r="CO105" s="997"/>
      <c r="CP105" s="997"/>
      <c r="CQ105" s="1310"/>
      <c r="CR105" s="1310"/>
      <c r="CS105" s="1310"/>
      <c r="CT105" s="1310"/>
      <c r="CU105" s="1310"/>
      <c r="CV105" s="1310"/>
      <c r="CW105" s="491"/>
      <c r="CX105" s="492"/>
      <c r="CY105" s="492"/>
      <c r="CZ105"/>
      <c r="DA105"/>
      <c r="DB105"/>
      <c r="DC105"/>
      <c r="DD105"/>
    </row>
    <row r="106" spans="1:108" s="499" customFormat="1">
      <c r="A106" s="487" t="s">
        <v>37</v>
      </c>
      <c r="B106" s="490"/>
      <c r="C106" s="490"/>
      <c r="D106" s="490"/>
      <c r="E106" s="490"/>
      <c r="F106" s="490"/>
      <c r="G106" s="490"/>
      <c r="H106" s="362"/>
      <c r="I106" s="362"/>
      <c r="J106" s="362"/>
      <c r="K106" s="362"/>
      <c r="L106" s="490"/>
      <c r="M106" s="362"/>
      <c r="N106" s="362"/>
      <c r="O106" s="362"/>
      <c r="P106" s="362"/>
      <c r="Q106" s="490">
        <f>Q104/Q92</f>
        <v>0.10619150467962563</v>
      </c>
      <c r="R106" s="362"/>
      <c r="S106" s="362"/>
      <c r="T106" s="362"/>
      <c r="U106" s="362"/>
      <c r="V106" s="490">
        <f>V104/V92</f>
        <v>0.1151972340091152</v>
      </c>
      <c r="W106" s="362"/>
      <c r="X106" s="362"/>
      <c r="Y106" s="362"/>
      <c r="Z106" s="362"/>
      <c r="AA106" s="490">
        <f>AA104/AA92</f>
        <v>0.11517148419949079</v>
      </c>
      <c r="AB106" s="362"/>
      <c r="AC106" s="362"/>
      <c r="AD106" s="362"/>
      <c r="AE106" s="362"/>
      <c r="AF106" s="490">
        <f>AF104/AF92</f>
        <v>0.12275674860503695</v>
      </c>
      <c r="AG106" s="362"/>
      <c r="AH106" s="362"/>
      <c r="AI106" s="362"/>
      <c r="AJ106" s="362"/>
      <c r="AK106" s="490">
        <f>AK104/AK92</f>
        <v>0.16580703883495146</v>
      </c>
      <c r="AL106" s="362"/>
      <c r="AM106" s="362"/>
      <c r="AN106" s="362"/>
      <c r="AO106" s="362"/>
      <c r="AP106" s="490">
        <f>AP104/AP92</f>
        <v>0.2051549463647199</v>
      </c>
      <c r="AQ106" s="533"/>
      <c r="AR106" s="362"/>
      <c r="AS106" s="362"/>
      <c r="AT106" s="362"/>
      <c r="AU106" s="490">
        <f>AU104/AU92</f>
        <v>0.17478118161925602</v>
      </c>
      <c r="AV106" s="533"/>
      <c r="AW106" s="362"/>
      <c r="AX106" s="362"/>
      <c r="AY106" s="362"/>
      <c r="AZ106" s="490">
        <f>AZ104/AZ92</f>
        <v>0.15836765256458255</v>
      </c>
      <c r="BA106" s="490"/>
      <c r="BB106" s="533"/>
      <c r="BC106" s="362"/>
      <c r="BD106" s="362"/>
      <c r="BE106" s="362"/>
      <c r="BF106" s="490">
        <f>BF104/BF92</f>
        <v>0.14130699829309926</v>
      </c>
      <c r="BG106" s="533"/>
      <c r="BH106" s="362"/>
      <c r="BI106" s="362"/>
      <c r="BJ106" s="362"/>
      <c r="BK106" s="490"/>
      <c r="BL106" s="533">
        <f t="shared" ref="BL106:BP106" si="233">BL104/BL92</f>
        <v>0.17580144777662876</v>
      </c>
      <c r="BM106" s="523">
        <f t="shared" si="233"/>
        <v>0.15776815776815778</v>
      </c>
      <c r="BN106" s="523">
        <f t="shared" si="233"/>
        <v>0.15432418436043502</v>
      </c>
      <c r="BO106" s="523">
        <f t="shared" ref="BO106" si="234">BO104/BO92</f>
        <v>0.12427184466019417</v>
      </c>
      <c r="BP106" s="490">
        <f t="shared" si="233"/>
        <v>0.1526736631684158</v>
      </c>
      <c r="BQ106" s="533">
        <f t="shared" ref="BQ106:BU106" si="235">BQ104/BQ92</f>
        <v>0.17363293526084225</v>
      </c>
      <c r="BR106" s="362">
        <f t="shared" si="235"/>
        <v>0.15576326832542614</v>
      </c>
      <c r="BS106" s="362">
        <f t="shared" si="235"/>
        <v>0.15233451464017655</v>
      </c>
      <c r="BT106" s="1108">
        <f t="shared" si="235"/>
        <v>0.12260592859346721</v>
      </c>
      <c r="BU106" s="1051">
        <f t="shared" si="235"/>
        <v>0.15071301934787637</v>
      </c>
      <c r="BV106" s="533"/>
      <c r="BW106" s="362"/>
      <c r="BX106" s="362"/>
      <c r="BY106" s="362"/>
      <c r="BZ106" s="490"/>
      <c r="CA106" s="533"/>
      <c r="CB106" s="362"/>
      <c r="CC106" s="362"/>
      <c r="CD106" s="362"/>
      <c r="CE106" s="490"/>
      <c r="CF106" s="533"/>
      <c r="CG106" s="362"/>
      <c r="CH106" s="362"/>
      <c r="CI106" s="362"/>
      <c r="CJ106" s="490"/>
      <c r="CK106" s="495"/>
      <c r="CL106" s="496"/>
      <c r="CM106" s="1010"/>
      <c r="CN106" s="731"/>
      <c r="CO106" s="731"/>
      <c r="CP106" s="731"/>
      <c r="CQ106" s="731"/>
      <c r="CR106" s="731"/>
      <c r="CS106" s="731"/>
      <c r="CT106" s="731"/>
      <c r="CU106" s="731"/>
      <c r="CV106" s="731"/>
      <c r="CW106" s="497"/>
      <c r="CX106" s="498"/>
      <c r="CY106" s="498"/>
      <c r="CZ106"/>
      <c r="DA106"/>
      <c r="DB106"/>
      <c r="DC106"/>
      <c r="DD106"/>
    </row>
    <row r="107" spans="1:108" s="198" customFormat="1" ht="12.75" customHeight="1">
      <c r="A107" s="456" t="s">
        <v>261</v>
      </c>
      <c r="B107" s="445">
        <v>10060</v>
      </c>
      <c r="C107" s="445">
        <v>11613</v>
      </c>
      <c r="D107" s="445">
        <v>18163</v>
      </c>
      <c r="E107" s="445">
        <v>16842</v>
      </c>
      <c r="F107" s="445">
        <v>15433</v>
      </c>
      <c r="G107" s="445">
        <v>14025</v>
      </c>
      <c r="H107" s="444">
        <v>13372</v>
      </c>
      <c r="I107" s="444">
        <v>12666</v>
      </c>
      <c r="J107" s="444">
        <v>12747</v>
      </c>
      <c r="K107" s="444">
        <v>12060</v>
      </c>
      <c r="L107" s="445">
        <v>12060</v>
      </c>
      <c r="M107" s="444">
        <v>12608</v>
      </c>
      <c r="N107" s="444">
        <v>12138</v>
      </c>
      <c r="O107" s="444">
        <v>11480</v>
      </c>
      <c r="P107" s="444">
        <v>26445</v>
      </c>
      <c r="Q107" s="445">
        <v>26445</v>
      </c>
      <c r="R107" s="444">
        <v>25462</v>
      </c>
      <c r="S107" s="444">
        <v>24369</v>
      </c>
      <c r="T107" s="444">
        <v>23490</v>
      </c>
      <c r="U107" s="444">
        <v>22473</v>
      </c>
      <c r="V107" s="445">
        <v>22473</v>
      </c>
      <c r="W107" s="444">
        <v>22091</v>
      </c>
      <c r="X107" s="444">
        <v>21298</v>
      </c>
      <c r="Y107" s="444">
        <v>20592</v>
      </c>
      <c r="Z107" s="444">
        <v>20119</v>
      </c>
      <c r="AA107" s="445">
        <v>20119</v>
      </c>
      <c r="AB107" s="444">
        <v>18653</v>
      </c>
      <c r="AC107" s="446">
        <v>18400</v>
      </c>
      <c r="AD107" s="446">
        <v>18880</v>
      </c>
      <c r="AE107" s="444">
        <v>18504</v>
      </c>
      <c r="AF107" s="445">
        <v>18504</v>
      </c>
      <c r="AG107" s="447">
        <v>18015</v>
      </c>
      <c r="AH107" s="446">
        <v>17005</v>
      </c>
      <c r="AI107" s="446">
        <v>15945</v>
      </c>
      <c r="AJ107" s="444">
        <v>17101</v>
      </c>
      <c r="AK107" s="445">
        <f>AJ107</f>
        <v>17101</v>
      </c>
      <c r="AL107" s="446">
        <v>15659</v>
      </c>
      <c r="AM107" s="446">
        <v>17920</v>
      </c>
      <c r="AN107" s="446">
        <v>17565</v>
      </c>
      <c r="AO107" s="444">
        <v>16858</v>
      </c>
      <c r="AP107" s="445">
        <f>AO107</f>
        <v>16858</v>
      </c>
      <c r="AQ107" s="446">
        <v>17695</v>
      </c>
      <c r="AR107" s="446">
        <v>33205</v>
      </c>
      <c r="AS107" s="446">
        <v>31882</v>
      </c>
      <c r="AT107" s="757">
        <v>30771</v>
      </c>
      <c r="AU107" s="445">
        <f>AT107</f>
        <v>30771</v>
      </c>
      <c r="AV107" s="446">
        <v>29386</v>
      </c>
      <c r="AW107" s="446">
        <v>27945</v>
      </c>
      <c r="AX107" s="446">
        <v>26518</v>
      </c>
      <c r="AY107" s="757">
        <v>25145</v>
      </c>
      <c r="AZ107" s="445">
        <f>AY107</f>
        <v>25145</v>
      </c>
      <c r="BA107" s="445"/>
      <c r="BB107" s="447">
        <v>23864</v>
      </c>
      <c r="BC107" s="444">
        <v>23168</v>
      </c>
      <c r="BD107" s="444">
        <v>23153</v>
      </c>
      <c r="BE107" s="444">
        <v>22650</v>
      </c>
      <c r="BF107" s="445">
        <f>BE107</f>
        <v>22650</v>
      </c>
      <c r="BG107" s="444">
        <v>23814</v>
      </c>
      <c r="BH107" s="444">
        <v>23128</v>
      </c>
      <c r="BI107" s="444">
        <v>23081</v>
      </c>
      <c r="BJ107" s="444">
        <v>22723</v>
      </c>
      <c r="BK107" s="447">
        <v>22723</v>
      </c>
      <c r="BL107" s="447">
        <v>21484</v>
      </c>
      <c r="BM107" s="444">
        <v>20407</v>
      </c>
      <c r="BN107" s="444">
        <v>25038</v>
      </c>
      <c r="BO107" s="444">
        <v>24219</v>
      </c>
      <c r="BP107" s="445">
        <f>BO107</f>
        <v>24219</v>
      </c>
      <c r="BQ107" s="447"/>
      <c r="BR107" s="444"/>
      <c r="BS107" s="444"/>
      <c r="BT107" s="635"/>
      <c r="BU107" s="447"/>
      <c r="BV107" s="447"/>
      <c r="BW107" s="444"/>
      <c r="BX107" s="444"/>
      <c r="BY107" s="444"/>
      <c r="BZ107" s="445"/>
      <c r="CA107" s="447"/>
      <c r="CB107" s="444"/>
      <c r="CC107" s="444"/>
      <c r="CD107" s="444"/>
      <c r="CE107" s="445"/>
      <c r="CF107" s="447"/>
      <c r="CG107" s="444"/>
      <c r="CH107" s="444"/>
      <c r="CI107" s="444"/>
      <c r="CJ107" s="445"/>
      <c r="CK107" s="197"/>
      <c r="CL107" s="229"/>
      <c r="CM107" s="661"/>
      <c r="CN107" s="661"/>
      <c r="CO107" s="661"/>
      <c r="CP107" s="661"/>
      <c r="CQ107" s="661"/>
      <c r="CR107" s="661"/>
      <c r="CS107" s="661"/>
      <c r="CT107" s="661"/>
      <c r="CU107" s="661"/>
      <c r="CV107" s="661"/>
      <c r="CW107" s="229"/>
      <c r="CX107" s="197"/>
      <c r="CY107" s="197"/>
      <c r="CZ107"/>
      <c r="DA107"/>
      <c r="DB107"/>
      <c r="DC107"/>
      <c r="DD107"/>
    </row>
    <row r="108" spans="1:108" s="198" customFormat="1" hidden="1" outlineLevel="1">
      <c r="A108" s="443" t="s">
        <v>21</v>
      </c>
      <c r="B108" s="193"/>
      <c r="C108" s="193">
        <f>C107/B107-1</f>
        <v>0.15437375745526838</v>
      </c>
      <c r="D108" s="193">
        <f>D107/C107-1</f>
        <v>0.56402307758546466</v>
      </c>
      <c r="E108" s="193">
        <f>E107/D107-1</f>
        <v>-7.2730275835489744E-2</v>
      </c>
      <c r="F108" s="193">
        <f>F107/E107-1</f>
        <v>-8.3659897874361677E-2</v>
      </c>
      <c r="G108" s="193">
        <f>G107/F107-1</f>
        <v>-9.1233071988595871E-2</v>
      </c>
      <c r="H108" s="194"/>
      <c r="I108" s="194"/>
      <c r="J108" s="194"/>
      <c r="K108" s="194"/>
      <c r="L108" s="193">
        <f>L107/G107-1</f>
        <v>-0.14010695187165778</v>
      </c>
      <c r="M108" s="194">
        <f>M107/H107-1</f>
        <v>-5.7134310499551311E-2</v>
      </c>
      <c r="N108" s="194">
        <f>N107/I107-1</f>
        <v>-4.1686404547607747E-2</v>
      </c>
      <c r="O108" s="194">
        <f>O107/J107-1</f>
        <v>-9.9395936298736998E-2</v>
      </c>
      <c r="P108" s="194">
        <f t="shared" ref="P108:AS108" si="236">P107/K107-1</f>
        <v>1.1927860696517412</v>
      </c>
      <c r="Q108" s="193">
        <f t="shared" si="236"/>
        <v>1.1927860696517412</v>
      </c>
      <c r="R108" s="194">
        <f t="shared" si="236"/>
        <v>1.0195114213197969</v>
      </c>
      <c r="S108" s="194">
        <f t="shared" si="236"/>
        <v>1.0076618882847255</v>
      </c>
      <c r="T108" s="194">
        <f t="shared" si="236"/>
        <v>1.0461672473867596</v>
      </c>
      <c r="U108" s="194">
        <f t="shared" si="236"/>
        <v>-0.15019852524106636</v>
      </c>
      <c r="V108" s="193">
        <f t="shared" si="236"/>
        <v>-0.15019852524106636</v>
      </c>
      <c r="W108" s="527">
        <f t="shared" si="236"/>
        <v>-0.13239337051292122</v>
      </c>
      <c r="X108" s="527">
        <f t="shared" si="236"/>
        <v>-0.12602076408551843</v>
      </c>
      <c r="Y108" s="527">
        <f t="shared" si="236"/>
        <v>-0.12337164750957852</v>
      </c>
      <c r="Z108" s="527">
        <f t="shared" si="236"/>
        <v>-0.10474791972589326</v>
      </c>
      <c r="AA108" s="525">
        <f t="shared" si="236"/>
        <v>-0.10474791972589326</v>
      </c>
      <c r="AB108" s="527">
        <f t="shared" si="236"/>
        <v>-0.15562898918111445</v>
      </c>
      <c r="AC108" s="527">
        <f t="shared" si="236"/>
        <v>-0.13606911447084236</v>
      </c>
      <c r="AD108" s="527">
        <f t="shared" si="236"/>
        <v>-8.3139083139083136E-2</v>
      </c>
      <c r="AE108" s="527">
        <f t="shared" si="236"/>
        <v>-8.027237934290965E-2</v>
      </c>
      <c r="AF108" s="525">
        <f t="shared" si="236"/>
        <v>-8.027237934290965E-2</v>
      </c>
      <c r="AG108" s="526">
        <f t="shared" si="236"/>
        <v>-3.4203613359781282E-2</v>
      </c>
      <c r="AH108" s="527">
        <f t="shared" si="236"/>
        <v>-7.5815217391304368E-2</v>
      </c>
      <c r="AI108" s="527">
        <f t="shared" si="236"/>
        <v>-0.15545550847457623</v>
      </c>
      <c r="AJ108" s="527">
        <f t="shared" si="236"/>
        <v>-7.5821444012105443E-2</v>
      </c>
      <c r="AK108" s="193">
        <f>AK107/AF107-1</f>
        <v>-7.5821444012105443E-2</v>
      </c>
      <c r="AL108" s="194">
        <f t="shared" si="236"/>
        <v>-0.13077990563419373</v>
      </c>
      <c r="AM108" s="194">
        <f t="shared" si="236"/>
        <v>5.380770361658338E-2</v>
      </c>
      <c r="AN108" s="194">
        <f t="shared" si="236"/>
        <v>0.1015992474129821</v>
      </c>
      <c r="AO108" s="194">
        <f t="shared" si="236"/>
        <v>-1.4209695339453821E-2</v>
      </c>
      <c r="AP108" s="193">
        <f>AP107/AK107-1</f>
        <v>-1.4209695339453821E-2</v>
      </c>
      <c r="AQ108" s="194">
        <f t="shared" si="236"/>
        <v>0.1300210741426655</v>
      </c>
      <c r="AR108" s="194">
        <f t="shared" si="236"/>
        <v>0.85295758928571419</v>
      </c>
      <c r="AS108" s="194">
        <f t="shared" si="236"/>
        <v>0.81508682038144031</v>
      </c>
      <c r="AT108" s="194">
        <f t="shared" ref="AT108:AZ108" si="237">AT107/AO107-1</f>
        <v>0.82530549294103683</v>
      </c>
      <c r="AU108" s="193">
        <f t="shared" si="237"/>
        <v>0.82530549294103683</v>
      </c>
      <c r="AV108" s="194">
        <f t="shared" si="237"/>
        <v>0.66069511161345007</v>
      </c>
      <c r="AW108" s="194">
        <f t="shared" si="237"/>
        <v>-0.15840987803041706</v>
      </c>
      <c r="AX108" s="194">
        <f t="shared" si="237"/>
        <v>-0.16824540493068185</v>
      </c>
      <c r="AY108" s="194">
        <f t="shared" si="237"/>
        <v>-0.18283448701699656</v>
      </c>
      <c r="AZ108" s="193">
        <f t="shared" si="237"/>
        <v>-0.18283448701699656</v>
      </c>
      <c r="BA108" s="193"/>
      <c r="BB108" s="194">
        <f>BB107/AV107-1</f>
        <v>-0.18791261144762816</v>
      </c>
      <c r="BC108" s="194">
        <f>BC107/AW107-1</f>
        <v>-0.17094292359992846</v>
      </c>
      <c r="BD108" s="194">
        <f>BD107/AX107-1</f>
        <v>-0.1268949392865224</v>
      </c>
      <c r="BE108" s="194">
        <f>BE107/AY107-1</f>
        <v>-9.9224497912109744E-2</v>
      </c>
      <c r="BF108" s="193">
        <f>BF107/AZ107-1</f>
        <v>-9.9224497912109744E-2</v>
      </c>
      <c r="BG108" s="194"/>
      <c r="BH108" s="194"/>
      <c r="BI108" s="194"/>
      <c r="BJ108" s="194"/>
      <c r="BK108" s="29"/>
      <c r="BL108" s="30">
        <f>BL107/BG107-1</f>
        <v>-9.7841605778113738E-2</v>
      </c>
      <c r="BM108" s="30">
        <f t="shared" ref="BM108" si="238">IFERROR(BM107/BH107-1,"")</f>
        <v>-0.11764960221376686</v>
      </c>
      <c r="BN108" s="30">
        <f>BN107/BI107-1</f>
        <v>8.4788354057449888E-2</v>
      </c>
      <c r="BO108" s="30">
        <f>BO107/BJ107-1</f>
        <v>6.5836377238920996E-2</v>
      </c>
      <c r="BP108" s="193">
        <f>BP107/BK107-1</f>
        <v>6.5836377238920996E-2</v>
      </c>
      <c r="BQ108" s="195"/>
      <c r="BR108" s="194"/>
      <c r="BS108" s="194"/>
      <c r="BT108" s="548"/>
      <c r="BU108" s="193"/>
      <c r="BV108" s="195"/>
      <c r="BW108" s="194"/>
      <c r="BX108" s="194"/>
      <c r="BY108" s="194"/>
      <c r="BZ108" s="193"/>
      <c r="CA108" s="195"/>
      <c r="CB108" s="194"/>
      <c r="CC108" s="194"/>
      <c r="CD108" s="194"/>
      <c r="CE108" s="193"/>
      <c r="CF108" s="195"/>
      <c r="CG108" s="194"/>
      <c r="CH108" s="194"/>
      <c r="CI108" s="194"/>
      <c r="CJ108" s="193"/>
      <c r="CK108" s="196"/>
      <c r="CL108" s="238"/>
      <c r="CM108" s="995"/>
      <c r="CN108" s="661"/>
      <c r="CO108" s="661"/>
      <c r="CP108" s="661"/>
      <c r="CQ108" s="661"/>
      <c r="CR108" s="661"/>
      <c r="CS108" s="661"/>
      <c r="CT108" s="661"/>
      <c r="CU108" s="661"/>
      <c r="CV108" s="661"/>
      <c r="CW108" s="229"/>
      <c r="CX108" s="197"/>
      <c r="CY108" s="197"/>
      <c r="CZ108"/>
      <c r="DA108"/>
      <c r="DB108"/>
      <c r="DC108"/>
      <c r="DD108"/>
    </row>
    <row r="109" spans="1:108" s="520" customFormat="1" hidden="1" outlineLevel="1">
      <c r="A109" s="531" t="s">
        <v>256</v>
      </c>
      <c r="B109" s="513"/>
      <c r="C109" s="513"/>
      <c r="D109" s="513"/>
      <c r="E109" s="513"/>
      <c r="F109" s="513"/>
      <c r="G109" s="513"/>
      <c r="H109" s="514"/>
      <c r="I109" s="514"/>
      <c r="J109" s="514"/>
      <c r="K109" s="514"/>
      <c r="L109" s="513"/>
      <c r="M109" s="514"/>
      <c r="N109" s="514"/>
      <c r="O109" s="514"/>
      <c r="P109" s="514"/>
      <c r="Q109" s="513"/>
      <c r="R109" s="514"/>
      <c r="S109" s="514"/>
      <c r="T109" s="514"/>
      <c r="U109" s="514"/>
      <c r="V109" s="513"/>
      <c r="W109" s="450">
        <v>9634</v>
      </c>
      <c r="X109" s="450">
        <v>8757</v>
      </c>
      <c r="Y109" s="450">
        <v>7972</v>
      </c>
      <c r="Z109" s="450">
        <v>7050</v>
      </c>
      <c r="AA109" s="396">
        <f>Z109</f>
        <v>7050</v>
      </c>
      <c r="AB109" s="450">
        <v>8113</v>
      </c>
      <c r="AC109" s="450">
        <v>9191</v>
      </c>
      <c r="AD109" s="450">
        <v>10269</v>
      </c>
      <c r="AE109" s="450">
        <v>9364</v>
      </c>
      <c r="AF109" s="396">
        <v>9364</v>
      </c>
      <c r="AG109" s="524">
        <v>12261</v>
      </c>
      <c r="AH109" s="450">
        <v>11666</v>
      </c>
      <c r="AI109" s="450">
        <v>10909</v>
      </c>
      <c r="AJ109" s="450">
        <v>13495</v>
      </c>
      <c r="AK109" s="513">
        <v>13495</v>
      </c>
      <c r="AL109" s="514">
        <v>12551</v>
      </c>
      <c r="AM109" s="514">
        <v>12771</v>
      </c>
      <c r="AN109" s="514">
        <v>12228</v>
      </c>
      <c r="AO109" s="514">
        <v>11795</v>
      </c>
      <c r="AP109" s="513">
        <f>AO109</f>
        <v>11795</v>
      </c>
      <c r="AQ109" s="515">
        <v>12447</v>
      </c>
      <c r="AR109" s="450">
        <v>15458</v>
      </c>
      <c r="AS109" s="450">
        <v>14308</v>
      </c>
      <c r="AT109" s="761">
        <v>13452</v>
      </c>
      <c r="AU109" s="513">
        <f>AT109</f>
        <v>13452</v>
      </c>
      <c r="AV109" s="776">
        <v>17248</v>
      </c>
      <c r="AW109" s="761">
        <v>15993</v>
      </c>
      <c r="AX109" s="761">
        <v>14391</v>
      </c>
      <c r="AY109" s="761">
        <v>13266</v>
      </c>
      <c r="AZ109" s="513">
        <f>AY109</f>
        <v>13266</v>
      </c>
      <c r="BA109" s="513"/>
      <c r="BB109" s="515">
        <v>16547</v>
      </c>
      <c r="BC109" s="514">
        <v>15908</v>
      </c>
      <c r="BD109" s="514">
        <v>15152</v>
      </c>
      <c r="BE109" s="514">
        <v>14927</v>
      </c>
      <c r="BF109" s="513">
        <f>BE109</f>
        <v>14927</v>
      </c>
      <c r="BG109" s="514">
        <v>16497</v>
      </c>
      <c r="BH109" s="514">
        <v>15868</v>
      </c>
      <c r="BI109" s="514">
        <v>15080</v>
      </c>
      <c r="BJ109" s="514">
        <v>15000</v>
      </c>
      <c r="BK109" s="513">
        <v>15000</v>
      </c>
      <c r="BL109" s="514">
        <v>17071</v>
      </c>
      <c r="BM109" s="514">
        <v>16033</v>
      </c>
      <c r="BN109" s="450">
        <v>16033</v>
      </c>
      <c r="BO109" s="450">
        <v>15872</v>
      </c>
      <c r="BP109" s="513">
        <f>BO109</f>
        <v>15872</v>
      </c>
      <c r="BQ109" s="515"/>
      <c r="BR109" s="514"/>
      <c r="BS109" s="514"/>
      <c r="BT109" s="1112"/>
      <c r="BU109" s="513"/>
      <c r="BV109" s="515"/>
      <c r="BW109" s="514"/>
      <c r="BX109" s="514"/>
      <c r="BY109" s="514"/>
      <c r="BZ109" s="513"/>
      <c r="CA109" s="515"/>
      <c r="CB109" s="514"/>
      <c r="CC109" s="514"/>
      <c r="CD109" s="514"/>
      <c r="CE109" s="513"/>
      <c r="CF109" s="515"/>
      <c r="CG109" s="514"/>
      <c r="CH109" s="514"/>
      <c r="CI109" s="514"/>
      <c r="CJ109" s="513"/>
      <c r="CK109" s="516"/>
      <c r="CL109" s="517"/>
      <c r="CM109" s="654"/>
      <c r="CN109" s="654"/>
      <c r="CO109" s="654"/>
      <c r="CP109" s="654"/>
      <c r="CQ109" s="654"/>
      <c r="CR109" s="654"/>
      <c r="CS109" s="654"/>
      <c r="CT109" s="654"/>
      <c r="CU109" s="654"/>
      <c r="CV109" s="654"/>
      <c r="CW109" s="518"/>
      <c r="CX109" s="519"/>
      <c r="CY109" s="519"/>
      <c r="CZ109"/>
      <c r="DA109"/>
      <c r="DB109"/>
      <c r="DC109"/>
      <c r="DD109"/>
    </row>
    <row r="110" spans="1:108" s="198" customFormat="1" hidden="1" outlineLevel="1">
      <c r="A110" s="532" t="s">
        <v>257</v>
      </c>
      <c r="B110" s="193"/>
      <c r="C110" s="193"/>
      <c r="D110" s="193"/>
      <c r="E110" s="193"/>
      <c r="F110" s="193"/>
      <c r="G110" s="193"/>
      <c r="H110" s="194"/>
      <c r="I110" s="194"/>
      <c r="J110" s="194"/>
      <c r="K110" s="194"/>
      <c r="L110" s="193"/>
      <c r="M110" s="194"/>
      <c r="N110" s="194"/>
      <c r="O110" s="194"/>
      <c r="P110" s="194"/>
      <c r="Q110" s="193"/>
      <c r="R110" s="194"/>
      <c r="S110" s="194"/>
      <c r="T110" s="194"/>
      <c r="U110" s="194"/>
      <c r="V110" s="193"/>
      <c r="W110" s="527">
        <f t="shared" ref="W110:AJ110" si="239">W109/W107</f>
        <v>0.43610520121316371</v>
      </c>
      <c r="X110" s="527">
        <f t="shared" si="239"/>
        <v>0.41116536764015399</v>
      </c>
      <c r="Y110" s="527">
        <f t="shared" si="239"/>
        <v>0.38714063714063712</v>
      </c>
      <c r="Z110" s="527">
        <f t="shared" si="239"/>
        <v>0.35041503056811968</v>
      </c>
      <c r="AA110" s="525">
        <f t="shared" si="239"/>
        <v>0.35041503056811968</v>
      </c>
      <c r="AB110" s="527">
        <f t="shared" si="239"/>
        <v>0.43494344073339408</v>
      </c>
      <c r="AC110" s="527">
        <f t="shared" si="239"/>
        <v>0.4995108695652174</v>
      </c>
      <c r="AD110" s="527">
        <f t="shared" si="239"/>
        <v>0.54390889830508471</v>
      </c>
      <c r="AE110" s="527">
        <f t="shared" si="239"/>
        <v>0.50605274535235623</v>
      </c>
      <c r="AF110" s="525">
        <f t="shared" si="239"/>
        <v>0.50605274535235623</v>
      </c>
      <c r="AG110" s="527">
        <f t="shared" si="239"/>
        <v>0.68059950041631978</v>
      </c>
      <c r="AH110" s="527">
        <f t="shared" si="239"/>
        <v>0.68603351955307268</v>
      </c>
      <c r="AI110" s="527">
        <f t="shared" si="239"/>
        <v>0.68416431483223583</v>
      </c>
      <c r="AJ110" s="527">
        <f t="shared" si="239"/>
        <v>0.78913513829600612</v>
      </c>
      <c r="AK110" s="193">
        <f t="shared" ref="AK110:AR110" si="240">AK109/AK107</f>
        <v>0.78913513829600612</v>
      </c>
      <c r="AL110" s="194">
        <f t="shared" si="240"/>
        <v>0.80151989271345547</v>
      </c>
      <c r="AM110" s="194">
        <f t="shared" si="240"/>
        <v>0.71266741071428574</v>
      </c>
      <c r="AN110" s="194">
        <f t="shared" si="240"/>
        <v>0.69615713065755769</v>
      </c>
      <c r="AO110" s="194">
        <f t="shared" si="240"/>
        <v>0.69966781350100837</v>
      </c>
      <c r="AP110" s="193">
        <f t="shared" si="240"/>
        <v>0.69966781350100837</v>
      </c>
      <c r="AQ110" s="194">
        <f t="shared" si="240"/>
        <v>0.70341904492794571</v>
      </c>
      <c r="AR110" s="194">
        <f t="shared" si="240"/>
        <v>0.46553229935250717</v>
      </c>
      <c r="AS110" s="527">
        <f t="shared" ref="AS110:AX110" si="241">AS109/AS107</f>
        <v>0.44877987579198292</v>
      </c>
      <c r="AT110" s="194">
        <f t="shared" si="241"/>
        <v>0.43716486302037633</v>
      </c>
      <c r="AU110" s="193">
        <f t="shared" si="241"/>
        <v>0.43716486302037633</v>
      </c>
      <c r="AV110" s="194">
        <f t="shared" si="241"/>
        <v>0.58694616484040019</v>
      </c>
      <c r="AW110" s="194">
        <f t="shared" si="241"/>
        <v>0.57230273752012883</v>
      </c>
      <c r="AX110" s="527">
        <f t="shared" si="241"/>
        <v>0.54268798551926989</v>
      </c>
      <c r="AY110" s="194">
        <f t="shared" ref="AY110:BG110" si="242">AY109/AY107</f>
        <v>0.52758003579240409</v>
      </c>
      <c r="AZ110" s="193">
        <f t="shared" si="242"/>
        <v>0.52758003579240409</v>
      </c>
      <c r="BA110" s="193"/>
      <c r="BB110" s="194">
        <f t="shared" si="242"/>
        <v>0.69338752933288639</v>
      </c>
      <c r="BC110" s="194">
        <f t="shared" si="242"/>
        <v>0.68663674033149169</v>
      </c>
      <c r="BD110" s="527">
        <f t="shared" si="242"/>
        <v>0.65442923163304967</v>
      </c>
      <c r="BE110" s="194">
        <f t="shared" si="242"/>
        <v>0.65902869757174398</v>
      </c>
      <c r="BF110" s="193">
        <f t="shared" si="242"/>
        <v>0.65902869757174398</v>
      </c>
      <c r="BG110" s="527">
        <f t="shared" si="242"/>
        <v>0.69274376417233563</v>
      </c>
      <c r="BH110" s="527">
        <f t="shared" ref="BH110:BJ110" si="243">BH109/BH107</f>
        <v>0.68609477689380838</v>
      </c>
      <c r="BI110" s="527">
        <f t="shared" si="243"/>
        <v>0.6533512412807071</v>
      </c>
      <c r="BJ110" s="194">
        <f t="shared" si="243"/>
        <v>0.66012410333142635</v>
      </c>
      <c r="BK110" s="193">
        <f t="shared" ref="BK110:BN110" si="244">BK109/BK107</f>
        <v>0.66012410333142635</v>
      </c>
      <c r="BL110" s="194">
        <f t="shared" si="244"/>
        <v>0.79459132377583319</v>
      </c>
      <c r="BM110" s="194">
        <f t="shared" si="244"/>
        <v>0.78566178272161513</v>
      </c>
      <c r="BN110" s="194">
        <f t="shared" si="244"/>
        <v>0.64034667305695347</v>
      </c>
      <c r="BO110" s="194">
        <f t="shared" ref="BO110:BP110" si="245">BO109/BO107</f>
        <v>0.65535323506337995</v>
      </c>
      <c r="BP110" s="193">
        <f t="shared" si="245"/>
        <v>0.65535323506337995</v>
      </c>
      <c r="BQ110" s="195"/>
      <c r="BR110" s="194"/>
      <c r="BS110" s="194"/>
      <c r="BT110" s="548"/>
      <c r="BU110" s="193"/>
      <c r="BV110" s="195"/>
      <c r="BW110" s="194"/>
      <c r="BX110" s="194"/>
      <c r="BY110" s="194"/>
      <c r="BZ110" s="193"/>
      <c r="CA110" s="195"/>
      <c r="CB110" s="194"/>
      <c r="CC110" s="194"/>
      <c r="CD110" s="194"/>
      <c r="CE110" s="193"/>
      <c r="CF110" s="195"/>
      <c r="CG110" s="194"/>
      <c r="CH110" s="194"/>
      <c r="CI110" s="194"/>
      <c r="CJ110" s="193"/>
      <c r="CK110" s="196"/>
      <c r="CL110" s="238"/>
      <c r="CM110" s="661"/>
      <c r="CN110" s="661"/>
      <c r="CO110" s="661"/>
      <c r="CP110" s="661"/>
      <c r="CQ110" s="661"/>
      <c r="CR110" s="661"/>
      <c r="CS110" s="661"/>
      <c r="CT110" s="661"/>
      <c r="CU110" s="661"/>
      <c r="CV110" s="661"/>
      <c r="CW110" s="229"/>
      <c r="CX110" s="197"/>
      <c r="CY110" s="197"/>
      <c r="CZ110"/>
      <c r="DA110"/>
      <c r="DB110"/>
      <c r="DC110"/>
      <c r="DD110"/>
    </row>
    <row r="111" spans="1:108" s="520" customFormat="1" hidden="1" outlineLevel="1">
      <c r="A111" s="531" t="s">
        <v>258</v>
      </c>
      <c r="B111" s="513"/>
      <c r="C111" s="513"/>
      <c r="D111" s="513"/>
      <c r="E111" s="513"/>
      <c r="F111" s="513"/>
      <c r="G111" s="513"/>
      <c r="H111" s="514"/>
      <c r="I111" s="514"/>
      <c r="J111" s="514"/>
      <c r="K111" s="514"/>
      <c r="L111" s="513"/>
      <c r="M111" s="514"/>
      <c r="N111" s="514"/>
      <c r="O111" s="514"/>
      <c r="P111" s="514"/>
      <c r="Q111" s="513"/>
      <c r="R111" s="514"/>
      <c r="S111" s="514"/>
      <c r="T111" s="514"/>
      <c r="U111" s="514"/>
      <c r="V111" s="513"/>
      <c r="W111" s="450">
        <f>W107-W109</f>
        <v>12457</v>
      </c>
      <c r="X111" s="450">
        <f>X107-X109</f>
        <v>12541</v>
      </c>
      <c r="Y111" s="450">
        <f>Y107-Y109</f>
        <v>12620</v>
      </c>
      <c r="Z111" s="450">
        <f>Z107-Z109</f>
        <v>13069</v>
      </c>
      <c r="AA111" s="396">
        <f>Z111</f>
        <v>13069</v>
      </c>
      <c r="AB111" s="450">
        <f>AB107-AB109</f>
        <v>10540</v>
      </c>
      <c r="AC111" s="450">
        <f>AC107-AC109</f>
        <v>9209</v>
      </c>
      <c r="AD111" s="450">
        <f>AD107-AD109</f>
        <v>8611</v>
      </c>
      <c r="AE111" s="450">
        <f>AE107-AE109</f>
        <v>9140</v>
      </c>
      <c r="AF111" s="396">
        <v>9140</v>
      </c>
      <c r="AG111" s="450">
        <f>AG107-AG109</f>
        <v>5754</v>
      </c>
      <c r="AH111" s="450">
        <f>AH107-AH109</f>
        <v>5339</v>
      </c>
      <c r="AI111" s="450">
        <f>AI107-AI109</f>
        <v>5036</v>
      </c>
      <c r="AJ111" s="450">
        <f>AJ107-AJ109</f>
        <v>3606</v>
      </c>
      <c r="AK111" s="513">
        <v>3606</v>
      </c>
      <c r="AL111" s="514">
        <v>3108</v>
      </c>
      <c r="AM111" s="514">
        <v>5149</v>
      </c>
      <c r="AN111" s="514">
        <v>5337</v>
      </c>
      <c r="AO111" s="514">
        <v>5063</v>
      </c>
      <c r="AP111" s="513">
        <f>AO111</f>
        <v>5063</v>
      </c>
      <c r="AQ111" s="514">
        <f>AQ107-AQ109</f>
        <v>5248</v>
      </c>
      <c r="AR111" s="514">
        <f>AR107-AR109</f>
        <v>17747</v>
      </c>
      <c r="AS111" s="450">
        <v>17574</v>
      </c>
      <c r="AT111" s="761">
        <f>AT107-AT109</f>
        <v>17319</v>
      </c>
      <c r="AU111" s="513">
        <f>AT111</f>
        <v>17319</v>
      </c>
      <c r="AV111" s="514">
        <f>AV107-AV109</f>
        <v>12138</v>
      </c>
      <c r="AW111" s="514">
        <f>AW107-AW109</f>
        <v>11952</v>
      </c>
      <c r="AX111" s="514">
        <f>AX107-AX109</f>
        <v>12127</v>
      </c>
      <c r="AY111" s="761">
        <f>AY107-AY109</f>
        <v>11879</v>
      </c>
      <c r="AZ111" s="513">
        <f>AY111</f>
        <v>11879</v>
      </c>
      <c r="BA111" s="513"/>
      <c r="BB111" s="514">
        <f>BB107-BB109</f>
        <v>7317</v>
      </c>
      <c r="BC111" s="514">
        <f>BC107-BC109</f>
        <v>7260</v>
      </c>
      <c r="BD111" s="514">
        <f>BD107-BD109</f>
        <v>8001</v>
      </c>
      <c r="BE111" s="761">
        <f>BE107-BE109</f>
        <v>7723</v>
      </c>
      <c r="BF111" s="513">
        <f>BE111</f>
        <v>7723</v>
      </c>
      <c r="BG111" s="514">
        <f t="shared" ref="BG111:BI111" si="246">BG107-BG109</f>
        <v>7317</v>
      </c>
      <c r="BH111" s="514">
        <f t="shared" si="246"/>
        <v>7260</v>
      </c>
      <c r="BI111" s="514">
        <f t="shared" si="246"/>
        <v>8001</v>
      </c>
      <c r="BJ111" s="514">
        <f>BJ107-BJ109</f>
        <v>7723</v>
      </c>
      <c r="BK111" s="513">
        <f>BK107-BK109</f>
        <v>7723</v>
      </c>
      <c r="BL111" s="514">
        <f>BL107-BL109</f>
        <v>4413</v>
      </c>
      <c r="BM111" s="514">
        <v>4374</v>
      </c>
      <c r="BN111" s="514">
        <f>BN107-BN109</f>
        <v>9005</v>
      </c>
      <c r="BO111" s="514">
        <f>BO107-BO109</f>
        <v>8347</v>
      </c>
      <c r="BP111" s="513">
        <f>BO111</f>
        <v>8347</v>
      </c>
      <c r="BQ111" s="515"/>
      <c r="BR111" s="514"/>
      <c r="BS111" s="514"/>
      <c r="BT111" s="1112"/>
      <c r="BU111" s="513"/>
      <c r="BV111" s="515"/>
      <c r="BW111" s="514"/>
      <c r="BX111" s="514"/>
      <c r="BY111" s="514"/>
      <c r="BZ111" s="513"/>
      <c r="CA111" s="515"/>
      <c r="CB111" s="514"/>
      <c r="CC111" s="514"/>
      <c r="CD111" s="514"/>
      <c r="CE111" s="513"/>
      <c r="CF111" s="515"/>
      <c r="CG111" s="514"/>
      <c r="CH111" s="514"/>
      <c r="CI111" s="514"/>
      <c r="CJ111" s="513"/>
      <c r="CK111" s="516"/>
      <c r="CL111" s="517"/>
      <c r="CM111" s="654"/>
      <c r="CN111" s="654"/>
      <c r="CO111" s="654"/>
      <c r="CP111" s="654"/>
      <c r="CQ111" s="654"/>
      <c r="CR111" s="654"/>
      <c r="CS111" s="654"/>
      <c r="CT111" s="654"/>
      <c r="CU111" s="654"/>
      <c r="CV111" s="654"/>
      <c r="CW111" s="518"/>
      <c r="CX111" s="519"/>
      <c r="CY111" s="519"/>
      <c r="CZ111"/>
      <c r="DA111"/>
      <c r="DB111"/>
      <c r="DC111"/>
      <c r="DD111"/>
    </row>
    <row r="112" spans="1:108" s="198" customFormat="1" hidden="1" outlineLevel="1">
      <c r="A112" s="532" t="s">
        <v>257</v>
      </c>
      <c r="B112" s="193"/>
      <c r="C112" s="193"/>
      <c r="D112" s="193"/>
      <c r="E112" s="193"/>
      <c r="F112" s="193"/>
      <c r="G112" s="193"/>
      <c r="H112" s="194"/>
      <c r="I112" s="194"/>
      <c r="J112" s="194"/>
      <c r="K112" s="194"/>
      <c r="L112" s="193"/>
      <c r="M112" s="194"/>
      <c r="N112" s="194"/>
      <c r="O112" s="194"/>
      <c r="P112" s="194"/>
      <c r="Q112" s="193"/>
      <c r="R112" s="194"/>
      <c r="S112" s="194"/>
      <c r="T112" s="194"/>
      <c r="U112" s="194"/>
      <c r="V112" s="193"/>
      <c r="W112" s="527">
        <f t="shared" ref="W112:AJ112" si="247">W111/W107</f>
        <v>0.56389479878683624</v>
      </c>
      <c r="X112" s="527">
        <f t="shared" si="247"/>
        <v>0.58883463235984601</v>
      </c>
      <c r="Y112" s="527">
        <f t="shared" si="247"/>
        <v>0.61285936285936282</v>
      </c>
      <c r="Z112" s="527">
        <f t="shared" si="247"/>
        <v>0.64958496943188027</v>
      </c>
      <c r="AA112" s="525">
        <f t="shared" si="247"/>
        <v>0.64958496943188027</v>
      </c>
      <c r="AB112" s="527">
        <f t="shared" si="247"/>
        <v>0.56505655926660592</v>
      </c>
      <c r="AC112" s="527">
        <f t="shared" si="247"/>
        <v>0.5004891304347826</v>
      </c>
      <c r="AD112" s="527">
        <f t="shared" si="247"/>
        <v>0.45609110169491524</v>
      </c>
      <c r="AE112" s="527">
        <f t="shared" si="247"/>
        <v>0.49394725464764377</v>
      </c>
      <c r="AF112" s="525">
        <f t="shared" si="247"/>
        <v>0.49394725464764377</v>
      </c>
      <c r="AG112" s="527">
        <f t="shared" si="247"/>
        <v>0.31940049958368028</v>
      </c>
      <c r="AH112" s="527">
        <f t="shared" si="247"/>
        <v>0.31396648044692738</v>
      </c>
      <c r="AI112" s="527">
        <f t="shared" si="247"/>
        <v>0.31583568516776417</v>
      </c>
      <c r="AJ112" s="527">
        <f t="shared" si="247"/>
        <v>0.21086486170399391</v>
      </c>
      <c r="AK112" s="193">
        <f t="shared" ref="AK112:AR112" si="248">AK111/AK107</f>
        <v>0.21086486170399391</v>
      </c>
      <c r="AL112" s="194">
        <f t="shared" si="248"/>
        <v>0.19848010728654447</v>
      </c>
      <c r="AM112" s="194">
        <f t="shared" si="248"/>
        <v>0.28733258928571431</v>
      </c>
      <c r="AN112" s="194">
        <f t="shared" si="248"/>
        <v>0.30384286934244237</v>
      </c>
      <c r="AO112" s="194">
        <f t="shared" si="248"/>
        <v>0.30033218649899157</v>
      </c>
      <c r="AP112" s="193">
        <f t="shared" si="248"/>
        <v>0.30033218649899157</v>
      </c>
      <c r="AQ112" s="194">
        <f t="shared" si="248"/>
        <v>0.29658095507205423</v>
      </c>
      <c r="AR112" s="194">
        <f t="shared" si="248"/>
        <v>0.53446770064749283</v>
      </c>
      <c r="AS112" s="527">
        <f t="shared" ref="AS112:AX112" si="249">AS111/AS107</f>
        <v>0.55122012420801703</v>
      </c>
      <c r="AT112" s="194">
        <f t="shared" si="249"/>
        <v>0.56283513697962362</v>
      </c>
      <c r="AU112" s="193">
        <f t="shared" si="249"/>
        <v>0.56283513697962362</v>
      </c>
      <c r="AV112" s="194">
        <f t="shared" si="249"/>
        <v>0.41305383515959981</v>
      </c>
      <c r="AW112" s="194">
        <f t="shared" si="249"/>
        <v>0.42769726247987117</v>
      </c>
      <c r="AX112" s="527">
        <f t="shared" si="249"/>
        <v>0.45731201448073006</v>
      </c>
      <c r="AY112" s="194">
        <f t="shared" ref="AY112:BG112" si="250">AY111/AY107</f>
        <v>0.47241996420759597</v>
      </c>
      <c r="AZ112" s="193">
        <f t="shared" si="250"/>
        <v>0.47241996420759597</v>
      </c>
      <c r="BA112" s="193"/>
      <c r="BB112" s="194">
        <f t="shared" si="250"/>
        <v>0.30661247066711367</v>
      </c>
      <c r="BC112" s="194">
        <f t="shared" si="250"/>
        <v>0.31336325966850831</v>
      </c>
      <c r="BD112" s="527">
        <f t="shared" si="250"/>
        <v>0.34557076836695028</v>
      </c>
      <c r="BE112" s="194">
        <f t="shared" si="250"/>
        <v>0.34097130242825607</v>
      </c>
      <c r="BF112" s="193">
        <f t="shared" si="250"/>
        <v>0.34097130242825607</v>
      </c>
      <c r="BG112" s="194">
        <f t="shared" si="250"/>
        <v>0.30725623582766443</v>
      </c>
      <c r="BH112" s="527">
        <f t="shared" ref="BH112:BJ112" si="251">BH111/BH107</f>
        <v>0.31390522310619162</v>
      </c>
      <c r="BI112" s="527">
        <f t="shared" si="251"/>
        <v>0.3466487587192929</v>
      </c>
      <c r="BJ112" s="194">
        <f t="shared" si="251"/>
        <v>0.33987589666857371</v>
      </c>
      <c r="BK112" s="193">
        <f t="shared" ref="BK112:BL112" si="252">BK111/BK107</f>
        <v>0.33987589666857371</v>
      </c>
      <c r="BL112" s="194">
        <f t="shared" si="252"/>
        <v>0.20540867622416681</v>
      </c>
      <c r="BM112" s="194">
        <f t="shared" ref="BM112:BN112" si="253">BM111/BM107</f>
        <v>0.21433821727838487</v>
      </c>
      <c r="BN112" s="194">
        <f t="shared" si="253"/>
        <v>0.35965332694304658</v>
      </c>
      <c r="BO112" s="194">
        <f t="shared" ref="BO112:BP112" si="254">BO111/BO107</f>
        <v>0.34464676493662</v>
      </c>
      <c r="BP112" s="193">
        <f t="shared" si="254"/>
        <v>0.34464676493662</v>
      </c>
      <c r="BQ112" s="195"/>
      <c r="BR112" s="194"/>
      <c r="BS112" s="194"/>
      <c r="BT112" s="548"/>
      <c r="BU112" s="193"/>
      <c r="BV112" s="195"/>
      <c r="BW112" s="194"/>
      <c r="BX112" s="194"/>
      <c r="BY112" s="194"/>
      <c r="BZ112" s="193"/>
      <c r="CA112" s="195"/>
      <c r="CB112" s="194"/>
      <c r="CC112" s="194"/>
      <c r="CD112" s="194"/>
      <c r="CE112" s="193"/>
      <c r="CF112" s="195"/>
      <c r="CG112" s="194"/>
      <c r="CH112" s="194"/>
      <c r="CI112" s="194"/>
      <c r="CJ112" s="193"/>
      <c r="CK112" s="196"/>
      <c r="CL112" s="238"/>
      <c r="CM112" s="661"/>
      <c r="CN112" s="661"/>
      <c r="CO112" s="661"/>
      <c r="CP112" s="661"/>
      <c r="CQ112" s="661"/>
      <c r="CR112" s="661"/>
      <c r="CS112" s="661"/>
      <c r="CT112" s="661"/>
      <c r="CU112" s="661"/>
      <c r="CV112" s="661"/>
      <c r="CW112" s="229"/>
      <c r="CX112" s="197"/>
      <c r="CY112" s="197"/>
      <c r="CZ112"/>
      <c r="DA112"/>
      <c r="DB112"/>
      <c r="DC112"/>
      <c r="DD112"/>
    </row>
    <row r="113" spans="1:108" s="198" customFormat="1" ht="12.75" hidden="1" customHeight="1" outlineLevel="1">
      <c r="A113" s="452" t="s">
        <v>139</v>
      </c>
      <c r="B113" s="448"/>
      <c r="C113" s="448">
        <f t="shared" ref="C113:K113" si="255">C107-(B107-C92)</f>
        <v>5203</v>
      </c>
      <c r="D113" s="448">
        <f t="shared" si="255"/>
        <v>10821</v>
      </c>
      <c r="E113" s="448">
        <f t="shared" si="255"/>
        <v>3405</v>
      </c>
      <c r="F113" s="448">
        <f t="shared" si="255"/>
        <v>3286</v>
      </c>
      <c r="G113" s="448">
        <f t="shared" si="255"/>
        <v>3532</v>
      </c>
      <c r="H113" s="449">
        <f t="shared" si="255"/>
        <v>604</v>
      </c>
      <c r="I113" s="449">
        <f t="shared" si="255"/>
        <v>566</v>
      </c>
      <c r="J113" s="449">
        <f t="shared" si="255"/>
        <v>1327</v>
      </c>
      <c r="K113" s="453">
        <f t="shared" si="255"/>
        <v>531</v>
      </c>
      <c r="L113" s="448">
        <f>L107-(G107-L92)</f>
        <v>3028</v>
      </c>
      <c r="M113" s="449">
        <f>M107-(L107-M92)</f>
        <v>1926</v>
      </c>
      <c r="N113" s="449">
        <f>N107-(M107-N92)</f>
        <v>924</v>
      </c>
      <c r="O113" s="449">
        <f>O107-(N107-O92)</f>
        <v>746</v>
      </c>
      <c r="P113" s="449">
        <f>P107-(O107-P92)</f>
        <v>16345</v>
      </c>
      <c r="Q113" s="448">
        <f>Q107-(L107-Q92)</f>
        <v>19941</v>
      </c>
      <c r="R113" s="449">
        <f>R107-(Q107-R92)</f>
        <v>686</v>
      </c>
      <c r="S113" s="449">
        <f>S107-(R107-S92)</f>
        <v>532</v>
      </c>
      <c r="T113" s="449">
        <f>T107-(S107-T92)</f>
        <v>639</v>
      </c>
      <c r="U113" s="449">
        <f>U107-(T107-U92)</f>
        <v>534</v>
      </c>
      <c r="V113" s="448">
        <f>V107-(Q107-V92)</f>
        <v>2391</v>
      </c>
      <c r="W113" s="449">
        <f>W107-(V107-W92)</f>
        <v>1257</v>
      </c>
      <c r="X113" s="449">
        <f>X107-(W107-X92)</f>
        <v>844</v>
      </c>
      <c r="Y113" s="449">
        <f>Y107-(X107-Y92)</f>
        <v>994</v>
      </c>
      <c r="Z113" s="453">
        <f>Z107-(Y107-Z92)</f>
        <v>1228</v>
      </c>
      <c r="AA113" s="448">
        <f>AA107-(V107-AA92)</f>
        <v>4323</v>
      </c>
      <c r="AB113" s="449">
        <f>AB107-(AA107-AB92)</f>
        <v>210</v>
      </c>
      <c r="AC113" s="449">
        <f>AC107-(AB107-AC92)</f>
        <v>1323</v>
      </c>
      <c r="AD113" s="449">
        <f>AD107-(AC107-AD92)</f>
        <v>2101</v>
      </c>
      <c r="AE113" s="449">
        <f>AE107-(AD107-AE92)</f>
        <v>1382</v>
      </c>
      <c r="AF113" s="448">
        <f>AF107-(AA107-AF92)</f>
        <v>5016</v>
      </c>
      <c r="AG113" s="451">
        <f>AG107-(AF107-AG92)</f>
        <v>1116</v>
      </c>
      <c r="AH113" s="449">
        <f>AH107-(AG107-AH92)</f>
        <v>643</v>
      </c>
      <c r="AI113" s="449">
        <f>AI107-(AH107-AI92)</f>
        <v>610</v>
      </c>
      <c r="AJ113" s="453">
        <f>AJ107-(AI107-AJ92)</f>
        <v>2820</v>
      </c>
      <c r="AK113" s="448">
        <f>AK107-(AF107-AK92)</f>
        <v>5189</v>
      </c>
      <c r="AL113" s="449">
        <f>AL107-(AK107-AL92)</f>
        <v>184</v>
      </c>
      <c r="AM113" s="449">
        <f>AM107-(AL107-AM92)</f>
        <v>4020</v>
      </c>
      <c r="AN113" s="449">
        <f>AN107-(AM107-AN92)</f>
        <v>1342</v>
      </c>
      <c r="AO113" s="449">
        <f>AO107-(AN107-AO92)</f>
        <v>923</v>
      </c>
      <c r="AP113" s="448">
        <f>AP107-(AK107-AP92)</f>
        <v>6469</v>
      </c>
      <c r="AQ113" s="449">
        <f>AQ107-(AP107-AQ92)</f>
        <v>2438</v>
      </c>
      <c r="AR113" s="449">
        <f>AR107-(AQ107-AR92)</f>
        <v>17361</v>
      </c>
      <c r="AS113" s="449">
        <f>AS107-(AR107-AS92)</f>
        <v>497</v>
      </c>
      <c r="AT113" s="449">
        <f>AT107-(AS107-AT92)</f>
        <v>929</v>
      </c>
      <c r="AU113" s="448">
        <f>AU107-(AP107-AU92)</f>
        <v>21225</v>
      </c>
      <c r="AV113" s="449">
        <f>AV107-(AU107-AV92)</f>
        <v>558</v>
      </c>
      <c r="AW113" s="449">
        <f>AW107-(AV107-AW92)</f>
        <v>560</v>
      </c>
      <c r="AX113" s="449">
        <f>AX107-(AW107-AX92)</f>
        <v>660</v>
      </c>
      <c r="AY113" s="449">
        <f>AY107-(AX107-AY92)</f>
        <v>609</v>
      </c>
      <c r="AZ113" s="448">
        <f>AZ107-(AU107-AZ92)</f>
        <v>2387</v>
      </c>
      <c r="BA113" s="448"/>
      <c r="BB113" s="449">
        <f>BB107-(AZ107-BB92)</f>
        <v>850</v>
      </c>
      <c r="BC113" s="449">
        <f>BC107-(BB107-BC92)</f>
        <v>1291</v>
      </c>
      <c r="BD113" s="449">
        <f>BD107-(BC107-BD92)</f>
        <v>2028</v>
      </c>
      <c r="BE113" s="449">
        <f>BE107-(BD107-BE92)</f>
        <v>1538</v>
      </c>
      <c r="BF113" s="448">
        <f>BF107-(AZ107-BF92)</f>
        <v>5707</v>
      </c>
      <c r="BG113" s="449"/>
      <c r="BH113" s="449">
        <f>BH107-(BG107-BH92)</f>
        <v>1292</v>
      </c>
      <c r="BI113" s="449">
        <f>BI107-(BH107-BI92)</f>
        <v>2028</v>
      </c>
      <c r="BJ113" s="449">
        <f>BJ107-(BI107-BJ92)</f>
        <v>1539</v>
      </c>
      <c r="BK113" s="448">
        <f>BK107-(AZ107-BK92)</f>
        <v>5650</v>
      </c>
      <c r="BL113" s="449">
        <f>BL107-(BF107-BL92)</f>
        <v>768</v>
      </c>
      <c r="BM113" s="449">
        <f>BM107-(BL107-BM92)</f>
        <v>1002</v>
      </c>
      <c r="BN113" s="449">
        <f>BN107-(BM107-BN92)</f>
        <v>6562</v>
      </c>
      <c r="BO113" s="449">
        <f>BO107-(BN107-BO92)</f>
        <v>1241</v>
      </c>
      <c r="BP113" s="448">
        <f>BP107-(BK107-BP92)</f>
        <v>9500</v>
      </c>
      <c r="BQ113" s="451"/>
      <c r="BR113" s="449"/>
      <c r="BS113" s="449"/>
      <c r="BT113" s="453"/>
      <c r="BU113" s="448"/>
      <c r="BV113" s="451"/>
      <c r="BW113" s="449"/>
      <c r="BX113" s="449"/>
      <c r="BY113" s="449"/>
      <c r="BZ113" s="448"/>
      <c r="CA113" s="451"/>
      <c r="CB113" s="449"/>
      <c r="CC113" s="449"/>
      <c r="CD113" s="449"/>
      <c r="CE113" s="448"/>
      <c r="CF113" s="451"/>
      <c r="CG113" s="449"/>
      <c r="CH113" s="449"/>
      <c r="CI113" s="449"/>
      <c r="CJ113" s="448"/>
      <c r="CK113" s="197"/>
      <c r="CL113" s="229"/>
      <c r="CM113" s="661"/>
      <c r="CN113" s="661"/>
      <c r="CO113" s="661"/>
      <c r="CP113" s="661"/>
      <c r="CQ113" s="661"/>
      <c r="CR113" s="661"/>
      <c r="CS113" s="661"/>
      <c r="CT113" s="661"/>
      <c r="CU113" s="661"/>
      <c r="CV113" s="661"/>
      <c r="CW113" s="229"/>
      <c r="CX113" s="197"/>
      <c r="CY113" s="197"/>
      <c r="CZ113"/>
      <c r="DA113"/>
      <c r="DB113"/>
      <c r="DC113"/>
      <c r="DD113"/>
    </row>
    <row r="114" spans="1:108" s="718" customFormat="1" ht="12.75" hidden="1" customHeight="1" outlineLevel="1">
      <c r="A114" s="712" t="s">
        <v>140</v>
      </c>
      <c r="B114" s="713"/>
      <c r="C114" s="713">
        <f t="shared" ref="C114:AH114" si="256">C113/C92</f>
        <v>1.4254794520547944</v>
      </c>
      <c r="D114" s="713">
        <f t="shared" si="256"/>
        <v>2.5335986888316553</v>
      </c>
      <c r="E114" s="713">
        <f t="shared" si="256"/>
        <v>0.72048243757934827</v>
      </c>
      <c r="F114" s="713">
        <f t="shared" si="256"/>
        <v>0.69989350372736958</v>
      </c>
      <c r="G114" s="713">
        <f t="shared" si="256"/>
        <v>0.71497975708502026</v>
      </c>
      <c r="H114" s="714">
        <f t="shared" si="256"/>
        <v>0.48050914876690531</v>
      </c>
      <c r="I114" s="715">
        <f t="shared" si="256"/>
        <v>0.44496855345911951</v>
      </c>
      <c r="J114" s="715">
        <f t="shared" si="256"/>
        <v>1.065008025682183</v>
      </c>
      <c r="K114" s="715">
        <f t="shared" si="256"/>
        <v>0.43596059113300495</v>
      </c>
      <c r="L114" s="713">
        <f t="shared" si="256"/>
        <v>0.60644902864009609</v>
      </c>
      <c r="M114" s="715">
        <f t="shared" si="256"/>
        <v>1.3976777939042091</v>
      </c>
      <c r="N114" s="715">
        <f t="shared" si="256"/>
        <v>0.66284074605451937</v>
      </c>
      <c r="O114" s="715">
        <f t="shared" si="256"/>
        <v>0.53133903133903138</v>
      </c>
      <c r="P114" s="715">
        <f t="shared" si="256"/>
        <v>11.844202898550725</v>
      </c>
      <c r="Q114" s="713">
        <f t="shared" si="256"/>
        <v>3.5890928725701943</v>
      </c>
      <c r="R114" s="715">
        <f t="shared" si="256"/>
        <v>0.4110245656081486</v>
      </c>
      <c r="S114" s="715">
        <f t="shared" si="256"/>
        <v>0.32738461538461539</v>
      </c>
      <c r="T114" s="715">
        <f t="shared" si="256"/>
        <v>0.42094861660079053</v>
      </c>
      <c r="U114" s="715">
        <f t="shared" si="256"/>
        <v>0.34429400386847198</v>
      </c>
      <c r="V114" s="713">
        <f t="shared" si="256"/>
        <v>0.37576614804337577</v>
      </c>
      <c r="W114" s="715">
        <f t="shared" si="256"/>
        <v>0.76693105552165952</v>
      </c>
      <c r="X114" s="715">
        <f t="shared" si="256"/>
        <v>0.5155772755039707</v>
      </c>
      <c r="Y114" s="715">
        <f t="shared" si="256"/>
        <v>0.58470588235294119</v>
      </c>
      <c r="Z114" s="715">
        <f t="shared" si="256"/>
        <v>0.72192827748383304</v>
      </c>
      <c r="AA114" s="713">
        <f t="shared" si="256"/>
        <v>0.64744645799011535</v>
      </c>
      <c r="AB114" s="714">
        <f t="shared" si="256"/>
        <v>0.12529832935560858</v>
      </c>
      <c r="AC114" s="715">
        <f t="shared" si="256"/>
        <v>0.83946700507614214</v>
      </c>
      <c r="AD114" s="715">
        <f t="shared" si="256"/>
        <v>1.2961135101789019</v>
      </c>
      <c r="AE114" s="715">
        <f t="shared" si="256"/>
        <v>0.7861205915813424</v>
      </c>
      <c r="AF114" s="713">
        <f t="shared" si="256"/>
        <v>0.7564469914040115</v>
      </c>
      <c r="AG114" s="714">
        <f t="shared" si="256"/>
        <v>0.69532710280373833</v>
      </c>
      <c r="AH114" s="715">
        <f t="shared" si="256"/>
        <v>0.38898971566848156</v>
      </c>
      <c r="AI114" s="715">
        <f t="shared" ref="AI114:BK114" si="257">AI113/AI92</f>
        <v>0.3652694610778443</v>
      </c>
      <c r="AJ114" s="715">
        <f t="shared" si="257"/>
        <v>1.6947115384615385</v>
      </c>
      <c r="AK114" s="713">
        <f t="shared" si="257"/>
        <v>0.78716626213592233</v>
      </c>
      <c r="AL114" s="714">
        <f t="shared" si="257"/>
        <v>0.11316113161131611</v>
      </c>
      <c r="AM114" s="715">
        <f t="shared" si="257"/>
        <v>2.2853894258101195</v>
      </c>
      <c r="AN114" s="715">
        <f t="shared" si="257"/>
        <v>0.79080730701237478</v>
      </c>
      <c r="AO114" s="715">
        <f t="shared" si="257"/>
        <v>0.56625766871165639</v>
      </c>
      <c r="AP114" s="713">
        <f t="shared" si="257"/>
        <v>0.96379618593563765</v>
      </c>
      <c r="AQ114" s="714">
        <f t="shared" si="257"/>
        <v>1.5227982510930669</v>
      </c>
      <c r="AR114" s="715">
        <f t="shared" si="257"/>
        <v>9.3792544570502425</v>
      </c>
      <c r="AS114" s="715">
        <f t="shared" si="257"/>
        <v>0.27307692307692305</v>
      </c>
      <c r="AT114" s="715">
        <f t="shared" si="257"/>
        <v>0.45539215686274509</v>
      </c>
      <c r="AU114" s="713">
        <f t="shared" si="257"/>
        <v>2.902762582056893</v>
      </c>
      <c r="AV114" s="714">
        <f t="shared" si="257"/>
        <v>0.28718476582604219</v>
      </c>
      <c r="AW114" s="715">
        <f t="shared" si="257"/>
        <v>0.2798600699650175</v>
      </c>
      <c r="AX114" s="715">
        <f t="shared" si="257"/>
        <v>0.31624341159559177</v>
      </c>
      <c r="AY114" s="715">
        <f t="shared" si="257"/>
        <v>0.30726538849646823</v>
      </c>
      <c r="AZ114" s="713">
        <f t="shared" si="257"/>
        <v>0.29789092724322974</v>
      </c>
      <c r="BA114" s="713"/>
      <c r="BB114" s="714">
        <f t="shared" si="257"/>
        <v>0.39887376818395121</v>
      </c>
      <c r="BC114" s="715">
        <f t="shared" si="257"/>
        <v>0.64972320080523405</v>
      </c>
      <c r="BD114" s="715">
        <f t="shared" si="257"/>
        <v>0.9926578560939795</v>
      </c>
      <c r="BE114" s="715">
        <f t="shared" si="257"/>
        <v>0.75355218030377269</v>
      </c>
      <c r="BF114" s="713">
        <f t="shared" si="257"/>
        <v>0.69580590099975614</v>
      </c>
      <c r="BG114" s="715"/>
      <c r="BH114" s="715">
        <f t="shared" si="257"/>
        <v>0.65318503538928208</v>
      </c>
      <c r="BI114" s="715">
        <f t="shared" si="257"/>
        <v>0.97734939759036144</v>
      </c>
      <c r="BJ114" s="715">
        <f t="shared" si="257"/>
        <v>0.81128096995255672</v>
      </c>
      <c r="BK114" s="713">
        <f t="shared" si="257"/>
        <v>0.69995044598612488</v>
      </c>
      <c r="BL114" s="715">
        <f t="shared" ref="BL114" si="258">BL113/BL92</f>
        <v>0.39710444674250256</v>
      </c>
      <c r="BM114" s="715">
        <f t="shared" ref="BM114:BN114" si="259">BM113/BM92</f>
        <v>0.48196248196248198</v>
      </c>
      <c r="BN114" s="715">
        <f t="shared" si="259"/>
        <v>3.3982392542723976</v>
      </c>
      <c r="BO114" s="715">
        <f t="shared" ref="BO114:BP114" si="260">BO113/BO92</f>
        <v>0.60242718446601939</v>
      </c>
      <c r="BP114" s="713">
        <f t="shared" si="260"/>
        <v>1.1869065467266366</v>
      </c>
      <c r="BQ114" s="714"/>
      <c r="BR114" s="715"/>
      <c r="BS114" s="715"/>
      <c r="BT114" s="719"/>
      <c r="BU114" s="713"/>
      <c r="BV114" s="714"/>
      <c r="BW114" s="715"/>
      <c r="BX114" s="715"/>
      <c r="BY114" s="715"/>
      <c r="BZ114" s="713"/>
      <c r="CA114" s="714"/>
      <c r="CB114" s="715"/>
      <c r="CC114" s="715"/>
      <c r="CD114" s="715"/>
      <c r="CE114" s="713"/>
      <c r="CF114" s="714"/>
      <c r="CG114" s="715"/>
      <c r="CH114" s="715"/>
      <c r="CI114" s="715"/>
      <c r="CJ114" s="713"/>
      <c r="CK114" s="716"/>
      <c r="CL114" s="717"/>
      <c r="CM114" s="1004"/>
      <c r="CN114" s="1004"/>
      <c r="CO114" s="1004"/>
      <c r="CP114" s="1004"/>
      <c r="CQ114" s="1004"/>
      <c r="CR114" s="1004"/>
      <c r="CS114" s="1004"/>
      <c r="CT114" s="1004"/>
      <c r="CU114" s="1004"/>
      <c r="CV114" s="1004"/>
      <c r="CW114" s="717"/>
      <c r="CX114" s="716"/>
      <c r="CY114" s="716"/>
      <c r="CZ114"/>
      <c r="DA114"/>
      <c r="DB114"/>
      <c r="DC114"/>
      <c r="DD114"/>
    </row>
    <row r="115" spans="1:108" s="718" customFormat="1" ht="12.75" hidden="1" customHeight="1" outlineLevel="1">
      <c r="A115" s="712" t="s">
        <v>203</v>
      </c>
      <c r="B115" s="713">
        <f t="shared" ref="B115:G115" si="261">B107/B92</f>
        <v>2.7851605758582503</v>
      </c>
      <c r="C115" s="713">
        <f t="shared" si="261"/>
        <v>3.1816438356164385</v>
      </c>
      <c r="D115" s="713">
        <f t="shared" si="261"/>
        <v>4.25263404354952</v>
      </c>
      <c r="E115" s="713">
        <f t="shared" si="261"/>
        <v>3.5636902242911552</v>
      </c>
      <c r="F115" s="713">
        <f t="shared" si="261"/>
        <v>3.2871139510117144</v>
      </c>
      <c r="G115" s="713">
        <f t="shared" si="261"/>
        <v>2.8390688259109313</v>
      </c>
      <c r="H115" s="715">
        <f>H107/H92/4</f>
        <v>2.6595067621320605</v>
      </c>
      <c r="I115" s="715">
        <f>I107/I92/4</f>
        <v>2.4893867924528301</v>
      </c>
      <c r="J115" s="715">
        <f>J107/J92/4</f>
        <v>2.5575842696629212</v>
      </c>
      <c r="K115" s="715">
        <f>K107/K92/4</f>
        <v>2.4753694581280787</v>
      </c>
      <c r="L115" s="713">
        <f>L107/L92</f>
        <v>2.4153815341478069</v>
      </c>
      <c r="M115" s="715">
        <f>M107/M92/4</f>
        <v>2.2873730043541363</v>
      </c>
      <c r="N115" s="715">
        <f>N107/N92/4</f>
        <v>2.1768292682926829</v>
      </c>
      <c r="O115" s="715">
        <f>O107/O92/4</f>
        <v>2.0441595441595442</v>
      </c>
      <c r="P115" s="715">
        <f>P107/P92/4</f>
        <v>4.7907608695652177</v>
      </c>
      <c r="Q115" s="713">
        <f>Q107/Q92</f>
        <v>4.7597192224622029</v>
      </c>
      <c r="R115" s="715">
        <f>R107/R92/4</f>
        <v>3.8139604553624924</v>
      </c>
      <c r="S115" s="715">
        <f>S107/S92/4</f>
        <v>3.749076923076923</v>
      </c>
      <c r="T115" s="715">
        <f>T107/T92/4</f>
        <v>3.8685770750988144</v>
      </c>
      <c r="U115" s="715">
        <f>U107/U92/4</f>
        <v>3.6223404255319149</v>
      </c>
      <c r="V115" s="713">
        <f>V107/V92</f>
        <v>3.531824611032532</v>
      </c>
      <c r="W115" s="715">
        <f>W107/W92/4</f>
        <v>3.3695851128737035</v>
      </c>
      <c r="X115" s="715">
        <f>X107/X92/4</f>
        <v>3.2525962125839949</v>
      </c>
      <c r="Y115" s="715">
        <f>Y107/Y92/4</f>
        <v>3.0282352941176471</v>
      </c>
      <c r="Z115" s="715">
        <f>Z107/Z92/4</f>
        <v>2.9569370958259849</v>
      </c>
      <c r="AA115" s="713">
        <f>AA107/AA92</f>
        <v>3.0131795716639211</v>
      </c>
      <c r="AB115" s="715">
        <f>AB107/AB92/4</f>
        <v>2.7823687350835322</v>
      </c>
      <c r="AC115" s="715">
        <f>AC107/AC92/4</f>
        <v>2.9187817258883251</v>
      </c>
      <c r="AD115" s="715">
        <f>AD107/AD92/4</f>
        <v>2.9117828500925356</v>
      </c>
      <c r="AE115" s="715">
        <f>AE107/AE92/4</f>
        <v>2.6313993174061432</v>
      </c>
      <c r="AF115" s="713">
        <f>AF107/AF92</f>
        <v>2.7905293319258031</v>
      </c>
      <c r="AG115" s="715">
        <f>AG107/AG92/4</f>
        <v>2.80607476635514</v>
      </c>
      <c r="AH115" s="715">
        <f>AH107/AH92/4</f>
        <v>2.5718390804597702</v>
      </c>
      <c r="AI115" s="715">
        <f>AI107/AI92/4</f>
        <v>2.3869760479041915</v>
      </c>
      <c r="AJ115" s="715">
        <f>AJ107/AJ92/4</f>
        <v>2.5692608173076925</v>
      </c>
      <c r="AK115" s="713">
        <f>AK107/AK92</f>
        <v>2.5942050970873787</v>
      </c>
      <c r="AL115" s="715">
        <f>AL107/AL92/4</f>
        <v>2.4075953259532596</v>
      </c>
      <c r="AM115" s="715">
        <f>AM107/AM92/4</f>
        <v>2.5469016486640137</v>
      </c>
      <c r="AN115" s="715">
        <f>AN107/AN92/4</f>
        <v>2.5876546847377724</v>
      </c>
      <c r="AO115" s="715">
        <f>AO107/AO92/4</f>
        <v>2.5855828220858896</v>
      </c>
      <c r="AP115" s="713">
        <f>AP107/AP92</f>
        <v>2.511620977353993</v>
      </c>
      <c r="AQ115" s="715">
        <f>AQ107/AQ92/4</f>
        <v>2.7631168019987506</v>
      </c>
      <c r="AR115" s="715">
        <f>AR107/AR92/4</f>
        <v>4.4847379794705562</v>
      </c>
      <c r="AS115" s="715">
        <f>AS107/AS92/4</f>
        <v>4.3793956043956044</v>
      </c>
      <c r="AT115" s="715">
        <f>AT107/AT92/4</f>
        <v>3.7709558823529412</v>
      </c>
      <c r="AU115" s="713">
        <f>AU107/AU92</f>
        <v>4.2082877461706785</v>
      </c>
      <c r="AV115" s="715">
        <f>AV107/AV92/4</f>
        <v>3.7810087493566651</v>
      </c>
      <c r="AW115" s="715">
        <f>AW107/AW92/4</f>
        <v>3.4913793103448274</v>
      </c>
      <c r="AX115" s="715">
        <f>AX107/AX92/4</f>
        <v>3.1765692381408721</v>
      </c>
      <c r="AY115" s="715">
        <f>AY107/AY92/4</f>
        <v>3.1716700302724519</v>
      </c>
      <c r="AZ115" s="713">
        <f>AZ107/AZ92</f>
        <v>3.1380257082241356</v>
      </c>
      <c r="BA115" s="713"/>
      <c r="BB115" s="715">
        <f>BB107/BB92/4</f>
        <v>2.7996245893946505</v>
      </c>
      <c r="BC115" s="715">
        <f>BC107/BC92/4</f>
        <v>2.9149471565173628</v>
      </c>
      <c r="BD115" s="715">
        <f>BD107/BD92/4</f>
        <v>2.833210964268233</v>
      </c>
      <c r="BE115" s="715">
        <f>BE107/BE92/4</f>
        <v>2.7743753062224399</v>
      </c>
      <c r="BF115" s="713">
        <f>BF107/BF92</f>
        <v>2.7615215801024142</v>
      </c>
      <c r="BG115" s="715">
        <f>BG107/BG92/4</f>
        <v>2.805607917059378</v>
      </c>
      <c r="BH115" s="715">
        <f>BH107/BH92/4</f>
        <v>2.9231547017189081</v>
      </c>
      <c r="BI115" s="715">
        <f>BI107/BI92/4</f>
        <v>2.7808433734939757</v>
      </c>
      <c r="BJ115" s="715">
        <f>BJ107/BJ92/4</f>
        <v>2.9945967316816025</v>
      </c>
      <c r="BK115" s="713">
        <f>BK107/BK92</f>
        <v>2.8150396432111</v>
      </c>
      <c r="BL115" s="715">
        <f>BL107/BL92/4</f>
        <v>2.7771458117890382</v>
      </c>
      <c r="BM115" s="715">
        <f>BM107/BM92/4</f>
        <v>2.4539442039442041</v>
      </c>
      <c r="BN115" s="715">
        <f>BN107/BN92/4</f>
        <v>3.2415846711548419</v>
      </c>
      <c r="BO115" s="715">
        <f>BO107/BO92/4</f>
        <v>2.9391990291262138</v>
      </c>
      <c r="BP115" s="713">
        <f>BP107/BP92</f>
        <v>3.0258620689655173</v>
      </c>
      <c r="BQ115" s="714"/>
      <c r="BR115" s="715"/>
      <c r="BS115" s="715"/>
      <c r="BT115" s="719"/>
      <c r="BU115" s="713"/>
      <c r="BV115" s="714"/>
      <c r="BW115" s="715"/>
      <c r="BX115" s="715"/>
      <c r="BY115" s="715"/>
      <c r="BZ115" s="713"/>
      <c r="CA115" s="714"/>
      <c r="CB115" s="715"/>
      <c r="CC115" s="715"/>
      <c r="CD115" s="715"/>
      <c r="CE115" s="713"/>
      <c r="CF115" s="714"/>
      <c r="CG115" s="715"/>
      <c r="CH115" s="715"/>
      <c r="CI115" s="715"/>
      <c r="CJ115" s="713"/>
      <c r="CK115" s="716"/>
      <c r="CL115" s="717"/>
      <c r="CM115" s="1004"/>
      <c r="CN115" s="1004"/>
      <c r="CO115" s="1004"/>
      <c r="CP115" s="1004"/>
      <c r="CQ115" s="1004"/>
      <c r="CR115" s="1004"/>
      <c r="CS115" s="1004"/>
      <c r="CT115" s="1004"/>
      <c r="CU115" s="1004"/>
      <c r="CV115" s="1004"/>
      <c r="CW115" s="717"/>
      <c r="CX115" s="716"/>
      <c r="CY115" s="716"/>
      <c r="CZ115"/>
      <c r="DA115"/>
      <c r="DB115"/>
      <c r="DC115"/>
      <c r="DD115"/>
    </row>
    <row r="116" spans="1:108" s="520" customFormat="1" collapsed="1">
      <c r="A116" s="23" t="s">
        <v>198</v>
      </c>
      <c r="B116" s="35">
        <f t="shared" ref="B116:AG116" si="262">B128-B4</f>
        <v>8513</v>
      </c>
      <c r="C116" s="35">
        <f t="shared" si="262"/>
        <v>10105</v>
      </c>
      <c r="D116" s="35">
        <f t="shared" si="262"/>
        <v>13167</v>
      </c>
      <c r="E116" s="35">
        <f t="shared" si="262"/>
        <v>15855</v>
      </c>
      <c r="F116" s="35">
        <f t="shared" si="262"/>
        <v>17542</v>
      </c>
      <c r="G116" s="35">
        <f t="shared" si="262"/>
        <v>19947</v>
      </c>
      <c r="H116" s="36">
        <f t="shared" si="262"/>
        <v>5206</v>
      </c>
      <c r="I116" s="36">
        <f t="shared" si="262"/>
        <v>5383</v>
      </c>
      <c r="J116" s="36">
        <f t="shared" si="262"/>
        <v>5519</v>
      </c>
      <c r="K116" s="37">
        <f t="shared" si="262"/>
        <v>6304</v>
      </c>
      <c r="L116" s="35">
        <f t="shared" si="262"/>
        <v>22412</v>
      </c>
      <c r="M116" s="36">
        <f t="shared" si="262"/>
        <v>5726</v>
      </c>
      <c r="N116" s="36">
        <f t="shared" si="262"/>
        <v>5974</v>
      </c>
      <c r="O116" s="36">
        <f t="shared" si="262"/>
        <v>5768</v>
      </c>
      <c r="P116" s="37">
        <f t="shared" si="262"/>
        <v>6320</v>
      </c>
      <c r="Q116" s="35">
        <f t="shared" si="262"/>
        <v>23788</v>
      </c>
      <c r="R116" s="36">
        <f t="shared" si="262"/>
        <v>6809</v>
      </c>
      <c r="S116" s="36">
        <f t="shared" si="262"/>
        <v>6685</v>
      </c>
      <c r="T116" s="36">
        <f t="shared" si="262"/>
        <v>6599</v>
      </c>
      <c r="U116" s="37">
        <f t="shared" si="262"/>
        <v>6717</v>
      </c>
      <c r="V116" s="35">
        <f t="shared" si="262"/>
        <v>26810</v>
      </c>
      <c r="W116" s="36">
        <f t="shared" si="262"/>
        <v>6393</v>
      </c>
      <c r="X116" s="36">
        <f t="shared" si="262"/>
        <v>6721</v>
      </c>
      <c r="Y116" s="36">
        <f t="shared" si="262"/>
        <v>6720</v>
      </c>
      <c r="Z116" s="37">
        <f t="shared" si="262"/>
        <v>7333</v>
      </c>
      <c r="AA116" s="35">
        <f t="shared" si="262"/>
        <v>27167</v>
      </c>
      <c r="AB116" s="36">
        <f t="shared" si="262"/>
        <v>6445</v>
      </c>
      <c r="AC116" s="36">
        <f t="shared" si="262"/>
        <v>6503</v>
      </c>
      <c r="AD116" s="36">
        <f t="shared" si="262"/>
        <v>6441</v>
      </c>
      <c r="AE116" s="37">
        <f t="shared" si="262"/>
        <v>7290</v>
      </c>
      <c r="AF116" s="35">
        <f t="shared" si="262"/>
        <v>26679</v>
      </c>
      <c r="AG116" s="36">
        <f t="shared" si="262"/>
        <v>5956</v>
      </c>
      <c r="AH116" s="36">
        <f t="shared" ref="AH116:BM116" si="263">AH128-AH4</f>
        <v>6330</v>
      </c>
      <c r="AI116" s="36">
        <f t="shared" si="263"/>
        <v>6098</v>
      </c>
      <c r="AJ116" s="37">
        <f t="shared" si="263"/>
        <v>6217</v>
      </c>
      <c r="AK116" s="35">
        <f t="shared" si="263"/>
        <v>24601</v>
      </c>
      <c r="AL116" s="36">
        <f t="shared" si="263"/>
        <v>5626</v>
      </c>
      <c r="AM116" s="36">
        <f t="shared" si="263"/>
        <v>5858</v>
      </c>
      <c r="AN116" s="23">
        <f t="shared" si="263"/>
        <v>5644</v>
      </c>
      <c r="AO116" s="23">
        <f t="shared" si="263"/>
        <v>5684</v>
      </c>
      <c r="AP116" s="24">
        <f t="shared" si="263"/>
        <v>22812</v>
      </c>
      <c r="AQ116" s="36">
        <f t="shared" si="263"/>
        <v>5199</v>
      </c>
      <c r="AR116" s="36">
        <f t="shared" si="263"/>
        <v>5479</v>
      </c>
      <c r="AS116" s="23">
        <f t="shared" si="263"/>
        <v>5462</v>
      </c>
      <c r="AT116" s="23">
        <f t="shared" si="263"/>
        <v>6063</v>
      </c>
      <c r="AU116" s="24">
        <f t="shared" si="263"/>
        <v>22203</v>
      </c>
      <c r="AV116" s="36">
        <f t="shared" si="263"/>
        <v>5676</v>
      </c>
      <c r="AW116" s="36">
        <f t="shared" si="263"/>
        <v>5624</v>
      </c>
      <c r="AX116" s="23">
        <f t="shared" si="263"/>
        <v>5651</v>
      </c>
      <c r="AY116" s="23">
        <f t="shared" si="263"/>
        <v>5667</v>
      </c>
      <c r="AZ116" s="24">
        <f t="shared" si="263"/>
        <v>22618</v>
      </c>
      <c r="BA116" s="24">
        <f t="shared" si="263"/>
        <v>22604</v>
      </c>
      <c r="BB116" s="36">
        <f t="shared" si="263"/>
        <v>5737</v>
      </c>
      <c r="BC116" s="36">
        <f t="shared" si="263"/>
        <v>5531</v>
      </c>
      <c r="BD116" s="23">
        <f t="shared" si="263"/>
        <v>5714</v>
      </c>
      <c r="BE116" s="23">
        <f t="shared" si="263"/>
        <v>6009</v>
      </c>
      <c r="BF116" s="24">
        <f t="shared" si="263"/>
        <v>22991</v>
      </c>
      <c r="BG116" s="36">
        <f t="shared" si="263"/>
        <v>5695</v>
      </c>
      <c r="BH116" s="36">
        <f t="shared" si="263"/>
        <v>5490</v>
      </c>
      <c r="BI116" s="23">
        <f t="shared" si="263"/>
        <v>5732</v>
      </c>
      <c r="BJ116" s="23">
        <f t="shared" si="263"/>
        <v>5829</v>
      </c>
      <c r="BK116" s="24">
        <f t="shared" si="263"/>
        <v>22746</v>
      </c>
      <c r="BL116" s="36">
        <f t="shared" si="263"/>
        <v>5367</v>
      </c>
      <c r="BM116" s="36">
        <f t="shared" si="263"/>
        <v>5597</v>
      </c>
      <c r="BN116" s="36">
        <f t="shared" ref="BN116:BU116" si="264">BN128-BN4</f>
        <v>5585</v>
      </c>
      <c r="BO116" s="36">
        <f t="shared" si="264"/>
        <v>6295</v>
      </c>
      <c r="BP116" s="24">
        <f t="shared" si="264"/>
        <v>22844</v>
      </c>
      <c r="BQ116" s="26">
        <f t="shared" si="264"/>
        <v>5633.0499999999993</v>
      </c>
      <c r="BR116" s="25">
        <f t="shared" si="264"/>
        <v>7123.26</v>
      </c>
      <c r="BS116" s="25">
        <f t="shared" si="264"/>
        <v>7110.260000000002</v>
      </c>
      <c r="BT116" s="1104">
        <f t="shared" si="264"/>
        <v>7856.2300000000005</v>
      </c>
      <c r="BU116" s="24">
        <f t="shared" si="264"/>
        <v>27722.799999999996</v>
      </c>
      <c r="BV116" s="26"/>
      <c r="BW116" s="25"/>
      <c r="BX116" s="25"/>
      <c r="BY116" s="25"/>
      <c r="BZ116" s="24">
        <f>BZ128-BZ4</f>
        <v>30670.002999999997</v>
      </c>
      <c r="CA116" s="26"/>
      <c r="CB116" s="25"/>
      <c r="CC116" s="25"/>
      <c r="CD116" s="25"/>
      <c r="CE116" s="24">
        <f>CE128-CE4</f>
        <v>32414.40956</v>
      </c>
      <c r="CF116" s="26"/>
      <c r="CG116" s="25"/>
      <c r="CH116" s="25"/>
      <c r="CI116" s="25"/>
      <c r="CJ116" s="24">
        <f>CJ128-CJ4</f>
        <v>34195.947130800014</v>
      </c>
      <c r="CK116" s="516"/>
      <c r="CL116" s="517"/>
      <c r="CM116" s="654"/>
      <c r="CN116" s="654"/>
      <c r="CO116" s="654"/>
      <c r="CP116" s="654"/>
      <c r="CQ116" s="1228"/>
      <c r="CR116" s="1228"/>
      <c r="CS116" s="654"/>
      <c r="CT116" s="654"/>
      <c r="CU116" s="1229"/>
      <c r="CV116" s="1230"/>
      <c r="CW116" s="518"/>
      <c r="CX116" s="519"/>
      <c r="CY116" s="519"/>
      <c r="CZ116"/>
      <c r="DA116"/>
      <c r="DB116"/>
      <c r="DC116"/>
      <c r="DD116"/>
    </row>
    <row r="117" spans="1:108" s="198" customFormat="1">
      <c r="A117" s="171" t="s">
        <v>21</v>
      </c>
      <c r="B117" s="193"/>
      <c r="C117" s="193">
        <f>C116/B116-1</f>
        <v>0.18700810525079281</v>
      </c>
      <c r="D117" s="193">
        <f>D116/C116-1</f>
        <v>0.30301830776843142</v>
      </c>
      <c r="E117" s="193">
        <f>E116/D116-1</f>
        <v>0.20414673046251997</v>
      </c>
      <c r="F117" s="193">
        <f>F116/E116-1</f>
        <v>0.10640176600441498</v>
      </c>
      <c r="G117" s="193">
        <f>G116/F116-1</f>
        <v>0.13709953255045026</v>
      </c>
      <c r="H117" s="194"/>
      <c r="I117" s="194"/>
      <c r="J117" s="194"/>
      <c r="K117" s="194"/>
      <c r="L117" s="193">
        <f t="shared" ref="L117:AS117" si="265">L116/G116-1</f>
        <v>0.12357748032285554</v>
      </c>
      <c r="M117" s="194">
        <f t="shared" si="265"/>
        <v>9.9884748367268461E-2</v>
      </c>
      <c r="N117" s="194">
        <f t="shared" si="265"/>
        <v>0.10979007988110712</v>
      </c>
      <c r="O117" s="194">
        <f t="shared" si="265"/>
        <v>4.511686899800682E-2</v>
      </c>
      <c r="P117" s="194">
        <f t="shared" si="265"/>
        <v>2.5380710659899108E-3</v>
      </c>
      <c r="Q117" s="193">
        <f t="shared" si="265"/>
        <v>6.1395680885240056E-2</v>
      </c>
      <c r="R117" s="194">
        <f t="shared" si="265"/>
        <v>0.1891372685993713</v>
      </c>
      <c r="S117" s="194">
        <f t="shared" si="265"/>
        <v>0.11901573485102102</v>
      </c>
      <c r="T117" s="194">
        <f t="shared" si="265"/>
        <v>0.14407073509015267</v>
      </c>
      <c r="U117" s="194">
        <f t="shared" si="265"/>
        <v>6.2816455696202533E-2</v>
      </c>
      <c r="V117" s="193">
        <f t="shared" si="265"/>
        <v>0.12703884311417513</v>
      </c>
      <c r="W117" s="194">
        <f t="shared" si="265"/>
        <v>-6.1095608753120922E-2</v>
      </c>
      <c r="X117" s="194">
        <f t="shared" si="265"/>
        <v>5.3851907255049181E-3</v>
      </c>
      <c r="Y117" s="194">
        <f t="shared" si="265"/>
        <v>1.8336111532050392E-2</v>
      </c>
      <c r="Z117" s="194">
        <f t="shared" si="265"/>
        <v>9.1707607562900195E-2</v>
      </c>
      <c r="AA117" s="193">
        <f t="shared" si="265"/>
        <v>1.3315926892950358E-2</v>
      </c>
      <c r="AB117" s="194">
        <f t="shared" si="265"/>
        <v>8.1338964492414512E-3</v>
      </c>
      <c r="AC117" s="194">
        <f t="shared" si="265"/>
        <v>-3.2435649456926008E-2</v>
      </c>
      <c r="AD117" s="194">
        <f t="shared" si="265"/>
        <v>-4.1517857142857162E-2</v>
      </c>
      <c r="AE117" s="194">
        <f t="shared" si="265"/>
        <v>-5.8639029046775315E-3</v>
      </c>
      <c r="AF117" s="193">
        <f t="shared" si="265"/>
        <v>-1.796296977951195E-2</v>
      </c>
      <c r="AG117" s="194">
        <f t="shared" si="265"/>
        <v>-7.5872769588828604E-2</v>
      </c>
      <c r="AH117" s="194">
        <f t="shared" si="265"/>
        <v>-2.6603106258649811E-2</v>
      </c>
      <c r="AI117" s="194">
        <f t="shared" si="265"/>
        <v>-5.3252600527868399E-2</v>
      </c>
      <c r="AJ117" s="194">
        <f t="shared" si="265"/>
        <v>-0.14718792866941011</v>
      </c>
      <c r="AK117" s="193">
        <f t="shared" si="265"/>
        <v>-7.7888976348438832E-2</v>
      </c>
      <c r="AL117" s="194">
        <f t="shared" si="265"/>
        <v>-5.5406312961719273E-2</v>
      </c>
      <c r="AM117" s="194">
        <f t="shared" si="265"/>
        <v>-7.4565560821485022E-2</v>
      </c>
      <c r="AN117" s="194">
        <f t="shared" si="265"/>
        <v>-7.4450639553952147E-2</v>
      </c>
      <c r="AO117" s="194">
        <f t="shared" si="265"/>
        <v>-8.5732668489625241E-2</v>
      </c>
      <c r="AP117" s="193">
        <f t="shared" si="265"/>
        <v>-7.2720621112962847E-2</v>
      </c>
      <c r="AQ117" s="194">
        <f>AQ116/AL116-1</f>
        <v>-7.5897618201208661E-2</v>
      </c>
      <c r="AR117" s="194">
        <f t="shared" si="265"/>
        <v>-6.4697849095254334E-2</v>
      </c>
      <c r="AS117" s="194">
        <f t="shared" si="265"/>
        <v>-3.224663359319635E-2</v>
      </c>
      <c r="AT117" s="194">
        <f t="shared" ref="AT117:AZ117" si="266">AT116/AO116-1</f>
        <v>6.6678395496129417E-2</v>
      </c>
      <c r="AU117" s="193">
        <f t="shared" si="266"/>
        <v>-2.6696475539189857E-2</v>
      </c>
      <c r="AV117" s="194">
        <f t="shared" si="266"/>
        <v>9.1748413156376163E-2</v>
      </c>
      <c r="AW117" s="194">
        <f t="shared" si="266"/>
        <v>2.6464683336375305E-2</v>
      </c>
      <c r="AX117" s="194">
        <f t="shared" si="266"/>
        <v>3.4602709630172201E-2</v>
      </c>
      <c r="AY117" s="194">
        <f t="shared" si="266"/>
        <v>-6.5314200890648211E-2</v>
      </c>
      <c r="AZ117" s="193">
        <f t="shared" si="266"/>
        <v>1.8691167860199087E-2</v>
      </c>
      <c r="BA117" s="193"/>
      <c r="BB117" s="194">
        <f t="shared" ref="BB117:BG117" si="267">BB116/AV116-1</f>
        <v>1.0747004933051363E-2</v>
      </c>
      <c r="BC117" s="194">
        <f t="shared" si="267"/>
        <v>-1.6536273115220435E-2</v>
      </c>
      <c r="BD117" s="194">
        <f t="shared" si="267"/>
        <v>1.1148469297469488E-2</v>
      </c>
      <c r="BE117" s="194">
        <f t="shared" si="267"/>
        <v>6.0349391212281667E-2</v>
      </c>
      <c r="BF117" s="193">
        <f t="shared" si="267"/>
        <v>1.6491290122911062E-2</v>
      </c>
      <c r="BG117" s="194">
        <f t="shared" si="267"/>
        <v>-0.74805344186869582</v>
      </c>
      <c r="BH117" s="194"/>
      <c r="BI117" s="194"/>
      <c r="BJ117" s="194"/>
      <c r="BK117" s="29">
        <f>BK116/BA116-1</f>
        <v>6.2820739692088789E-3</v>
      </c>
      <c r="BL117" s="194">
        <f>BL116/BG116-1</f>
        <v>-5.7594381035996456E-2</v>
      </c>
      <c r="BM117" s="30">
        <f t="shared" ref="BM117" si="268">IFERROR(BM116/BH116-1,"")</f>
        <v>1.9489981785063781E-2</v>
      </c>
      <c r="BN117" s="30">
        <f>BN116/BI116-1</f>
        <v>-2.5645498953244972E-2</v>
      </c>
      <c r="BO117" s="30">
        <f>BO116/BJ116-1</f>
        <v>7.9945102075827723E-2</v>
      </c>
      <c r="BP117" s="193">
        <f>BP116/BK116-1</f>
        <v>4.3084498373340274E-3</v>
      </c>
      <c r="BQ117" s="195">
        <f t="shared" ref="BQ117" si="269">IFERROR(BQ116/BL116-1,"")</f>
        <v>4.9571455189118652E-2</v>
      </c>
      <c r="BR117" s="194">
        <f t="shared" ref="BR117" si="270">IFERROR(BR116/BM116-1,"")</f>
        <v>0.27269251384670357</v>
      </c>
      <c r="BS117" s="194">
        <f t="shared" ref="BS117" si="271">IFERROR(BS116/BN116-1,"")</f>
        <v>0.27309937332139689</v>
      </c>
      <c r="BT117" s="548">
        <f t="shared" ref="BT117" si="272">IFERROR(BT116/BO116-1,"")</f>
        <v>0.24801111993645764</v>
      </c>
      <c r="BU117" s="193">
        <f>BU116/BP116-1</f>
        <v>0.21357030292418111</v>
      </c>
      <c r="BV117" s="195"/>
      <c r="BW117" s="194"/>
      <c r="BX117" s="194"/>
      <c r="BY117" s="194"/>
      <c r="BZ117" s="193">
        <f>BZ116/BU116-1</f>
        <v>0.10630971619028395</v>
      </c>
      <c r="CA117" s="195"/>
      <c r="CB117" s="194"/>
      <c r="CC117" s="194"/>
      <c r="CD117" s="194"/>
      <c r="CE117" s="193">
        <f>CE116/BZ116-1</f>
        <v>5.687663480176397E-2</v>
      </c>
      <c r="CF117" s="195"/>
      <c r="CG117" s="194"/>
      <c r="CH117" s="194"/>
      <c r="CI117" s="194"/>
      <c r="CJ117" s="193">
        <f>CJ116/CE116-1</f>
        <v>5.4961284039505287E-2</v>
      </c>
      <c r="CK117" s="196"/>
      <c r="CL117" s="238"/>
      <c r="CM117" s="661"/>
      <c r="CN117" s="661"/>
      <c r="CO117" s="661"/>
      <c r="CP117" s="661"/>
      <c r="CQ117" s="1228"/>
      <c r="CR117" s="1228"/>
      <c r="CS117" s="661"/>
      <c r="CT117" s="661"/>
      <c r="CU117" s="661"/>
      <c r="CV117" s="661"/>
      <c r="CW117" s="229"/>
      <c r="CX117" s="197"/>
      <c r="CY117" s="197"/>
      <c r="CZ117"/>
      <c r="DA117"/>
      <c r="DB117"/>
      <c r="DC117"/>
      <c r="DD117"/>
    </row>
    <row r="118" spans="1:108" s="198" customFormat="1">
      <c r="A118" s="136" t="s">
        <v>250</v>
      </c>
      <c r="B118" s="193">
        <f t="shared" ref="B118:AQ118" si="273">B116/B128</f>
        <v>0.72278824927831553</v>
      </c>
      <c r="C118" s="193">
        <f t="shared" si="273"/>
        <v>0.75444228759145882</v>
      </c>
      <c r="D118" s="193">
        <f t="shared" si="273"/>
        <v>0.81716626326568609</v>
      </c>
      <c r="E118" s="193">
        <f t="shared" si="273"/>
        <v>0.8403561774526952</v>
      </c>
      <c r="F118" s="193">
        <f t="shared" si="273"/>
        <v>0.83632896305125148</v>
      </c>
      <c r="G118" s="193">
        <f t="shared" si="273"/>
        <v>0.82894900885176415</v>
      </c>
      <c r="H118" s="194">
        <f t="shared" si="273"/>
        <v>0.82634920634920639</v>
      </c>
      <c r="I118" s="194">
        <f t="shared" si="273"/>
        <v>0.81671976938249125</v>
      </c>
      <c r="J118" s="194">
        <f t="shared" si="273"/>
        <v>0.80757974831723733</v>
      </c>
      <c r="K118" s="194">
        <f t="shared" si="273"/>
        <v>0.83885562208915498</v>
      </c>
      <c r="L118" s="193">
        <f t="shared" si="273"/>
        <v>0.82276064610866373</v>
      </c>
      <c r="M118" s="194">
        <f t="shared" si="273"/>
        <v>0.81741613133476088</v>
      </c>
      <c r="N118" s="194">
        <f t="shared" si="273"/>
        <v>0.81801999178419826</v>
      </c>
      <c r="O118" s="194">
        <f t="shared" si="273"/>
        <v>0.80784313725490198</v>
      </c>
      <c r="P118" s="194">
        <f t="shared" si="273"/>
        <v>0.80489047376464595</v>
      </c>
      <c r="Q118" s="193">
        <f t="shared" si="273"/>
        <v>0.81187713310580201</v>
      </c>
      <c r="R118" s="194">
        <f t="shared" si="273"/>
        <v>0.82393514036786064</v>
      </c>
      <c r="S118" s="194">
        <f t="shared" si="273"/>
        <v>0.82530864197530862</v>
      </c>
      <c r="T118" s="194">
        <f t="shared" si="273"/>
        <v>0.85490348490737145</v>
      </c>
      <c r="U118" s="194">
        <f t="shared" si="273"/>
        <v>0.85046847303114714</v>
      </c>
      <c r="V118" s="193">
        <f t="shared" si="273"/>
        <v>0.83831024670898346</v>
      </c>
      <c r="W118" s="194">
        <f t="shared" si="273"/>
        <v>0.82490322580645159</v>
      </c>
      <c r="X118" s="194">
        <f t="shared" si="273"/>
        <v>0.82934353405725569</v>
      </c>
      <c r="Y118" s="194">
        <f t="shared" si="273"/>
        <v>0.83884658594432659</v>
      </c>
      <c r="Z118" s="194">
        <f t="shared" si="273"/>
        <v>0.85257528194396004</v>
      </c>
      <c r="AA118" s="193">
        <f t="shared" si="273"/>
        <v>0.83678309616213886</v>
      </c>
      <c r="AB118" s="194">
        <f t="shared" si="273"/>
        <v>0.82649397281354198</v>
      </c>
      <c r="AC118" s="194">
        <f t="shared" si="273"/>
        <v>0.82535854803909126</v>
      </c>
      <c r="AD118" s="194">
        <f t="shared" si="273"/>
        <v>0.82019610339997451</v>
      </c>
      <c r="AE118" s="194">
        <f t="shared" si="273"/>
        <v>0.79698261725155783</v>
      </c>
      <c r="AF118" s="193">
        <f t="shared" si="273"/>
        <v>0.81644581815956174</v>
      </c>
      <c r="AG118" s="194">
        <f t="shared" si="273"/>
        <v>0.78585565378018207</v>
      </c>
      <c r="AH118" s="194">
        <f t="shared" si="273"/>
        <v>0.79904064630143901</v>
      </c>
      <c r="AI118" s="194">
        <f t="shared" si="273"/>
        <v>0.76859087471641041</v>
      </c>
      <c r="AJ118" s="194">
        <f t="shared" si="273"/>
        <v>0.76962119336469426</v>
      </c>
      <c r="AK118" s="193">
        <f t="shared" si="273"/>
        <v>0.78066194903690544</v>
      </c>
      <c r="AL118" s="194">
        <f t="shared" si="273"/>
        <v>0.75985953538627771</v>
      </c>
      <c r="AM118" s="194">
        <f t="shared" si="273"/>
        <v>0.74048792820123877</v>
      </c>
      <c r="AN118" s="194">
        <f t="shared" si="273"/>
        <v>0.72396100564391996</v>
      </c>
      <c r="AO118" s="194">
        <f t="shared" si="273"/>
        <v>0.72694717994628466</v>
      </c>
      <c r="AP118" s="193">
        <f t="shared" si="273"/>
        <v>0.73753637245392822</v>
      </c>
      <c r="AQ118" s="194">
        <f t="shared" si="273"/>
        <v>0.70985800109229924</v>
      </c>
      <c r="AR118" s="194">
        <f t="shared" ref="AR118:AZ118" si="274">AR116/AR128</f>
        <v>0.7330746588172331</v>
      </c>
      <c r="AS118" s="194">
        <f t="shared" si="274"/>
        <v>0.70468326667526771</v>
      </c>
      <c r="AT118" s="194">
        <f t="shared" si="274"/>
        <v>0.73021799349632666</v>
      </c>
      <c r="AU118" s="193">
        <f t="shared" si="274"/>
        <v>0.71966161026837805</v>
      </c>
      <c r="AV118" s="194">
        <f t="shared" si="274"/>
        <v>0.72918807810894137</v>
      </c>
      <c r="AW118" s="194">
        <f t="shared" si="274"/>
        <v>0.7135244861710226</v>
      </c>
      <c r="AX118" s="194">
        <f t="shared" si="274"/>
        <v>0.70690517888416315</v>
      </c>
      <c r="AY118" s="194">
        <f t="shared" si="274"/>
        <v>0.72570111409911642</v>
      </c>
      <c r="AZ118" s="193">
        <f t="shared" si="274"/>
        <v>0.71873907655152691</v>
      </c>
      <c r="BA118" s="193"/>
      <c r="BB118" s="194">
        <f t="shared" ref="BB118:BJ118" si="275">BB116/BB128</f>
        <v>0.74274987053340236</v>
      </c>
      <c r="BC118" s="194">
        <f t="shared" si="275"/>
        <v>0.7215916503587736</v>
      </c>
      <c r="BD118" s="194">
        <f t="shared" si="275"/>
        <v>0.73910231535377058</v>
      </c>
      <c r="BE118" s="194">
        <f t="shared" si="275"/>
        <v>0.72986760597595046</v>
      </c>
      <c r="BF118" s="193">
        <f t="shared" si="275"/>
        <v>0.73329505948394091</v>
      </c>
      <c r="BG118" s="194">
        <f t="shared" si="275"/>
        <v>0.76177100053504543</v>
      </c>
      <c r="BH118" s="194">
        <f t="shared" si="275"/>
        <v>0.7062001543606895</v>
      </c>
      <c r="BI118" s="194">
        <f t="shared" si="275"/>
        <v>0.75055650124394391</v>
      </c>
      <c r="BJ118" s="194">
        <f t="shared" si="275"/>
        <v>0.75957779515246282</v>
      </c>
      <c r="BK118" s="193">
        <f t="shared" ref="BK118:BN118" si="276">BK116/BK128</f>
        <v>0.7442819279473839</v>
      </c>
      <c r="BL118" s="194">
        <f t="shared" si="276"/>
        <v>0.72127402230882942</v>
      </c>
      <c r="BM118" s="194">
        <f t="shared" si="276"/>
        <v>0.72925081433224759</v>
      </c>
      <c r="BN118" s="194">
        <f t="shared" si="276"/>
        <v>0.73680738786279687</v>
      </c>
      <c r="BO118" s="194">
        <f t="shared" ref="BO118:BP118" si="277">BO116/BO128</f>
        <v>0.76054125891023316</v>
      </c>
      <c r="BP118" s="193">
        <f t="shared" si="277"/>
        <v>0.73754560423594739</v>
      </c>
      <c r="BQ118" s="195">
        <f t="shared" ref="BQ118:BT118" si="278">BQ116/BQ128</f>
        <v>0.73263375573889178</v>
      </c>
      <c r="BR118" s="194">
        <f t="shared" si="278"/>
        <v>0.77314409137448847</v>
      </c>
      <c r="BS118" s="194">
        <f t="shared" si="278"/>
        <v>0.77681469550013871</v>
      </c>
      <c r="BT118" s="548">
        <f t="shared" si="278"/>
        <v>0.78387026608503385</v>
      </c>
      <c r="BU118" s="193">
        <f>BU116/BU128</f>
        <v>0.76842161574539758</v>
      </c>
      <c r="BV118" s="194"/>
      <c r="BW118" s="194"/>
      <c r="BX118" s="194"/>
      <c r="BY118" s="194"/>
      <c r="BZ118" s="193">
        <f>BZ116/BZ128</f>
        <v>0.77694528702172427</v>
      </c>
      <c r="CA118" s="194"/>
      <c r="CB118" s="194"/>
      <c r="CC118" s="194"/>
      <c r="CD118" s="194"/>
      <c r="CE118" s="193">
        <f>CE116/CE128</f>
        <v>0.77398608507489208</v>
      </c>
      <c r="CF118" s="194"/>
      <c r="CG118" s="194"/>
      <c r="CH118" s="194"/>
      <c r="CI118" s="194"/>
      <c r="CJ118" s="193">
        <f>CJ116/CJ128</f>
        <v>0.76959347823079249</v>
      </c>
      <c r="CK118" s="196"/>
      <c r="CL118" s="238"/>
      <c r="CM118" s="661"/>
      <c r="CN118" s="661"/>
      <c r="CO118" s="661"/>
      <c r="CP118" s="661"/>
      <c r="CQ118" s="1228"/>
      <c r="CR118" s="1228"/>
      <c r="CS118" s="661"/>
      <c r="CT118" s="661"/>
      <c r="CU118" s="661"/>
      <c r="CV118" s="661"/>
      <c r="CW118" s="229"/>
      <c r="CX118" s="197"/>
      <c r="CY118" s="197"/>
      <c r="CZ118"/>
      <c r="DA118"/>
      <c r="DB118"/>
      <c r="DC118"/>
      <c r="DD118"/>
    </row>
    <row r="119" spans="1:108" s="198" customFormat="1">
      <c r="A119" s="456" t="s">
        <v>40</v>
      </c>
      <c r="B119" s="445">
        <f t="shared" ref="B119:AG119" si="279">SUM(B53,B107,B71)</f>
        <v>20209</v>
      </c>
      <c r="C119" s="445">
        <f t="shared" si="279"/>
        <v>21886</v>
      </c>
      <c r="D119" s="445">
        <f t="shared" si="279"/>
        <v>33901</v>
      </c>
      <c r="E119" s="445">
        <f t="shared" si="279"/>
        <v>34905</v>
      </c>
      <c r="F119" s="445">
        <f t="shared" si="279"/>
        <v>34136</v>
      </c>
      <c r="G119" s="445">
        <f t="shared" si="279"/>
        <v>35974</v>
      </c>
      <c r="H119" s="447">
        <f t="shared" si="279"/>
        <v>35185</v>
      </c>
      <c r="I119" s="444">
        <f t="shared" si="279"/>
        <v>34460</v>
      </c>
      <c r="J119" s="444">
        <f t="shared" si="279"/>
        <v>35620</v>
      </c>
      <c r="K119" s="635">
        <f t="shared" si="279"/>
        <v>34576</v>
      </c>
      <c r="L119" s="445">
        <f t="shared" si="279"/>
        <v>34576</v>
      </c>
      <c r="M119" s="444">
        <f t="shared" si="279"/>
        <v>37315</v>
      </c>
      <c r="N119" s="444">
        <f t="shared" si="279"/>
        <v>36493</v>
      </c>
      <c r="O119" s="444">
        <f t="shared" si="279"/>
        <v>38405</v>
      </c>
      <c r="P119" s="444">
        <f t="shared" si="279"/>
        <v>51648</v>
      </c>
      <c r="Q119" s="445">
        <f t="shared" si="279"/>
        <v>51648</v>
      </c>
      <c r="R119" s="444">
        <f t="shared" si="279"/>
        <v>50356</v>
      </c>
      <c r="S119" s="444">
        <f t="shared" si="279"/>
        <v>47732</v>
      </c>
      <c r="T119" s="444">
        <f t="shared" si="279"/>
        <v>46994</v>
      </c>
      <c r="U119" s="444">
        <f t="shared" si="279"/>
        <v>46221</v>
      </c>
      <c r="V119" s="445">
        <f t="shared" si="279"/>
        <v>46221</v>
      </c>
      <c r="W119" s="444">
        <f t="shared" si="279"/>
        <v>45318</v>
      </c>
      <c r="X119" s="444">
        <f t="shared" si="279"/>
        <v>44717</v>
      </c>
      <c r="Y119" s="444">
        <f t="shared" si="279"/>
        <v>44254</v>
      </c>
      <c r="Z119" s="635">
        <f t="shared" si="279"/>
        <v>41740</v>
      </c>
      <c r="AA119" s="445">
        <f t="shared" si="279"/>
        <v>41740</v>
      </c>
      <c r="AB119" s="447">
        <f t="shared" si="279"/>
        <v>39716</v>
      </c>
      <c r="AC119" s="444">
        <f t="shared" si="279"/>
        <v>38828</v>
      </c>
      <c r="AD119" s="444">
        <f t="shared" si="279"/>
        <v>39899</v>
      </c>
      <c r="AE119" s="635">
        <f t="shared" si="279"/>
        <v>39503</v>
      </c>
      <c r="AF119" s="445">
        <f t="shared" si="279"/>
        <v>39503</v>
      </c>
      <c r="AG119" s="447">
        <f t="shared" si="279"/>
        <v>38242</v>
      </c>
      <c r="AH119" s="444">
        <f t="shared" ref="AH119:AZ119" si="280">SUM(AH53,AH107,AH71)</f>
        <v>36063</v>
      </c>
      <c r="AI119" s="444">
        <f t="shared" si="280"/>
        <v>35416</v>
      </c>
      <c r="AJ119" s="635">
        <f t="shared" si="280"/>
        <v>35614</v>
      </c>
      <c r="AK119" s="445">
        <f t="shared" si="280"/>
        <v>35614</v>
      </c>
      <c r="AL119" s="447">
        <f t="shared" si="280"/>
        <v>33225</v>
      </c>
      <c r="AM119" s="444">
        <f t="shared" si="280"/>
        <v>34763</v>
      </c>
      <c r="AN119" s="444">
        <f t="shared" si="280"/>
        <v>34118</v>
      </c>
      <c r="AO119" s="635">
        <f t="shared" si="280"/>
        <v>32062</v>
      </c>
      <c r="AP119" s="445">
        <f t="shared" si="280"/>
        <v>32062</v>
      </c>
      <c r="AQ119" s="447">
        <f t="shared" si="280"/>
        <v>43058</v>
      </c>
      <c r="AR119" s="444">
        <f t="shared" si="280"/>
        <v>58365</v>
      </c>
      <c r="AS119" s="444">
        <f t="shared" si="280"/>
        <v>62366</v>
      </c>
      <c r="AT119" s="635">
        <f t="shared" si="280"/>
        <v>59178</v>
      </c>
      <c r="AU119" s="445">
        <f t="shared" si="280"/>
        <v>59178</v>
      </c>
      <c r="AV119" s="447">
        <f t="shared" si="280"/>
        <v>57447</v>
      </c>
      <c r="AW119" s="444">
        <f t="shared" si="280"/>
        <v>56008</v>
      </c>
      <c r="AX119" s="444">
        <f t="shared" si="280"/>
        <v>55183</v>
      </c>
      <c r="AY119" s="635">
        <f t="shared" si="280"/>
        <v>52722</v>
      </c>
      <c r="AZ119" s="445">
        <f t="shared" si="280"/>
        <v>52722</v>
      </c>
      <c r="BA119" s="445"/>
      <c r="BB119" s="447">
        <f t="shared" ref="BB119:BP119" si="281">SUM(BB53,BB107,BB71)</f>
        <v>52122</v>
      </c>
      <c r="BC119" s="444">
        <f t="shared" si="281"/>
        <v>51478</v>
      </c>
      <c r="BD119" s="444">
        <f t="shared" si="281"/>
        <v>50448</v>
      </c>
      <c r="BE119" s="635">
        <f t="shared" si="281"/>
        <v>48811</v>
      </c>
      <c r="BF119" s="445">
        <f t="shared" si="281"/>
        <v>48811</v>
      </c>
      <c r="BG119" s="447">
        <f t="shared" si="281"/>
        <v>52103</v>
      </c>
      <c r="BH119" s="444">
        <f t="shared" si="281"/>
        <v>51501</v>
      </c>
      <c r="BI119" s="444">
        <f t="shared" si="281"/>
        <v>50452</v>
      </c>
      <c r="BJ119" s="635">
        <f t="shared" si="281"/>
        <v>48991</v>
      </c>
      <c r="BK119" s="445">
        <f t="shared" si="281"/>
        <v>48991</v>
      </c>
      <c r="BL119" s="447">
        <f t="shared" si="281"/>
        <v>47785</v>
      </c>
      <c r="BM119" s="444">
        <f t="shared" si="281"/>
        <v>46331</v>
      </c>
      <c r="BN119" s="444">
        <f t="shared" si="281"/>
        <v>52114</v>
      </c>
      <c r="BO119" s="444">
        <f t="shared" si="281"/>
        <v>50709</v>
      </c>
      <c r="BP119" s="445">
        <f t="shared" si="281"/>
        <v>50709</v>
      </c>
      <c r="BQ119" s="447"/>
      <c r="BR119" s="444"/>
      <c r="BS119" s="444"/>
      <c r="BT119" s="635"/>
      <c r="BU119" s="445"/>
      <c r="BV119" s="447"/>
      <c r="BW119" s="444"/>
      <c r="BX119" s="444"/>
      <c r="BY119" s="444"/>
      <c r="BZ119" s="445"/>
      <c r="CA119" s="447"/>
      <c r="CB119" s="444"/>
      <c r="CC119" s="444"/>
      <c r="CD119" s="444"/>
      <c r="CE119" s="445"/>
      <c r="CF119" s="447"/>
      <c r="CG119" s="444"/>
      <c r="CH119" s="444"/>
      <c r="CI119" s="444"/>
      <c r="CJ119" s="445"/>
      <c r="CK119" s="196"/>
      <c r="CL119" s="238"/>
      <c r="CM119" s="661"/>
      <c r="CN119" s="661"/>
      <c r="CO119" s="661"/>
      <c r="CP119" s="661"/>
      <c r="CQ119" s="1228"/>
      <c r="CR119" s="1228"/>
      <c r="CS119" s="661"/>
      <c r="CT119" s="661"/>
      <c r="CU119" s="661"/>
      <c r="CV119" s="661"/>
      <c r="CW119" s="229"/>
      <c r="CX119" s="197"/>
      <c r="CY119" s="197"/>
      <c r="CZ119"/>
      <c r="DA119"/>
      <c r="DB119"/>
      <c r="DC119"/>
      <c r="DD119"/>
    </row>
    <row r="120" spans="1:108" s="198" customFormat="1" hidden="1" outlineLevel="1">
      <c r="A120" s="443" t="s">
        <v>21</v>
      </c>
      <c r="B120" s="193"/>
      <c r="C120" s="193">
        <f>C119/B119-1</f>
        <v>8.2982829432431071E-2</v>
      </c>
      <c r="D120" s="193">
        <f>D119/C119-1</f>
        <v>0.5489810837978617</v>
      </c>
      <c r="E120" s="193">
        <f>E119/D119-1</f>
        <v>2.9615645556178238E-2</v>
      </c>
      <c r="F120" s="193">
        <f>F119/E119-1</f>
        <v>-2.2031227617819837E-2</v>
      </c>
      <c r="G120" s="193">
        <f>G119/F119-1</f>
        <v>5.3843449730489823E-2</v>
      </c>
      <c r="H120" s="194"/>
      <c r="I120" s="194"/>
      <c r="J120" s="194"/>
      <c r="K120" s="194"/>
      <c r="L120" s="193">
        <f t="shared" ref="L120:AS120" si="282">L119/G119-1</f>
        <v>-3.8861399899927762E-2</v>
      </c>
      <c r="M120" s="194">
        <f t="shared" si="282"/>
        <v>6.053716072189852E-2</v>
      </c>
      <c r="N120" s="194">
        <f t="shared" si="282"/>
        <v>5.8995937318630398E-2</v>
      </c>
      <c r="O120" s="194">
        <f t="shared" si="282"/>
        <v>7.8186412128018024E-2</v>
      </c>
      <c r="P120" s="194">
        <f t="shared" si="282"/>
        <v>0.49375289217954643</v>
      </c>
      <c r="Q120" s="193">
        <f t="shared" si="282"/>
        <v>0.49375289217954643</v>
      </c>
      <c r="R120" s="194">
        <f t="shared" si="282"/>
        <v>0.34948412166689002</v>
      </c>
      <c r="S120" s="194">
        <f t="shared" si="282"/>
        <v>0.30797687227687498</v>
      </c>
      <c r="T120" s="194">
        <f t="shared" si="282"/>
        <v>0.22364275484962892</v>
      </c>
      <c r="U120" s="194">
        <f t="shared" si="282"/>
        <v>-0.10507667286245348</v>
      </c>
      <c r="V120" s="193">
        <f t="shared" si="282"/>
        <v>-0.10507667286245348</v>
      </c>
      <c r="W120" s="194">
        <f t="shared" si="282"/>
        <v>-0.10004766065612836</v>
      </c>
      <c r="X120" s="194">
        <f t="shared" si="282"/>
        <v>-6.3165172211514298E-2</v>
      </c>
      <c r="Y120" s="194">
        <f t="shared" si="282"/>
        <v>-5.8305315572200755E-2</v>
      </c>
      <c r="Z120" s="194">
        <f t="shared" si="282"/>
        <v>-9.6947275048138271E-2</v>
      </c>
      <c r="AA120" s="193">
        <f t="shared" si="282"/>
        <v>-9.6947275048138271E-2</v>
      </c>
      <c r="AB120" s="194">
        <f t="shared" si="282"/>
        <v>-0.12361534048281031</v>
      </c>
      <c r="AC120" s="194">
        <f t="shared" si="282"/>
        <v>-0.13169488114140038</v>
      </c>
      <c r="AD120" s="194">
        <f t="shared" si="282"/>
        <v>-9.8409183350657514E-2</v>
      </c>
      <c r="AE120" s="194">
        <f t="shared" si="282"/>
        <v>-5.3593675131768048E-2</v>
      </c>
      <c r="AF120" s="511">
        <f t="shared" si="282"/>
        <v>-5.3593675131768048E-2</v>
      </c>
      <c r="AG120" s="195">
        <f t="shared" si="282"/>
        <v>-3.7113505891832044E-2</v>
      </c>
      <c r="AH120" s="194">
        <f t="shared" si="282"/>
        <v>-7.1211496857937595E-2</v>
      </c>
      <c r="AI120" s="194">
        <f t="shared" si="282"/>
        <v>-0.11235870573197326</v>
      </c>
      <c r="AJ120" s="194">
        <f t="shared" si="282"/>
        <v>-9.8448219122598268E-2</v>
      </c>
      <c r="AK120" s="193">
        <f t="shared" si="282"/>
        <v>-9.8448219122598268E-2</v>
      </c>
      <c r="AL120" s="194">
        <f t="shared" si="282"/>
        <v>-0.13119083729930447</v>
      </c>
      <c r="AM120" s="194">
        <f t="shared" si="282"/>
        <v>-3.6048027063749544E-2</v>
      </c>
      <c r="AN120" s="194">
        <f t="shared" si="282"/>
        <v>-3.66501016489722E-2</v>
      </c>
      <c r="AO120" s="194">
        <f t="shared" si="282"/>
        <v>-9.9736058853259979E-2</v>
      </c>
      <c r="AP120" s="193">
        <f t="shared" si="282"/>
        <v>-9.9736058853259979E-2</v>
      </c>
      <c r="AQ120" s="194">
        <f t="shared" si="282"/>
        <v>0.29595184349134684</v>
      </c>
      <c r="AR120" s="194">
        <f t="shared" si="282"/>
        <v>0.67894025256738488</v>
      </c>
      <c r="AS120" s="194">
        <f t="shared" si="282"/>
        <v>0.82795005568907909</v>
      </c>
      <c r="AT120" s="194">
        <f t="shared" ref="AT120:AZ120" si="283">AT119/AO119-1</f>
        <v>0.84573638575260435</v>
      </c>
      <c r="AU120" s="193">
        <f t="shared" si="283"/>
        <v>0.84573638575260435</v>
      </c>
      <c r="AV120" s="194">
        <f t="shared" si="283"/>
        <v>0.33417715639370149</v>
      </c>
      <c r="AW120" s="194">
        <f t="shared" si="283"/>
        <v>-4.0383791655958179E-2</v>
      </c>
      <c r="AX120" s="194">
        <f t="shared" si="283"/>
        <v>-0.11517493506077026</v>
      </c>
      <c r="AY120" s="194">
        <f t="shared" si="283"/>
        <v>-0.1090945959647166</v>
      </c>
      <c r="AZ120" s="193">
        <f t="shared" si="283"/>
        <v>-0.1090945959647166</v>
      </c>
      <c r="BA120" s="193"/>
      <c r="BB120" s="194">
        <f t="shared" ref="BB120:BG120" si="284">BB119/AV119-1</f>
        <v>-9.2694135463992855E-2</v>
      </c>
      <c r="BC120" s="194">
        <f t="shared" si="284"/>
        <v>-8.0881302671046984E-2</v>
      </c>
      <c r="BD120" s="194">
        <f t="shared" si="284"/>
        <v>-8.5805411086747774E-2</v>
      </c>
      <c r="BE120" s="194">
        <f t="shared" si="284"/>
        <v>-7.4181556086643119E-2</v>
      </c>
      <c r="BF120" s="193">
        <f t="shared" si="284"/>
        <v>-7.4181556086643119E-2</v>
      </c>
      <c r="BG120" s="194" t="e">
        <f t="shared" si="284"/>
        <v>#DIV/0!</v>
      </c>
      <c r="BH120" s="194"/>
      <c r="BI120" s="194"/>
      <c r="BJ120" s="194"/>
      <c r="BK120" s="193">
        <f>BK119/AZ119-1</f>
        <v>-7.0767421569743139E-2</v>
      </c>
      <c r="BL120" s="194">
        <f>BL119/BG119-1</f>
        <v>-8.2874306661804509E-2</v>
      </c>
      <c r="BM120" s="194">
        <f>BM119/BH119-1</f>
        <v>-0.10038640026407253</v>
      </c>
      <c r="BN120" s="194">
        <f>BN119/BI119-1</f>
        <v>3.2942202489494976E-2</v>
      </c>
      <c r="BO120" s="194">
        <f>BO119/BJ119-1</f>
        <v>3.5067665489579625E-2</v>
      </c>
      <c r="BP120" s="193">
        <f>BP119/BK119-1</f>
        <v>3.5067665489579625E-2</v>
      </c>
      <c r="BQ120" s="195"/>
      <c r="BR120" s="194"/>
      <c r="BS120" s="194"/>
      <c r="BT120" s="548"/>
      <c r="BU120" s="193"/>
      <c r="BV120" s="195"/>
      <c r="BW120" s="194"/>
      <c r="BX120" s="194"/>
      <c r="BY120" s="194"/>
      <c r="BZ120" s="193"/>
      <c r="CA120" s="195"/>
      <c r="CB120" s="194"/>
      <c r="CC120" s="194"/>
      <c r="CD120" s="194"/>
      <c r="CE120" s="193"/>
      <c r="CF120" s="195"/>
      <c r="CG120" s="194"/>
      <c r="CH120" s="194"/>
      <c r="CI120" s="194"/>
      <c r="CJ120" s="193"/>
      <c r="CK120" s="196"/>
      <c r="CL120" s="238"/>
      <c r="CM120" s="661"/>
      <c r="CN120" s="661"/>
      <c r="CO120" s="661"/>
      <c r="CP120" s="661"/>
      <c r="CQ120" s="1228"/>
      <c r="CR120" s="1228"/>
      <c r="CS120" s="661"/>
      <c r="CT120" s="661"/>
      <c r="CU120" s="661"/>
      <c r="CV120" s="661"/>
      <c r="CW120" s="229"/>
      <c r="CX120" s="197"/>
      <c r="CY120" s="197"/>
      <c r="CZ120"/>
      <c r="DA120"/>
      <c r="DB120"/>
      <c r="DC120"/>
      <c r="DD120"/>
    </row>
    <row r="121" spans="1:108" s="198" customFormat="1" hidden="1" outlineLevel="1">
      <c r="A121" s="531" t="s">
        <v>256</v>
      </c>
      <c r="B121" s="513"/>
      <c r="C121" s="513"/>
      <c r="D121" s="513"/>
      <c r="E121" s="513"/>
      <c r="F121" s="513"/>
      <c r="G121" s="513"/>
      <c r="H121" s="514"/>
      <c r="I121" s="514"/>
      <c r="J121" s="514"/>
      <c r="K121" s="514"/>
      <c r="L121" s="513"/>
      <c r="M121" s="514"/>
      <c r="N121" s="514"/>
      <c r="O121" s="514"/>
      <c r="P121" s="514"/>
      <c r="Q121" s="513"/>
      <c r="R121" s="514"/>
      <c r="S121" s="514"/>
      <c r="T121" s="514"/>
      <c r="U121" s="514"/>
      <c r="V121" s="513"/>
      <c r="W121" s="450">
        <f t="shared" ref="W121:AZ121" si="285">SUM(W55,W109,W73)</f>
        <v>29287</v>
      </c>
      <c r="X121" s="450">
        <f t="shared" si="285"/>
        <v>28485</v>
      </c>
      <c r="Y121" s="450">
        <f t="shared" si="285"/>
        <v>28409</v>
      </c>
      <c r="Z121" s="450">
        <f t="shared" si="285"/>
        <v>25936</v>
      </c>
      <c r="AA121" s="396">
        <f t="shared" si="285"/>
        <v>25936</v>
      </c>
      <c r="AB121" s="450">
        <f t="shared" si="285"/>
        <v>26360</v>
      </c>
      <c r="AC121" s="450">
        <f t="shared" si="285"/>
        <v>26316</v>
      </c>
      <c r="AD121" s="450">
        <f t="shared" si="285"/>
        <v>27595</v>
      </c>
      <c r="AE121" s="450">
        <f t="shared" si="285"/>
        <v>27081</v>
      </c>
      <c r="AF121" s="448">
        <f t="shared" si="285"/>
        <v>27081</v>
      </c>
      <c r="AG121" s="514">
        <f t="shared" si="285"/>
        <v>29533</v>
      </c>
      <c r="AH121" s="514">
        <f t="shared" si="285"/>
        <v>27868</v>
      </c>
      <c r="AI121" s="514">
        <f t="shared" si="285"/>
        <v>27392</v>
      </c>
      <c r="AJ121" s="514">
        <f t="shared" si="285"/>
        <v>29067</v>
      </c>
      <c r="AK121" s="513">
        <f t="shared" si="285"/>
        <v>29067</v>
      </c>
      <c r="AL121" s="514">
        <f t="shared" si="285"/>
        <v>27386</v>
      </c>
      <c r="AM121" s="514">
        <f t="shared" si="285"/>
        <v>26629</v>
      </c>
      <c r="AN121" s="514">
        <f t="shared" si="285"/>
        <v>26342</v>
      </c>
      <c r="AO121" s="514">
        <f t="shared" si="285"/>
        <v>24619</v>
      </c>
      <c r="AP121" s="513">
        <f t="shared" si="285"/>
        <v>24619</v>
      </c>
      <c r="AQ121" s="514">
        <f t="shared" si="285"/>
        <v>35582</v>
      </c>
      <c r="AR121" s="514">
        <f t="shared" si="285"/>
        <v>38164</v>
      </c>
      <c r="AS121" s="514">
        <f t="shared" si="285"/>
        <v>42608</v>
      </c>
      <c r="AT121" s="514">
        <f t="shared" si="285"/>
        <v>39814</v>
      </c>
      <c r="AU121" s="513">
        <f t="shared" si="285"/>
        <v>39814</v>
      </c>
      <c r="AV121" s="514">
        <f t="shared" si="285"/>
        <v>43032</v>
      </c>
      <c r="AW121" s="514">
        <f t="shared" si="285"/>
        <v>41543</v>
      </c>
      <c r="AX121" s="514">
        <f t="shared" si="285"/>
        <v>40276</v>
      </c>
      <c r="AY121" s="514">
        <f t="shared" si="285"/>
        <v>38491</v>
      </c>
      <c r="AZ121" s="513">
        <f t="shared" si="285"/>
        <v>38491</v>
      </c>
      <c r="BA121" s="513"/>
      <c r="BB121" s="514">
        <f t="shared" ref="BB121:BG121" si="286">SUM(BB55,BB109,BB73)</f>
        <v>42249</v>
      </c>
      <c r="BC121" s="514">
        <f t="shared" si="286"/>
        <v>41448</v>
      </c>
      <c r="BD121" s="514">
        <f t="shared" si="286"/>
        <v>39954</v>
      </c>
      <c r="BE121" s="514">
        <f t="shared" si="286"/>
        <v>38476</v>
      </c>
      <c r="BF121" s="513">
        <f t="shared" si="286"/>
        <v>38476</v>
      </c>
      <c r="BG121" s="514">
        <f t="shared" si="286"/>
        <v>42232</v>
      </c>
      <c r="BH121" s="514"/>
      <c r="BI121" s="514"/>
      <c r="BJ121" s="514"/>
      <c r="BK121" s="513">
        <f t="shared" ref="BK121:BP121" si="287">SUM(BK55,BK109,BK73)</f>
        <v>38664</v>
      </c>
      <c r="BL121" s="514">
        <f t="shared" si="287"/>
        <v>40811</v>
      </c>
      <c r="BM121" s="514">
        <f t="shared" si="287"/>
        <v>39591</v>
      </c>
      <c r="BN121" s="514">
        <f t="shared" si="287"/>
        <v>40202</v>
      </c>
      <c r="BO121" s="514">
        <f t="shared" si="287"/>
        <v>39712</v>
      </c>
      <c r="BP121" s="513">
        <f t="shared" si="287"/>
        <v>39712</v>
      </c>
      <c r="BQ121" s="515"/>
      <c r="BR121" s="514"/>
      <c r="BS121" s="514"/>
      <c r="BT121" s="1112"/>
      <c r="BU121" s="513"/>
      <c r="BV121" s="515"/>
      <c r="BW121" s="514"/>
      <c r="BX121" s="514"/>
      <c r="BY121" s="514"/>
      <c r="BZ121" s="513"/>
      <c r="CA121" s="515"/>
      <c r="CB121" s="514"/>
      <c r="CC121" s="514"/>
      <c r="CD121" s="514"/>
      <c r="CE121" s="513"/>
      <c r="CF121" s="515"/>
      <c r="CG121" s="514"/>
      <c r="CH121" s="514"/>
      <c r="CI121" s="514"/>
      <c r="CJ121" s="513"/>
      <c r="CK121" s="196"/>
      <c r="CL121" s="238"/>
      <c r="CM121" s="661"/>
      <c r="CN121" s="661"/>
      <c r="CO121" s="661"/>
      <c r="CP121" s="661"/>
      <c r="CQ121" s="1228"/>
      <c r="CR121" s="1228"/>
      <c r="CS121" s="661"/>
      <c r="CT121" s="661"/>
      <c r="CU121" s="661"/>
      <c r="CV121" s="661"/>
      <c r="CW121" s="229"/>
      <c r="CX121" s="197"/>
      <c r="CY121" s="197"/>
      <c r="CZ121"/>
      <c r="DA121"/>
      <c r="DB121"/>
      <c r="DC121"/>
      <c r="DD121"/>
    </row>
    <row r="122" spans="1:108" s="198" customFormat="1" hidden="1" outlineLevel="1">
      <c r="A122" s="532" t="s">
        <v>257</v>
      </c>
      <c r="B122" s="193"/>
      <c r="C122" s="193"/>
      <c r="D122" s="193"/>
      <c r="E122" s="193"/>
      <c r="F122" s="193"/>
      <c r="G122" s="193"/>
      <c r="H122" s="194"/>
      <c r="I122" s="194"/>
      <c r="J122" s="194"/>
      <c r="K122" s="194"/>
      <c r="L122" s="193"/>
      <c r="M122" s="194"/>
      <c r="N122" s="194"/>
      <c r="O122" s="194"/>
      <c r="P122" s="194"/>
      <c r="Q122" s="193"/>
      <c r="R122" s="194"/>
      <c r="S122" s="194"/>
      <c r="T122" s="194"/>
      <c r="U122" s="194"/>
      <c r="V122" s="193"/>
      <c r="W122" s="527">
        <f t="shared" ref="W122:AJ122" si="288">W121/W119</f>
        <v>0.64625535107462817</v>
      </c>
      <c r="X122" s="527">
        <f t="shared" si="288"/>
        <v>0.63700606033499563</v>
      </c>
      <c r="Y122" s="527">
        <f t="shared" si="288"/>
        <v>0.64195326976092559</v>
      </c>
      <c r="Z122" s="527">
        <f t="shared" si="288"/>
        <v>0.62137038811691425</v>
      </c>
      <c r="AA122" s="525">
        <f t="shared" si="288"/>
        <v>0.62137038811691425</v>
      </c>
      <c r="AB122" s="527">
        <f t="shared" si="288"/>
        <v>0.66371235773995363</v>
      </c>
      <c r="AC122" s="527">
        <f t="shared" si="288"/>
        <v>0.67775831873905434</v>
      </c>
      <c r="AD122" s="527">
        <f t="shared" si="288"/>
        <v>0.69162134389333063</v>
      </c>
      <c r="AE122" s="527">
        <f t="shared" si="288"/>
        <v>0.68554287016175985</v>
      </c>
      <c r="AF122" s="193">
        <f t="shared" si="288"/>
        <v>0.68554287016175985</v>
      </c>
      <c r="AG122" s="194">
        <f t="shared" si="288"/>
        <v>0.77226609486951514</v>
      </c>
      <c r="AH122" s="194">
        <f t="shared" si="288"/>
        <v>0.77275878324044034</v>
      </c>
      <c r="AI122" s="194">
        <f t="shared" si="288"/>
        <v>0.77343573526089904</v>
      </c>
      <c r="AJ122" s="194">
        <f t="shared" si="288"/>
        <v>0.81616779918009774</v>
      </c>
      <c r="AK122" s="193">
        <f t="shared" ref="AK122:AR122" si="289">AK121/AK119</f>
        <v>0.81616779918009774</v>
      </c>
      <c r="AL122" s="194">
        <f t="shared" si="289"/>
        <v>0.8242588412340105</v>
      </c>
      <c r="AM122" s="194">
        <f t="shared" si="289"/>
        <v>0.76601559128958951</v>
      </c>
      <c r="AN122" s="194">
        <f t="shared" si="289"/>
        <v>0.77208511636086519</v>
      </c>
      <c r="AO122" s="194">
        <f t="shared" si="289"/>
        <v>0.76785602894392113</v>
      </c>
      <c r="AP122" s="193">
        <f t="shared" si="289"/>
        <v>0.76785602894392113</v>
      </c>
      <c r="AQ122" s="194">
        <f t="shared" si="289"/>
        <v>0.82637372845928747</v>
      </c>
      <c r="AR122" s="194">
        <f t="shared" si="289"/>
        <v>0.65388503383877328</v>
      </c>
      <c r="AS122" s="194">
        <f t="shared" ref="AS122:AX122" si="290">AS121/AS119</f>
        <v>0.68319276528877915</v>
      </c>
      <c r="AT122" s="194">
        <f t="shared" si="290"/>
        <v>0.67278380479232147</v>
      </c>
      <c r="AU122" s="193">
        <f t="shared" si="290"/>
        <v>0.67278380479232147</v>
      </c>
      <c r="AV122" s="194">
        <f t="shared" si="290"/>
        <v>0.74907305864536011</v>
      </c>
      <c r="AW122" s="194">
        <f t="shared" si="290"/>
        <v>0.74173332381088419</v>
      </c>
      <c r="AX122" s="194">
        <f t="shared" si="290"/>
        <v>0.72986245764094015</v>
      </c>
      <c r="AY122" s="194">
        <f t="shared" ref="AY122:BF122" si="291">AY121/AY119</f>
        <v>0.73007473161109215</v>
      </c>
      <c r="AZ122" s="193">
        <f t="shared" si="291"/>
        <v>0.73007473161109215</v>
      </c>
      <c r="BA122" s="193"/>
      <c r="BB122" s="194">
        <f t="shared" si="291"/>
        <v>0.8105790261310003</v>
      </c>
      <c r="BC122" s="194">
        <f t="shared" si="291"/>
        <v>0.80515948560550132</v>
      </c>
      <c r="BD122" s="194">
        <f t="shared" si="291"/>
        <v>0.79198382492863939</v>
      </c>
      <c r="BE122" s="194">
        <f t="shared" si="291"/>
        <v>0.78826494027985494</v>
      </c>
      <c r="BF122" s="193">
        <f t="shared" si="291"/>
        <v>0.78826494027985494</v>
      </c>
      <c r="BG122" s="194">
        <f t="shared" ref="BG122" si="292">BG121/BG119</f>
        <v>0.81054833694796846</v>
      </c>
      <c r="BH122" s="194"/>
      <c r="BI122" s="194"/>
      <c r="BJ122" s="194"/>
      <c r="BK122" s="193">
        <f t="shared" ref="BK122" si="293">BK121/BK119</f>
        <v>0.78920618072707227</v>
      </c>
      <c r="BL122" s="194">
        <f t="shared" ref="BL122" si="294">BL121/BL119</f>
        <v>0.85405461965051799</v>
      </c>
      <c r="BM122" s="194">
        <f t="shared" ref="BM122:BN122" si="295">BM121/BM119</f>
        <v>0.8545250480240012</v>
      </c>
      <c r="BN122" s="194">
        <f t="shared" si="295"/>
        <v>0.77142418543961311</v>
      </c>
      <c r="BO122" s="194">
        <f t="shared" ref="BO122:BP122" si="296">BO121/BO119</f>
        <v>0.78313514366286063</v>
      </c>
      <c r="BP122" s="193">
        <f t="shared" si="296"/>
        <v>0.78313514366286063</v>
      </c>
      <c r="BQ122" s="195"/>
      <c r="BR122" s="194"/>
      <c r="BS122" s="194"/>
      <c r="BT122" s="548"/>
      <c r="BU122" s="193"/>
      <c r="BV122" s="195"/>
      <c r="BW122" s="194"/>
      <c r="BX122" s="194"/>
      <c r="BY122" s="194"/>
      <c r="BZ122" s="193"/>
      <c r="CA122" s="195"/>
      <c r="CB122" s="194"/>
      <c r="CC122" s="194"/>
      <c r="CD122" s="194"/>
      <c r="CE122" s="193"/>
      <c r="CF122" s="195"/>
      <c r="CG122" s="194"/>
      <c r="CH122" s="194"/>
      <c r="CI122" s="194"/>
      <c r="CJ122" s="193"/>
      <c r="CK122" s="196"/>
      <c r="CL122" s="238"/>
      <c r="CM122" s="661"/>
      <c r="CN122" s="661"/>
      <c r="CO122" s="661"/>
      <c r="CP122" s="661"/>
      <c r="CQ122" s="661"/>
      <c r="CR122" s="1227"/>
      <c r="CS122" s="661"/>
      <c r="CT122" s="661"/>
      <c r="CU122" s="661"/>
      <c r="CV122" s="661"/>
      <c r="CW122" s="229"/>
      <c r="CX122" s="197"/>
      <c r="CY122" s="197"/>
      <c r="CZ122"/>
      <c r="DA122"/>
      <c r="DB122"/>
      <c r="DC122"/>
      <c r="DD122"/>
    </row>
    <row r="123" spans="1:108" s="198" customFormat="1" hidden="1" outlineLevel="1">
      <c r="A123" s="531" t="s">
        <v>258</v>
      </c>
      <c r="B123" s="513"/>
      <c r="C123" s="513"/>
      <c r="D123" s="513"/>
      <c r="E123" s="513"/>
      <c r="F123" s="513"/>
      <c r="G123" s="513"/>
      <c r="H123" s="514"/>
      <c r="I123" s="514"/>
      <c r="J123" s="514"/>
      <c r="K123" s="514"/>
      <c r="L123" s="513"/>
      <c r="M123" s="514"/>
      <c r="N123" s="514"/>
      <c r="O123" s="514"/>
      <c r="P123" s="514"/>
      <c r="Q123" s="513"/>
      <c r="R123" s="514"/>
      <c r="S123" s="514"/>
      <c r="T123" s="514"/>
      <c r="U123" s="514"/>
      <c r="V123" s="513"/>
      <c r="W123" s="524">
        <f t="shared" ref="W123:AZ123" si="297">SUM(W57,W111,W75)</f>
        <v>16031</v>
      </c>
      <c r="X123" s="450">
        <f t="shared" si="297"/>
        <v>16232</v>
      </c>
      <c r="Y123" s="450">
        <f t="shared" si="297"/>
        <v>15845</v>
      </c>
      <c r="Z123" s="450">
        <f t="shared" si="297"/>
        <v>15804</v>
      </c>
      <c r="AA123" s="396">
        <f t="shared" si="297"/>
        <v>15804</v>
      </c>
      <c r="AB123" s="524">
        <f t="shared" si="297"/>
        <v>13356</v>
      </c>
      <c r="AC123" s="450">
        <f t="shared" si="297"/>
        <v>12512</v>
      </c>
      <c r="AD123" s="450">
        <f t="shared" si="297"/>
        <v>12304</v>
      </c>
      <c r="AE123" s="450">
        <f t="shared" si="297"/>
        <v>12422</v>
      </c>
      <c r="AF123" s="448">
        <f t="shared" si="297"/>
        <v>12422</v>
      </c>
      <c r="AG123" s="515">
        <f t="shared" si="297"/>
        <v>8709</v>
      </c>
      <c r="AH123" s="514">
        <f t="shared" si="297"/>
        <v>8195</v>
      </c>
      <c r="AI123" s="514">
        <f t="shared" si="297"/>
        <v>8024</v>
      </c>
      <c r="AJ123" s="514">
        <f t="shared" si="297"/>
        <v>6547</v>
      </c>
      <c r="AK123" s="513">
        <f t="shared" si="297"/>
        <v>6547</v>
      </c>
      <c r="AL123" s="514">
        <f t="shared" si="297"/>
        <v>5839</v>
      </c>
      <c r="AM123" s="514">
        <f t="shared" si="297"/>
        <v>8134</v>
      </c>
      <c r="AN123" s="514">
        <f t="shared" si="297"/>
        <v>7776</v>
      </c>
      <c r="AO123" s="514">
        <f t="shared" si="297"/>
        <v>7443</v>
      </c>
      <c r="AP123" s="513">
        <f t="shared" si="297"/>
        <v>7443</v>
      </c>
      <c r="AQ123" s="514">
        <f t="shared" si="297"/>
        <v>7476</v>
      </c>
      <c r="AR123" s="514">
        <f t="shared" si="297"/>
        <v>20201</v>
      </c>
      <c r="AS123" s="514">
        <f t="shared" si="297"/>
        <v>19758</v>
      </c>
      <c r="AT123" s="514">
        <f t="shared" si="297"/>
        <v>19364</v>
      </c>
      <c r="AU123" s="513">
        <f t="shared" si="297"/>
        <v>19364</v>
      </c>
      <c r="AV123" s="514">
        <f t="shared" si="297"/>
        <v>14415</v>
      </c>
      <c r="AW123" s="514">
        <f t="shared" si="297"/>
        <v>14465</v>
      </c>
      <c r="AX123" s="514">
        <f t="shared" si="297"/>
        <v>14907</v>
      </c>
      <c r="AY123" s="514">
        <f t="shared" si="297"/>
        <v>14231</v>
      </c>
      <c r="AZ123" s="513">
        <f t="shared" si="297"/>
        <v>14231</v>
      </c>
      <c r="BA123" s="513"/>
      <c r="BB123" s="514">
        <f t="shared" ref="BB123:BG123" si="298">SUM(BB57,BB111,BB75)</f>
        <v>9873</v>
      </c>
      <c r="BC123" s="514">
        <f t="shared" si="298"/>
        <v>10030</v>
      </c>
      <c r="BD123" s="514">
        <f t="shared" si="298"/>
        <v>10494</v>
      </c>
      <c r="BE123" s="514">
        <f t="shared" si="298"/>
        <v>10335</v>
      </c>
      <c r="BF123" s="513">
        <f t="shared" si="298"/>
        <v>10335</v>
      </c>
      <c r="BG123" s="514">
        <f t="shared" si="298"/>
        <v>9871</v>
      </c>
      <c r="BH123" s="514"/>
      <c r="BI123" s="514"/>
      <c r="BJ123" s="514"/>
      <c r="BK123" s="513">
        <f t="shared" ref="BK123:BP123" si="299">SUM(BK57,BK111,BK75)</f>
        <v>10327</v>
      </c>
      <c r="BL123" s="514">
        <f t="shared" si="299"/>
        <v>6974</v>
      </c>
      <c r="BM123" s="514">
        <f t="shared" si="299"/>
        <v>6740</v>
      </c>
      <c r="BN123" s="514">
        <f t="shared" si="299"/>
        <v>11912</v>
      </c>
      <c r="BO123" s="514">
        <f t="shared" si="299"/>
        <v>10997</v>
      </c>
      <c r="BP123" s="513">
        <f t="shared" si="299"/>
        <v>10997</v>
      </c>
      <c r="BQ123" s="515"/>
      <c r="BR123" s="514"/>
      <c r="BS123" s="514"/>
      <c r="BT123" s="1112"/>
      <c r="BU123" s="513"/>
      <c r="BV123" s="515"/>
      <c r="BW123" s="514"/>
      <c r="BX123" s="514"/>
      <c r="BY123" s="514"/>
      <c r="BZ123" s="513"/>
      <c r="CA123" s="515"/>
      <c r="CB123" s="514"/>
      <c r="CC123" s="514"/>
      <c r="CD123" s="514"/>
      <c r="CE123" s="513"/>
      <c r="CF123" s="515"/>
      <c r="CG123" s="514"/>
      <c r="CH123" s="514"/>
      <c r="CI123" s="514"/>
      <c r="CJ123" s="513"/>
      <c r="CK123" s="196"/>
      <c r="CL123" s="238"/>
      <c r="CM123" s="661"/>
      <c r="CN123" s="661"/>
      <c r="CO123" s="661"/>
      <c r="CP123" s="661"/>
      <c r="CQ123" s="661"/>
      <c r="CR123" s="1228"/>
      <c r="CS123" s="661"/>
      <c r="CT123" s="661"/>
      <c r="CU123" s="661"/>
      <c r="CV123" s="661"/>
      <c r="CW123" s="229"/>
      <c r="CX123" s="197"/>
      <c r="CY123" s="197"/>
      <c r="CZ123"/>
      <c r="DA123"/>
      <c r="DB123"/>
      <c r="DC123"/>
      <c r="DD123"/>
    </row>
    <row r="124" spans="1:108" s="198" customFormat="1" hidden="1" outlineLevel="1">
      <c r="A124" s="532" t="s">
        <v>257</v>
      </c>
      <c r="B124" s="193"/>
      <c r="C124" s="193"/>
      <c r="D124" s="193"/>
      <c r="E124" s="193"/>
      <c r="F124" s="193"/>
      <c r="G124" s="193"/>
      <c r="H124" s="194"/>
      <c r="I124" s="194"/>
      <c r="J124" s="194"/>
      <c r="K124" s="194"/>
      <c r="L124" s="193"/>
      <c r="M124" s="194"/>
      <c r="N124" s="194"/>
      <c r="O124" s="194"/>
      <c r="P124" s="194"/>
      <c r="Q124" s="193"/>
      <c r="R124" s="194"/>
      <c r="S124" s="194"/>
      <c r="T124" s="194"/>
      <c r="U124" s="194"/>
      <c r="V124" s="193"/>
      <c r="W124" s="527">
        <f t="shared" ref="W124:AJ124" si="300">W123/W119</f>
        <v>0.35374464892537183</v>
      </c>
      <c r="X124" s="527">
        <f t="shared" si="300"/>
        <v>0.36299393966500437</v>
      </c>
      <c r="Y124" s="527">
        <f t="shared" si="300"/>
        <v>0.35804673023907441</v>
      </c>
      <c r="Z124" s="527">
        <f t="shared" si="300"/>
        <v>0.37862961188308575</v>
      </c>
      <c r="AA124" s="525">
        <f t="shared" si="300"/>
        <v>0.37862961188308575</v>
      </c>
      <c r="AB124" s="527">
        <f t="shared" si="300"/>
        <v>0.33628764226004632</v>
      </c>
      <c r="AC124" s="527">
        <f t="shared" si="300"/>
        <v>0.32224168126094571</v>
      </c>
      <c r="AD124" s="527">
        <f t="shared" si="300"/>
        <v>0.30837865610666931</v>
      </c>
      <c r="AE124" s="527">
        <f t="shared" si="300"/>
        <v>0.31445712983824015</v>
      </c>
      <c r="AF124" s="193">
        <f t="shared" si="300"/>
        <v>0.31445712983824015</v>
      </c>
      <c r="AG124" s="194">
        <f t="shared" si="300"/>
        <v>0.2277339051304848</v>
      </c>
      <c r="AH124" s="194">
        <f t="shared" si="300"/>
        <v>0.22724121675955966</v>
      </c>
      <c r="AI124" s="194">
        <f t="shared" si="300"/>
        <v>0.22656426473910096</v>
      </c>
      <c r="AJ124" s="194">
        <f t="shared" si="300"/>
        <v>0.18383220081990229</v>
      </c>
      <c r="AK124" s="193">
        <f t="shared" ref="AK124:AR124" si="301">AK123/AK119</f>
        <v>0.18383220081990229</v>
      </c>
      <c r="AL124" s="194">
        <f t="shared" si="301"/>
        <v>0.17574115876598947</v>
      </c>
      <c r="AM124" s="194">
        <f t="shared" si="301"/>
        <v>0.23398440871041049</v>
      </c>
      <c r="AN124" s="194">
        <f t="shared" si="301"/>
        <v>0.22791488363913476</v>
      </c>
      <c r="AO124" s="194">
        <f t="shared" si="301"/>
        <v>0.23214397105607884</v>
      </c>
      <c r="AP124" s="193">
        <f t="shared" si="301"/>
        <v>0.23214397105607884</v>
      </c>
      <c r="AQ124" s="194">
        <f t="shared" si="301"/>
        <v>0.17362627154071253</v>
      </c>
      <c r="AR124" s="194">
        <f t="shared" si="301"/>
        <v>0.34611496616122678</v>
      </c>
      <c r="AS124" s="194">
        <f t="shared" ref="AS124:AX124" si="302">AS123/AS119</f>
        <v>0.31680723471122085</v>
      </c>
      <c r="AT124" s="194">
        <f t="shared" si="302"/>
        <v>0.32721619520767853</v>
      </c>
      <c r="AU124" s="193">
        <f t="shared" si="302"/>
        <v>0.32721619520767853</v>
      </c>
      <c r="AV124" s="194">
        <f t="shared" si="302"/>
        <v>0.25092694135463994</v>
      </c>
      <c r="AW124" s="194">
        <f t="shared" si="302"/>
        <v>0.25826667618911586</v>
      </c>
      <c r="AX124" s="194">
        <f t="shared" si="302"/>
        <v>0.27013754235905985</v>
      </c>
      <c r="AY124" s="194">
        <f t="shared" ref="AY124:BF124" si="303">AY123/AY119</f>
        <v>0.26992526838890785</v>
      </c>
      <c r="AZ124" s="193">
        <f t="shared" si="303"/>
        <v>0.26992526838890785</v>
      </c>
      <c r="BA124" s="193"/>
      <c r="BB124" s="194">
        <f t="shared" si="303"/>
        <v>0.18942097386899964</v>
      </c>
      <c r="BC124" s="194">
        <f t="shared" si="303"/>
        <v>0.19484051439449862</v>
      </c>
      <c r="BD124" s="194">
        <f t="shared" si="303"/>
        <v>0.20801617507136061</v>
      </c>
      <c r="BE124" s="194">
        <f t="shared" si="303"/>
        <v>0.21173505972014506</v>
      </c>
      <c r="BF124" s="193">
        <f t="shared" si="303"/>
        <v>0.21173505972014506</v>
      </c>
      <c r="BG124" s="194">
        <f t="shared" ref="BG124" si="304">BG123/BG119</f>
        <v>0.18945166305203157</v>
      </c>
      <c r="BH124" s="194"/>
      <c r="BI124" s="194"/>
      <c r="BJ124" s="194"/>
      <c r="BK124" s="193">
        <f t="shared" ref="BK124" si="305">BK123/BK119</f>
        <v>0.21079381927292767</v>
      </c>
      <c r="BL124" s="194">
        <f t="shared" ref="BL124" si="306">BL123/BL119</f>
        <v>0.14594538034948207</v>
      </c>
      <c r="BM124" s="194">
        <f t="shared" ref="BM124:BN124" si="307">BM123/BM119</f>
        <v>0.1454749519759988</v>
      </c>
      <c r="BN124" s="194">
        <f t="shared" si="307"/>
        <v>0.22857581456038684</v>
      </c>
      <c r="BO124" s="194">
        <f t="shared" ref="BO124:BP124" si="308">BO123/BO119</f>
        <v>0.21686485633713937</v>
      </c>
      <c r="BP124" s="193">
        <f t="shared" si="308"/>
        <v>0.21686485633713937</v>
      </c>
      <c r="BQ124" s="195"/>
      <c r="BR124" s="194"/>
      <c r="BS124" s="194"/>
      <c r="BT124" s="548"/>
      <c r="BU124" s="193"/>
      <c r="BV124" s="195"/>
      <c r="BW124" s="194"/>
      <c r="BX124" s="194"/>
      <c r="BY124" s="194"/>
      <c r="BZ124" s="193"/>
      <c r="CA124" s="195"/>
      <c r="CB124" s="194"/>
      <c r="CC124" s="194"/>
      <c r="CD124" s="194"/>
      <c r="CE124" s="193"/>
      <c r="CF124" s="195"/>
      <c r="CG124" s="194"/>
      <c r="CH124" s="194"/>
      <c r="CI124" s="194"/>
      <c r="CJ124" s="193"/>
      <c r="CK124" s="196"/>
      <c r="CL124" s="238"/>
      <c r="CM124" s="661"/>
      <c r="CN124" s="661"/>
      <c r="CO124" s="661"/>
      <c r="CP124" s="661"/>
      <c r="CQ124" s="661"/>
      <c r="CR124" s="661"/>
      <c r="CS124" s="661"/>
      <c r="CT124" s="661"/>
      <c r="CU124" s="661"/>
      <c r="CV124" s="661"/>
      <c r="CW124" s="229"/>
      <c r="CX124" s="197"/>
      <c r="CY124" s="197"/>
      <c r="CZ124"/>
      <c r="DA124"/>
      <c r="DB124"/>
      <c r="DC124"/>
      <c r="DD124"/>
    </row>
    <row r="125" spans="1:108" s="198" customFormat="1" hidden="1" outlineLevel="1">
      <c r="A125" s="452" t="s">
        <v>139</v>
      </c>
      <c r="B125" s="448"/>
      <c r="C125" s="448">
        <f>C119-(B119-C116)</f>
        <v>11782</v>
      </c>
      <c r="D125" s="448">
        <f>D119-(C119-D116)</f>
        <v>25182</v>
      </c>
      <c r="E125" s="448">
        <f>E119-(D119-E116)</f>
        <v>16859</v>
      </c>
      <c r="F125" s="448">
        <f>F119-(E119-F116)</f>
        <v>16773</v>
      </c>
      <c r="G125" s="448">
        <f>G119-(F119-G116)</f>
        <v>21785</v>
      </c>
      <c r="H125" s="449">
        <f t="shared" ref="H125:AS125" si="309">H119-(G119-H116)</f>
        <v>4417</v>
      </c>
      <c r="I125" s="449">
        <f t="shared" si="309"/>
        <v>4658</v>
      </c>
      <c r="J125" s="449">
        <f t="shared" si="309"/>
        <v>6679</v>
      </c>
      <c r="K125" s="453">
        <f t="shared" si="309"/>
        <v>5260</v>
      </c>
      <c r="L125" s="448">
        <f>L119-(G119-L116)</f>
        <v>21014</v>
      </c>
      <c r="M125" s="449">
        <f t="shared" si="309"/>
        <v>8465</v>
      </c>
      <c r="N125" s="449">
        <f t="shared" si="309"/>
        <v>5152</v>
      </c>
      <c r="O125" s="449">
        <f t="shared" si="309"/>
        <v>7680</v>
      </c>
      <c r="P125" s="449">
        <f t="shared" si="309"/>
        <v>19563</v>
      </c>
      <c r="Q125" s="448">
        <f>Q119-(L119-Q116)</f>
        <v>40860</v>
      </c>
      <c r="R125" s="449">
        <f t="shared" si="309"/>
        <v>5517</v>
      </c>
      <c r="S125" s="449">
        <f t="shared" si="309"/>
        <v>4061</v>
      </c>
      <c r="T125" s="449">
        <f t="shared" si="309"/>
        <v>5861</v>
      </c>
      <c r="U125" s="449">
        <f t="shared" si="309"/>
        <v>5944</v>
      </c>
      <c r="V125" s="448">
        <f>V119-(Q119-V116)</f>
        <v>21383</v>
      </c>
      <c r="W125" s="449">
        <f t="shared" si="309"/>
        <v>5490</v>
      </c>
      <c r="X125" s="449">
        <f t="shared" si="309"/>
        <v>6120</v>
      </c>
      <c r="Y125" s="449">
        <f t="shared" si="309"/>
        <v>6257</v>
      </c>
      <c r="Z125" s="453">
        <f t="shared" si="309"/>
        <v>4819</v>
      </c>
      <c r="AA125" s="448">
        <f>AA119-(V119-AA116)</f>
        <v>22686</v>
      </c>
      <c r="AB125" s="449">
        <f>AB119-(AA119-AB116)</f>
        <v>4421</v>
      </c>
      <c r="AC125" s="449">
        <f>AC119-(AB119-AC116)</f>
        <v>5615</v>
      </c>
      <c r="AD125" s="449">
        <f>AD119-(AC119-AD116)</f>
        <v>7512</v>
      </c>
      <c r="AE125" s="449">
        <f>AE119-(AD119-AE116)</f>
        <v>6894</v>
      </c>
      <c r="AF125" s="448">
        <f>AF119-(AA119-AF116)</f>
        <v>24442</v>
      </c>
      <c r="AG125" s="451">
        <f t="shared" si="309"/>
        <v>4695</v>
      </c>
      <c r="AH125" s="449">
        <f t="shared" si="309"/>
        <v>4151</v>
      </c>
      <c r="AI125" s="449">
        <f t="shared" si="309"/>
        <v>5451</v>
      </c>
      <c r="AJ125" s="453">
        <f t="shared" si="309"/>
        <v>6415</v>
      </c>
      <c r="AK125" s="448">
        <f>AK119-(AF119-AK116)</f>
        <v>20712</v>
      </c>
      <c r="AL125" s="449">
        <f t="shared" si="309"/>
        <v>3237</v>
      </c>
      <c r="AM125" s="449">
        <f t="shared" si="309"/>
        <v>7396</v>
      </c>
      <c r="AN125" s="449">
        <f t="shared" si="309"/>
        <v>4999</v>
      </c>
      <c r="AO125" s="449">
        <f t="shared" si="309"/>
        <v>3628</v>
      </c>
      <c r="AP125" s="448">
        <f>AP119-(AK119-AP116)</f>
        <v>19260</v>
      </c>
      <c r="AQ125" s="449">
        <f t="shared" si="309"/>
        <v>16195</v>
      </c>
      <c r="AR125" s="449">
        <f t="shared" si="309"/>
        <v>20786</v>
      </c>
      <c r="AS125" s="449">
        <f t="shared" si="309"/>
        <v>9463</v>
      </c>
      <c r="AT125" s="449">
        <f>AT119-(AS119-AT116)</f>
        <v>2875</v>
      </c>
      <c r="AU125" s="448">
        <f>AU119-(AP119-AU116)</f>
        <v>49319</v>
      </c>
      <c r="AV125" s="449">
        <f>AV119-(AU119-AV116)</f>
        <v>3945</v>
      </c>
      <c r="AW125" s="449">
        <f>AW119-(AV119-AW116)</f>
        <v>4185</v>
      </c>
      <c r="AX125" s="449">
        <f>AX119-(AW119-AX116)</f>
        <v>4826</v>
      </c>
      <c r="AY125" s="449">
        <f>AY119-(AX119-AY116)</f>
        <v>3206</v>
      </c>
      <c r="AZ125" s="448">
        <f>AZ119-(AU119-AZ116)</f>
        <v>16162</v>
      </c>
      <c r="BA125" s="448"/>
      <c r="BB125" s="449">
        <f>BB119-(AZ119-BB116)</f>
        <v>5137</v>
      </c>
      <c r="BC125" s="449">
        <f>BC119-(BB119-BC116)</f>
        <v>4887</v>
      </c>
      <c r="BD125" s="449">
        <f>BD119-(BC119-BD116)</f>
        <v>4684</v>
      </c>
      <c r="BE125" s="449">
        <f>BE119-(BD119-BE116)</f>
        <v>4372</v>
      </c>
      <c r="BF125" s="448">
        <f>BF119-(AZ119-BF116)</f>
        <v>19080</v>
      </c>
      <c r="BG125" s="449">
        <f>BG119-(BE119-BG116)</f>
        <v>8987</v>
      </c>
      <c r="BH125" s="449"/>
      <c r="BI125" s="449"/>
      <c r="BJ125" s="449"/>
      <c r="BK125" s="448">
        <f>BK119-(BF119-BK116)</f>
        <v>22926</v>
      </c>
      <c r="BL125" s="449">
        <f>BL119-(BK119-BL116)</f>
        <v>4161</v>
      </c>
      <c r="BM125" s="449">
        <f>BM119-(BL119-BM116)</f>
        <v>4143</v>
      </c>
      <c r="BN125" s="449">
        <f>BN119-(BM119-BN116)</f>
        <v>11368</v>
      </c>
      <c r="BO125" s="449">
        <f>BO119-(BN119-BO116)</f>
        <v>4890</v>
      </c>
      <c r="BP125" s="448">
        <f>BP119-(BK119-BP116)</f>
        <v>24562</v>
      </c>
      <c r="BQ125" s="451"/>
      <c r="BR125" s="449"/>
      <c r="BS125" s="449"/>
      <c r="BT125" s="453"/>
      <c r="BU125" s="448"/>
      <c r="BV125" s="449"/>
      <c r="BW125" s="449"/>
      <c r="BX125" s="449"/>
      <c r="BY125" s="449"/>
      <c r="BZ125" s="448"/>
      <c r="CA125" s="449"/>
      <c r="CB125" s="449"/>
      <c r="CC125" s="449"/>
      <c r="CD125" s="449"/>
      <c r="CE125" s="448"/>
      <c r="CF125" s="449"/>
      <c r="CG125" s="449"/>
      <c r="CH125" s="449"/>
      <c r="CI125" s="449"/>
      <c r="CJ125" s="448"/>
      <c r="CK125" s="196"/>
      <c r="CL125" s="238"/>
      <c r="CM125" s="661"/>
      <c r="CN125" s="661"/>
      <c r="CO125" s="661"/>
      <c r="CP125" s="661"/>
      <c r="CQ125" s="661"/>
      <c r="CR125" s="661"/>
      <c r="CS125" s="661"/>
      <c r="CT125" s="661"/>
      <c r="CU125" s="661"/>
      <c r="CV125" s="661"/>
      <c r="CW125" s="229"/>
      <c r="CX125" s="197"/>
      <c r="CY125" s="197"/>
      <c r="CZ125"/>
      <c r="DA125"/>
      <c r="DB125"/>
      <c r="DC125"/>
      <c r="DD125"/>
    </row>
    <row r="126" spans="1:108" s="718" customFormat="1" hidden="1" outlineLevel="1">
      <c r="A126" s="712" t="s">
        <v>140</v>
      </c>
      <c r="B126" s="713"/>
      <c r="C126" s="713">
        <f>C125/C116</f>
        <v>1.1659574468085105</v>
      </c>
      <c r="D126" s="713">
        <f t="shared" ref="D126:AR126" si="310">D125/D116</f>
        <v>1.9125085440874914</v>
      </c>
      <c r="E126" s="713">
        <f t="shared" si="310"/>
        <v>1.0633238725953957</v>
      </c>
      <c r="F126" s="713">
        <f t="shared" si="310"/>
        <v>0.95616235320944021</v>
      </c>
      <c r="G126" s="713">
        <f t="shared" si="310"/>
        <v>1.0921441820825186</v>
      </c>
      <c r="H126" s="714">
        <f t="shared" si="310"/>
        <v>0.84844410295812522</v>
      </c>
      <c r="I126" s="715">
        <f t="shared" si="310"/>
        <v>0.86531673787850638</v>
      </c>
      <c r="J126" s="715">
        <f t="shared" si="310"/>
        <v>1.2101830041674215</v>
      </c>
      <c r="K126" s="719">
        <f t="shared" si="310"/>
        <v>0.83439086294416243</v>
      </c>
      <c r="L126" s="713">
        <f t="shared" si="310"/>
        <v>0.93762270212386223</v>
      </c>
      <c r="M126" s="715">
        <f t="shared" si="310"/>
        <v>1.4783443939923158</v>
      </c>
      <c r="N126" s="715">
        <f t="shared" si="310"/>
        <v>0.86240374958151989</v>
      </c>
      <c r="O126" s="715">
        <f t="shared" si="310"/>
        <v>1.3314840499306519</v>
      </c>
      <c r="P126" s="715">
        <f t="shared" si="310"/>
        <v>3.0954113924050635</v>
      </c>
      <c r="Q126" s="713">
        <f t="shared" si="310"/>
        <v>1.7176727761896755</v>
      </c>
      <c r="R126" s="715">
        <f t="shared" si="310"/>
        <v>0.81025113819944194</v>
      </c>
      <c r="S126" s="715">
        <f t="shared" si="310"/>
        <v>0.60747943156320117</v>
      </c>
      <c r="T126" s="715">
        <f t="shared" si="310"/>
        <v>0.88816487346567663</v>
      </c>
      <c r="U126" s="715">
        <f t="shared" si="310"/>
        <v>0.88491886258746466</v>
      </c>
      <c r="V126" s="713">
        <f t="shared" si="310"/>
        <v>0.79757553151809024</v>
      </c>
      <c r="W126" s="715">
        <f t="shared" si="310"/>
        <v>0.85875175973721263</v>
      </c>
      <c r="X126" s="715">
        <f t="shared" si="310"/>
        <v>0.91057878291920846</v>
      </c>
      <c r="Y126" s="715">
        <f t="shared" si="310"/>
        <v>0.93110119047619044</v>
      </c>
      <c r="Z126" s="719">
        <f t="shared" si="310"/>
        <v>0.65716623482885583</v>
      </c>
      <c r="AA126" s="713">
        <f t="shared" si="310"/>
        <v>0.83505723856149006</v>
      </c>
      <c r="AB126" s="714">
        <f t="shared" si="310"/>
        <v>0.68595810705973626</v>
      </c>
      <c r="AC126" s="715">
        <f t="shared" si="310"/>
        <v>0.86344763955097648</v>
      </c>
      <c r="AD126" s="715">
        <f t="shared" si="310"/>
        <v>1.1662785281788541</v>
      </c>
      <c r="AE126" s="715">
        <f t="shared" si="310"/>
        <v>0.94567901234567897</v>
      </c>
      <c r="AF126" s="713">
        <f t="shared" si="310"/>
        <v>0.91615128003298474</v>
      </c>
      <c r="AG126" s="714">
        <f t="shared" si="310"/>
        <v>0.78828072531900606</v>
      </c>
      <c r="AH126" s="715">
        <f t="shared" si="310"/>
        <v>0.65576619273301739</v>
      </c>
      <c r="AI126" s="715">
        <f t="shared" si="310"/>
        <v>0.89389963922597571</v>
      </c>
      <c r="AJ126" s="719">
        <f t="shared" si="310"/>
        <v>1.0318481582756958</v>
      </c>
      <c r="AK126" s="713">
        <f t="shared" si="310"/>
        <v>0.8419169952440958</v>
      </c>
      <c r="AL126" s="714">
        <f t="shared" si="310"/>
        <v>0.5753643796658372</v>
      </c>
      <c r="AM126" s="715">
        <f t="shared" si="310"/>
        <v>1.2625469443496073</v>
      </c>
      <c r="AN126" s="715">
        <f t="shared" si="310"/>
        <v>0.88571934798015595</v>
      </c>
      <c r="AO126" s="715">
        <f t="shared" si="310"/>
        <v>0.63828289936664317</v>
      </c>
      <c r="AP126" s="713">
        <f t="shared" si="310"/>
        <v>0.84429247764334558</v>
      </c>
      <c r="AQ126" s="714">
        <f t="shared" si="310"/>
        <v>3.1150221196383918</v>
      </c>
      <c r="AR126" s="715">
        <f t="shared" si="310"/>
        <v>3.7937579850337655</v>
      </c>
      <c r="AS126" s="715">
        <f t="shared" ref="AS126:AX126" si="311">AS125/AS116</f>
        <v>1.7325155620651775</v>
      </c>
      <c r="AT126" s="715">
        <f t="shared" si="311"/>
        <v>0.47418769586013526</v>
      </c>
      <c r="AU126" s="713">
        <f t="shared" si="311"/>
        <v>2.2212764040895374</v>
      </c>
      <c r="AV126" s="714">
        <f t="shared" si="311"/>
        <v>0.69503171247357298</v>
      </c>
      <c r="AW126" s="715">
        <f t="shared" si="311"/>
        <v>0.74413229018492177</v>
      </c>
      <c r="AX126" s="715">
        <f t="shared" si="311"/>
        <v>0.8540081401521854</v>
      </c>
      <c r="AY126" s="715">
        <f t="shared" ref="AY126:BF126" si="312">AY125/AY116</f>
        <v>0.56573142756308448</v>
      </c>
      <c r="AZ126" s="713">
        <f t="shared" si="312"/>
        <v>0.71456362189406664</v>
      </c>
      <c r="BA126" s="713"/>
      <c r="BB126" s="714">
        <f t="shared" si="312"/>
        <v>0.89541572250305035</v>
      </c>
      <c r="BC126" s="715">
        <f t="shared" si="312"/>
        <v>0.8835653588862773</v>
      </c>
      <c r="BD126" s="715">
        <f t="shared" si="312"/>
        <v>0.8197409870493525</v>
      </c>
      <c r="BE126" s="715">
        <f t="shared" si="312"/>
        <v>0.72757530371110002</v>
      </c>
      <c r="BF126" s="713">
        <f t="shared" si="312"/>
        <v>0.82988995693967205</v>
      </c>
      <c r="BG126" s="714">
        <f t="shared" ref="BG126" si="313">BG125/BG116</f>
        <v>1.5780509218612819</v>
      </c>
      <c r="BH126" s="715"/>
      <c r="BI126" s="715"/>
      <c r="BJ126" s="715"/>
      <c r="BK126" s="713">
        <f t="shared" ref="BK126" si="314">BK125/BK116</f>
        <v>1.0079134792930624</v>
      </c>
      <c r="BL126" s="714">
        <f t="shared" ref="BL126" si="315">BL125/BL116</f>
        <v>0.77529346003353827</v>
      </c>
      <c r="BM126" s="715">
        <f t="shared" ref="BM126:BN126" si="316">BM125/BM116</f>
        <v>0.74021797391459709</v>
      </c>
      <c r="BN126" s="715">
        <f t="shared" si="316"/>
        <v>2.0354521038495972</v>
      </c>
      <c r="BO126" s="715">
        <f t="shared" ref="BO126:BP126" si="317">BO125/BO116</f>
        <v>0.77680698967434469</v>
      </c>
      <c r="BP126" s="713">
        <f t="shared" si="317"/>
        <v>1.0752057433023989</v>
      </c>
      <c r="BQ126" s="714"/>
      <c r="BR126" s="715"/>
      <c r="BS126" s="715"/>
      <c r="BT126" s="719"/>
      <c r="BU126" s="713"/>
      <c r="BV126" s="715"/>
      <c r="BW126" s="715"/>
      <c r="BX126" s="715"/>
      <c r="BY126" s="715"/>
      <c r="BZ126" s="713"/>
      <c r="CA126" s="715"/>
      <c r="CB126" s="715"/>
      <c r="CC126" s="715"/>
      <c r="CD126" s="715"/>
      <c r="CE126" s="713"/>
      <c r="CF126" s="715"/>
      <c r="CG126" s="715"/>
      <c r="CH126" s="715"/>
      <c r="CI126" s="715"/>
      <c r="CJ126" s="713"/>
      <c r="CK126" s="720"/>
      <c r="CL126" s="721"/>
      <c r="CM126" s="1004"/>
      <c r="CN126" s="1004"/>
      <c r="CO126" s="1004"/>
      <c r="CP126" s="1004"/>
      <c r="CQ126" s="1004"/>
      <c r="CR126" s="1004"/>
      <c r="CS126" s="1004"/>
      <c r="CT126" s="1004"/>
      <c r="CU126" s="1004"/>
      <c r="CV126" s="1004"/>
      <c r="CW126" s="717"/>
      <c r="CX126" s="716"/>
      <c r="CY126" s="716"/>
      <c r="CZ126"/>
      <c r="DA126"/>
      <c r="DB126"/>
      <c r="DC126"/>
      <c r="DD126"/>
    </row>
    <row r="127" spans="1:108" s="718" customFormat="1" ht="12.75" hidden="1" customHeight="1" outlineLevel="1">
      <c r="A127" s="712" t="s">
        <v>203</v>
      </c>
      <c r="B127" s="713">
        <f t="shared" ref="B127:G127" si="318">B119/B116</f>
        <v>2.3738987430987901</v>
      </c>
      <c r="C127" s="713">
        <f t="shared" si="318"/>
        <v>2.1658584858980703</v>
      </c>
      <c r="D127" s="713">
        <f t="shared" si="318"/>
        <v>2.5746943115364167</v>
      </c>
      <c r="E127" s="713">
        <f t="shared" si="318"/>
        <v>2.2015137180700095</v>
      </c>
      <c r="F127" s="713">
        <f t="shared" si="318"/>
        <v>1.9459582715767871</v>
      </c>
      <c r="G127" s="713">
        <f t="shared" si="318"/>
        <v>1.803479219932822</v>
      </c>
      <c r="H127" s="715">
        <f>H119/H116/4</f>
        <v>1.6896369573568959</v>
      </c>
      <c r="I127" s="715">
        <f>I119/I116/4</f>
        <v>1.6004086940367825</v>
      </c>
      <c r="J127" s="715">
        <f>J119/J116/4</f>
        <v>1.6135169414749049</v>
      </c>
      <c r="K127" s="715">
        <f>K119/K116/4</f>
        <v>1.3711928934010151</v>
      </c>
      <c r="L127" s="713">
        <f>L119/L116</f>
        <v>1.5427449580581831</v>
      </c>
      <c r="M127" s="715">
        <f>M119/M116/4</f>
        <v>1.6291914076143905</v>
      </c>
      <c r="N127" s="715">
        <f>N119/N116/4</f>
        <v>1.5271593572145965</v>
      </c>
      <c r="O127" s="715">
        <f>O119/O116/4</f>
        <v>1.6645717753120666</v>
      </c>
      <c r="P127" s="715">
        <f>P119/P116/4</f>
        <v>2.0430379746835441</v>
      </c>
      <c r="Q127" s="713">
        <f>Q119/Q116</f>
        <v>2.1711787455860097</v>
      </c>
      <c r="R127" s="715">
        <f>R119/R116/4</f>
        <v>1.8488764870024967</v>
      </c>
      <c r="S127" s="715">
        <f>S119/S116/4</f>
        <v>1.7850411368735977</v>
      </c>
      <c r="T127" s="715">
        <f>T119/T116/4</f>
        <v>1.7803455068949841</v>
      </c>
      <c r="U127" s="715">
        <f>U119/U116/4</f>
        <v>1.7202992407324698</v>
      </c>
      <c r="V127" s="713">
        <f>V119/V116</f>
        <v>1.7240208877284595</v>
      </c>
      <c r="W127" s="715">
        <f>W119/W116/4</f>
        <v>1.7721726888784608</v>
      </c>
      <c r="X127" s="715">
        <f>X119/X116/4</f>
        <v>1.6633313495015623</v>
      </c>
      <c r="Y127" s="715">
        <f>Y119/Y116/4</f>
        <v>1.6463541666666666</v>
      </c>
      <c r="Z127" s="715">
        <f>Z119/Z116/4</f>
        <v>1.423019228146734</v>
      </c>
      <c r="AA127" s="713">
        <f>AA119/AA116</f>
        <v>1.5364228659771046</v>
      </c>
      <c r="AB127" s="715">
        <f>AB119/AB116/4</f>
        <v>1.5405740884406516</v>
      </c>
      <c r="AC127" s="715">
        <f>AC119/AC116/4</f>
        <v>1.4926956789174228</v>
      </c>
      <c r="AD127" s="715">
        <f>AD119/AD116/4</f>
        <v>1.5486337525229001</v>
      </c>
      <c r="AE127" s="715">
        <f>AE119/AE116/4</f>
        <v>1.3546982167352537</v>
      </c>
      <c r="AF127" s="713">
        <f>AF119/AF116</f>
        <v>1.4806776865699613</v>
      </c>
      <c r="AG127" s="715">
        <f>AG119/AG116/4</f>
        <v>1.6051880456682337</v>
      </c>
      <c r="AH127" s="715">
        <f>AH119/AH116/4</f>
        <v>1.4242890995260664</v>
      </c>
      <c r="AI127" s="715">
        <f>AI119/AI116/4</f>
        <v>1.4519514594949163</v>
      </c>
      <c r="AJ127" s="715">
        <f>AJ119/AJ116/4</f>
        <v>1.4321216020588707</v>
      </c>
      <c r="AK127" s="713">
        <f>AK119/AK116</f>
        <v>1.4476647290760538</v>
      </c>
      <c r="AL127" s="715">
        <f>AL119/AL116/4</f>
        <v>1.4764041948098117</v>
      </c>
      <c r="AM127" s="715">
        <f>AM119/AM116/4</f>
        <v>1.4835694776374189</v>
      </c>
      <c r="AN127" s="715">
        <f>AN119/AN116/4</f>
        <v>1.5112508858965272</v>
      </c>
      <c r="AO127" s="715">
        <f>AO119/AO116/4</f>
        <v>1.4101864883884587</v>
      </c>
      <c r="AP127" s="713">
        <f>AP119/AP116</f>
        <v>1.405488339470454</v>
      </c>
      <c r="AQ127" s="715">
        <f>AQ119/AQ116/4</f>
        <v>2.0704943258318909</v>
      </c>
      <c r="AR127" s="715">
        <f>AR119/AR116/4</f>
        <v>2.6631228326336922</v>
      </c>
      <c r="AS127" s="715">
        <f>AS119/AS116/4</f>
        <v>2.8545404613694618</v>
      </c>
      <c r="AT127" s="715">
        <f>AT119/AT116/4</f>
        <v>2.4401286491835723</v>
      </c>
      <c r="AU127" s="713">
        <f>AU119/AU116</f>
        <v>2.6653154979056883</v>
      </c>
      <c r="AV127" s="715">
        <f>AV119/AV116/4</f>
        <v>2.5302589852008457</v>
      </c>
      <c r="AW127" s="715">
        <f>AW119/AW116/4</f>
        <v>2.4896870554765291</v>
      </c>
      <c r="AX127" s="715">
        <f>AX119/AX116/4</f>
        <v>2.4412935763581669</v>
      </c>
      <c r="AY127" s="715">
        <f>AY119/AY116/4</f>
        <v>2.3258337744838538</v>
      </c>
      <c r="AZ127" s="713">
        <f>AZ119/AZ116</f>
        <v>2.3309753293836768</v>
      </c>
      <c r="BA127" s="713"/>
      <c r="BB127" s="715">
        <f>BB119/BB116/4</f>
        <v>2.2713090465400034</v>
      </c>
      <c r="BC127" s="715">
        <f>BC119/BC116/4</f>
        <v>2.3267944313867295</v>
      </c>
      <c r="BD127" s="715">
        <f>BD119/BD116/4</f>
        <v>2.207210360518026</v>
      </c>
      <c r="BE127" s="715">
        <f>BE119/BE116/4</f>
        <v>2.0307455483441506</v>
      </c>
      <c r="BF127" s="713">
        <f>BF119/BF116</f>
        <v>2.1230481492758035</v>
      </c>
      <c r="BG127" s="715">
        <f>BG119/BG116/4</f>
        <v>2.2872256365232659</v>
      </c>
      <c r="BH127" s="715"/>
      <c r="BI127" s="715"/>
      <c r="BJ127" s="715"/>
      <c r="BK127" s="713">
        <f>BK119/BK116</f>
        <v>2.153829244702365</v>
      </c>
      <c r="BL127" s="715">
        <f>BL119/BL116/4</f>
        <v>2.2258710639090742</v>
      </c>
      <c r="BM127" s="715">
        <f>BM119/BM116/4</f>
        <v>2.0694568518849383</v>
      </c>
      <c r="BN127" s="715">
        <f>BN119/BN116/4</f>
        <v>2.3327663384064459</v>
      </c>
      <c r="BO127" s="715">
        <f>BO119/BO116/4</f>
        <v>2.0138602065131055</v>
      </c>
      <c r="BP127" s="713">
        <f>BP119/BP116</f>
        <v>2.2197951322010154</v>
      </c>
      <c r="BQ127" s="714"/>
      <c r="BR127" s="715"/>
      <c r="BS127" s="715"/>
      <c r="BT127" s="719"/>
      <c r="BU127" s="713"/>
      <c r="BV127" s="714"/>
      <c r="BW127" s="715"/>
      <c r="BX127" s="715"/>
      <c r="BY127" s="715"/>
      <c r="BZ127" s="713"/>
      <c r="CA127" s="714"/>
      <c r="CB127" s="715"/>
      <c r="CC127" s="715"/>
      <c r="CD127" s="715"/>
      <c r="CE127" s="713"/>
      <c r="CF127" s="714"/>
      <c r="CG127" s="715"/>
      <c r="CH127" s="715"/>
      <c r="CI127" s="715"/>
      <c r="CJ127" s="713"/>
      <c r="CK127" s="716"/>
      <c r="CL127" s="717"/>
      <c r="CM127" s="1004"/>
      <c r="CN127" s="1004"/>
      <c r="CO127" s="1004"/>
      <c r="CP127" s="1004"/>
      <c r="CQ127" s="1004"/>
      <c r="CR127" s="1004"/>
      <c r="CS127" s="1004"/>
      <c r="CT127" s="1004"/>
      <c r="CU127" s="1004"/>
      <c r="CV127" s="1004"/>
      <c r="CW127" s="717"/>
      <c r="CX127" s="716"/>
      <c r="CY127" s="716"/>
      <c r="CZ127"/>
      <c r="DA127"/>
      <c r="DB127"/>
      <c r="DC127"/>
      <c r="DD127"/>
    </row>
    <row r="128" spans="1:108" collapsed="1">
      <c r="A128" s="49" t="s">
        <v>61</v>
      </c>
      <c r="B128" s="50">
        <f t="shared" ref="B128:BM128" si="319">B4+B38+B80+B62+B92</f>
        <v>11778</v>
      </c>
      <c r="C128" s="50">
        <f t="shared" si="319"/>
        <v>13394</v>
      </c>
      <c r="D128" s="50">
        <f t="shared" si="319"/>
        <v>16113</v>
      </c>
      <c r="E128" s="50">
        <f t="shared" si="319"/>
        <v>18867</v>
      </c>
      <c r="F128" s="50">
        <f t="shared" si="319"/>
        <v>20975</v>
      </c>
      <c r="G128" s="50">
        <f t="shared" si="319"/>
        <v>24063</v>
      </c>
      <c r="H128" s="51">
        <f t="shared" si="319"/>
        <v>6300</v>
      </c>
      <c r="I128" s="51">
        <f t="shared" si="319"/>
        <v>6591</v>
      </c>
      <c r="J128" s="51">
        <f t="shared" si="319"/>
        <v>6834</v>
      </c>
      <c r="K128" s="51">
        <f t="shared" si="319"/>
        <v>7515</v>
      </c>
      <c r="L128" s="50">
        <f t="shared" si="319"/>
        <v>27240</v>
      </c>
      <c r="M128" s="51">
        <f t="shared" si="319"/>
        <v>7005</v>
      </c>
      <c r="N128" s="51">
        <f t="shared" si="319"/>
        <v>7303</v>
      </c>
      <c r="O128" s="51">
        <f t="shared" si="319"/>
        <v>7140</v>
      </c>
      <c r="P128" s="51">
        <f t="shared" si="319"/>
        <v>7852</v>
      </c>
      <c r="Q128" s="50">
        <f t="shared" si="319"/>
        <v>29300</v>
      </c>
      <c r="R128" s="51">
        <f t="shared" si="319"/>
        <v>8264</v>
      </c>
      <c r="S128" s="51">
        <f t="shared" si="319"/>
        <v>8100</v>
      </c>
      <c r="T128" s="51">
        <f t="shared" si="319"/>
        <v>7719</v>
      </c>
      <c r="U128" s="51">
        <f t="shared" si="319"/>
        <v>7898</v>
      </c>
      <c r="V128" s="50">
        <f t="shared" si="319"/>
        <v>31981</v>
      </c>
      <c r="W128" s="51">
        <f t="shared" si="319"/>
        <v>7750</v>
      </c>
      <c r="X128" s="51">
        <f t="shared" si="319"/>
        <v>8104</v>
      </c>
      <c r="Y128" s="51">
        <f t="shared" si="319"/>
        <v>8011</v>
      </c>
      <c r="Z128" s="51">
        <f t="shared" si="319"/>
        <v>8601</v>
      </c>
      <c r="AA128" s="50">
        <f t="shared" si="319"/>
        <v>32466</v>
      </c>
      <c r="AB128" s="51">
        <f t="shared" si="319"/>
        <v>7798</v>
      </c>
      <c r="AC128" s="51">
        <f t="shared" si="319"/>
        <v>7879</v>
      </c>
      <c r="AD128" s="51">
        <f t="shared" si="319"/>
        <v>7853</v>
      </c>
      <c r="AE128" s="51">
        <f t="shared" si="319"/>
        <v>9147</v>
      </c>
      <c r="AF128" s="50">
        <f t="shared" si="319"/>
        <v>32677</v>
      </c>
      <c r="AG128" s="51">
        <f t="shared" si="319"/>
        <v>7579</v>
      </c>
      <c r="AH128" s="51">
        <f t="shared" si="319"/>
        <v>7922</v>
      </c>
      <c r="AI128" s="51">
        <f t="shared" si="319"/>
        <v>7934</v>
      </c>
      <c r="AJ128" s="51">
        <f t="shared" si="319"/>
        <v>8078</v>
      </c>
      <c r="AK128" s="50">
        <f t="shared" si="319"/>
        <v>31513</v>
      </c>
      <c r="AL128" s="51">
        <f t="shared" si="319"/>
        <v>7404</v>
      </c>
      <c r="AM128" s="51">
        <f t="shared" si="319"/>
        <v>7911</v>
      </c>
      <c r="AN128" s="51">
        <f t="shared" si="319"/>
        <v>7796</v>
      </c>
      <c r="AO128" s="51">
        <f t="shared" si="319"/>
        <v>7819</v>
      </c>
      <c r="AP128" s="50">
        <f t="shared" si="319"/>
        <v>30930</v>
      </c>
      <c r="AQ128" s="52">
        <f t="shared" si="319"/>
        <v>7324</v>
      </c>
      <c r="AR128" s="51">
        <f t="shared" si="319"/>
        <v>7474</v>
      </c>
      <c r="AS128" s="51">
        <f t="shared" si="319"/>
        <v>7751</v>
      </c>
      <c r="AT128" s="51">
        <f t="shared" si="319"/>
        <v>8303</v>
      </c>
      <c r="AU128" s="50">
        <f t="shared" si="319"/>
        <v>30852</v>
      </c>
      <c r="AV128" s="52">
        <f t="shared" si="319"/>
        <v>7784</v>
      </c>
      <c r="AW128" s="51">
        <f t="shared" si="319"/>
        <v>7882</v>
      </c>
      <c r="AX128" s="51">
        <f t="shared" si="319"/>
        <v>7994</v>
      </c>
      <c r="AY128" s="51">
        <f t="shared" si="319"/>
        <v>7809</v>
      </c>
      <c r="AZ128" s="50">
        <f t="shared" si="319"/>
        <v>31469</v>
      </c>
      <c r="BA128" s="50">
        <f t="shared" si="319"/>
        <v>31781</v>
      </c>
      <c r="BB128" s="52">
        <f t="shared" si="319"/>
        <v>7724</v>
      </c>
      <c r="BC128" s="51">
        <f t="shared" si="319"/>
        <v>7665</v>
      </c>
      <c r="BD128" s="51">
        <f t="shared" si="319"/>
        <v>7731</v>
      </c>
      <c r="BE128" s="51">
        <f t="shared" si="319"/>
        <v>8233</v>
      </c>
      <c r="BF128" s="50">
        <f t="shared" si="319"/>
        <v>31353</v>
      </c>
      <c r="BG128" s="52">
        <f t="shared" si="319"/>
        <v>7476</v>
      </c>
      <c r="BH128" s="51">
        <f t="shared" si="319"/>
        <v>7774</v>
      </c>
      <c r="BI128" s="51">
        <f t="shared" si="319"/>
        <v>7637</v>
      </c>
      <c r="BJ128" s="51">
        <f t="shared" si="319"/>
        <v>7674</v>
      </c>
      <c r="BK128" s="50">
        <f t="shared" si="319"/>
        <v>30561</v>
      </c>
      <c r="BL128" s="52">
        <f t="shared" si="319"/>
        <v>7441</v>
      </c>
      <c r="BM128" s="51">
        <f t="shared" si="319"/>
        <v>7675</v>
      </c>
      <c r="BN128" s="51">
        <f t="shared" ref="BN128:BT128" si="320">BN4+BN38+BN80+BN62+BN92</f>
        <v>7580</v>
      </c>
      <c r="BO128" s="51">
        <f t="shared" si="320"/>
        <v>8277</v>
      </c>
      <c r="BP128" s="50">
        <f t="shared" si="320"/>
        <v>30973</v>
      </c>
      <c r="BQ128" s="52">
        <f t="shared" si="320"/>
        <v>7688.7666666666664</v>
      </c>
      <c r="BR128" s="51">
        <f t="shared" si="320"/>
        <v>9213.3666666666668</v>
      </c>
      <c r="BS128" s="51">
        <f t="shared" si="320"/>
        <v>9153.0966666666682</v>
      </c>
      <c r="BT128" s="1117">
        <f t="shared" si="320"/>
        <v>10022.36</v>
      </c>
      <c r="BU128" s="1049">
        <f>BU4+BU38+BU80+BU62+BU92</f>
        <v>36077.589999999997</v>
      </c>
      <c r="BV128" s="52"/>
      <c r="BW128" s="51"/>
      <c r="BX128" s="51"/>
      <c r="BY128" s="51"/>
      <c r="BZ128" s="1049">
        <f>BZ4+BZ38+BZ80+BZ62+BZ92</f>
        <v>39475.112999999998</v>
      </c>
      <c r="CA128" s="52"/>
      <c r="CB128" s="51"/>
      <c r="CC128" s="51"/>
      <c r="CD128" s="51"/>
      <c r="CE128" s="1049">
        <f>CE4+CE38+CE80+CE62+CE92</f>
        <v>41879.835032000003</v>
      </c>
      <c r="CF128" s="52"/>
      <c r="CG128" s="51"/>
      <c r="CH128" s="51"/>
      <c r="CI128" s="51"/>
      <c r="CJ128" s="1049">
        <f>CJ4+CJ38+CJ80+CJ62+CJ92</f>
        <v>44433.779778660013</v>
      </c>
      <c r="CK128" s="32"/>
      <c r="CL128" s="14"/>
      <c r="CM128" s="661" t="s">
        <v>392</v>
      </c>
      <c r="CN128" s="661"/>
      <c r="CO128" s="661"/>
      <c r="CP128" s="661"/>
      <c r="CQ128" s="661"/>
      <c r="CR128" s="661"/>
      <c r="CS128" s="661" t="s">
        <v>384</v>
      </c>
      <c r="CT128" s="661"/>
      <c r="CU128" s="1229" t="s">
        <v>104</v>
      </c>
      <c r="CV128" s="1230">
        <f>+(CJ128/BP128)^(1/4)-1</f>
        <v>9.4416158175436138E-2</v>
      </c>
      <c r="CW128" s="74"/>
      <c r="CX128" s="33"/>
      <c r="CY128" s="33"/>
    </row>
    <row r="129" spans="1:108" s="198" customFormat="1">
      <c r="A129" s="171" t="s">
        <v>21</v>
      </c>
      <c r="B129" s="193"/>
      <c r="C129" s="193">
        <f>C128/B128-1</f>
        <v>0.13720495839701141</v>
      </c>
      <c r="D129" s="193">
        <f>D128/C128-1</f>
        <v>0.20300134388532176</v>
      </c>
      <c r="E129" s="193">
        <f>E128/D128-1</f>
        <v>0.17091789238503075</v>
      </c>
      <c r="F129" s="193">
        <f>F128/E128-1</f>
        <v>0.11172947474426254</v>
      </c>
      <c r="G129" s="193">
        <f>G128/F128-1</f>
        <v>0.14722288438617404</v>
      </c>
      <c r="H129" s="194"/>
      <c r="I129" s="194"/>
      <c r="J129" s="194"/>
      <c r="K129" s="194"/>
      <c r="L129" s="193">
        <f t="shared" ref="L129:AS129" si="321">L128/G128-1</f>
        <v>0.13202842538336856</v>
      </c>
      <c r="M129" s="194">
        <f t="shared" si="321"/>
        <v>0.11190476190476195</v>
      </c>
      <c r="N129" s="194">
        <f t="shared" si="321"/>
        <v>0.10802609619177672</v>
      </c>
      <c r="O129" s="194">
        <f t="shared" si="321"/>
        <v>4.4776119402984982E-2</v>
      </c>
      <c r="P129" s="194">
        <f t="shared" si="321"/>
        <v>4.4843646041250906E-2</v>
      </c>
      <c r="Q129" s="193">
        <f t="shared" si="321"/>
        <v>7.562408223201178E-2</v>
      </c>
      <c r="R129" s="194">
        <f t="shared" si="321"/>
        <v>0.17972876516773728</v>
      </c>
      <c r="S129" s="194">
        <f t="shared" si="321"/>
        <v>0.10913323291797883</v>
      </c>
      <c r="T129" s="194">
        <f t="shared" si="321"/>
        <v>8.109243697478985E-2</v>
      </c>
      <c r="U129" s="194">
        <f t="shared" si="321"/>
        <v>5.8583800305653799E-3</v>
      </c>
      <c r="V129" s="193">
        <f t="shared" si="321"/>
        <v>9.1501706484641732E-2</v>
      </c>
      <c r="W129" s="194">
        <f t="shared" si="321"/>
        <v>-6.2197483059051262E-2</v>
      </c>
      <c r="X129" s="194">
        <f t="shared" si="321"/>
        <v>4.9382716049373165E-4</v>
      </c>
      <c r="Y129" s="194">
        <f t="shared" si="321"/>
        <v>3.7828734292006727E-2</v>
      </c>
      <c r="Z129" s="194">
        <f t="shared" si="321"/>
        <v>8.900987591795384E-2</v>
      </c>
      <c r="AA129" s="193">
        <f t="shared" si="321"/>
        <v>1.5165254369782E-2</v>
      </c>
      <c r="AB129" s="194">
        <f t="shared" si="321"/>
        <v>6.1935483870967367E-3</v>
      </c>
      <c r="AC129" s="194">
        <f t="shared" si="321"/>
        <v>-2.7764067127344472E-2</v>
      </c>
      <c r="AD129" s="194">
        <f t="shared" si="321"/>
        <v>-1.9722881038572004E-2</v>
      </c>
      <c r="AE129" s="194">
        <f t="shared" si="321"/>
        <v>6.348099058249046E-2</v>
      </c>
      <c r="AF129" s="193">
        <f t="shared" si="321"/>
        <v>6.499106757839046E-3</v>
      </c>
      <c r="AG129" s="194">
        <f t="shared" si="321"/>
        <v>-2.8084124134393429E-2</v>
      </c>
      <c r="AH129" s="194">
        <f t="shared" si="321"/>
        <v>5.4575453737784052E-3</v>
      </c>
      <c r="AI129" s="194">
        <f t="shared" si="321"/>
        <v>1.031452947917999E-2</v>
      </c>
      <c r="AJ129" s="194">
        <f t="shared" si="321"/>
        <v>-0.11686891877118177</v>
      </c>
      <c r="AK129" s="193">
        <f>AK128/AF128-1</f>
        <v>-3.5621385072069023E-2</v>
      </c>
      <c r="AL129" s="194">
        <f t="shared" si="321"/>
        <v>-2.3090117429740098E-2</v>
      </c>
      <c r="AM129" s="194">
        <f t="shared" si="321"/>
        <v>-1.3885382479171815E-3</v>
      </c>
      <c r="AN129" s="194">
        <f t="shared" si="321"/>
        <v>-1.7393496344844994E-2</v>
      </c>
      <c r="AO129" s="194">
        <f t="shared" si="321"/>
        <v>-3.2062391681109137E-2</v>
      </c>
      <c r="AP129" s="193">
        <f t="shared" si="321"/>
        <v>-1.850030146288828E-2</v>
      </c>
      <c r="AQ129" s="195">
        <f>AQ128/AL128-1</f>
        <v>-1.0804970286331761E-2</v>
      </c>
      <c r="AR129" s="194">
        <f t="shared" si="321"/>
        <v>-5.5239539881178135E-2</v>
      </c>
      <c r="AS129" s="194">
        <f t="shared" si="321"/>
        <v>-5.7721908671113376E-3</v>
      </c>
      <c r="AT129" s="194">
        <f t="shared" ref="AT129:AZ129" si="322">AT128/AO128-1</f>
        <v>6.1900498785010916E-2</v>
      </c>
      <c r="AU129" s="193">
        <f t="shared" si="322"/>
        <v>-2.5218234723569655E-3</v>
      </c>
      <c r="AV129" s="195">
        <f t="shared" si="322"/>
        <v>6.2807209175314016E-2</v>
      </c>
      <c r="AW129" s="194">
        <f t="shared" si="322"/>
        <v>5.4589242708054542E-2</v>
      </c>
      <c r="AX129" s="194">
        <f t="shared" si="322"/>
        <v>3.1350793446006886E-2</v>
      </c>
      <c r="AY129" s="194">
        <f t="shared" si="322"/>
        <v>-5.9496567505720854E-2</v>
      </c>
      <c r="AZ129" s="193">
        <f t="shared" si="322"/>
        <v>1.9998703487618341E-2</v>
      </c>
      <c r="BA129" s="193"/>
      <c r="BB129" s="195"/>
      <c r="BC129" s="194"/>
      <c r="BD129" s="194"/>
      <c r="BE129" s="194"/>
      <c r="BF129" s="193">
        <f>BF128/AZ128-1</f>
        <v>-3.6861673392862837E-3</v>
      </c>
      <c r="BG129" s="195"/>
      <c r="BH129" s="194"/>
      <c r="BI129" s="194"/>
      <c r="BJ129" s="194"/>
      <c r="BK129" s="29">
        <f>BK128/BA128-1</f>
        <v>-3.8387715930902067E-2</v>
      </c>
      <c r="BL129" s="30">
        <f t="shared" ref="BL129:BO129" si="323">IFERROR(BL128/BG128-1,"")</f>
        <v>-4.6816479400748623E-3</v>
      </c>
      <c r="BM129" s="30">
        <f t="shared" si="323"/>
        <v>-1.2734756881914056E-2</v>
      </c>
      <c r="BN129" s="30">
        <f t="shared" si="323"/>
        <v>-7.463663742307225E-3</v>
      </c>
      <c r="BO129" s="30">
        <f t="shared" si="323"/>
        <v>7.8577013291634135E-2</v>
      </c>
      <c r="BP129" s="193">
        <f>BP128/BK128-1</f>
        <v>1.3481234252805896E-2</v>
      </c>
      <c r="BQ129" s="195"/>
      <c r="BR129" s="194"/>
      <c r="BS129" s="194"/>
      <c r="BT129" s="548"/>
      <c r="BU129" s="193">
        <f>BU128/BP128-1</f>
        <v>0.16480773576986407</v>
      </c>
      <c r="BV129" s="195"/>
      <c r="BW129" s="194"/>
      <c r="BX129" s="194"/>
      <c r="BY129" s="194"/>
      <c r="BZ129" s="193">
        <f>BZ128/BU128-1</f>
        <v>9.417267062461776E-2</v>
      </c>
      <c r="CA129" s="195"/>
      <c r="CB129" s="194"/>
      <c r="CC129" s="194"/>
      <c r="CD129" s="194"/>
      <c r="CE129" s="193">
        <f>CE128/BZ128-1</f>
        <v>6.0917419843738108E-2</v>
      </c>
      <c r="CF129" s="195"/>
      <c r="CG129" s="194"/>
      <c r="CH129" s="194"/>
      <c r="CI129" s="194"/>
      <c r="CJ129" s="193">
        <f>CJ128/CE128-1</f>
        <v>6.0982684022240496E-2</v>
      </c>
      <c r="CK129" s="196"/>
      <c r="CL129" s="238"/>
      <c r="CM129" s="661"/>
      <c r="CN129" s="661"/>
      <c r="CO129" s="661"/>
      <c r="CP129" s="661"/>
      <c r="CQ129" s="661"/>
      <c r="CR129" s="661"/>
      <c r="CS129" s="661"/>
      <c r="CT129" s="661"/>
      <c r="CU129" s="661"/>
      <c r="CV129" s="661"/>
      <c r="CW129" s="231"/>
      <c r="CX129" s="197"/>
      <c r="CY129" s="197"/>
      <c r="CZ129"/>
      <c r="DA129"/>
      <c r="DB129"/>
      <c r="DC129"/>
      <c r="DD129"/>
    </row>
    <row r="130" spans="1:108" s="115" customFormat="1" ht="12.75" hidden="1" customHeight="1" outlineLevel="1">
      <c r="A130" s="905" t="s">
        <v>331</v>
      </c>
      <c r="B130" s="916"/>
      <c r="C130" s="916"/>
      <c r="D130" s="916"/>
      <c r="E130" s="916"/>
      <c r="F130" s="916"/>
      <c r="G130" s="916"/>
      <c r="H130" s="904"/>
      <c r="I130" s="904"/>
      <c r="J130" s="904"/>
      <c r="K130" s="904"/>
      <c r="L130" s="916"/>
      <c r="M130" s="904"/>
      <c r="N130" s="904"/>
      <c r="O130" s="904"/>
      <c r="P130" s="904"/>
      <c r="Q130" s="916"/>
      <c r="R130" s="904"/>
      <c r="S130" s="904"/>
      <c r="T130" s="904"/>
      <c r="U130" s="904"/>
      <c r="V130" s="916"/>
      <c r="W130" s="904"/>
      <c r="X130" s="904"/>
      <c r="Y130" s="904"/>
      <c r="Z130" s="904"/>
      <c r="AA130" s="916"/>
      <c r="AB130" s="904"/>
      <c r="AC130" s="904"/>
      <c r="AD130" s="904"/>
      <c r="AE130" s="904"/>
      <c r="AF130" s="916"/>
      <c r="AG130" s="903"/>
      <c r="AH130" s="903"/>
      <c r="AI130" s="903"/>
      <c r="AJ130" s="903"/>
      <c r="AK130" s="916"/>
      <c r="AL130" s="903"/>
      <c r="AM130" s="903"/>
      <c r="AN130" s="903"/>
      <c r="AO130" s="903"/>
      <c r="AP130" s="916">
        <v>19100</v>
      </c>
      <c r="AQ130" s="903"/>
      <c r="AR130" s="903"/>
      <c r="AS130" s="903"/>
      <c r="AT130" s="903"/>
      <c r="AU130" s="916">
        <v>19564</v>
      </c>
      <c r="AV130" s="903">
        <v>4932</v>
      </c>
      <c r="AW130" s="903">
        <v>5138</v>
      </c>
      <c r="AX130" s="903">
        <v>5119</v>
      </c>
      <c r="AY130" s="903">
        <f>+AZ130-AX130-AW130-AV130</f>
        <v>5091</v>
      </c>
      <c r="AZ130" s="916">
        <v>20280</v>
      </c>
      <c r="BA130" s="916"/>
      <c r="BB130" s="903">
        <v>4864</v>
      </c>
      <c r="BC130" s="903">
        <v>4848</v>
      </c>
      <c r="BD130" s="903">
        <v>4844</v>
      </c>
      <c r="BE130" s="903">
        <f>+BF130-BD130-BC130-BB130</f>
        <v>5329</v>
      </c>
      <c r="BF130" s="916">
        <v>19885</v>
      </c>
      <c r="BG130" s="903">
        <v>4582</v>
      </c>
      <c r="BH130" s="903"/>
      <c r="BI130" s="903"/>
      <c r="BJ130" s="903"/>
      <c r="BK130" s="916">
        <v>19010</v>
      </c>
      <c r="BL130" s="903">
        <v>4467</v>
      </c>
      <c r="BM130" s="903">
        <v>4654</v>
      </c>
      <c r="BN130" s="742">
        <v>4718</v>
      </c>
      <c r="BO130" s="742">
        <f>19016-BN130-BM130-BL130</f>
        <v>5177</v>
      </c>
      <c r="BP130" s="916">
        <f>+SUM(BL130:BO130)</f>
        <v>19016</v>
      </c>
      <c r="BQ130" s="917"/>
      <c r="BR130" s="903"/>
      <c r="BS130" s="903"/>
      <c r="BT130" s="1118"/>
      <c r="BU130" s="916"/>
      <c r="BV130" s="917"/>
      <c r="BW130" s="903"/>
      <c r="BX130" s="903"/>
      <c r="BY130" s="903"/>
      <c r="BZ130" s="916"/>
      <c r="CA130" s="917"/>
      <c r="CB130" s="903"/>
      <c r="CC130" s="903"/>
      <c r="CD130" s="903"/>
      <c r="CE130" s="916"/>
      <c r="CF130" s="917"/>
      <c r="CG130" s="903"/>
      <c r="CH130" s="903"/>
      <c r="CI130" s="903"/>
      <c r="CJ130" s="916"/>
      <c r="CK130" s="150"/>
      <c r="CL130" s="243"/>
      <c r="CM130" s="661"/>
      <c r="CN130" s="661"/>
      <c r="CO130" s="661"/>
      <c r="CP130" s="661"/>
      <c r="CQ130" s="661"/>
      <c r="CR130" s="661"/>
      <c r="CS130" s="661"/>
      <c r="CT130" s="661"/>
      <c r="CU130" s="661"/>
      <c r="CV130" s="661"/>
      <c r="CW130" s="231"/>
      <c r="CX130" s="114"/>
      <c r="CY130" s="114"/>
      <c r="CZ130"/>
      <c r="DA130"/>
      <c r="DB130"/>
      <c r="DC130"/>
      <c r="DD130"/>
    </row>
    <row r="131" spans="1:108" s="198" customFormat="1" hidden="1" outlineLevel="1">
      <c r="A131" s="907" t="s">
        <v>250</v>
      </c>
      <c r="B131" s="193"/>
      <c r="C131" s="193"/>
      <c r="D131" s="193"/>
      <c r="E131" s="193"/>
      <c r="F131" s="193"/>
      <c r="G131" s="193"/>
      <c r="H131" s="194"/>
      <c r="I131" s="194"/>
      <c r="J131" s="194"/>
      <c r="K131" s="194"/>
      <c r="L131" s="193"/>
      <c r="M131" s="194"/>
      <c r="N131" s="194"/>
      <c r="O131" s="194"/>
      <c r="P131" s="194"/>
      <c r="Q131" s="193"/>
      <c r="R131" s="194"/>
      <c r="S131" s="194"/>
      <c r="T131" s="194"/>
      <c r="U131" s="194"/>
      <c r="V131" s="193"/>
      <c r="W131" s="194"/>
      <c r="X131" s="194"/>
      <c r="Y131" s="194"/>
      <c r="Z131" s="194"/>
      <c r="AA131" s="193"/>
      <c r="AB131" s="194"/>
      <c r="AC131" s="194"/>
      <c r="AD131" s="194"/>
      <c r="AE131" s="194"/>
      <c r="AF131" s="193"/>
      <c r="AG131" s="194"/>
      <c r="AH131" s="194"/>
      <c r="AI131" s="194"/>
      <c r="AJ131" s="194"/>
      <c r="AK131" s="193"/>
      <c r="AL131" s="194"/>
      <c r="AM131" s="194"/>
      <c r="AN131" s="194"/>
      <c r="AO131" s="194"/>
      <c r="AP131" s="193">
        <f>+AP130/AP$128</f>
        <v>0.6175234400258649</v>
      </c>
      <c r="AQ131" s="194"/>
      <c r="AR131" s="194"/>
      <c r="AS131" s="194"/>
      <c r="AT131" s="194"/>
      <c r="AU131" s="193">
        <f>+AU130/AU$128</f>
        <v>0.63412420588616625</v>
      </c>
      <c r="AV131" s="194">
        <f t="shared" ref="AV131:AY131" si="324">+AV130/AV$128</f>
        <v>0.63360739979445013</v>
      </c>
      <c r="AW131" s="194">
        <f t="shared" si="324"/>
        <v>0.65186500888099463</v>
      </c>
      <c r="AX131" s="194">
        <f t="shared" si="324"/>
        <v>0.64035526644983742</v>
      </c>
      <c r="AY131" s="194">
        <f t="shared" si="324"/>
        <v>0.65194006915097968</v>
      </c>
      <c r="AZ131" s="193">
        <f>+AZ130/AZ$128</f>
        <v>0.64444373828211887</v>
      </c>
      <c r="BA131" s="193"/>
      <c r="BB131" s="194">
        <f t="shared" ref="BB131:BM131" si="325">+BB130/BB$128</f>
        <v>0.62972553081305027</v>
      </c>
      <c r="BC131" s="194">
        <f t="shared" si="325"/>
        <v>0.63248532289628179</v>
      </c>
      <c r="BD131" s="194">
        <f t="shared" si="325"/>
        <v>0.62656836114344849</v>
      </c>
      <c r="BE131" s="194">
        <f t="shared" si="325"/>
        <v>0.64727316895420872</v>
      </c>
      <c r="BF131" s="193">
        <f t="shared" si="325"/>
        <v>0.6342295793066054</v>
      </c>
      <c r="BG131" s="194">
        <f t="shared" ref="BG131" si="326">+BG130/BG$128</f>
        <v>0.61289459604066343</v>
      </c>
      <c r="BH131" s="194"/>
      <c r="BI131" s="194"/>
      <c r="BJ131" s="194"/>
      <c r="BK131" s="193">
        <f t="shared" ref="BK131" si="327">+BK130/BK$128</f>
        <v>0.62203461928601811</v>
      </c>
      <c r="BL131" s="194">
        <f t="shared" si="325"/>
        <v>0.60032253729337459</v>
      </c>
      <c r="BM131" s="194">
        <f t="shared" si="325"/>
        <v>0.6063843648208469</v>
      </c>
      <c r="BN131" s="527">
        <f t="shared" ref="BN131:BP131" si="328">+BN130/BN$128</f>
        <v>0.6224274406332454</v>
      </c>
      <c r="BO131" s="527">
        <f t="shared" si="328"/>
        <v>0.62546816479400746</v>
      </c>
      <c r="BP131" s="193">
        <f t="shared" si="328"/>
        <v>0.61395408904529747</v>
      </c>
      <c r="BQ131" s="195"/>
      <c r="BR131" s="194"/>
      <c r="BS131" s="194"/>
      <c r="BT131" s="548"/>
      <c r="BU131" s="193"/>
      <c r="BV131" s="194"/>
      <c r="BW131" s="194"/>
      <c r="BX131" s="194"/>
      <c r="BY131" s="194"/>
      <c r="BZ131" s="193"/>
      <c r="CA131" s="194"/>
      <c r="CB131" s="194"/>
      <c r="CC131" s="194"/>
      <c r="CD131" s="194"/>
      <c r="CE131" s="193"/>
      <c r="CF131" s="194"/>
      <c r="CG131" s="194"/>
      <c r="CH131" s="194"/>
      <c r="CI131" s="194"/>
      <c r="CJ131" s="193"/>
      <c r="CK131" s="196"/>
      <c r="CL131" s="238"/>
      <c r="CM131" s="661"/>
      <c r="CN131" s="661"/>
      <c r="CO131" s="661"/>
      <c r="CP131" s="661"/>
      <c r="CQ131" s="661"/>
      <c r="CR131" s="661"/>
      <c r="CS131" s="661"/>
      <c r="CT131" s="661"/>
      <c r="CU131" s="661"/>
      <c r="CV131" s="661"/>
      <c r="CW131" s="229"/>
      <c r="CX131" s="197"/>
      <c r="CY131" s="197"/>
      <c r="CZ131"/>
      <c r="DA131"/>
      <c r="DB131"/>
      <c r="DC131"/>
      <c r="DD131"/>
    </row>
    <row r="132" spans="1:108" s="115" customFormat="1" ht="12.75" hidden="1" customHeight="1" outlineLevel="1">
      <c r="A132" s="905" t="s">
        <v>332</v>
      </c>
      <c r="B132" s="916"/>
      <c r="C132" s="916"/>
      <c r="D132" s="916"/>
      <c r="E132" s="916"/>
      <c r="F132" s="916"/>
      <c r="G132" s="916"/>
      <c r="H132" s="904"/>
      <c r="I132" s="904"/>
      <c r="J132" s="904"/>
      <c r="K132" s="904"/>
      <c r="L132" s="916"/>
      <c r="M132" s="904"/>
      <c r="N132" s="904"/>
      <c r="O132" s="904"/>
      <c r="P132" s="904"/>
      <c r="Q132" s="916"/>
      <c r="R132" s="904"/>
      <c r="S132" s="904"/>
      <c r="T132" s="904"/>
      <c r="U132" s="904"/>
      <c r="V132" s="916"/>
      <c r="W132" s="904"/>
      <c r="X132" s="904"/>
      <c r="Y132" s="904"/>
      <c r="Z132" s="904"/>
      <c r="AA132" s="916"/>
      <c r="AB132" s="904"/>
      <c r="AC132" s="904"/>
      <c r="AD132" s="904"/>
      <c r="AE132" s="904"/>
      <c r="AF132" s="916"/>
      <c r="AG132" s="903"/>
      <c r="AH132" s="903"/>
      <c r="AI132" s="903"/>
      <c r="AJ132" s="903"/>
      <c r="AK132" s="916"/>
      <c r="AL132" s="903"/>
      <c r="AM132" s="903"/>
      <c r="AN132" s="903"/>
      <c r="AO132" s="903"/>
      <c r="AP132" s="916">
        <v>11830</v>
      </c>
      <c r="AQ132" s="903"/>
      <c r="AR132" s="903"/>
      <c r="AS132" s="903"/>
      <c r="AT132" s="903"/>
      <c r="AU132" s="916">
        <v>11288</v>
      </c>
      <c r="AV132" s="903">
        <v>2852</v>
      </c>
      <c r="AW132" s="903">
        <v>2744</v>
      </c>
      <c r="AX132" s="903">
        <v>2875</v>
      </c>
      <c r="AY132" s="903">
        <f>+AZ132-AX132-AW132-AV132</f>
        <v>2718</v>
      </c>
      <c r="AZ132" s="916">
        <v>11189</v>
      </c>
      <c r="BA132" s="916"/>
      <c r="BB132" s="903">
        <v>2860</v>
      </c>
      <c r="BC132" s="903">
        <v>2817</v>
      </c>
      <c r="BD132" s="903">
        <v>2887</v>
      </c>
      <c r="BE132" s="903">
        <f>+BF132-BD132-BC132-BB132</f>
        <v>2904</v>
      </c>
      <c r="BF132" s="916">
        <v>11468</v>
      </c>
      <c r="BG132" s="903">
        <v>2894</v>
      </c>
      <c r="BH132" s="903"/>
      <c r="BI132" s="903"/>
      <c r="BJ132" s="903"/>
      <c r="BK132" s="916">
        <v>11551</v>
      </c>
      <c r="BL132" s="903">
        <v>2974</v>
      </c>
      <c r="BM132" s="903">
        <v>3021</v>
      </c>
      <c r="BN132" s="742">
        <v>2862</v>
      </c>
      <c r="BO132" s="742">
        <f>11957-BN132-BM132-BL132</f>
        <v>3100</v>
      </c>
      <c r="BP132" s="916">
        <f>+SUM(BL132:BO132)</f>
        <v>11957</v>
      </c>
      <c r="BQ132" s="917"/>
      <c r="BR132" s="903"/>
      <c r="BS132" s="903"/>
      <c r="BT132" s="1118"/>
      <c r="BU132" s="916"/>
      <c r="BV132" s="917"/>
      <c r="BW132" s="903"/>
      <c r="BX132" s="903"/>
      <c r="BY132" s="903"/>
      <c r="BZ132" s="916"/>
      <c r="CA132" s="917"/>
      <c r="CB132" s="903"/>
      <c r="CC132" s="903"/>
      <c r="CD132" s="903"/>
      <c r="CE132" s="916"/>
      <c r="CF132" s="917"/>
      <c r="CG132" s="903"/>
      <c r="CH132" s="903"/>
      <c r="CI132" s="903"/>
      <c r="CJ132" s="916"/>
      <c r="CK132" s="150"/>
      <c r="CL132" s="243"/>
      <c r="CM132" s="661"/>
      <c r="CN132" s="661"/>
      <c r="CO132" s="661"/>
      <c r="CP132" s="661"/>
      <c r="CQ132" s="661"/>
      <c r="CR132" s="661"/>
      <c r="CS132" s="661"/>
      <c r="CT132" s="661"/>
      <c r="CU132" s="661"/>
      <c r="CV132" s="661"/>
      <c r="CW132" s="231"/>
      <c r="CX132" s="114"/>
      <c r="CY132" s="114"/>
      <c r="CZ132"/>
      <c r="DA132"/>
      <c r="DB132"/>
      <c r="DC132"/>
      <c r="DD132"/>
    </row>
    <row r="133" spans="1:108" s="539" customFormat="1" hidden="1" outlineLevel="1">
      <c r="A133" s="908" t="s">
        <v>250</v>
      </c>
      <c r="B133" s="909"/>
      <c r="C133" s="909"/>
      <c r="D133" s="909"/>
      <c r="E133" s="909"/>
      <c r="F133" s="909"/>
      <c r="G133" s="909"/>
      <c r="H133" s="910"/>
      <c r="I133" s="910"/>
      <c r="J133" s="910"/>
      <c r="K133" s="910"/>
      <c r="L133" s="909"/>
      <c r="M133" s="910"/>
      <c r="N133" s="910"/>
      <c r="O133" s="910"/>
      <c r="P133" s="910"/>
      <c r="Q133" s="909"/>
      <c r="R133" s="910"/>
      <c r="S133" s="910"/>
      <c r="T133" s="910"/>
      <c r="U133" s="910"/>
      <c r="V133" s="909"/>
      <c r="W133" s="910"/>
      <c r="X133" s="910"/>
      <c r="Y133" s="910"/>
      <c r="Z133" s="910"/>
      <c r="AA133" s="909"/>
      <c r="AB133" s="910"/>
      <c r="AC133" s="910"/>
      <c r="AD133" s="910"/>
      <c r="AE133" s="910"/>
      <c r="AF133" s="909"/>
      <c r="AG133" s="910"/>
      <c r="AH133" s="910"/>
      <c r="AI133" s="910"/>
      <c r="AJ133" s="910"/>
      <c r="AK133" s="909"/>
      <c r="AL133" s="910"/>
      <c r="AM133" s="910"/>
      <c r="AN133" s="910"/>
      <c r="AO133" s="910"/>
      <c r="AP133" s="915">
        <f>1-AP131</f>
        <v>0.3824765599741351</v>
      </c>
      <c r="AQ133" s="910"/>
      <c r="AR133" s="910"/>
      <c r="AS133" s="910"/>
      <c r="AT133" s="911"/>
      <c r="AU133" s="915">
        <f>1-AU131</f>
        <v>0.36587579411383375</v>
      </c>
      <c r="AV133" s="925">
        <f t="shared" ref="AV133:AY133" si="329">1-AV131</f>
        <v>0.36639260020554987</v>
      </c>
      <c r="AW133" s="925">
        <f t="shared" si="329"/>
        <v>0.34813499111900537</v>
      </c>
      <c r="AX133" s="926">
        <f t="shared" si="329"/>
        <v>0.35964473355016258</v>
      </c>
      <c r="AY133" s="926">
        <f t="shared" si="329"/>
        <v>0.34805993084902032</v>
      </c>
      <c r="AZ133" s="915">
        <f>1-AZ131</f>
        <v>0.35555626171788113</v>
      </c>
      <c r="BA133" s="915"/>
      <c r="BB133" s="926">
        <f t="shared" ref="BB133:BF133" si="330">1-BB131</f>
        <v>0.37027446918694973</v>
      </c>
      <c r="BC133" s="926">
        <f t="shared" si="330"/>
        <v>0.36751467710371821</v>
      </c>
      <c r="BD133" s="926">
        <f t="shared" si="330"/>
        <v>0.37343163885655151</v>
      </c>
      <c r="BE133" s="926">
        <f t="shared" si="330"/>
        <v>0.35272683104579128</v>
      </c>
      <c r="BF133" s="915">
        <f t="shared" si="330"/>
        <v>0.3657704206933946</v>
      </c>
      <c r="BG133" s="926">
        <f t="shared" ref="BG133" si="331">1-BG131</f>
        <v>0.38710540395933657</v>
      </c>
      <c r="BH133" s="926"/>
      <c r="BI133" s="926"/>
      <c r="BJ133" s="926"/>
      <c r="BK133" s="915">
        <f t="shared" ref="BK133" si="332">1-BK131</f>
        <v>0.37796538071398189</v>
      </c>
      <c r="BL133" s="926">
        <f t="shared" ref="BL133:BN133" si="333">1-BL131</f>
        <v>0.39967746270662541</v>
      </c>
      <c r="BM133" s="926">
        <f t="shared" si="333"/>
        <v>0.3936156351791531</v>
      </c>
      <c r="BN133" s="926">
        <f t="shared" si="333"/>
        <v>0.3775725593667546</v>
      </c>
      <c r="BO133" s="926">
        <f t="shared" ref="BO133:BP133" si="334">1-BO131</f>
        <v>0.37453183520599254</v>
      </c>
      <c r="BP133" s="915">
        <f t="shared" si="334"/>
        <v>0.38604591095470253</v>
      </c>
      <c r="BQ133" s="912"/>
      <c r="BR133" s="910"/>
      <c r="BS133" s="910"/>
      <c r="BT133" s="1119"/>
      <c r="BU133" s="909"/>
      <c r="BV133" s="912"/>
      <c r="BW133" s="910"/>
      <c r="BX133" s="910"/>
      <c r="BY133" s="910"/>
      <c r="BZ133" s="909"/>
      <c r="CA133" s="912"/>
      <c r="CB133" s="910"/>
      <c r="CC133" s="910"/>
      <c r="CD133" s="910"/>
      <c r="CE133" s="909"/>
      <c r="CF133" s="912"/>
      <c r="CG133" s="910"/>
      <c r="CH133" s="910"/>
      <c r="CI133" s="910"/>
      <c r="CJ133" s="909"/>
      <c r="CK133" s="913"/>
      <c r="CL133" s="914"/>
      <c r="CM133" s="734"/>
      <c r="CN133" s="734"/>
      <c r="CO133" s="734"/>
      <c r="CP133" s="734"/>
      <c r="CQ133" s="734"/>
      <c r="CR133" s="734"/>
      <c r="CS133" s="734"/>
      <c r="CT133" s="734"/>
      <c r="CU133" s="734"/>
      <c r="CV133" s="734"/>
      <c r="CW133" s="537"/>
      <c r="CX133" s="538"/>
      <c r="CY133" s="538"/>
      <c r="CZ133"/>
      <c r="DA133"/>
      <c r="DB133"/>
      <c r="DC133"/>
      <c r="DD133"/>
    </row>
    <row r="134" spans="1:108" s="115" customFormat="1" ht="12.75" hidden="1" customHeight="1" outlineLevel="1">
      <c r="A134" s="905" t="s">
        <v>342</v>
      </c>
      <c r="B134" s="916"/>
      <c r="C134" s="916"/>
      <c r="D134" s="916"/>
      <c r="E134" s="916"/>
      <c r="F134" s="916"/>
      <c r="G134" s="916"/>
      <c r="H134" s="904"/>
      <c r="I134" s="904"/>
      <c r="J134" s="904"/>
      <c r="K134" s="904"/>
      <c r="L134" s="916"/>
      <c r="M134" s="904"/>
      <c r="N134" s="904"/>
      <c r="O134" s="904"/>
      <c r="P134" s="904"/>
      <c r="Q134" s="916"/>
      <c r="R134" s="904"/>
      <c r="S134" s="904"/>
      <c r="T134" s="904"/>
      <c r="U134" s="904"/>
      <c r="V134" s="916"/>
      <c r="W134" s="904"/>
      <c r="X134" s="904"/>
      <c r="Y134" s="904"/>
      <c r="Z134" s="904"/>
      <c r="AA134" s="916"/>
      <c r="AB134" s="904"/>
      <c r="AC134" s="904"/>
      <c r="AD134" s="904"/>
      <c r="AE134" s="904"/>
      <c r="AF134" s="916"/>
      <c r="AG134" s="903"/>
      <c r="AH134" s="903"/>
      <c r="AI134" s="903"/>
      <c r="AJ134" s="903"/>
      <c r="AK134" s="916"/>
      <c r="AL134" s="903"/>
      <c r="AM134" s="903"/>
      <c r="AN134" s="903"/>
      <c r="AO134" s="903"/>
      <c r="AP134" s="916">
        <f>+AP128-AP136</f>
        <v>12699</v>
      </c>
      <c r="AQ134" s="903"/>
      <c r="AR134" s="903"/>
      <c r="AS134" s="903"/>
      <c r="AT134" s="903"/>
      <c r="AU134" s="916">
        <f>+AU128-AU136</f>
        <v>13586</v>
      </c>
      <c r="AV134" s="903"/>
      <c r="AW134" s="903"/>
      <c r="AX134" s="903"/>
      <c r="AY134" s="903"/>
      <c r="AZ134" s="916">
        <f>+AZ128-AZ136</f>
        <v>13940</v>
      </c>
      <c r="BA134" s="916"/>
      <c r="BB134" s="903"/>
      <c r="BC134" s="903"/>
      <c r="BD134" s="903"/>
      <c r="BE134" s="903"/>
      <c r="BF134" s="916">
        <f>+BF128-BF136</f>
        <v>13232</v>
      </c>
      <c r="BG134" s="903">
        <f>+BG128-BG136</f>
        <v>2878</v>
      </c>
      <c r="BH134" s="903"/>
      <c r="BI134" s="903"/>
      <c r="BJ134" s="903"/>
      <c r="BK134" s="916"/>
      <c r="BL134" s="903">
        <f>+BL128-BL136</f>
        <v>3113</v>
      </c>
      <c r="BM134" s="903">
        <f>+BM128-BM136</f>
        <v>3166</v>
      </c>
      <c r="BN134" s="903">
        <f>+BN128-BN136</f>
        <v>3114</v>
      </c>
      <c r="BO134" s="903">
        <f>+BO128-BO136</f>
        <v>3235</v>
      </c>
      <c r="BP134" s="916">
        <f>+BP128-BP136</f>
        <v>12628</v>
      </c>
      <c r="BQ134" s="917"/>
      <c r="BR134" s="903"/>
      <c r="BS134" s="903"/>
      <c r="BT134" s="1118"/>
      <c r="BU134" s="916"/>
      <c r="BV134" s="917"/>
      <c r="BW134" s="903"/>
      <c r="BX134" s="903"/>
      <c r="BY134" s="903"/>
      <c r="BZ134" s="916"/>
      <c r="CA134" s="917"/>
      <c r="CB134" s="903"/>
      <c r="CC134" s="903"/>
      <c r="CD134" s="903"/>
      <c r="CE134" s="916"/>
      <c r="CF134" s="917"/>
      <c r="CG134" s="903"/>
      <c r="CH134" s="903"/>
      <c r="CI134" s="903"/>
      <c r="CJ134" s="916"/>
      <c r="CK134" s="150"/>
      <c r="CL134" s="243"/>
      <c r="CM134" s="661"/>
      <c r="CN134" s="661"/>
      <c r="CO134" s="661"/>
      <c r="CP134" s="661"/>
      <c r="CQ134" s="661"/>
      <c r="CR134" s="661"/>
      <c r="CS134" s="661"/>
      <c r="CT134" s="661"/>
      <c r="CU134" s="661"/>
      <c r="CV134" s="661"/>
      <c r="CW134" s="231"/>
      <c r="CX134" s="114"/>
      <c r="CY134" s="114"/>
      <c r="CZ134"/>
      <c r="DA134"/>
      <c r="DB134"/>
      <c r="DC134"/>
      <c r="DD134"/>
    </row>
    <row r="135" spans="1:108" s="198" customFormat="1" hidden="1" outlineLevel="1">
      <c r="A135" s="907" t="s">
        <v>250</v>
      </c>
      <c r="B135" s="193"/>
      <c r="C135" s="193"/>
      <c r="D135" s="193"/>
      <c r="E135" s="193"/>
      <c r="F135" s="193"/>
      <c r="G135" s="193"/>
      <c r="H135" s="194"/>
      <c r="I135" s="194"/>
      <c r="J135" s="194"/>
      <c r="K135" s="194"/>
      <c r="L135" s="193"/>
      <c r="M135" s="194"/>
      <c r="N135" s="194"/>
      <c r="O135" s="194"/>
      <c r="P135" s="194"/>
      <c r="Q135" s="193"/>
      <c r="R135" s="194"/>
      <c r="S135" s="194"/>
      <c r="T135" s="194"/>
      <c r="U135" s="194"/>
      <c r="V135" s="193"/>
      <c r="W135" s="194"/>
      <c r="X135" s="194"/>
      <c r="Y135" s="194"/>
      <c r="Z135" s="194"/>
      <c r="AA135" s="193"/>
      <c r="AB135" s="194"/>
      <c r="AC135" s="194"/>
      <c r="AD135" s="194"/>
      <c r="AE135" s="194"/>
      <c r="AF135" s="193"/>
      <c r="AG135" s="194"/>
      <c r="AH135" s="194"/>
      <c r="AI135" s="194"/>
      <c r="AJ135" s="194"/>
      <c r="AK135" s="193"/>
      <c r="AL135" s="194"/>
      <c r="AM135" s="194"/>
      <c r="AN135" s="194"/>
      <c r="AO135" s="194"/>
      <c r="AP135" s="193">
        <f>+AP134/AP$128</f>
        <v>0.41057225994180407</v>
      </c>
      <c r="AQ135" s="194"/>
      <c r="AR135" s="194"/>
      <c r="AS135" s="194"/>
      <c r="AT135" s="194"/>
      <c r="AU135" s="193">
        <f>+AU134/AU$128</f>
        <v>0.44036043044211071</v>
      </c>
      <c r="AV135" s="194"/>
      <c r="AW135" s="194"/>
      <c r="AX135" s="194"/>
      <c r="AY135" s="194"/>
      <c r="AZ135" s="193">
        <f>+AZ134/AZ$128</f>
        <v>0.44297562680733421</v>
      </c>
      <c r="BA135" s="193"/>
      <c r="BB135" s="194"/>
      <c r="BC135" s="194"/>
      <c r="BD135" s="194"/>
      <c r="BE135" s="194"/>
      <c r="BF135" s="193">
        <f>+BF134/BF$128</f>
        <v>0.42203297930022643</v>
      </c>
      <c r="BG135" s="194">
        <f>+BG134/BG$128</f>
        <v>0.38496522204387373</v>
      </c>
      <c r="BH135" s="194"/>
      <c r="BI135" s="194"/>
      <c r="BJ135" s="194"/>
      <c r="BK135" s="193"/>
      <c r="BL135" s="194">
        <f>+BL134/BL$128</f>
        <v>0.41835774761456795</v>
      </c>
      <c r="BM135" s="194">
        <f>+BM134/BM$128</f>
        <v>0.4125081433224756</v>
      </c>
      <c r="BN135" s="194">
        <f>+BN134/BN$128</f>
        <v>0.41081794195250659</v>
      </c>
      <c r="BO135" s="194">
        <f>+BO134/BO$128</f>
        <v>0.39084209254560831</v>
      </c>
      <c r="BP135" s="193">
        <f>+BP134/BP$128</f>
        <v>0.40770994091628193</v>
      </c>
      <c r="BQ135" s="195"/>
      <c r="BR135" s="194"/>
      <c r="BS135" s="194"/>
      <c r="BT135" s="548"/>
      <c r="BU135" s="193"/>
      <c r="BV135" s="194"/>
      <c r="BW135" s="194"/>
      <c r="BX135" s="194"/>
      <c r="BY135" s="194"/>
      <c r="BZ135" s="193"/>
      <c r="CA135" s="194"/>
      <c r="CB135" s="194"/>
      <c r="CC135" s="194"/>
      <c r="CD135" s="194"/>
      <c r="CE135" s="193"/>
      <c r="CF135" s="194"/>
      <c r="CG135" s="194"/>
      <c r="CH135" s="194"/>
      <c r="CI135" s="194"/>
      <c r="CJ135" s="193"/>
      <c r="CK135" s="196"/>
      <c r="CL135" s="238"/>
      <c r="CM135" s="661"/>
      <c r="CN135" s="661"/>
      <c r="CO135" s="661"/>
      <c r="CP135" s="661"/>
      <c r="CQ135" s="661"/>
      <c r="CR135" s="661"/>
      <c r="CS135" s="661"/>
      <c r="CT135" s="661"/>
      <c r="CU135" s="661"/>
      <c r="CV135" s="661"/>
      <c r="CW135" s="229"/>
      <c r="CX135" s="197"/>
      <c r="CY135" s="197"/>
      <c r="CZ135"/>
      <c r="DA135"/>
      <c r="DB135"/>
      <c r="DC135"/>
      <c r="DD135"/>
    </row>
    <row r="136" spans="1:108" s="115" customFormat="1" ht="12.75" hidden="1" customHeight="1" outlineLevel="1">
      <c r="A136" s="905" t="s">
        <v>333</v>
      </c>
      <c r="B136" s="916"/>
      <c r="C136" s="916"/>
      <c r="D136" s="916"/>
      <c r="E136" s="916"/>
      <c r="F136" s="916"/>
      <c r="G136" s="916"/>
      <c r="H136" s="904"/>
      <c r="I136" s="904"/>
      <c r="J136" s="904"/>
      <c r="K136" s="904"/>
      <c r="L136" s="916"/>
      <c r="M136" s="904"/>
      <c r="N136" s="904"/>
      <c r="O136" s="904"/>
      <c r="P136" s="904"/>
      <c r="Q136" s="916"/>
      <c r="R136" s="904"/>
      <c r="S136" s="904"/>
      <c r="T136" s="904"/>
      <c r="U136" s="904"/>
      <c r="V136" s="916"/>
      <c r="W136" s="904"/>
      <c r="X136" s="904"/>
      <c r="Y136" s="904"/>
      <c r="Z136" s="904"/>
      <c r="AA136" s="916"/>
      <c r="AB136" s="904"/>
      <c r="AC136" s="904"/>
      <c r="AD136" s="904"/>
      <c r="AE136" s="904"/>
      <c r="AF136" s="916"/>
      <c r="AG136" s="903"/>
      <c r="AH136" s="903"/>
      <c r="AI136" s="903"/>
      <c r="AJ136" s="903"/>
      <c r="AK136" s="916"/>
      <c r="AL136" s="903"/>
      <c r="AM136" s="903"/>
      <c r="AN136" s="903"/>
      <c r="AO136" s="903"/>
      <c r="AP136" s="916">
        <f>19263-1032</f>
        <v>18231</v>
      </c>
      <c r="AQ136" s="903"/>
      <c r="AR136" s="903"/>
      <c r="AS136" s="903"/>
      <c r="AT136" s="903"/>
      <c r="AU136" s="916">
        <f>17955-689</f>
        <v>17266</v>
      </c>
      <c r="AV136" s="903"/>
      <c r="AW136" s="903"/>
      <c r="AX136" s="903"/>
      <c r="AY136" s="903"/>
      <c r="AZ136" s="916">
        <f>17981-452</f>
        <v>17529</v>
      </c>
      <c r="BA136" s="916"/>
      <c r="BB136" s="903"/>
      <c r="BC136" s="903"/>
      <c r="BD136" s="903"/>
      <c r="BE136" s="903"/>
      <c r="BF136" s="916">
        <f>18838-717</f>
        <v>18121</v>
      </c>
      <c r="BG136" s="903">
        <f>4767-169</f>
        <v>4598</v>
      </c>
      <c r="BH136" s="903"/>
      <c r="BI136" s="903"/>
      <c r="BJ136" s="903"/>
      <c r="BK136" s="916"/>
      <c r="BL136" s="903">
        <f>4515-187</f>
        <v>4328</v>
      </c>
      <c r="BM136" s="903">
        <f>4662-153</f>
        <v>4509</v>
      </c>
      <c r="BN136" s="742">
        <f>4626-160</f>
        <v>4466</v>
      </c>
      <c r="BO136" s="742">
        <f>19021-676-BN136-BM136-BL136</f>
        <v>5042</v>
      </c>
      <c r="BP136" s="916">
        <f>+SUM(BL136:BO136)</f>
        <v>18345</v>
      </c>
      <c r="BQ136" s="917"/>
      <c r="BR136" s="903"/>
      <c r="BS136" s="903"/>
      <c r="BT136" s="1118"/>
      <c r="BU136" s="916"/>
      <c r="BV136" s="917"/>
      <c r="BW136" s="903"/>
      <c r="BX136" s="903"/>
      <c r="BY136" s="903"/>
      <c r="BZ136" s="916"/>
      <c r="CA136" s="917"/>
      <c r="CB136" s="903"/>
      <c r="CC136" s="903"/>
      <c r="CD136" s="903"/>
      <c r="CE136" s="916"/>
      <c r="CF136" s="917"/>
      <c r="CG136" s="903"/>
      <c r="CH136" s="903"/>
      <c r="CI136" s="903"/>
      <c r="CJ136" s="916"/>
      <c r="CK136" s="150"/>
      <c r="CL136" s="243"/>
      <c r="CM136" s="661"/>
      <c r="CN136" s="661"/>
      <c r="CO136" s="661"/>
      <c r="CP136" s="661"/>
      <c r="CQ136" s="661"/>
      <c r="CR136" s="661"/>
      <c r="CS136" s="661"/>
      <c r="CT136" s="661"/>
      <c r="CU136" s="661"/>
      <c r="CV136" s="661"/>
      <c r="CW136" s="231"/>
      <c r="CX136" s="114"/>
      <c r="CY136" s="114"/>
      <c r="CZ136"/>
      <c r="DA136"/>
      <c r="DB136"/>
      <c r="DC136"/>
      <c r="DD136"/>
    </row>
    <row r="137" spans="1:108" s="539" customFormat="1" hidden="1" outlineLevel="1">
      <c r="A137" s="908" t="s">
        <v>250</v>
      </c>
      <c r="B137" s="909"/>
      <c r="C137" s="909"/>
      <c r="D137" s="909"/>
      <c r="E137" s="909"/>
      <c r="F137" s="909"/>
      <c r="G137" s="909"/>
      <c r="H137" s="910"/>
      <c r="I137" s="910"/>
      <c r="J137" s="910"/>
      <c r="K137" s="910"/>
      <c r="L137" s="909"/>
      <c r="M137" s="910"/>
      <c r="N137" s="910"/>
      <c r="O137" s="910"/>
      <c r="P137" s="910"/>
      <c r="Q137" s="909"/>
      <c r="R137" s="910"/>
      <c r="S137" s="910"/>
      <c r="T137" s="910"/>
      <c r="U137" s="910"/>
      <c r="V137" s="909"/>
      <c r="W137" s="910"/>
      <c r="X137" s="910"/>
      <c r="Y137" s="910"/>
      <c r="Z137" s="910"/>
      <c r="AA137" s="909"/>
      <c r="AB137" s="910"/>
      <c r="AC137" s="910"/>
      <c r="AD137" s="910"/>
      <c r="AE137" s="910"/>
      <c r="AF137" s="909"/>
      <c r="AG137" s="910"/>
      <c r="AH137" s="910"/>
      <c r="AI137" s="910"/>
      <c r="AJ137" s="910"/>
      <c r="AK137" s="909"/>
      <c r="AL137" s="910"/>
      <c r="AM137" s="910"/>
      <c r="AN137" s="910"/>
      <c r="AO137" s="910"/>
      <c r="AP137" s="915">
        <f>1-AP135</f>
        <v>0.58942774005819598</v>
      </c>
      <c r="AQ137" s="910"/>
      <c r="AR137" s="910"/>
      <c r="AS137" s="910"/>
      <c r="AT137" s="911"/>
      <c r="AU137" s="915">
        <f>1-AU135</f>
        <v>0.55963956955788929</v>
      </c>
      <c r="AV137" s="910"/>
      <c r="AW137" s="910"/>
      <c r="AX137" s="911"/>
      <c r="AY137" s="911"/>
      <c r="AZ137" s="915">
        <f>1-AZ135</f>
        <v>0.55702437319266584</v>
      </c>
      <c r="BA137" s="915"/>
      <c r="BB137" s="911"/>
      <c r="BC137" s="911"/>
      <c r="BD137" s="911"/>
      <c r="BE137" s="911"/>
      <c r="BF137" s="915">
        <f>1-BF135</f>
        <v>0.57796702069977357</v>
      </c>
      <c r="BG137" s="926">
        <f>1-BG135</f>
        <v>0.61503477795612627</v>
      </c>
      <c r="BH137" s="911"/>
      <c r="BI137" s="911"/>
      <c r="BJ137" s="911"/>
      <c r="BK137" s="915"/>
      <c r="BL137" s="926">
        <f>1-BL135</f>
        <v>0.5816422523854321</v>
      </c>
      <c r="BM137" s="926">
        <f>1-BM135</f>
        <v>0.58749185667752446</v>
      </c>
      <c r="BN137" s="926">
        <f>1-BN135</f>
        <v>0.58918205804749335</v>
      </c>
      <c r="BO137" s="926">
        <f>1-BO135</f>
        <v>0.60915790745439169</v>
      </c>
      <c r="BP137" s="915">
        <f>1-BP135</f>
        <v>0.59229005908371812</v>
      </c>
      <c r="BQ137" s="912"/>
      <c r="BR137" s="910"/>
      <c r="BS137" s="910"/>
      <c r="BT137" s="1119"/>
      <c r="BU137" s="909"/>
      <c r="BV137" s="912"/>
      <c r="BW137" s="910"/>
      <c r="BX137" s="910"/>
      <c r="BY137" s="910"/>
      <c r="BZ137" s="909"/>
      <c r="CA137" s="912"/>
      <c r="CB137" s="910"/>
      <c r="CC137" s="910"/>
      <c r="CD137" s="910"/>
      <c r="CE137" s="909"/>
      <c r="CF137" s="912"/>
      <c r="CG137" s="910"/>
      <c r="CH137" s="910"/>
      <c r="CI137" s="910"/>
      <c r="CJ137" s="909"/>
      <c r="CK137" s="913"/>
      <c r="CL137" s="914"/>
      <c r="CM137" s="734"/>
      <c r="CN137" s="734"/>
      <c r="CO137" s="734"/>
      <c r="CP137" s="734"/>
      <c r="CQ137" s="734"/>
      <c r="CR137" s="734"/>
      <c r="CS137" s="734"/>
      <c r="CT137" s="734"/>
      <c r="CU137" s="734"/>
      <c r="CV137" s="734"/>
      <c r="CW137" s="537"/>
      <c r="CX137" s="538"/>
      <c r="CY137" s="538"/>
      <c r="CZ137"/>
      <c r="DA137"/>
      <c r="DB137"/>
      <c r="DC137"/>
      <c r="DD137"/>
    </row>
    <row r="138" spans="1:108" s="476" customFormat="1" hidden="1" outlineLevel="1">
      <c r="A138" s="905" t="s">
        <v>195</v>
      </c>
      <c r="B138" s="139">
        <f t="shared" ref="B138:G138" si="335">B$128*B139</f>
        <v>6831.24</v>
      </c>
      <c r="C138" s="139">
        <f t="shared" si="335"/>
        <v>7232.76</v>
      </c>
      <c r="D138" s="139">
        <f t="shared" si="335"/>
        <v>8539.8900000000012</v>
      </c>
      <c r="E138" s="139">
        <f t="shared" si="335"/>
        <v>9999.51</v>
      </c>
      <c r="F138" s="139">
        <f t="shared" si="335"/>
        <v>11326.5</v>
      </c>
      <c r="G138" s="139">
        <f t="shared" si="335"/>
        <v>12512.76</v>
      </c>
      <c r="H138" s="140"/>
      <c r="I138" s="140"/>
      <c r="J138" s="140"/>
      <c r="K138" s="140"/>
      <c r="L138" s="139">
        <f>L$128*L139</f>
        <v>14437.2</v>
      </c>
      <c r="M138" s="140"/>
      <c r="N138" s="140"/>
      <c r="O138" s="140"/>
      <c r="P138" s="140"/>
      <c r="Q138" s="139">
        <f>Q$128*Q139</f>
        <v>16115.000000000002</v>
      </c>
      <c r="R138" s="140"/>
      <c r="S138" s="140"/>
      <c r="T138" s="140"/>
      <c r="U138" s="140"/>
      <c r="V138" s="139">
        <f>V$128*V139</f>
        <v>17589.550000000003</v>
      </c>
      <c r="W138" s="140"/>
      <c r="X138" s="140"/>
      <c r="Y138" s="140"/>
      <c r="Z138" s="140"/>
      <c r="AA138" s="139">
        <f>AA$128*AA139</f>
        <v>17856.300000000003</v>
      </c>
      <c r="AB138" s="140"/>
      <c r="AC138" s="140"/>
      <c r="AD138" s="140"/>
      <c r="AE138" s="140"/>
      <c r="AF138" s="139">
        <f>AF$128*AF139</f>
        <v>17972.350000000002</v>
      </c>
      <c r="AG138" s="140"/>
      <c r="AH138" s="140"/>
      <c r="AI138" s="140"/>
      <c r="AJ138" s="140"/>
      <c r="AK138" s="139">
        <f>AK$128*AK139</f>
        <v>17647.280000000002</v>
      </c>
      <c r="AL138" s="140"/>
      <c r="AM138" s="140"/>
      <c r="AN138" s="140"/>
      <c r="AO138" s="140"/>
      <c r="AP138" s="139">
        <f>AP$128*AP139</f>
        <v>16702.2</v>
      </c>
      <c r="AQ138" s="140"/>
      <c r="AR138" s="140"/>
      <c r="AS138" s="140"/>
      <c r="AT138" s="140"/>
      <c r="AU138" s="139">
        <f>AU$128*AU139</f>
        <v>16351.560000000001</v>
      </c>
      <c r="AV138" s="140"/>
      <c r="AW138" s="140"/>
      <c r="AX138" s="140"/>
      <c r="AY138" s="140"/>
      <c r="AZ138" s="139">
        <f>AZ$128*AZ139</f>
        <v>16993.260000000002</v>
      </c>
      <c r="BA138" s="139"/>
      <c r="BB138" s="140"/>
      <c r="BC138" s="140"/>
      <c r="BD138" s="140"/>
      <c r="BE138" s="140"/>
      <c r="BF138" s="139">
        <f>BF$128*BF139</f>
        <v>16617.09</v>
      </c>
      <c r="BG138" s="140">
        <v>5063</v>
      </c>
      <c r="BH138" s="140"/>
      <c r="BI138" s="140"/>
      <c r="BJ138" s="140"/>
      <c r="BK138" s="139"/>
      <c r="BL138" s="140">
        <v>5035</v>
      </c>
      <c r="BM138" s="140">
        <v>5265</v>
      </c>
      <c r="BN138" s="727">
        <v>5195</v>
      </c>
      <c r="BO138" s="727">
        <f>21320-BN138-BM138-BL138</f>
        <v>5825</v>
      </c>
      <c r="BP138" s="139">
        <f>+SUM(BL138:BO138)</f>
        <v>21320</v>
      </c>
      <c r="BQ138" s="141"/>
      <c r="BR138" s="140"/>
      <c r="BS138" s="140"/>
      <c r="BT138" s="1120"/>
      <c r="BU138" s="139"/>
      <c r="BV138" s="140"/>
      <c r="BW138" s="140"/>
      <c r="BX138" s="140"/>
      <c r="BY138" s="140"/>
      <c r="BZ138" s="139"/>
      <c r="CA138" s="140"/>
      <c r="CB138" s="140"/>
      <c r="CC138" s="140"/>
      <c r="CD138" s="140"/>
      <c r="CE138" s="139"/>
      <c r="CF138" s="140"/>
      <c r="CG138" s="140"/>
      <c r="CH138" s="140"/>
      <c r="CI138" s="140"/>
      <c r="CJ138" s="139"/>
      <c r="CK138" s="472"/>
      <c r="CL138" s="473"/>
      <c r="CM138" s="622"/>
      <c r="CN138" s="622"/>
      <c r="CO138" s="622"/>
      <c r="CP138" s="622"/>
      <c r="CQ138" s="622"/>
      <c r="CR138" s="622"/>
      <c r="CS138" s="622"/>
      <c r="CT138" s="622"/>
      <c r="CU138" s="622"/>
      <c r="CV138" s="622"/>
      <c r="CW138" s="474"/>
      <c r="CX138" s="475"/>
      <c r="CY138" s="475"/>
      <c r="CZ138"/>
      <c r="DA138"/>
      <c r="DB138"/>
      <c r="DC138"/>
      <c r="DD138"/>
    </row>
    <row r="139" spans="1:108" s="468" customFormat="1" hidden="1" outlineLevel="1">
      <c r="A139" s="136" t="s">
        <v>250</v>
      </c>
      <c r="B139" s="522">
        <v>0.57999999999999996</v>
      </c>
      <c r="C139" s="522">
        <v>0.54</v>
      </c>
      <c r="D139" s="522">
        <v>0.53</v>
      </c>
      <c r="E139" s="522">
        <v>0.53</v>
      </c>
      <c r="F139" s="522">
        <v>0.54</v>
      </c>
      <c r="G139" s="522">
        <v>0.52</v>
      </c>
      <c r="H139" s="523"/>
      <c r="I139" s="523"/>
      <c r="J139" s="523"/>
      <c r="K139" s="523"/>
      <c r="L139" s="522">
        <v>0.53</v>
      </c>
      <c r="M139" s="523"/>
      <c r="N139" s="523"/>
      <c r="O139" s="523"/>
      <c r="P139" s="523"/>
      <c r="Q139" s="522">
        <v>0.55000000000000004</v>
      </c>
      <c r="R139" s="523"/>
      <c r="S139" s="523"/>
      <c r="T139" s="523"/>
      <c r="U139" s="523"/>
      <c r="V139" s="522">
        <v>0.55000000000000004</v>
      </c>
      <c r="W139" s="523"/>
      <c r="X139" s="523"/>
      <c r="Y139" s="523"/>
      <c r="Z139" s="523"/>
      <c r="AA139" s="522">
        <v>0.55000000000000004</v>
      </c>
      <c r="AB139" s="523"/>
      <c r="AC139" s="523"/>
      <c r="AD139" s="523"/>
      <c r="AE139" s="523"/>
      <c r="AF139" s="522">
        <v>0.55000000000000004</v>
      </c>
      <c r="AG139" s="523"/>
      <c r="AH139" s="523"/>
      <c r="AI139" s="523"/>
      <c r="AJ139" s="523"/>
      <c r="AK139" s="522">
        <v>0.56000000000000005</v>
      </c>
      <c r="AL139" s="523"/>
      <c r="AM139" s="523"/>
      <c r="AN139" s="523"/>
      <c r="AO139" s="523"/>
      <c r="AP139" s="318">
        <v>0.54</v>
      </c>
      <c r="AQ139" s="523"/>
      <c r="AR139" s="523"/>
      <c r="AS139" s="523"/>
      <c r="AT139" s="523"/>
      <c r="AU139" s="767">
        <v>0.53</v>
      </c>
      <c r="AV139" s="523"/>
      <c r="AW139" s="523"/>
      <c r="AX139" s="523"/>
      <c r="AY139" s="523"/>
      <c r="AZ139" s="767">
        <v>0.54</v>
      </c>
      <c r="BA139" s="767"/>
      <c r="BB139" s="523"/>
      <c r="BC139" s="523"/>
      <c r="BD139" s="523"/>
      <c r="BE139" s="523"/>
      <c r="BF139" s="767">
        <v>0.53</v>
      </c>
      <c r="BG139" s="523">
        <f>+BG138/BG$128</f>
        <v>0.67723381487426426</v>
      </c>
      <c r="BH139" s="523"/>
      <c r="BI139" s="523"/>
      <c r="BJ139" s="523"/>
      <c r="BK139" s="767"/>
      <c r="BL139" s="523">
        <f>+BL138/BL$128</f>
        <v>0.67665636339201718</v>
      </c>
      <c r="BM139" s="523">
        <f>+BM138/BM$128</f>
        <v>0.68599348534201954</v>
      </c>
      <c r="BN139" s="1024">
        <f>+BN138/BN$128</f>
        <v>0.68535620052770452</v>
      </c>
      <c r="BO139" s="1024">
        <f>+BO138/BO$128</f>
        <v>0.70375740002416332</v>
      </c>
      <c r="BP139" s="767">
        <f>+BP138/BP$128</f>
        <v>0.68834145868982666</v>
      </c>
      <c r="BQ139" s="1034"/>
      <c r="BR139" s="523"/>
      <c r="BS139" s="523"/>
      <c r="BT139" s="1121"/>
      <c r="BU139" s="522"/>
      <c r="BV139" s="523"/>
      <c r="BW139" s="523"/>
      <c r="BX139" s="523"/>
      <c r="BY139" s="523"/>
      <c r="BZ139" s="522"/>
      <c r="CA139" s="523"/>
      <c r="CB139" s="523"/>
      <c r="CC139" s="523"/>
      <c r="CD139" s="523"/>
      <c r="CE139" s="522"/>
      <c r="CF139" s="523"/>
      <c r="CG139" s="523"/>
      <c r="CH139" s="523"/>
      <c r="CI139" s="523"/>
      <c r="CJ139" s="522"/>
      <c r="CK139" s="464"/>
      <c r="CL139" s="465"/>
      <c r="CM139" s="731"/>
      <c r="CN139" s="731"/>
      <c r="CO139" s="731"/>
      <c r="CP139" s="731"/>
      <c r="CQ139" s="731"/>
      <c r="CR139" s="731"/>
      <c r="CS139" s="731"/>
      <c r="CT139" s="731"/>
      <c r="CU139" s="731"/>
      <c r="CV139" s="731"/>
      <c r="CW139" s="466"/>
      <c r="CX139" s="467"/>
      <c r="CY139" s="467"/>
      <c r="CZ139"/>
      <c r="DA139"/>
      <c r="DB139"/>
      <c r="DC139"/>
      <c r="DD139"/>
    </row>
    <row r="140" spans="1:108" s="476" customFormat="1" hidden="1" outlineLevel="1">
      <c r="A140" s="905" t="s">
        <v>196</v>
      </c>
      <c r="B140" s="139">
        <f t="shared" ref="B140:G140" si="336">B$128*B141</f>
        <v>4946.76</v>
      </c>
      <c r="C140" s="139">
        <f t="shared" si="336"/>
        <v>6161.2400000000007</v>
      </c>
      <c r="D140" s="139">
        <f t="shared" si="336"/>
        <v>7573.11</v>
      </c>
      <c r="E140" s="139">
        <f t="shared" si="336"/>
        <v>8867.49</v>
      </c>
      <c r="F140" s="139">
        <f t="shared" si="336"/>
        <v>9648.5</v>
      </c>
      <c r="G140" s="139">
        <f t="shared" si="336"/>
        <v>9865.83</v>
      </c>
      <c r="H140" s="140"/>
      <c r="I140" s="140"/>
      <c r="J140" s="140"/>
      <c r="K140" s="140"/>
      <c r="L140" s="139">
        <f>L$128*L141</f>
        <v>10896</v>
      </c>
      <c r="M140" s="140"/>
      <c r="N140" s="140"/>
      <c r="O140" s="140"/>
      <c r="P140" s="140"/>
      <c r="Q140" s="139">
        <f>Q$128*Q141</f>
        <v>11134</v>
      </c>
      <c r="R140" s="140"/>
      <c r="S140" s="140"/>
      <c r="T140" s="140"/>
      <c r="U140" s="140"/>
      <c r="V140" s="139">
        <f>V$128*V141</f>
        <v>12152.78</v>
      </c>
      <c r="W140" s="140"/>
      <c r="X140" s="140"/>
      <c r="Y140" s="140"/>
      <c r="Z140" s="140"/>
      <c r="AA140" s="139">
        <f>AA$128*AA141</f>
        <v>12661.74</v>
      </c>
      <c r="AB140" s="140"/>
      <c r="AC140" s="140"/>
      <c r="AD140" s="140"/>
      <c r="AE140" s="140"/>
      <c r="AF140" s="139">
        <f>AF$128*AF141</f>
        <v>12417.26</v>
      </c>
      <c r="AG140" s="140"/>
      <c r="AH140" s="140"/>
      <c r="AI140" s="140"/>
      <c r="AJ140" s="140"/>
      <c r="AK140" s="139">
        <f>AK$128*AK141</f>
        <v>12290.07</v>
      </c>
      <c r="AL140" s="140"/>
      <c r="AM140" s="140"/>
      <c r="AN140" s="140"/>
      <c r="AO140" s="140"/>
      <c r="AP140" s="139">
        <f>AP$128*AP141</f>
        <v>12990.6</v>
      </c>
      <c r="AQ140" s="140"/>
      <c r="AR140" s="140"/>
      <c r="AS140" s="140"/>
      <c r="AT140" s="140"/>
      <c r="AU140" s="139">
        <f>AU$128*AU141</f>
        <v>13266.36</v>
      </c>
      <c r="AV140" s="140"/>
      <c r="AW140" s="140"/>
      <c r="AX140" s="140"/>
      <c r="AY140" s="140"/>
      <c r="AZ140" s="139">
        <f>AZ$128*AZ141</f>
        <v>13216.98</v>
      </c>
      <c r="BA140" s="139"/>
      <c r="BB140" s="140"/>
      <c r="BC140" s="140"/>
      <c r="BD140" s="140"/>
      <c r="BE140" s="140"/>
      <c r="BF140" s="139">
        <f>BF$128*BF141</f>
        <v>13481.789999999999</v>
      </c>
      <c r="BG140" s="140">
        <v>2065</v>
      </c>
      <c r="BH140" s="140"/>
      <c r="BI140" s="140"/>
      <c r="BJ140" s="140"/>
      <c r="BK140" s="139"/>
      <c r="BL140" s="140">
        <v>2018</v>
      </c>
      <c r="BM140" s="140">
        <v>2038</v>
      </c>
      <c r="BN140" s="727">
        <v>2019</v>
      </c>
      <c r="BO140" s="727">
        <f>8152-BN140-BM140-BL140</f>
        <v>2077</v>
      </c>
      <c r="BP140" s="139">
        <f>+SUM(BL140:BO140)</f>
        <v>8152</v>
      </c>
      <c r="BQ140" s="141"/>
      <c r="BR140" s="140"/>
      <c r="BS140" s="140"/>
      <c r="BT140" s="1120"/>
      <c r="BU140" s="139"/>
      <c r="BV140" s="140"/>
      <c r="BW140" s="140"/>
      <c r="BX140" s="140"/>
      <c r="BY140" s="140"/>
      <c r="BZ140" s="139"/>
      <c r="CA140" s="140"/>
      <c r="CB140" s="140"/>
      <c r="CC140" s="140"/>
      <c r="CD140" s="140"/>
      <c r="CE140" s="139"/>
      <c r="CF140" s="140"/>
      <c r="CG140" s="140"/>
      <c r="CH140" s="140"/>
      <c r="CI140" s="140"/>
      <c r="CJ140" s="139"/>
      <c r="CK140" s="472"/>
      <c r="CL140" s="473"/>
      <c r="CM140" s="622"/>
      <c r="CN140" s="622"/>
      <c r="CO140" s="622"/>
      <c r="CP140" s="622"/>
      <c r="CQ140" s="622"/>
      <c r="CR140" s="622"/>
      <c r="CS140" s="622"/>
      <c r="CT140" s="622"/>
      <c r="CU140" s="622"/>
      <c r="CV140" s="622"/>
      <c r="CW140" s="474"/>
      <c r="CX140" s="475"/>
      <c r="CY140" s="475"/>
      <c r="CZ140"/>
      <c r="DA140"/>
      <c r="DB140"/>
      <c r="DC140"/>
      <c r="DD140"/>
    </row>
    <row r="141" spans="1:108" s="468" customFormat="1" hidden="1" outlineLevel="1">
      <c r="A141" s="136" t="s">
        <v>250</v>
      </c>
      <c r="B141" s="522">
        <v>0.42</v>
      </c>
      <c r="C141" s="522">
        <v>0.46</v>
      </c>
      <c r="D141" s="522">
        <v>0.47</v>
      </c>
      <c r="E141" s="522">
        <v>0.47</v>
      </c>
      <c r="F141" s="522">
        <v>0.46</v>
      </c>
      <c r="G141" s="522">
        <v>0.41</v>
      </c>
      <c r="H141" s="523"/>
      <c r="I141" s="523"/>
      <c r="J141" s="523"/>
      <c r="K141" s="523"/>
      <c r="L141" s="522">
        <v>0.4</v>
      </c>
      <c r="M141" s="523"/>
      <c r="N141" s="523"/>
      <c r="O141" s="523"/>
      <c r="P141" s="523"/>
      <c r="Q141" s="522">
        <v>0.38</v>
      </c>
      <c r="R141" s="523"/>
      <c r="S141" s="523"/>
      <c r="T141" s="523"/>
      <c r="U141" s="523"/>
      <c r="V141" s="522">
        <v>0.38</v>
      </c>
      <c r="W141" s="523"/>
      <c r="X141" s="523"/>
      <c r="Y141" s="523"/>
      <c r="Z141" s="523"/>
      <c r="AA141" s="522">
        <v>0.39</v>
      </c>
      <c r="AB141" s="523"/>
      <c r="AC141" s="523"/>
      <c r="AD141" s="523"/>
      <c r="AE141" s="523"/>
      <c r="AF141" s="522">
        <v>0.38</v>
      </c>
      <c r="AG141" s="523"/>
      <c r="AH141" s="523"/>
      <c r="AI141" s="523"/>
      <c r="AJ141" s="523"/>
      <c r="AK141" s="522">
        <v>0.39</v>
      </c>
      <c r="AL141" s="523"/>
      <c r="AM141" s="523"/>
      <c r="AN141" s="523"/>
      <c r="AO141" s="523"/>
      <c r="AP141" s="318">
        <v>0.42</v>
      </c>
      <c r="AQ141" s="523"/>
      <c r="AR141" s="523"/>
      <c r="AS141" s="523"/>
      <c r="AT141" s="523"/>
      <c r="AU141" s="767">
        <v>0.43</v>
      </c>
      <c r="AV141" s="523"/>
      <c r="AW141" s="523"/>
      <c r="AX141" s="523"/>
      <c r="AY141" s="523"/>
      <c r="AZ141" s="767">
        <v>0.42</v>
      </c>
      <c r="BA141" s="767"/>
      <c r="BB141" s="523"/>
      <c r="BC141" s="523"/>
      <c r="BD141" s="523"/>
      <c r="BE141" s="523"/>
      <c r="BF141" s="767">
        <v>0.43</v>
      </c>
      <c r="BG141" s="523">
        <f>+BG140/BG$128</f>
        <v>0.27621722846441948</v>
      </c>
      <c r="BH141" s="523"/>
      <c r="BI141" s="523"/>
      <c r="BJ141" s="523"/>
      <c r="BK141" s="767"/>
      <c r="BL141" s="523">
        <f>+BL140/BL$128</f>
        <v>0.27120010751243112</v>
      </c>
      <c r="BM141" s="523">
        <f>+BM140/BM$128</f>
        <v>0.26553745928338762</v>
      </c>
      <c r="BN141" s="1024">
        <f>+BN140/BN$128</f>
        <v>0.26635883905013191</v>
      </c>
      <c r="BO141" s="1024">
        <f>+BO140/BO$128</f>
        <v>0.25093632958801498</v>
      </c>
      <c r="BP141" s="767">
        <f>+BP140/BP$128</f>
        <v>0.26319697801310821</v>
      </c>
      <c r="BQ141" s="1034"/>
      <c r="BR141" s="523"/>
      <c r="BS141" s="523"/>
      <c r="BT141" s="1121"/>
      <c r="BU141" s="522"/>
      <c r="BV141" s="523"/>
      <c r="BW141" s="523"/>
      <c r="BX141" s="523"/>
      <c r="BY141" s="523"/>
      <c r="BZ141" s="522"/>
      <c r="CA141" s="523"/>
      <c r="CB141" s="523"/>
      <c r="CC141" s="523"/>
      <c r="CD141" s="523"/>
      <c r="CE141" s="522"/>
      <c r="CF141" s="523"/>
      <c r="CG141" s="523"/>
      <c r="CH141" s="523"/>
      <c r="CI141" s="523"/>
      <c r="CJ141" s="522"/>
      <c r="CK141" s="464"/>
      <c r="CL141" s="465"/>
      <c r="CM141" s="731"/>
      <c r="CN141" s="731"/>
      <c r="CO141" s="731"/>
      <c r="CP141" s="731"/>
      <c r="CQ141" s="731"/>
      <c r="CR141" s="731"/>
      <c r="CS141" s="731"/>
      <c r="CT141" s="731"/>
      <c r="CU141" s="731"/>
      <c r="CV141" s="731"/>
      <c r="CW141" s="466"/>
      <c r="CX141" s="467"/>
      <c r="CY141" s="467"/>
      <c r="CZ141"/>
      <c r="DA141"/>
      <c r="DB141"/>
      <c r="DC141"/>
      <c r="DD141"/>
    </row>
    <row r="142" spans="1:108" s="476" customFormat="1" hidden="1" outlineLevel="1">
      <c r="A142" s="905" t="s">
        <v>197</v>
      </c>
      <c r="B142" s="139"/>
      <c r="C142" s="139"/>
      <c r="D142" s="139"/>
      <c r="E142" s="139"/>
      <c r="F142" s="139"/>
      <c r="G142" s="139">
        <f>G$128*G143</f>
        <v>1684.41</v>
      </c>
      <c r="H142" s="140"/>
      <c r="I142" s="140"/>
      <c r="J142" s="140"/>
      <c r="K142" s="140"/>
      <c r="L142" s="139">
        <f>L$128*L143</f>
        <v>1906.8000000000002</v>
      </c>
      <c r="M142" s="140"/>
      <c r="N142" s="140"/>
      <c r="O142" s="140"/>
      <c r="P142" s="140"/>
      <c r="Q142" s="139">
        <f>Q$128*Q143</f>
        <v>2051</v>
      </c>
      <c r="R142" s="140"/>
      <c r="S142" s="140"/>
      <c r="T142" s="140"/>
      <c r="U142" s="140"/>
      <c r="V142" s="139">
        <f>V$128*V143</f>
        <v>2238.67</v>
      </c>
      <c r="W142" s="140"/>
      <c r="X142" s="140"/>
      <c r="Y142" s="140"/>
      <c r="Z142" s="140"/>
      <c r="AA142" s="139">
        <f>AA$128*AA143</f>
        <v>1947.96</v>
      </c>
      <c r="AB142" s="140"/>
      <c r="AC142" s="140"/>
      <c r="AD142" s="140"/>
      <c r="AE142" s="140"/>
      <c r="AF142" s="139">
        <f>AF$128*AF143</f>
        <v>2287.3900000000003</v>
      </c>
      <c r="AG142" s="140"/>
      <c r="AH142" s="140"/>
      <c r="AI142" s="140"/>
      <c r="AJ142" s="140"/>
      <c r="AK142" s="139">
        <f>AK$128*AK143</f>
        <v>1575.65</v>
      </c>
      <c r="AL142" s="140"/>
      <c r="AM142" s="140"/>
      <c r="AN142" s="140"/>
      <c r="AO142" s="140"/>
      <c r="AP142" s="139">
        <f>AP$128*AP143</f>
        <v>1237.2</v>
      </c>
      <c r="AQ142" s="140"/>
      <c r="AR142" s="140"/>
      <c r="AS142" s="140"/>
      <c r="AT142" s="140"/>
      <c r="AU142" s="139">
        <f>AU$128*AU143</f>
        <v>1234.08</v>
      </c>
      <c r="AV142" s="140"/>
      <c r="AW142" s="140"/>
      <c r="AX142" s="140"/>
      <c r="AY142" s="140"/>
      <c r="AZ142" s="139">
        <f>AZ$128*AZ143</f>
        <v>1258.76</v>
      </c>
      <c r="BA142" s="139"/>
      <c r="BB142" s="140"/>
      <c r="BC142" s="140"/>
      <c r="BD142" s="140"/>
      <c r="BE142" s="140"/>
      <c r="BF142" s="139">
        <f>BF$128*BF143</f>
        <v>1254.1200000000001</v>
      </c>
      <c r="BG142" s="140">
        <v>348</v>
      </c>
      <c r="BH142" s="140"/>
      <c r="BI142" s="140"/>
      <c r="BJ142" s="140"/>
      <c r="BK142" s="139"/>
      <c r="BL142" s="140">
        <v>388</v>
      </c>
      <c r="BM142" s="140">
        <v>372</v>
      </c>
      <c r="BN142" s="727">
        <v>366</v>
      </c>
      <c r="BO142" s="727">
        <f>1501-BN142-BM142-BL142</f>
        <v>375</v>
      </c>
      <c r="BP142" s="139">
        <f>+SUM(BL142:BO142)</f>
        <v>1501</v>
      </c>
      <c r="BQ142" s="141"/>
      <c r="BR142" s="140"/>
      <c r="BS142" s="140"/>
      <c r="BT142" s="1120"/>
      <c r="BU142" s="139"/>
      <c r="BV142" s="140"/>
      <c r="BW142" s="140"/>
      <c r="BX142" s="140"/>
      <c r="BY142" s="140"/>
      <c r="BZ142" s="139"/>
      <c r="CA142" s="140"/>
      <c r="CB142" s="140"/>
      <c r="CC142" s="140"/>
      <c r="CD142" s="140"/>
      <c r="CE142" s="139"/>
      <c r="CF142" s="140"/>
      <c r="CG142" s="140"/>
      <c r="CH142" s="140"/>
      <c r="CI142" s="140"/>
      <c r="CJ142" s="139"/>
      <c r="CK142" s="472"/>
      <c r="CL142" s="473"/>
      <c r="CM142" s="622"/>
      <c r="CN142" s="622"/>
      <c r="CO142" s="622"/>
      <c r="CP142" s="622"/>
      <c r="CQ142" s="622"/>
      <c r="CR142" s="622"/>
      <c r="CS142" s="622"/>
      <c r="CT142" s="622"/>
      <c r="CU142" s="622"/>
      <c r="CV142" s="622"/>
      <c r="CW142" s="474"/>
      <c r="CX142" s="475"/>
      <c r="CY142" s="475"/>
      <c r="CZ142"/>
      <c r="DA142"/>
      <c r="DB142"/>
      <c r="DC142"/>
      <c r="DD142"/>
    </row>
    <row r="143" spans="1:108" s="468" customFormat="1" hidden="1" outlineLevel="1">
      <c r="A143" s="136" t="s">
        <v>250</v>
      </c>
      <c r="B143" s="522"/>
      <c r="C143" s="522"/>
      <c r="D143" s="522"/>
      <c r="E143" s="522"/>
      <c r="F143" s="522"/>
      <c r="G143" s="522">
        <v>7.0000000000000007E-2</v>
      </c>
      <c r="H143" s="523"/>
      <c r="I143" s="523"/>
      <c r="J143" s="523"/>
      <c r="K143" s="523"/>
      <c r="L143" s="522">
        <v>7.0000000000000007E-2</v>
      </c>
      <c r="M143" s="523"/>
      <c r="N143" s="523"/>
      <c r="O143" s="523"/>
      <c r="P143" s="523"/>
      <c r="Q143" s="522">
        <v>7.0000000000000007E-2</v>
      </c>
      <c r="R143" s="523"/>
      <c r="S143" s="523"/>
      <c r="T143" s="523"/>
      <c r="U143" s="523"/>
      <c r="V143" s="522">
        <v>7.0000000000000007E-2</v>
      </c>
      <c r="W143" s="523"/>
      <c r="X143" s="523"/>
      <c r="Y143" s="523"/>
      <c r="Z143" s="523"/>
      <c r="AA143" s="522">
        <v>0.06</v>
      </c>
      <c r="AB143" s="523"/>
      <c r="AC143" s="523"/>
      <c r="AD143" s="523"/>
      <c r="AE143" s="523"/>
      <c r="AF143" s="522">
        <v>7.0000000000000007E-2</v>
      </c>
      <c r="AG143" s="523"/>
      <c r="AH143" s="523"/>
      <c r="AI143" s="523"/>
      <c r="AJ143" s="523"/>
      <c r="AK143" s="522">
        <v>0.05</v>
      </c>
      <c r="AL143" s="523"/>
      <c r="AM143" s="523"/>
      <c r="AN143" s="523"/>
      <c r="AO143" s="523"/>
      <c r="AP143" s="318">
        <v>0.04</v>
      </c>
      <c r="AQ143" s="523"/>
      <c r="AR143" s="523"/>
      <c r="AS143" s="523"/>
      <c r="AT143" s="523"/>
      <c r="AU143" s="767">
        <v>0.04</v>
      </c>
      <c r="AV143" s="523"/>
      <c r="AW143" s="523"/>
      <c r="AX143" s="523"/>
      <c r="AY143" s="523"/>
      <c r="AZ143" s="767">
        <v>0.04</v>
      </c>
      <c r="BA143" s="767"/>
      <c r="BB143" s="523"/>
      <c r="BC143" s="523"/>
      <c r="BD143" s="523"/>
      <c r="BE143" s="523"/>
      <c r="BF143" s="767">
        <v>0.04</v>
      </c>
      <c r="BG143" s="523">
        <f>+BG142/BG$128</f>
        <v>4.6548956661316213E-2</v>
      </c>
      <c r="BH143" s="523"/>
      <c r="BI143" s="523"/>
      <c r="BJ143" s="523"/>
      <c r="BK143" s="767"/>
      <c r="BL143" s="523">
        <f>+BL142/BL$128</f>
        <v>5.2143529095551672E-2</v>
      </c>
      <c r="BM143" s="523">
        <f>+BM142/BM$128</f>
        <v>4.8469055374592833E-2</v>
      </c>
      <c r="BN143" s="523">
        <f>+BN142/BN$128</f>
        <v>4.8284960422163591E-2</v>
      </c>
      <c r="BO143" s="523">
        <f>+BO142/BO$128</f>
        <v>4.5306270387821673E-2</v>
      </c>
      <c r="BP143" s="767">
        <f>+BP142/BP$128</f>
        <v>4.8461563297065184E-2</v>
      </c>
      <c r="BQ143" s="1034"/>
      <c r="BR143" s="523"/>
      <c r="BS143" s="523"/>
      <c r="BT143" s="1121"/>
      <c r="BU143" s="522"/>
      <c r="BV143" s="523"/>
      <c r="BW143" s="523"/>
      <c r="BX143" s="523"/>
      <c r="BY143" s="523"/>
      <c r="BZ143" s="522"/>
      <c r="CA143" s="523"/>
      <c r="CB143" s="523"/>
      <c r="CC143" s="523"/>
      <c r="CD143" s="523"/>
      <c r="CE143" s="522"/>
      <c r="CF143" s="523"/>
      <c r="CG143" s="523"/>
      <c r="CH143" s="523"/>
      <c r="CI143" s="523"/>
      <c r="CJ143" s="522"/>
      <c r="CK143" s="464"/>
      <c r="CL143" s="465"/>
      <c r="CM143" s="731"/>
      <c r="CN143" s="731"/>
      <c r="CO143" s="731"/>
      <c r="CP143" s="731"/>
      <c r="CQ143" s="731"/>
      <c r="CR143" s="731"/>
      <c r="CS143" s="731"/>
      <c r="CT143" s="731"/>
      <c r="CU143" s="731"/>
      <c r="CV143" s="731"/>
      <c r="CW143" s="466"/>
      <c r="CX143" s="467"/>
      <c r="CY143" s="467"/>
      <c r="CZ143"/>
      <c r="DA143"/>
      <c r="DB143"/>
      <c r="DC143"/>
      <c r="DD143"/>
    </row>
    <row r="144" spans="1:108" ht="12.75" customHeight="1" collapsed="1">
      <c r="A144" s="708" t="s">
        <v>255</v>
      </c>
      <c r="B144" s="709">
        <v>26816</v>
      </c>
      <c r="C144" s="709">
        <v>28971</v>
      </c>
      <c r="D144" s="709">
        <v>40645</v>
      </c>
      <c r="E144" s="709">
        <v>42007</v>
      </c>
      <c r="F144" s="709">
        <v>40754</v>
      </c>
      <c r="G144" s="709">
        <v>43667</v>
      </c>
      <c r="H144" s="710">
        <v>43631</v>
      </c>
      <c r="I144" s="710">
        <v>44595</v>
      </c>
      <c r="J144" s="710">
        <v>46548</v>
      </c>
      <c r="K144" s="710">
        <v>46832</v>
      </c>
      <c r="L144" s="709">
        <v>46832</v>
      </c>
      <c r="M144" s="710">
        <v>49767</v>
      </c>
      <c r="N144" s="710">
        <v>55322</v>
      </c>
      <c r="O144" s="710">
        <v>60489</v>
      </c>
      <c r="P144" s="710">
        <v>74127</v>
      </c>
      <c r="Q144" s="709">
        <v>74127</v>
      </c>
      <c r="R144" s="710">
        <v>71125</v>
      </c>
      <c r="S144" s="710">
        <v>67608</v>
      </c>
      <c r="T144" s="710">
        <v>66249</v>
      </c>
      <c r="U144" s="710">
        <v>65545</v>
      </c>
      <c r="V144" s="709">
        <v>65545</v>
      </c>
      <c r="W144" s="710">
        <v>63866</v>
      </c>
      <c r="X144" s="710">
        <v>62518</v>
      </c>
      <c r="Y144" s="710">
        <v>61831</v>
      </c>
      <c r="Z144" s="710">
        <v>59561</v>
      </c>
      <c r="AA144" s="709">
        <v>59561</v>
      </c>
      <c r="AB144" s="710">
        <v>57576</v>
      </c>
      <c r="AC144" s="710">
        <v>57116</v>
      </c>
      <c r="AD144" s="710">
        <v>58523</v>
      </c>
      <c r="AE144" s="710">
        <v>57410</v>
      </c>
      <c r="AF144" s="709">
        <v>57410</v>
      </c>
      <c r="AG144" s="710">
        <v>55226</v>
      </c>
      <c r="AH144" s="710">
        <v>52362</v>
      </c>
      <c r="AI144" s="710">
        <v>51458</v>
      </c>
      <c r="AJ144" s="710">
        <v>51281</v>
      </c>
      <c r="AK144" s="709">
        <f>AJ144</f>
        <v>51281</v>
      </c>
      <c r="AL144" s="710">
        <v>48451</v>
      </c>
      <c r="AM144" s="710">
        <v>49429</v>
      </c>
      <c r="AN144" s="710">
        <v>47941</v>
      </c>
      <c r="AO144" s="710">
        <v>46005</v>
      </c>
      <c r="AP144" s="709">
        <f>AO144</f>
        <v>46005</v>
      </c>
      <c r="AQ144" s="710">
        <v>56004</v>
      </c>
      <c r="AR144" s="722">
        <v>71093</v>
      </c>
      <c r="AS144" s="710">
        <v>74433</v>
      </c>
      <c r="AT144" s="758">
        <v>72410</v>
      </c>
      <c r="AU144" s="709">
        <f>AT144</f>
        <v>72410</v>
      </c>
      <c r="AV144" s="710">
        <v>70541</v>
      </c>
      <c r="AW144" s="722">
        <v>70026</v>
      </c>
      <c r="AX144" s="758">
        <f>+AX146+AX148</f>
        <v>68742</v>
      </c>
      <c r="AY144" s="758">
        <f>+AY146+AY148</f>
        <v>66120</v>
      </c>
      <c r="AZ144" s="709">
        <f>AY144</f>
        <v>66120</v>
      </c>
      <c r="BA144" s="709"/>
      <c r="BB144" s="758">
        <f>+BB146+BB148</f>
        <v>64734</v>
      </c>
      <c r="BC144" s="758">
        <f>+BC146+BC148</f>
        <v>63233</v>
      </c>
      <c r="BD144" s="758">
        <f>+BD146+BD148</f>
        <v>61971</v>
      </c>
      <c r="BE144" s="758">
        <f>+BE146+BE148</f>
        <v>59800</v>
      </c>
      <c r="BF144" s="709">
        <f>BE144</f>
        <v>59800</v>
      </c>
      <c r="BG144" s="758">
        <f>+BG146+BG148</f>
        <v>66656</v>
      </c>
      <c r="BH144" s="758">
        <f t="shared" ref="BH144:BI144" si="337">+BH146+BH148</f>
        <v>65045</v>
      </c>
      <c r="BI144" s="758">
        <f t="shared" si="337"/>
        <v>63820</v>
      </c>
      <c r="BJ144" s="758">
        <f t="shared" ref="BJ144:BO144" si="338">+BJ146+BJ148</f>
        <v>62206</v>
      </c>
      <c r="BK144" s="709">
        <f t="shared" si="338"/>
        <v>62206</v>
      </c>
      <c r="BL144" s="758">
        <f t="shared" si="338"/>
        <v>60364</v>
      </c>
      <c r="BM144" s="758">
        <f t="shared" si="338"/>
        <v>58567</v>
      </c>
      <c r="BN144" s="758">
        <f t="shared" si="338"/>
        <v>63929</v>
      </c>
      <c r="BO144" s="758">
        <f t="shared" si="338"/>
        <v>63175</v>
      </c>
      <c r="BP144" s="709">
        <f>BO144</f>
        <v>63175</v>
      </c>
      <c r="BQ144" s="711"/>
      <c r="BR144" s="710"/>
      <c r="BS144" s="710"/>
      <c r="BT144" s="1122"/>
      <c r="BU144" s="709"/>
      <c r="BV144" s="711"/>
      <c r="BW144" s="710"/>
      <c r="BX144" s="710"/>
      <c r="BY144" s="710"/>
      <c r="BZ144" s="709"/>
      <c r="CA144" s="711"/>
      <c r="CB144" s="710"/>
      <c r="CC144" s="710"/>
      <c r="CD144" s="710"/>
      <c r="CE144" s="709"/>
      <c r="CF144" s="711"/>
      <c r="CG144" s="710"/>
      <c r="CH144" s="710"/>
      <c r="CI144" s="710"/>
      <c r="CJ144" s="709"/>
      <c r="CK144" s="227"/>
      <c r="CL144" s="13"/>
      <c r="CM144" s="661"/>
      <c r="CN144" s="661"/>
      <c r="CO144" s="661"/>
      <c r="CP144" s="1006"/>
      <c r="CQ144" s="1011"/>
      <c r="CR144" s="661"/>
      <c r="CS144" s="661"/>
      <c r="CT144" s="661"/>
      <c r="CU144" s="661"/>
      <c r="CV144" s="661"/>
      <c r="CW144" s="235"/>
      <c r="CX144" s="161"/>
      <c r="CY144" s="161"/>
    </row>
    <row r="145" spans="1:108" s="198" customFormat="1" hidden="1" outlineLevel="1">
      <c r="A145" s="443" t="s">
        <v>21</v>
      </c>
      <c r="B145" s="193"/>
      <c r="C145" s="193">
        <f>C144/B144-1</f>
        <v>8.0362470167064437E-2</v>
      </c>
      <c r="D145" s="193">
        <f>D144/C144-1</f>
        <v>0.40295467881674774</v>
      </c>
      <c r="E145" s="193">
        <f>E144/D144-1</f>
        <v>3.3509656784352249E-2</v>
      </c>
      <c r="F145" s="193">
        <f>F144/E144-1</f>
        <v>-2.9828361939676751E-2</v>
      </c>
      <c r="G145" s="193">
        <f>G144/F144-1</f>
        <v>7.1477646366000958E-2</v>
      </c>
      <c r="H145" s="194"/>
      <c r="I145" s="194"/>
      <c r="J145" s="194"/>
      <c r="K145" s="194"/>
      <c r="L145" s="193">
        <f>L144/G144-1</f>
        <v>7.2480362745322546E-2</v>
      </c>
      <c r="M145" s="194">
        <f>M144/H144-1</f>
        <v>0.14063395292338021</v>
      </c>
      <c r="N145" s="194">
        <f>N144/I144-1</f>
        <v>0.24054266173337813</v>
      </c>
      <c r="O145" s="194">
        <f>O144/J144-1</f>
        <v>0.29949729311678275</v>
      </c>
      <c r="P145" s="194">
        <f t="shared" ref="P145:AS145" si="339">P144/K144-1</f>
        <v>0.58282798086778276</v>
      </c>
      <c r="Q145" s="193">
        <f t="shared" si="339"/>
        <v>0.58282798086778276</v>
      </c>
      <c r="R145" s="194">
        <f t="shared" si="339"/>
        <v>0.42915988506440006</v>
      </c>
      <c r="S145" s="194">
        <f t="shared" si="339"/>
        <v>0.22208163117747004</v>
      </c>
      <c r="T145" s="194">
        <f t="shared" si="339"/>
        <v>9.5223925011159061E-2</v>
      </c>
      <c r="U145" s="194">
        <f t="shared" si="339"/>
        <v>-0.1157742792774562</v>
      </c>
      <c r="V145" s="193">
        <f t="shared" si="339"/>
        <v>-0.1157742792774562</v>
      </c>
      <c r="W145" s="194">
        <f t="shared" si="339"/>
        <v>-0.10205975395430578</v>
      </c>
      <c r="X145" s="194">
        <f t="shared" si="339"/>
        <v>-7.5286948290143152E-2</v>
      </c>
      <c r="Y145" s="194">
        <f t="shared" si="339"/>
        <v>-6.6687799061117881E-2</v>
      </c>
      <c r="Z145" s="194">
        <f t="shared" si="339"/>
        <v>-9.1296056144633431E-2</v>
      </c>
      <c r="AA145" s="193">
        <f t="shared" si="339"/>
        <v>-9.1296056144633431E-2</v>
      </c>
      <c r="AB145" s="194">
        <f t="shared" si="339"/>
        <v>-9.8487458115429138E-2</v>
      </c>
      <c r="AC145" s="194">
        <f t="shared" si="339"/>
        <v>-8.6407114750951752E-2</v>
      </c>
      <c r="AD145" s="194">
        <f t="shared" si="339"/>
        <v>-5.3500671184357307E-2</v>
      </c>
      <c r="AE145" s="194">
        <f t="shared" si="339"/>
        <v>-3.6114235825456253E-2</v>
      </c>
      <c r="AF145" s="193">
        <f t="shared" si="339"/>
        <v>-3.6114235825456253E-2</v>
      </c>
      <c r="AG145" s="194">
        <f t="shared" si="339"/>
        <v>-4.0815617618452094E-2</v>
      </c>
      <c r="AH145" s="194">
        <f t="shared" si="339"/>
        <v>-8.323412003641717E-2</v>
      </c>
      <c r="AI145" s="194">
        <f t="shared" si="339"/>
        <v>-0.12072176751020969</v>
      </c>
      <c r="AJ145" s="194">
        <f t="shared" si="339"/>
        <v>-0.10675840445915341</v>
      </c>
      <c r="AK145" s="193">
        <f>AK144/AF144-1</f>
        <v>-0.10675840445915341</v>
      </c>
      <c r="AL145" s="194">
        <f t="shared" si="339"/>
        <v>-0.1226777242603122</v>
      </c>
      <c r="AM145" s="194">
        <f t="shared" si="339"/>
        <v>-5.6013903212253191E-2</v>
      </c>
      <c r="AN145" s="194">
        <f t="shared" si="339"/>
        <v>-6.8347001438066046E-2</v>
      </c>
      <c r="AO145" s="194">
        <f t="shared" si="339"/>
        <v>-0.10288410912423707</v>
      </c>
      <c r="AP145" s="193">
        <f>AP144/AK144-1</f>
        <v>-0.10288410912423707</v>
      </c>
      <c r="AQ145" s="194">
        <f t="shared" si="339"/>
        <v>0.15588945532599952</v>
      </c>
      <c r="AR145" s="194">
        <f t="shared" si="339"/>
        <v>0.43828521718019786</v>
      </c>
      <c r="AS145" s="194">
        <f t="shared" si="339"/>
        <v>0.55259589912600915</v>
      </c>
      <c r="AT145" s="194">
        <f t="shared" ref="AT145:AZ145" si="340">AT144/AO144-1</f>
        <v>0.57395935224432137</v>
      </c>
      <c r="AU145" s="193">
        <f t="shared" si="340"/>
        <v>0.57395935224432137</v>
      </c>
      <c r="AV145" s="194">
        <f t="shared" si="340"/>
        <v>0.25957074494678944</v>
      </c>
      <c r="AW145" s="194">
        <f t="shared" si="340"/>
        <v>-1.5008509979885454E-2</v>
      </c>
      <c r="AX145" s="194">
        <f t="shared" si="340"/>
        <v>-7.6458022651243351E-2</v>
      </c>
      <c r="AY145" s="194">
        <f t="shared" si="340"/>
        <v>-8.6866454909542923E-2</v>
      </c>
      <c r="AZ145" s="193">
        <f t="shared" si="340"/>
        <v>-8.6866454909542923E-2</v>
      </c>
      <c r="BA145" s="193"/>
      <c r="BB145" s="194">
        <f>BB144/AV144-1</f>
        <v>-8.2320919748798516E-2</v>
      </c>
      <c r="BC145" s="194">
        <f>BC144/AW144-1</f>
        <v>-9.7006826036043714E-2</v>
      </c>
      <c r="BD145" s="194">
        <f>BD144/AX144-1</f>
        <v>-9.8498734398184462E-2</v>
      </c>
      <c r="BE145" s="194">
        <f>BE144/AY144-1</f>
        <v>-9.5583787053841518E-2</v>
      </c>
      <c r="BF145" s="193">
        <f>BF144/AZ144-1</f>
        <v>-9.5583787053841518E-2</v>
      </c>
      <c r="BG145" s="194"/>
      <c r="BH145" s="194"/>
      <c r="BI145" s="194"/>
      <c r="BJ145" s="194"/>
      <c r="BK145" s="193"/>
      <c r="BL145" s="194">
        <f>BL144/BG144-1</f>
        <v>-9.4395103216514675E-2</v>
      </c>
      <c r="BM145" s="194">
        <f>BM144/BH144-1</f>
        <v>-9.9592589745560733E-2</v>
      </c>
      <c r="BN145" s="194">
        <f>BN144/BI144-1</f>
        <v>1.7079285490442242E-3</v>
      </c>
      <c r="BO145" s="194">
        <f>BO144/BJ144-1</f>
        <v>1.55772755039707E-2</v>
      </c>
      <c r="BP145" s="193">
        <f>BP144/BK144-1</f>
        <v>1.55772755039707E-2</v>
      </c>
      <c r="BQ145" s="195"/>
      <c r="BR145" s="194"/>
      <c r="BS145" s="194"/>
      <c r="BT145" s="548"/>
      <c r="BU145" s="193"/>
      <c r="BV145" s="195"/>
      <c r="BW145" s="194"/>
      <c r="BX145" s="194"/>
      <c r="BY145" s="194"/>
      <c r="BZ145" s="193"/>
      <c r="CA145" s="195"/>
      <c r="CB145" s="194"/>
      <c r="CC145" s="194"/>
      <c r="CD145" s="194"/>
      <c r="CE145" s="193"/>
      <c r="CF145" s="195"/>
      <c r="CG145" s="194"/>
      <c r="CH145" s="194"/>
      <c r="CI145" s="194"/>
      <c r="CJ145" s="193"/>
      <c r="CK145" s="196"/>
      <c r="CL145" s="238"/>
      <c r="CM145" s="661"/>
      <c r="CN145" s="661"/>
      <c r="CO145" s="661"/>
      <c r="CP145" s="1006"/>
      <c r="CQ145" s="1011"/>
      <c r="CR145" s="661"/>
      <c r="CS145" s="661"/>
      <c r="CT145" s="661"/>
      <c r="CU145" s="661"/>
      <c r="CV145" s="661"/>
      <c r="CW145" s="229"/>
      <c r="CX145" s="197"/>
      <c r="CY145" s="197"/>
      <c r="CZ145"/>
      <c r="DA145"/>
      <c r="DB145"/>
      <c r="DC145"/>
      <c r="DD145"/>
    </row>
    <row r="146" spans="1:108" s="198" customFormat="1" ht="12.75" hidden="1" customHeight="1" outlineLevel="1">
      <c r="A146" s="469" t="s">
        <v>256</v>
      </c>
      <c r="B146" s="458">
        <v>19368</v>
      </c>
      <c r="C146" s="458">
        <v>21338</v>
      </c>
      <c r="D146" s="458">
        <v>24841</v>
      </c>
      <c r="E146" s="458">
        <v>28220</v>
      </c>
      <c r="F146" s="458">
        <v>28186</v>
      </c>
      <c r="G146" s="458">
        <v>34024</v>
      </c>
      <c r="H146" s="459">
        <v>34536</v>
      </c>
      <c r="I146" s="459">
        <v>35409</v>
      </c>
      <c r="J146" s="459">
        <v>36902</v>
      </c>
      <c r="K146" s="459">
        <v>37194</v>
      </c>
      <c r="L146" s="458">
        <f>K146</f>
        <v>37194</v>
      </c>
      <c r="M146" s="459">
        <v>40052</v>
      </c>
      <c r="N146" s="459">
        <v>45236</v>
      </c>
      <c r="O146" s="459">
        <v>49674</v>
      </c>
      <c r="P146" s="459">
        <v>51712</v>
      </c>
      <c r="Q146" s="458">
        <f>P146</f>
        <v>51712</v>
      </c>
      <c r="R146" s="459">
        <v>49151</v>
      </c>
      <c r="S146" s="459">
        <v>47653</v>
      </c>
      <c r="T146" s="459">
        <v>46797</v>
      </c>
      <c r="U146" s="459">
        <v>45856</v>
      </c>
      <c r="V146" s="458">
        <f>U146</f>
        <v>45856</v>
      </c>
      <c r="W146" s="459">
        <v>47410</v>
      </c>
      <c r="X146" s="459">
        <v>45878</v>
      </c>
      <c r="Y146" s="459">
        <v>45593</v>
      </c>
      <c r="Z146" s="459">
        <v>43379</v>
      </c>
      <c r="AA146" s="458">
        <f>Z146</f>
        <v>43379</v>
      </c>
      <c r="AB146" s="459">
        <v>43859</v>
      </c>
      <c r="AC146" s="459">
        <v>44264</v>
      </c>
      <c r="AD146" s="459">
        <v>45901</v>
      </c>
      <c r="AE146" s="459">
        <v>44699</v>
      </c>
      <c r="AF146" s="458">
        <f>AE146</f>
        <v>44699</v>
      </c>
      <c r="AG146" s="449">
        <v>46251</v>
      </c>
      <c r="AH146" s="449">
        <v>43926</v>
      </c>
      <c r="AI146" s="449">
        <v>43219</v>
      </c>
      <c r="AJ146" s="449">
        <v>44525</v>
      </c>
      <c r="AK146" s="458">
        <f>AJ146</f>
        <v>44525</v>
      </c>
      <c r="AL146" s="449">
        <v>42415</v>
      </c>
      <c r="AM146" s="449">
        <v>41109</v>
      </c>
      <c r="AN146" s="449">
        <f>SUM(AN27,AN55,AN109,AN73)</f>
        <v>39995</v>
      </c>
      <c r="AO146" s="449">
        <f>SUM(AO27,AO55,AO109,AO73)</f>
        <v>38404</v>
      </c>
      <c r="AP146" s="458">
        <f>AO146</f>
        <v>38404</v>
      </c>
      <c r="AQ146" s="449">
        <f>SUM(AQ27,AQ55,AQ109,AQ73)</f>
        <v>48329</v>
      </c>
      <c r="AR146" s="449">
        <f>SUM(AR27,AR55,AR109,AR73)</f>
        <v>50720</v>
      </c>
      <c r="AS146" s="449">
        <f>SUM(AS27,AS55,AS109,AS73)</f>
        <v>54532</v>
      </c>
      <c r="AT146" s="449">
        <f>SUM(AT27,AT55,AT109,AT73)</f>
        <v>52929</v>
      </c>
      <c r="AU146" s="458">
        <f>AT146</f>
        <v>52929</v>
      </c>
      <c r="AV146" s="449">
        <f>SUM(AV27,AV55,AV109,AV73)</f>
        <v>55979</v>
      </c>
      <c r="AW146" s="449">
        <f>SUM(AW27,AW55,AW109,AW73)</f>
        <v>55436</v>
      </c>
      <c r="AX146" s="449">
        <f>SUM(AX27,AX55,AX109,AX73)</f>
        <v>53735</v>
      </c>
      <c r="AY146" s="449">
        <f>SUM(AY27,AY55,AY109,AY73)</f>
        <v>51783</v>
      </c>
      <c r="AZ146" s="458">
        <f>AY146</f>
        <v>51783</v>
      </c>
      <c r="BA146" s="458"/>
      <c r="BB146" s="449">
        <f>SUM(BB27,BB55,BB109,BB73)</f>
        <v>54714</v>
      </c>
      <c r="BC146" s="449">
        <f>SUM(BC27,BC55,BC109,BC73)</f>
        <v>53077</v>
      </c>
      <c r="BD146" s="449">
        <f>SUM(BD27,BD55,BD109,BD73)</f>
        <v>51369</v>
      </c>
      <c r="BE146" s="449">
        <f>SUM(BE27,BE55,BE109,BE73)</f>
        <v>49369</v>
      </c>
      <c r="BF146" s="458">
        <f>BE146</f>
        <v>49369</v>
      </c>
      <c r="BG146" s="449">
        <f t="shared" ref="BG146:BO146" si="341">SUM(BG27,BG55,BG109,BG73)</f>
        <v>56638</v>
      </c>
      <c r="BH146" s="449">
        <f t="shared" si="341"/>
        <v>54889</v>
      </c>
      <c r="BI146" s="449">
        <f t="shared" si="341"/>
        <v>53218</v>
      </c>
      <c r="BJ146" s="449">
        <f t="shared" si="341"/>
        <v>51783</v>
      </c>
      <c r="BK146" s="458">
        <f t="shared" si="341"/>
        <v>51783</v>
      </c>
      <c r="BL146" s="449">
        <f t="shared" si="341"/>
        <v>53257</v>
      </c>
      <c r="BM146" s="449">
        <f t="shared" si="341"/>
        <v>51707</v>
      </c>
      <c r="BN146" s="449">
        <f t="shared" si="341"/>
        <v>51931</v>
      </c>
      <c r="BO146" s="449">
        <f t="shared" si="341"/>
        <v>52031</v>
      </c>
      <c r="BP146" s="458">
        <f>BO146</f>
        <v>52031</v>
      </c>
      <c r="BQ146" s="451"/>
      <c r="BR146" s="449"/>
      <c r="BS146" s="449"/>
      <c r="BT146" s="453"/>
      <c r="BU146" s="458"/>
      <c r="BV146" s="451"/>
      <c r="BW146" s="449"/>
      <c r="BX146" s="449"/>
      <c r="BY146" s="449"/>
      <c r="BZ146" s="458"/>
      <c r="CA146" s="451"/>
      <c r="CB146" s="449"/>
      <c r="CC146" s="449"/>
      <c r="CD146" s="449"/>
      <c r="CE146" s="458"/>
      <c r="CF146" s="451"/>
      <c r="CG146" s="449"/>
      <c r="CH146" s="449"/>
      <c r="CI146" s="449"/>
      <c r="CJ146" s="458"/>
      <c r="CK146" s="196"/>
      <c r="CL146" s="238"/>
      <c r="CM146" s="661"/>
      <c r="CN146" s="661"/>
      <c r="CO146" s="661"/>
      <c r="CP146" s="661"/>
      <c r="CQ146" s="1011"/>
      <c r="CR146" s="661"/>
      <c r="CS146" s="661"/>
      <c r="CT146" s="661"/>
      <c r="CU146" s="661"/>
      <c r="CV146" s="661"/>
      <c r="CW146" s="229"/>
      <c r="CX146" s="197"/>
      <c r="CY146" s="197"/>
      <c r="CZ146"/>
      <c r="DA146"/>
      <c r="DB146"/>
      <c r="DC146"/>
      <c r="DD146"/>
    </row>
    <row r="147" spans="1:108" s="468" customFormat="1" ht="12.75" hidden="1" customHeight="1" outlineLevel="1">
      <c r="A147" s="460" t="s">
        <v>257</v>
      </c>
      <c r="B147" s="461">
        <f t="shared" ref="B147:AR147" si="342">B146/B144</f>
        <v>0.722255369928401</v>
      </c>
      <c r="C147" s="461">
        <f t="shared" si="342"/>
        <v>0.73652963308135722</v>
      </c>
      <c r="D147" s="461">
        <f t="shared" si="342"/>
        <v>0.61116988559478413</v>
      </c>
      <c r="E147" s="461">
        <f t="shared" si="342"/>
        <v>0.67179279643868883</v>
      </c>
      <c r="F147" s="461">
        <f t="shared" si="342"/>
        <v>0.69161309319330622</v>
      </c>
      <c r="G147" s="461">
        <f t="shared" si="342"/>
        <v>0.7791696246593538</v>
      </c>
      <c r="H147" s="462">
        <f t="shared" si="342"/>
        <v>0.7915472943549311</v>
      </c>
      <c r="I147" s="462">
        <f t="shared" si="342"/>
        <v>0.79401278170198453</v>
      </c>
      <c r="J147" s="462">
        <f t="shared" si="342"/>
        <v>0.79277305147374755</v>
      </c>
      <c r="K147" s="462">
        <f t="shared" si="342"/>
        <v>0.79420054663477968</v>
      </c>
      <c r="L147" s="461">
        <f t="shared" si="342"/>
        <v>0.79420054663477968</v>
      </c>
      <c r="M147" s="462">
        <f t="shared" si="342"/>
        <v>0.80479032290473607</v>
      </c>
      <c r="N147" s="462">
        <f t="shared" si="342"/>
        <v>0.81768555005242038</v>
      </c>
      <c r="O147" s="462">
        <f t="shared" si="342"/>
        <v>0.82120716163269358</v>
      </c>
      <c r="P147" s="462">
        <f t="shared" si="342"/>
        <v>0.69761355511487044</v>
      </c>
      <c r="Q147" s="461">
        <f t="shared" si="342"/>
        <v>0.69761355511487044</v>
      </c>
      <c r="R147" s="462">
        <f t="shared" si="342"/>
        <v>0.6910509666080844</v>
      </c>
      <c r="S147" s="462">
        <f t="shared" si="342"/>
        <v>0.70484262217489058</v>
      </c>
      <c r="T147" s="462">
        <f t="shared" si="342"/>
        <v>0.7063804736675271</v>
      </c>
      <c r="U147" s="462">
        <f t="shared" si="342"/>
        <v>0.69961095430620179</v>
      </c>
      <c r="V147" s="461">
        <f t="shared" si="342"/>
        <v>0.69961095430620179</v>
      </c>
      <c r="W147" s="462">
        <f t="shared" si="342"/>
        <v>0.74233551498449879</v>
      </c>
      <c r="X147" s="462">
        <f t="shared" si="342"/>
        <v>0.7338366550433475</v>
      </c>
      <c r="Y147" s="462">
        <f t="shared" si="342"/>
        <v>0.73738092542575728</v>
      </c>
      <c r="Z147" s="462">
        <f t="shared" si="342"/>
        <v>0.72831215056832488</v>
      </c>
      <c r="AA147" s="461">
        <f t="shared" si="342"/>
        <v>0.72831215056832488</v>
      </c>
      <c r="AB147" s="462">
        <f t="shared" si="342"/>
        <v>0.76175837154369874</v>
      </c>
      <c r="AC147" s="462">
        <f t="shared" si="342"/>
        <v>0.77498424259401921</v>
      </c>
      <c r="AD147" s="462">
        <f t="shared" si="342"/>
        <v>0.78432411188763396</v>
      </c>
      <c r="AE147" s="462">
        <f t="shared" si="342"/>
        <v>0.77859257968994944</v>
      </c>
      <c r="AF147" s="461">
        <f t="shared" si="342"/>
        <v>0.77859257968994944</v>
      </c>
      <c r="AG147" s="462">
        <f t="shared" si="342"/>
        <v>0.83748596675478937</v>
      </c>
      <c r="AH147" s="462">
        <f t="shared" si="342"/>
        <v>0.83889079867079175</v>
      </c>
      <c r="AI147" s="462">
        <f t="shared" si="342"/>
        <v>0.83988884138520736</v>
      </c>
      <c r="AJ147" s="462">
        <f t="shared" si="342"/>
        <v>0.86825529923363431</v>
      </c>
      <c r="AK147" s="461">
        <f t="shared" si="342"/>
        <v>0.86825529923363431</v>
      </c>
      <c r="AL147" s="462">
        <f t="shared" si="342"/>
        <v>0.87542052795607939</v>
      </c>
      <c r="AM147" s="462">
        <f t="shared" si="342"/>
        <v>0.83167776001942184</v>
      </c>
      <c r="AN147" s="462">
        <f t="shared" si="342"/>
        <v>0.83425460461817647</v>
      </c>
      <c r="AO147" s="462">
        <f t="shared" si="342"/>
        <v>0.83477882838821871</v>
      </c>
      <c r="AP147" s="461">
        <f t="shared" si="342"/>
        <v>0.83477882838821871</v>
      </c>
      <c r="AQ147" s="462">
        <f t="shared" si="342"/>
        <v>0.86295621741304196</v>
      </c>
      <c r="AR147" s="462">
        <f t="shared" si="342"/>
        <v>0.71343170213663798</v>
      </c>
      <c r="AS147" s="462">
        <f t="shared" ref="AS147:AX147" si="343">AS146/AS144</f>
        <v>0.73263203149140843</v>
      </c>
      <c r="AT147" s="462">
        <f t="shared" si="343"/>
        <v>0.73096257423007871</v>
      </c>
      <c r="AU147" s="461">
        <f t="shared" si="343"/>
        <v>0.73096257423007871</v>
      </c>
      <c r="AV147" s="462">
        <f t="shared" si="343"/>
        <v>0.79356686182503788</v>
      </c>
      <c r="AW147" s="462">
        <f t="shared" si="343"/>
        <v>0.79164881615399996</v>
      </c>
      <c r="AX147" s="462">
        <f t="shared" si="343"/>
        <v>0.78169096040266506</v>
      </c>
      <c r="AY147" s="462">
        <f t="shared" ref="AY147:BG147" si="344">AY146/AY144</f>
        <v>0.78316696914700545</v>
      </c>
      <c r="AZ147" s="461">
        <f t="shared" si="344"/>
        <v>0.78316696914700545</v>
      </c>
      <c r="BA147" s="461"/>
      <c r="BB147" s="462">
        <f t="shared" si="344"/>
        <v>0.84521271665585318</v>
      </c>
      <c r="BC147" s="462">
        <f t="shared" si="344"/>
        <v>0.83938766150585931</v>
      </c>
      <c r="BD147" s="462">
        <f t="shared" si="344"/>
        <v>0.82891997869971434</v>
      </c>
      <c r="BE147" s="462">
        <f t="shared" si="344"/>
        <v>0.82556856187290972</v>
      </c>
      <c r="BF147" s="461">
        <f t="shared" si="344"/>
        <v>0.82556856187290972</v>
      </c>
      <c r="BG147" s="462">
        <f t="shared" si="344"/>
        <v>0.84970595295247242</v>
      </c>
      <c r="BH147" s="462">
        <f t="shared" ref="BH147:BJ147" si="345">BH146/BH144</f>
        <v>0.84386194173264661</v>
      </c>
      <c r="BI147" s="462">
        <f t="shared" si="345"/>
        <v>0.83387652773425258</v>
      </c>
      <c r="BJ147" s="462">
        <f t="shared" si="345"/>
        <v>0.83244381570909554</v>
      </c>
      <c r="BK147" s="461">
        <f t="shared" ref="BK147:BL147" si="346">BK146/BK144</f>
        <v>0.83244381570909554</v>
      </c>
      <c r="BL147" s="462">
        <f t="shared" si="346"/>
        <v>0.88226426346829234</v>
      </c>
      <c r="BM147" s="462">
        <f t="shared" ref="BM147:BN147" si="347">BM146/BM144</f>
        <v>0.88286919254870488</v>
      </c>
      <c r="BN147" s="462">
        <f t="shared" si="347"/>
        <v>0.81232304587902204</v>
      </c>
      <c r="BO147" s="462">
        <f t="shared" ref="BO147:BP147" si="348">BO146/BO144</f>
        <v>0.82360110803324105</v>
      </c>
      <c r="BP147" s="461">
        <f t="shared" si="348"/>
        <v>0.82360110803324105</v>
      </c>
      <c r="BQ147" s="463"/>
      <c r="BR147" s="462"/>
      <c r="BS147" s="462"/>
      <c r="BT147" s="1123"/>
      <c r="BU147" s="461"/>
      <c r="BV147" s="463"/>
      <c r="BW147" s="462"/>
      <c r="BX147" s="462"/>
      <c r="BY147" s="462"/>
      <c r="BZ147" s="461"/>
      <c r="CA147" s="463"/>
      <c r="CB147" s="462"/>
      <c r="CC147" s="462"/>
      <c r="CD147" s="462"/>
      <c r="CE147" s="461"/>
      <c r="CF147" s="463"/>
      <c r="CG147" s="462"/>
      <c r="CH147" s="462"/>
      <c r="CI147" s="462"/>
      <c r="CJ147" s="461"/>
      <c r="CK147" s="464"/>
      <c r="CL147" s="465"/>
      <c r="CM147" s="731"/>
      <c r="CN147" s="731"/>
      <c r="CO147" s="731"/>
      <c r="CP147" s="731"/>
      <c r="CQ147" s="1011"/>
      <c r="CR147" s="731"/>
      <c r="CS147" s="731"/>
      <c r="CT147" s="731"/>
      <c r="CU147" s="731"/>
      <c r="CV147" s="731"/>
      <c r="CW147" s="466"/>
      <c r="CX147" s="467"/>
      <c r="CY147" s="467"/>
      <c r="CZ147"/>
      <c r="DA147"/>
      <c r="DB147"/>
      <c r="DC147"/>
      <c r="DD147"/>
    </row>
    <row r="148" spans="1:108" s="198" customFormat="1" ht="12.75" hidden="1" customHeight="1" outlineLevel="1">
      <c r="A148" s="469" t="s">
        <v>258</v>
      </c>
      <c r="B148" s="458">
        <v>7448</v>
      </c>
      <c r="C148" s="458">
        <v>7633</v>
      </c>
      <c r="D148" s="458">
        <v>15804</v>
      </c>
      <c r="E148" s="458">
        <v>13787</v>
      </c>
      <c r="F148" s="458">
        <v>12568</v>
      </c>
      <c r="G148" s="458">
        <v>9643</v>
      </c>
      <c r="H148" s="459">
        <v>9095</v>
      </c>
      <c r="I148" s="459">
        <v>9186</v>
      </c>
      <c r="J148" s="459">
        <v>9646</v>
      </c>
      <c r="K148" s="641">
        <v>9630</v>
      </c>
      <c r="L148" s="458">
        <f>K148</f>
        <v>9630</v>
      </c>
      <c r="M148" s="459">
        <v>9715</v>
      </c>
      <c r="N148" s="459">
        <v>10086</v>
      </c>
      <c r="O148" s="459">
        <v>10815</v>
      </c>
      <c r="P148" s="459">
        <v>22415</v>
      </c>
      <c r="Q148" s="458">
        <f>P148</f>
        <v>22415</v>
      </c>
      <c r="R148" s="459">
        <v>21974</v>
      </c>
      <c r="S148" s="459">
        <v>19955</v>
      </c>
      <c r="T148" s="459">
        <v>19452</v>
      </c>
      <c r="U148" s="459">
        <v>19689</v>
      </c>
      <c r="V148" s="458">
        <f>U148</f>
        <v>19689</v>
      </c>
      <c r="W148" s="459">
        <v>16456</v>
      </c>
      <c r="X148" s="459">
        <v>16640</v>
      </c>
      <c r="Y148" s="459">
        <v>16238</v>
      </c>
      <c r="Z148" s="459">
        <v>16182</v>
      </c>
      <c r="AA148" s="458">
        <f>Z148</f>
        <v>16182</v>
      </c>
      <c r="AB148" s="459">
        <v>13717</v>
      </c>
      <c r="AC148" s="459">
        <v>12852</v>
      </c>
      <c r="AD148" s="459">
        <v>12622</v>
      </c>
      <c r="AE148" s="459">
        <v>12711</v>
      </c>
      <c r="AF148" s="458">
        <f>AE148</f>
        <v>12711</v>
      </c>
      <c r="AG148" s="449">
        <v>8975</v>
      </c>
      <c r="AH148" s="449">
        <v>8436</v>
      </c>
      <c r="AI148" s="449">
        <v>8238</v>
      </c>
      <c r="AJ148" s="449">
        <v>6756</v>
      </c>
      <c r="AK148" s="458">
        <f>AJ148</f>
        <v>6756</v>
      </c>
      <c r="AL148" s="449">
        <v>6036</v>
      </c>
      <c r="AM148" s="449">
        <v>8317</v>
      </c>
      <c r="AN148" s="449">
        <f>SUM(AN29,AN57,AN111,AN75)</f>
        <v>7946</v>
      </c>
      <c r="AO148" s="449">
        <f>SUM(AO29,AO57,AO111,AO75)</f>
        <v>7601</v>
      </c>
      <c r="AP148" s="458">
        <f>AO148</f>
        <v>7601</v>
      </c>
      <c r="AQ148" s="449">
        <f>SUM(AQ29,AQ57,AQ111,AQ75)</f>
        <v>7675</v>
      </c>
      <c r="AR148" s="449">
        <f>SUM(AR29,AR57,AR111,AR75)</f>
        <v>20373</v>
      </c>
      <c r="AS148" s="449">
        <f>SUM(AS29,AS57,AS111,AS75)</f>
        <v>19901</v>
      </c>
      <c r="AT148" s="449">
        <f>SUM(AT29,AT57,AT111,AT75)</f>
        <v>19481</v>
      </c>
      <c r="AU148" s="458">
        <f>AT148</f>
        <v>19481</v>
      </c>
      <c r="AV148" s="449">
        <f>SUM(AV29,AV57,AV111,AV75)</f>
        <v>14562</v>
      </c>
      <c r="AW148" s="449">
        <f>SUM(AW29,AW57,AW111,AW75)</f>
        <v>14590</v>
      </c>
      <c r="AX148" s="449">
        <f>SUM(AX29,AX57,AX111,AX75)</f>
        <v>15007</v>
      </c>
      <c r="AY148" s="449">
        <f>SUM(AY29,AY57,AY111,AY75)</f>
        <v>14337</v>
      </c>
      <c r="AZ148" s="458">
        <f>AY148</f>
        <v>14337</v>
      </c>
      <c r="BA148" s="458"/>
      <c r="BB148" s="449">
        <f>SUM(BB29,BB57,BB111,BB75)</f>
        <v>10020</v>
      </c>
      <c r="BC148" s="449">
        <f>SUM(BC29,BC57,BC111,BC75)</f>
        <v>10156</v>
      </c>
      <c r="BD148" s="449">
        <f>SUM(BD29,BD57,BD111,BD75)</f>
        <v>10602</v>
      </c>
      <c r="BE148" s="449">
        <f>SUM(BE29,BE57,BE111,BE75)</f>
        <v>10431</v>
      </c>
      <c r="BF148" s="458">
        <f>BE148</f>
        <v>10431</v>
      </c>
      <c r="BG148" s="449">
        <f t="shared" ref="BG148:BO148" si="349">SUM(BG29,BG57,BG111,BG75)</f>
        <v>10018</v>
      </c>
      <c r="BH148" s="449">
        <f t="shared" si="349"/>
        <v>10156</v>
      </c>
      <c r="BI148" s="449">
        <f t="shared" si="349"/>
        <v>10602</v>
      </c>
      <c r="BJ148" s="449">
        <f t="shared" si="349"/>
        <v>10423</v>
      </c>
      <c r="BK148" s="458">
        <f t="shared" si="349"/>
        <v>10423</v>
      </c>
      <c r="BL148" s="449">
        <f t="shared" si="349"/>
        <v>7107</v>
      </c>
      <c r="BM148" s="449">
        <f t="shared" si="349"/>
        <v>6860</v>
      </c>
      <c r="BN148" s="449">
        <f t="shared" si="349"/>
        <v>11998</v>
      </c>
      <c r="BO148" s="449">
        <f t="shared" si="349"/>
        <v>11144</v>
      </c>
      <c r="BP148" s="458">
        <f>BO148</f>
        <v>11144</v>
      </c>
      <c r="BQ148" s="451"/>
      <c r="BR148" s="449"/>
      <c r="BS148" s="449"/>
      <c r="BT148" s="453"/>
      <c r="BU148" s="458"/>
      <c r="BV148" s="451"/>
      <c r="BW148" s="449"/>
      <c r="BX148" s="449"/>
      <c r="BY148" s="449"/>
      <c r="BZ148" s="458"/>
      <c r="CA148" s="451"/>
      <c r="CB148" s="449"/>
      <c r="CC148" s="449"/>
      <c r="CD148" s="449"/>
      <c r="CE148" s="458"/>
      <c r="CF148" s="451"/>
      <c r="CG148" s="449"/>
      <c r="CH148" s="449"/>
      <c r="CI148" s="449"/>
      <c r="CJ148" s="458"/>
      <c r="CK148" s="196"/>
      <c r="CL148" s="238"/>
      <c r="CM148" s="661"/>
      <c r="CN148" s="661"/>
      <c r="CO148" s="661"/>
      <c r="CP148" s="661"/>
      <c r="CQ148" s="1011"/>
      <c r="CR148" s="661"/>
      <c r="CS148" s="661"/>
      <c r="CT148" s="661"/>
      <c r="CU148" s="661"/>
      <c r="CV148" s="661"/>
      <c r="CW148" s="229"/>
      <c r="CX148" s="197"/>
      <c r="CY148" s="197"/>
      <c r="CZ148"/>
      <c r="DA148"/>
      <c r="DB148"/>
      <c r="DC148"/>
      <c r="DD148"/>
    </row>
    <row r="149" spans="1:108" s="468" customFormat="1" ht="12.75" hidden="1" customHeight="1" outlineLevel="1">
      <c r="A149" s="460" t="s">
        <v>257</v>
      </c>
      <c r="B149" s="461">
        <f t="shared" ref="B149:AR149" si="350">B148/B144</f>
        <v>0.27774463007159905</v>
      </c>
      <c r="C149" s="461">
        <f t="shared" si="350"/>
        <v>0.26347036691864278</v>
      </c>
      <c r="D149" s="461">
        <f t="shared" si="350"/>
        <v>0.38883011440521592</v>
      </c>
      <c r="E149" s="461">
        <f t="shared" si="350"/>
        <v>0.32820720356131122</v>
      </c>
      <c r="F149" s="461">
        <f t="shared" si="350"/>
        <v>0.30838690680669384</v>
      </c>
      <c r="G149" s="461">
        <f t="shared" si="350"/>
        <v>0.22083037534064626</v>
      </c>
      <c r="H149" s="462">
        <f t="shared" si="350"/>
        <v>0.20845270564506888</v>
      </c>
      <c r="I149" s="462">
        <f t="shared" si="350"/>
        <v>0.20598721829801547</v>
      </c>
      <c r="J149" s="462">
        <f t="shared" si="350"/>
        <v>0.20722694852625248</v>
      </c>
      <c r="K149" s="462">
        <f t="shared" si="350"/>
        <v>0.20562862999658355</v>
      </c>
      <c r="L149" s="461">
        <f t="shared" si="350"/>
        <v>0.20562862999658355</v>
      </c>
      <c r="M149" s="462">
        <f t="shared" si="350"/>
        <v>0.19520967709526393</v>
      </c>
      <c r="N149" s="462">
        <f t="shared" si="350"/>
        <v>0.18231444994757962</v>
      </c>
      <c r="O149" s="462">
        <f t="shared" si="350"/>
        <v>0.17879283836730644</v>
      </c>
      <c r="P149" s="462">
        <f t="shared" si="350"/>
        <v>0.30238644488512956</v>
      </c>
      <c r="Q149" s="461">
        <f t="shared" si="350"/>
        <v>0.30238644488512956</v>
      </c>
      <c r="R149" s="462">
        <f t="shared" si="350"/>
        <v>0.30894903339191565</v>
      </c>
      <c r="S149" s="462">
        <f t="shared" si="350"/>
        <v>0.29515737782510948</v>
      </c>
      <c r="T149" s="462">
        <f t="shared" si="350"/>
        <v>0.29361952633247296</v>
      </c>
      <c r="U149" s="462">
        <f t="shared" si="350"/>
        <v>0.30038904569379815</v>
      </c>
      <c r="V149" s="461">
        <f t="shared" si="350"/>
        <v>0.30038904569379815</v>
      </c>
      <c r="W149" s="462">
        <f t="shared" si="350"/>
        <v>0.25766448501550121</v>
      </c>
      <c r="X149" s="462">
        <f t="shared" si="350"/>
        <v>0.2661633449566525</v>
      </c>
      <c r="Y149" s="462">
        <f t="shared" si="350"/>
        <v>0.26261907457424272</v>
      </c>
      <c r="Z149" s="462">
        <f t="shared" si="350"/>
        <v>0.27168784943167507</v>
      </c>
      <c r="AA149" s="461">
        <f t="shared" si="350"/>
        <v>0.27168784943167507</v>
      </c>
      <c r="AB149" s="462">
        <f t="shared" si="350"/>
        <v>0.23824162845630123</v>
      </c>
      <c r="AC149" s="462">
        <f t="shared" si="350"/>
        <v>0.22501575740598082</v>
      </c>
      <c r="AD149" s="462">
        <f t="shared" si="350"/>
        <v>0.21567588811236607</v>
      </c>
      <c r="AE149" s="462">
        <f t="shared" si="350"/>
        <v>0.22140742031005051</v>
      </c>
      <c r="AF149" s="461">
        <f t="shared" si="350"/>
        <v>0.22140742031005051</v>
      </c>
      <c r="AG149" s="462">
        <f t="shared" si="350"/>
        <v>0.16251403324521058</v>
      </c>
      <c r="AH149" s="462">
        <f t="shared" si="350"/>
        <v>0.1611092013292082</v>
      </c>
      <c r="AI149" s="462">
        <f t="shared" si="350"/>
        <v>0.1600917252905282</v>
      </c>
      <c r="AJ149" s="462">
        <f t="shared" si="350"/>
        <v>0.13174470076636571</v>
      </c>
      <c r="AK149" s="461">
        <f t="shared" si="350"/>
        <v>0.13174470076636571</v>
      </c>
      <c r="AL149" s="462">
        <f t="shared" si="350"/>
        <v>0.12457947204392066</v>
      </c>
      <c r="AM149" s="462">
        <f t="shared" si="350"/>
        <v>0.16826154686520059</v>
      </c>
      <c r="AN149" s="462">
        <f t="shared" si="350"/>
        <v>0.16574539538182348</v>
      </c>
      <c r="AO149" s="462">
        <f t="shared" si="350"/>
        <v>0.16522117161178132</v>
      </c>
      <c r="AP149" s="461">
        <f t="shared" si="350"/>
        <v>0.16522117161178132</v>
      </c>
      <c r="AQ149" s="462">
        <f t="shared" si="350"/>
        <v>0.13704378258695807</v>
      </c>
      <c r="AR149" s="462">
        <f t="shared" si="350"/>
        <v>0.28656829786336208</v>
      </c>
      <c r="AS149" s="462">
        <f t="shared" ref="AS149:AX149" si="351">AS148/AS144</f>
        <v>0.26736796850859162</v>
      </c>
      <c r="AT149" s="462">
        <f t="shared" si="351"/>
        <v>0.26903742576992129</v>
      </c>
      <c r="AU149" s="461">
        <f t="shared" si="351"/>
        <v>0.26903742576992129</v>
      </c>
      <c r="AV149" s="462">
        <f t="shared" si="351"/>
        <v>0.20643313817496209</v>
      </c>
      <c r="AW149" s="462">
        <f t="shared" si="351"/>
        <v>0.20835118384600007</v>
      </c>
      <c r="AX149" s="462">
        <f t="shared" si="351"/>
        <v>0.21830903959733497</v>
      </c>
      <c r="AY149" s="462">
        <f t="shared" ref="AY149:BG149" si="352">AY148/AY144</f>
        <v>0.21683303085299455</v>
      </c>
      <c r="AZ149" s="461">
        <f t="shared" si="352"/>
        <v>0.21683303085299455</v>
      </c>
      <c r="BA149" s="461"/>
      <c r="BB149" s="462">
        <f t="shared" si="352"/>
        <v>0.15478728334414682</v>
      </c>
      <c r="BC149" s="462">
        <f t="shared" si="352"/>
        <v>0.16061233849414072</v>
      </c>
      <c r="BD149" s="462">
        <f t="shared" si="352"/>
        <v>0.17108002130028563</v>
      </c>
      <c r="BE149" s="462">
        <f t="shared" si="352"/>
        <v>0.1744314381270903</v>
      </c>
      <c r="BF149" s="461">
        <f t="shared" si="352"/>
        <v>0.1744314381270903</v>
      </c>
      <c r="BG149" s="462">
        <f t="shared" si="352"/>
        <v>0.15029404704752761</v>
      </c>
      <c r="BH149" s="462">
        <f t="shared" ref="BH149:BJ149" si="353">BH148/BH144</f>
        <v>0.15613805826735336</v>
      </c>
      <c r="BI149" s="462">
        <f t="shared" si="353"/>
        <v>0.16612347226574742</v>
      </c>
      <c r="BJ149" s="462">
        <f t="shared" si="353"/>
        <v>0.16755618429090441</v>
      </c>
      <c r="BK149" s="461">
        <f t="shared" ref="BK149:BL149" si="354">BK148/BK144</f>
        <v>0.16755618429090441</v>
      </c>
      <c r="BL149" s="462">
        <f t="shared" si="354"/>
        <v>0.11773573653170764</v>
      </c>
      <c r="BM149" s="462">
        <f t="shared" ref="BM149:BN149" si="355">BM148/BM144</f>
        <v>0.1171308074512951</v>
      </c>
      <c r="BN149" s="462">
        <f t="shared" si="355"/>
        <v>0.18767695412097796</v>
      </c>
      <c r="BO149" s="462">
        <f t="shared" ref="BO149:BP149" si="356">BO148/BO144</f>
        <v>0.17639889196675901</v>
      </c>
      <c r="BP149" s="461">
        <f t="shared" si="356"/>
        <v>0.17639889196675901</v>
      </c>
      <c r="BQ149" s="463"/>
      <c r="BR149" s="462"/>
      <c r="BS149" s="462"/>
      <c r="BT149" s="1123"/>
      <c r="BU149" s="461"/>
      <c r="BV149" s="463"/>
      <c r="BW149" s="462"/>
      <c r="BX149" s="462"/>
      <c r="BY149" s="462"/>
      <c r="BZ149" s="461"/>
      <c r="CA149" s="463"/>
      <c r="CB149" s="462"/>
      <c r="CC149" s="462"/>
      <c r="CD149" s="462"/>
      <c r="CE149" s="461"/>
      <c r="CF149" s="463"/>
      <c r="CG149" s="462"/>
      <c r="CH149" s="462"/>
      <c r="CI149" s="462"/>
      <c r="CJ149" s="461"/>
      <c r="CK149" s="464"/>
      <c r="CL149" s="465"/>
      <c r="CM149" s="731"/>
      <c r="CN149" s="731"/>
      <c r="CO149" s="731"/>
      <c r="CP149" s="731"/>
      <c r="CQ149" s="1011"/>
      <c r="CR149" s="731"/>
      <c r="CS149" s="731"/>
      <c r="CT149" s="731"/>
      <c r="CU149" s="731"/>
      <c r="CV149" s="731"/>
      <c r="CW149" s="466"/>
      <c r="CX149" s="467"/>
      <c r="CY149" s="467"/>
      <c r="CZ149"/>
      <c r="DA149"/>
      <c r="DB149"/>
      <c r="DC149"/>
      <c r="DD149"/>
    </row>
    <row r="150" spans="1:108" s="198" customFormat="1" ht="12.75" hidden="1" customHeight="1" outlineLevel="1">
      <c r="A150" s="452" t="s">
        <v>139</v>
      </c>
      <c r="B150" s="448"/>
      <c r="C150" s="448">
        <f t="shared" ref="C150:K150" si="357">C144-(B144-C128)</f>
        <v>15549</v>
      </c>
      <c r="D150" s="448">
        <f t="shared" si="357"/>
        <v>27787</v>
      </c>
      <c r="E150" s="448">
        <f t="shared" si="357"/>
        <v>20229</v>
      </c>
      <c r="F150" s="448">
        <f t="shared" si="357"/>
        <v>19722</v>
      </c>
      <c r="G150" s="448">
        <f t="shared" si="357"/>
        <v>26976</v>
      </c>
      <c r="H150" s="449">
        <f t="shared" si="357"/>
        <v>6264</v>
      </c>
      <c r="I150" s="449">
        <f t="shared" si="357"/>
        <v>7555</v>
      </c>
      <c r="J150" s="449">
        <f t="shared" si="357"/>
        <v>8787</v>
      </c>
      <c r="K150" s="449">
        <f t="shared" si="357"/>
        <v>7799</v>
      </c>
      <c r="L150" s="448">
        <f>L144-(G144-L128)</f>
        <v>30405</v>
      </c>
      <c r="M150" s="449">
        <f>M144-(L144-M128)</f>
        <v>9940</v>
      </c>
      <c r="N150" s="449">
        <f>N144-(M144-N128)</f>
        <v>12858</v>
      </c>
      <c r="O150" s="449">
        <f>O144-(N144-O128)</f>
        <v>12307</v>
      </c>
      <c r="P150" s="449">
        <f>P144-(O144-P128)</f>
        <v>21490</v>
      </c>
      <c r="Q150" s="448">
        <f>Q144-(L144-Q128)</f>
        <v>56595</v>
      </c>
      <c r="R150" s="449">
        <f>R144-(Q144-R128)</f>
        <v>5262</v>
      </c>
      <c r="S150" s="449">
        <f>S144-(R144-S128)</f>
        <v>4583</v>
      </c>
      <c r="T150" s="449">
        <f>T144-(S144-T128)</f>
        <v>6360</v>
      </c>
      <c r="U150" s="449">
        <f>U144-(T144-U128)</f>
        <v>7194</v>
      </c>
      <c r="V150" s="448">
        <f>V144-(Q144-V128)</f>
        <v>23399</v>
      </c>
      <c r="W150" s="449">
        <f>W144-(V144-W128)</f>
        <v>6071</v>
      </c>
      <c r="X150" s="449">
        <f>X144-(W144-X128)</f>
        <v>6756</v>
      </c>
      <c r="Y150" s="449">
        <f>Y144-(X144-Y128)</f>
        <v>7324</v>
      </c>
      <c r="Z150" s="449">
        <f>Z144-(Y144-Z128)</f>
        <v>6331</v>
      </c>
      <c r="AA150" s="448">
        <f>AA144-(V144-AA128)</f>
        <v>26482</v>
      </c>
      <c r="AB150" s="449">
        <f>AB144-(AA144-AB128)</f>
        <v>5813</v>
      </c>
      <c r="AC150" s="449">
        <f>AC144-(AB144-AC128)</f>
        <v>7419</v>
      </c>
      <c r="AD150" s="449">
        <f>AD144-(AC144-AD128)</f>
        <v>9260</v>
      </c>
      <c r="AE150" s="449">
        <f>AE144-(AD144-AE128)</f>
        <v>8034</v>
      </c>
      <c r="AF150" s="448">
        <f>AF144-(AA144-AF128)</f>
        <v>30526</v>
      </c>
      <c r="AG150" s="449">
        <f>AG144-(AF144-AG128)</f>
        <v>5395</v>
      </c>
      <c r="AH150" s="449">
        <f>AH144-(AG144-AH128)</f>
        <v>5058</v>
      </c>
      <c r="AI150" s="449">
        <f>AI144-(AH144-AI128)</f>
        <v>7030</v>
      </c>
      <c r="AJ150" s="449">
        <f>AJ144-(AI144-AJ128)</f>
        <v>7901</v>
      </c>
      <c r="AK150" s="448">
        <f>AK144-(AF144-AK128)</f>
        <v>25384</v>
      </c>
      <c r="AL150" s="449">
        <f>AL144-(AK144-AL128)</f>
        <v>4574</v>
      </c>
      <c r="AM150" s="449">
        <f>AM144-(AL144-AM128)</f>
        <v>8889</v>
      </c>
      <c r="AN150" s="449">
        <f>AN144-(AM144-AN128)</f>
        <v>6308</v>
      </c>
      <c r="AO150" s="449">
        <f>AO144-(AN144-AO128)</f>
        <v>5883</v>
      </c>
      <c r="AP150" s="448">
        <f>AP144-(AK144-AP128)</f>
        <v>25654</v>
      </c>
      <c r="AQ150" s="449">
        <f>AQ144-(AP144-AQ128)</f>
        <v>17323</v>
      </c>
      <c r="AR150" s="449">
        <f>AR144-(AQ144-AR128)</f>
        <v>22563</v>
      </c>
      <c r="AS150" s="449">
        <f>AS144-(AR144-AS128)</f>
        <v>11091</v>
      </c>
      <c r="AT150" s="449">
        <f>AT144-(AS144-AT128)</f>
        <v>6280</v>
      </c>
      <c r="AU150" s="448">
        <f>AU144-(AP144-AU128)</f>
        <v>57257</v>
      </c>
      <c r="AV150" s="449">
        <f>AV144-(AU144-AV128)</f>
        <v>5915</v>
      </c>
      <c r="AW150" s="449">
        <f>AW144-(AV144-AW128)</f>
        <v>7367</v>
      </c>
      <c r="AX150" s="449">
        <f>AX144-(AW144-AX128)</f>
        <v>6710</v>
      </c>
      <c r="AY150" s="449">
        <f>AY144-(AX144-AY128)</f>
        <v>5187</v>
      </c>
      <c r="AZ150" s="448">
        <f>AZ144-(AU144-AZ128)</f>
        <v>25179</v>
      </c>
      <c r="BA150" s="448"/>
      <c r="BB150" s="449">
        <f>BB144-(AZ144-BB128)</f>
        <v>6338</v>
      </c>
      <c r="BC150" s="449">
        <f>BC144-(BB144-BC128)</f>
        <v>6164</v>
      </c>
      <c r="BD150" s="449">
        <f>BD144-(BC144-BD128)</f>
        <v>6469</v>
      </c>
      <c r="BE150" s="449">
        <f>BE144-(BD144-BE128)</f>
        <v>6062</v>
      </c>
      <c r="BF150" s="448">
        <f>BF144-(AZ144-BF128)</f>
        <v>25033</v>
      </c>
      <c r="BG150" s="449"/>
      <c r="BH150" s="449"/>
      <c r="BI150" s="449"/>
      <c r="BJ150" s="449"/>
      <c r="BK150" s="448"/>
      <c r="BL150" s="449">
        <f>BL144-(BF144-BL128)</f>
        <v>8005</v>
      </c>
      <c r="BM150" s="449">
        <f>BM144-(BG144-BM128)</f>
        <v>-414</v>
      </c>
      <c r="BN150" s="449">
        <f>BN144-(BM144-BN128)</f>
        <v>12942</v>
      </c>
      <c r="BO150" s="449">
        <f>BO144-(BN144-BO128)</f>
        <v>7523</v>
      </c>
      <c r="BP150" s="448">
        <f>BP144-(BF144-BP128)</f>
        <v>34348</v>
      </c>
      <c r="BQ150" s="451"/>
      <c r="BR150" s="449"/>
      <c r="BS150" s="449"/>
      <c r="BT150" s="453"/>
      <c r="BU150" s="448"/>
      <c r="BV150" s="451"/>
      <c r="BW150" s="449"/>
      <c r="BX150" s="449"/>
      <c r="BY150" s="449"/>
      <c r="BZ150" s="448"/>
      <c r="CA150" s="451"/>
      <c r="CB150" s="449"/>
      <c r="CC150" s="449"/>
      <c r="CD150" s="449"/>
      <c r="CE150" s="448"/>
      <c r="CF150" s="451"/>
      <c r="CG150" s="449"/>
      <c r="CH150" s="449"/>
      <c r="CI150" s="449"/>
      <c r="CJ150" s="448"/>
      <c r="CK150" s="197"/>
      <c r="CL150" s="229"/>
      <c r="CM150" s="661"/>
      <c r="CN150" s="661"/>
      <c r="CO150" s="661"/>
      <c r="CP150" s="1006"/>
      <c r="CQ150" s="1011"/>
      <c r="CR150" s="661"/>
      <c r="CS150" s="661"/>
      <c r="CT150" s="661"/>
      <c r="CU150" s="661"/>
      <c r="CV150" s="661"/>
      <c r="CW150" s="229"/>
      <c r="CX150" s="197"/>
      <c r="CY150" s="197"/>
      <c r="CZ150"/>
      <c r="DA150"/>
      <c r="DB150"/>
      <c r="DC150"/>
      <c r="DD150"/>
    </row>
    <row r="151" spans="1:108" s="718" customFormat="1" ht="12.75" hidden="1" customHeight="1" outlineLevel="1">
      <c r="A151" s="712" t="s">
        <v>140</v>
      </c>
      <c r="B151" s="713"/>
      <c r="C151" s="713">
        <f t="shared" ref="C151:AH151" si="358">C150/C128</f>
        <v>1.160892937136031</v>
      </c>
      <c r="D151" s="713">
        <f t="shared" si="358"/>
        <v>1.7245081611121456</v>
      </c>
      <c r="E151" s="713">
        <f t="shared" si="358"/>
        <v>1.0721895372873271</v>
      </c>
      <c r="F151" s="713">
        <f t="shared" si="358"/>
        <v>0.94026221692491063</v>
      </c>
      <c r="G151" s="713">
        <f t="shared" si="358"/>
        <v>1.1210572247849395</v>
      </c>
      <c r="H151" s="714">
        <f t="shared" si="358"/>
        <v>0.99428571428571433</v>
      </c>
      <c r="I151" s="715">
        <f t="shared" si="358"/>
        <v>1.1462600515854953</v>
      </c>
      <c r="J151" s="715">
        <f t="shared" si="358"/>
        <v>1.2857769973661106</v>
      </c>
      <c r="K151" s="715">
        <f t="shared" si="358"/>
        <v>1.0377910844976714</v>
      </c>
      <c r="L151" s="713">
        <f t="shared" si="358"/>
        <v>1.1161894273127753</v>
      </c>
      <c r="M151" s="715">
        <f t="shared" si="358"/>
        <v>1.4189864382583868</v>
      </c>
      <c r="N151" s="715">
        <f t="shared" si="358"/>
        <v>1.760646309735725</v>
      </c>
      <c r="O151" s="715">
        <f t="shared" si="358"/>
        <v>1.7236694677871149</v>
      </c>
      <c r="P151" s="715">
        <f t="shared" si="358"/>
        <v>2.7368823229750383</v>
      </c>
      <c r="Q151" s="713">
        <f t="shared" si="358"/>
        <v>1.9315699658703072</v>
      </c>
      <c r="R151" s="715">
        <f t="shared" si="358"/>
        <v>0.63673765730880927</v>
      </c>
      <c r="S151" s="715">
        <f t="shared" si="358"/>
        <v>0.56580246913580245</v>
      </c>
      <c r="T151" s="715">
        <f t="shared" si="358"/>
        <v>0.82394092499028371</v>
      </c>
      <c r="U151" s="715">
        <f t="shared" si="358"/>
        <v>0.91086350974930363</v>
      </c>
      <c r="V151" s="713">
        <f t="shared" si="358"/>
        <v>0.7316531690691348</v>
      </c>
      <c r="W151" s="715">
        <f t="shared" si="358"/>
        <v>0.78335483870967737</v>
      </c>
      <c r="X151" s="715">
        <f t="shared" si="358"/>
        <v>0.83366238894373146</v>
      </c>
      <c r="Y151" s="715">
        <f t="shared" si="358"/>
        <v>0.91424291599051299</v>
      </c>
      <c r="Z151" s="715">
        <f t="shared" si="358"/>
        <v>0.73607720032554358</v>
      </c>
      <c r="AA151" s="713">
        <f t="shared" si="358"/>
        <v>0.81568410028953364</v>
      </c>
      <c r="AB151" s="714">
        <f t="shared" si="358"/>
        <v>0.7454475506540138</v>
      </c>
      <c r="AC151" s="715">
        <f t="shared" si="358"/>
        <v>0.94161695646655663</v>
      </c>
      <c r="AD151" s="715">
        <f t="shared" si="358"/>
        <v>1.1791671972494588</v>
      </c>
      <c r="AE151" s="715">
        <f t="shared" si="358"/>
        <v>0.87832076090521483</v>
      </c>
      <c r="AF151" s="713">
        <f t="shared" si="358"/>
        <v>0.93417388377146005</v>
      </c>
      <c r="AG151" s="714">
        <f t="shared" si="358"/>
        <v>0.71183533447684388</v>
      </c>
      <c r="AH151" s="715">
        <f t="shared" si="358"/>
        <v>0.63847513254228727</v>
      </c>
      <c r="AI151" s="715">
        <f t="shared" ref="AI151:BF151" si="359">AI150/AI128</f>
        <v>0.88605999495840682</v>
      </c>
      <c r="AJ151" s="715">
        <f t="shared" si="359"/>
        <v>0.97808863580094085</v>
      </c>
      <c r="AK151" s="713">
        <f t="shared" si="359"/>
        <v>0.80550883762256842</v>
      </c>
      <c r="AL151" s="714">
        <f t="shared" si="359"/>
        <v>0.61777417612101571</v>
      </c>
      <c r="AM151" s="715">
        <f t="shared" si="359"/>
        <v>1.1236253318164582</v>
      </c>
      <c r="AN151" s="715">
        <f t="shared" si="359"/>
        <v>0.80913288866085176</v>
      </c>
      <c r="AO151" s="715">
        <f t="shared" si="359"/>
        <v>0.75239800485995656</v>
      </c>
      <c r="AP151" s="713">
        <f t="shared" si="359"/>
        <v>0.8294212738441642</v>
      </c>
      <c r="AQ151" s="714">
        <f t="shared" si="359"/>
        <v>2.3652375750955761</v>
      </c>
      <c r="AR151" s="715">
        <f t="shared" si="359"/>
        <v>3.0188654000535187</v>
      </c>
      <c r="AS151" s="715">
        <f t="shared" si="359"/>
        <v>1.4309121403689846</v>
      </c>
      <c r="AT151" s="715">
        <f t="shared" si="359"/>
        <v>0.75635312537637001</v>
      </c>
      <c r="AU151" s="713">
        <f t="shared" si="359"/>
        <v>1.8558602359652534</v>
      </c>
      <c r="AV151" s="714">
        <f t="shared" si="359"/>
        <v>0.7598920863309353</v>
      </c>
      <c r="AW151" s="715">
        <f t="shared" si="359"/>
        <v>0.93466125348896223</v>
      </c>
      <c r="AX151" s="715">
        <f t="shared" si="359"/>
        <v>0.83937953465098825</v>
      </c>
      <c r="AY151" s="715">
        <f t="shared" si="359"/>
        <v>0.66423357664233573</v>
      </c>
      <c r="AZ151" s="713">
        <f t="shared" si="359"/>
        <v>0.80012075375766623</v>
      </c>
      <c r="BA151" s="713"/>
      <c r="BB151" s="714">
        <f t="shared" si="359"/>
        <v>0.82055929570170894</v>
      </c>
      <c r="BC151" s="715">
        <f t="shared" si="359"/>
        <v>0.8041748206131768</v>
      </c>
      <c r="BD151" s="715">
        <f t="shared" si="359"/>
        <v>0.83676109170870516</v>
      </c>
      <c r="BE151" s="715">
        <f t="shared" si="359"/>
        <v>0.73630511356735096</v>
      </c>
      <c r="BF151" s="713">
        <f t="shared" si="359"/>
        <v>0.79842439320001279</v>
      </c>
      <c r="BG151" s="714"/>
      <c r="BH151" s="715"/>
      <c r="BI151" s="715"/>
      <c r="BJ151" s="715"/>
      <c r="BK151" s="713"/>
      <c r="BL151" s="714">
        <f t="shared" ref="BL151" si="360">BL150/BL128</f>
        <v>1.0757962639430183</v>
      </c>
      <c r="BM151" s="715">
        <f t="shared" ref="BM151:BN151" si="361">BM150/BM128</f>
        <v>-5.3941368078175893E-2</v>
      </c>
      <c r="BN151" s="715">
        <f t="shared" si="361"/>
        <v>1.7073878627968337</v>
      </c>
      <c r="BO151" s="715">
        <f t="shared" ref="BO151:BP151" si="362">BO150/BO128</f>
        <v>0.90890419234021991</v>
      </c>
      <c r="BP151" s="713">
        <f t="shared" si="362"/>
        <v>1.1089658735027281</v>
      </c>
      <c r="BQ151" s="714"/>
      <c r="BR151" s="715"/>
      <c r="BS151" s="715"/>
      <c r="BT151" s="719"/>
      <c r="BU151" s="713"/>
      <c r="BV151" s="714"/>
      <c r="BW151" s="715"/>
      <c r="BX151" s="715"/>
      <c r="BY151" s="715"/>
      <c r="BZ151" s="713"/>
      <c r="CA151" s="714"/>
      <c r="CB151" s="715"/>
      <c r="CC151" s="715"/>
      <c r="CD151" s="715"/>
      <c r="CE151" s="713"/>
      <c r="CF151" s="714"/>
      <c r="CG151" s="715"/>
      <c r="CH151" s="715"/>
      <c r="CI151" s="715"/>
      <c r="CJ151" s="713"/>
      <c r="CK151" s="716"/>
      <c r="CL151" s="717"/>
      <c r="CM151" s="1004"/>
      <c r="CN151" s="1004"/>
      <c r="CO151" s="1004"/>
      <c r="CP151" s="1011"/>
      <c r="CQ151" s="1011"/>
      <c r="CR151" s="1004"/>
      <c r="CS151" s="1004"/>
      <c r="CT151" s="1004"/>
      <c r="CU151" s="1004"/>
      <c r="CV151" s="1004"/>
      <c r="CW151" s="717"/>
      <c r="CX151" s="716"/>
      <c r="CY151" s="716"/>
      <c r="CZ151"/>
      <c r="DA151"/>
      <c r="DB151"/>
      <c r="DC151"/>
      <c r="DD151"/>
    </row>
    <row r="152" spans="1:108" s="718" customFormat="1" ht="12.75" hidden="1" customHeight="1" outlineLevel="1">
      <c r="A152" s="712" t="s">
        <v>203</v>
      </c>
      <c r="B152" s="713">
        <f t="shared" ref="B152:G152" si="363">B144/B128</f>
        <v>2.2767872304296146</v>
      </c>
      <c r="C152" s="713">
        <f t="shared" si="363"/>
        <v>2.1629834254143647</v>
      </c>
      <c r="D152" s="713">
        <f t="shared" si="363"/>
        <v>2.5224973623782039</v>
      </c>
      <c r="E152" s="713">
        <f t="shared" si="363"/>
        <v>2.2264800975247789</v>
      </c>
      <c r="F152" s="713">
        <f t="shared" si="363"/>
        <v>1.9429797377830751</v>
      </c>
      <c r="G152" s="713">
        <f t="shared" si="363"/>
        <v>1.8146947595894112</v>
      </c>
      <c r="H152" s="715">
        <f>H144/H128/4</f>
        <v>1.7313888888888889</v>
      </c>
      <c r="I152" s="715">
        <f>I144/I128/4</f>
        <v>1.6915111515703232</v>
      </c>
      <c r="J152" s="715">
        <f>J144/J128/4</f>
        <v>1.7028094820017559</v>
      </c>
      <c r="K152" s="715">
        <f>K144/K128/4</f>
        <v>1.557950765136394</v>
      </c>
      <c r="L152" s="713">
        <f>L144/L128</f>
        <v>1.7192364170337739</v>
      </c>
      <c r="M152" s="715">
        <f>M144/M128/4</f>
        <v>1.7761241970021413</v>
      </c>
      <c r="N152" s="715">
        <f>N144/N128/4</f>
        <v>1.8938107627002603</v>
      </c>
      <c r="O152" s="715">
        <f>O144/O128/4</f>
        <v>2.1179621848739494</v>
      </c>
      <c r="P152" s="715">
        <f>P144/P128/4</f>
        <v>2.3601311767702495</v>
      </c>
      <c r="Q152" s="713">
        <f>Q144/Q128</f>
        <v>2.5299317406143347</v>
      </c>
      <c r="R152" s="715">
        <f>R144/R128/4</f>
        <v>2.1516517424975801</v>
      </c>
      <c r="S152" s="715">
        <f>S144/S128/4</f>
        <v>2.0866666666666664</v>
      </c>
      <c r="T152" s="715">
        <f>T144/T128/4</f>
        <v>2.145647104547221</v>
      </c>
      <c r="U152" s="715">
        <f>U144/U128/4</f>
        <v>2.0747341099012409</v>
      </c>
      <c r="V152" s="713">
        <f>V144/V128</f>
        <v>2.04949813952034</v>
      </c>
      <c r="W152" s="715">
        <f>W144/W128/4</f>
        <v>2.0601935483870966</v>
      </c>
      <c r="X152" s="715">
        <f>X144/X128/4</f>
        <v>1.9286154985192498</v>
      </c>
      <c r="Y152" s="715">
        <f>Y144/Y128/4</f>
        <v>1.9295655973037074</v>
      </c>
      <c r="Z152" s="715">
        <f>Z144/Z128/4</f>
        <v>1.7312231135914429</v>
      </c>
      <c r="AA152" s="713">
        <f>AA144/AA128</f>
        <v>1.8345653914864781</v>
      </c>
      <c r="AB152" s="715">
        <f>AB144/AB128/4</f>
        <v>1.8458579122852012</v>
      </c>
      <c r="AC152" s="715">
        <f>AC144/AC128/4</f>
        <v>1.8122858230739942</v>
      </c>
      <c r="AD152" s="715">
        <f>AD144/AD128/4</f>
        <v>1.8630778046606393</v>
      </c>
      <c r="AE152" s="715">
        <f>AE144/AE128/4</f>
        <v>1.5690936919208485</v>
      </c>
      <c r="AF152" s="713">
        <f>AF144/AF128</f>
        <v>1.7568932276524774</v>
      </c>
      <c r="AG152" s="715">
        <f>AG144/AG128/4</f>
        <v>1.8216783216783217</v>
      </c>
      <c r="AH152" s="715">
        <f>AH144/AH128/4</f>
        <v>1.6524236303963646</v>
      </c>
      <c r="AI152" s="715">
        <f>AI144/AI128/4</f>
        <v>1.6214393748424503</v>
      </c>
      <c r="AJ152" s="715">
        <f>AJ144/AJ128/4</f>
        <v>1.5870574399603863</v>
      </c>
      <c r="AK152" s="713">
        <f>AK144/AK128</f>
        <v>1.6272966712150541</v>
      </c>
      <c r="AL152" s="715">
        <f>AL144/AL128/4</f>
        <v>1.6359737979470557</v>
      </c>
      <c r="AM152" s="715">
        <f>AM144/AM128/4</f>
        <v>1.5620338768802933</v>
      </c>
      <c r="AN152" s="715">
        <f>AN144/AN128/4</f>
        <v>1.5373589020010261</v>
      </c>
      <c r="AO152" s="715">
        <f>AO144/AO128/4</f>
        <v>1.4709361810973269</v>
      </c>
      <c r="AP152" s="713">
        <f>AP144/AP128</f>
        <v>1.4873908826382154</v>
      </c>
      <c r="AQ152" s="715">
        <f>AQ144/AQ128/4</f>
        <v>1.9116602949208084</v>
      </c>
      <c r="AR152" s="715">
        <f>AR144/AR128/4</f>
        <v>2.3780104361787529</v>
      </c>
      <c r="AS152" s="715">
        <f>AS144/AS128/4</f>
        <v>2.4007547413237003</v>
      </c>
      <c r="AT152" s="715">
        <f>AT144/AT128/4</f>
        <v>2.1802360592556909</v>
      </c>
      <c r="AU152" s="713">
        <f>AU144/AU128</f>
        <v>2.3470115389601971</v>
      </c>
      <c r="AV152" s="715">
        <f>AV144/AV128/4</f>
        <v>2.2655768242548819</v>
      </c>
      <c r="AW152" s="715">
        <f>AW144/AW128/4</f>
        <v>2.2210733316417155</v>
      </c>
      <c r="AX152" s="715">
        <f>AX144/AX128/4</f>
        <v>2.1497998498874153</v>
      </c>
      <c r="AY152" s="715">
        <f>AY144/AY128/4</f>
        <v>2.1167883211678831</v>
      </c>
      <c r="AZ152" s="713">
        <f>AZ144/AZ128</f>
        <v>2.1011153833931804</v>
      </c>
      <c r="BA152" s="713"/>
      <c r="BB152" s="715">
        <f>BB144/BB128/4</f>
        <v>2.0952226825479028</v>
      </c>
      <c r="BC152" s="715">
        <f>BC144/BC128/4</f>
        <v>2.0623939986953688</v>
      </c>
      <c r="BD152" s="715">
        <f>BD144/BD128/4</f>
        <v>2.0039774932091579</v>
      </c>
      <c r="BE152" s="715">
        <f>BE144/BE128/4</f>
        <v>1.8158629904044699</v>
      </c>
      <c r="BF152" s="713">
        <f>BF144/BF128</f>
        <v>1.9073134947213983</v>
      </c>
      <c r="BG152" s="715">
        <f>BG144/BG128/4</f>
        <v>2.2289994649545211</v>
      </c>
      <c r="BH152" s="715">
        <f t="shared" ref="BH152:BJ152" si="364">BH144/BH128/4</f>
        <v>2.0917481348083355</v>
      </c>
      <c r="BI152" s="715">
        <f t="shared" si="364"/>
        <v>2.0891711405001963</v>
      </c>
      <c r="BJ152" s="715">
        <f t="shared" si="364"/>
        <v>2.0265181131092</v>
      </c>
      <c r="BK152" s="713">
        <f>BK144/BK128</f>
        <v>2.0354700435195183</v>
      </c>
      <c r="BL152" s="715">
        <f>BL144/BL128/4</f>
        <v>2.0280876226313667</v>
      </c>
      <c r="BM152" s="715">
        <f>BM144/BM128/4</f>
        <v>1.9077198697068405</v>
      </c>
      <c r="BN152" s="715">
        <f>BN144/BN128/4</f>
        <v>2.1084762532981531</v>
      </c>
      <c r="BO152" s="715">
        <f>BO144/BO128/4</f>
        <v>1.9081490878337561</v>
      </c>
      <c r="BP152" s="713">
        <f>BP144/BP128</f>
        <v>2.0396797210473636</v>
      </c>
      <c r="BQ152" s="714"/>
      <c r="BR152" s="715"/>
      <c r="BS152" s="715"/>
      <c r="BT152" s="719"/>
      <c r="BU152" s="713"/>
      <c r="BV152" s="714"/>
      <c r="BW152" s="715"/>
      <c r="BX152" s="715"/>
      <c r="BY152" s="715"/>
      <c r="BZ152" s="713"/>
      <c r="CA152" s="714"/>
      <c r="CB152" s="715"/>
      <c r="CC152" s="715"/>
      <c r="CD152" s="715"/>
      <c r="CE152" s="713"/>
      <c r="CF152" s="714"/>
      <c r="CG152" s="715"/>
      <c r="CH152" s="715"/>
      <c r="CI152" s="715"/>
      <c r="CJ152" s="713"/>
      <c r="CK152" s="716"/>
      <c r="CL152" s="717"/>
      <c r="CM152" s="1004"/>
      <c r="CN152" s="1004"/>
      <c r="CO152" s="1004"/>
      <c r="CP152" s="1004"/>
      <c r="CQ152" s="1011"/>
      <c r="CR152" s="1004"/>
      <c r="CS152" s="1004"/>
      <c r="CT152" s="1004"/>
      <c r="CU152" s="1004"/>
      <c r="CV152" s="1004"/>
      <c r="CW152" s="717"/>
      <c r="CX152" s="716"/>
      <c r="CY152" s="716"/>
      <c r="CZ152"/>
      <c r="DA152"/>
      <c r="DB152"/>
      <c r="DC152"/>
      <c r="DD152"/>
    </row>
    <row r="153" spans="1:108" s="455" customFormat="1" ht="12" customHeight="1" collapsed="1">
      <c r="A153" s="454" t="s">
        <v>23</v>
      </c>
      <c r="B153" s="16"/>
      <c r="C153" s="16"/>
      <c r="D153" s="16"/>
      <c r="E153" s="16"/>
      <c r="F153" s="16"/>
      <c r="G153" s="16"/>
      <c r="H153" s="18"/>
      <c r="I153" s="18"/>
      <c r="J153" s="18"/>
      <c r="K153" s="18"/>
      <c r="L153" s="16"/>
      <c r="M153" s="18"/>
      <c r="N153" s="18"/>
      <c r="O153" s="18"/>
      <c r="P153" s="18"/>
      <c r="Q153" s="16"/>
      <c r="R153" s="18"/>
      <c r="S153" s="18"/>
      <c r="T153" s="18"/>
      <c r="U153" s="19"/>
      <c r="V153" s="16"/>
      <c r="W153" s="18"/>
      <c r="X153" s="18"/>
      <c r="Y153" s="18"/>
      <c r="Z153" s="18"/>
      <c r="AA153" s="20"/>
      <c r="AB153" s="18"/>
      <c r="AC153" s="18"/>
      <c r="AD153" s="18"/>
      <c r="AE153" s="18"/>
      <c r="AF153" s="21"/>
      <c r="AG153" s="18"/>
      <c r="AH153" s="18"/>
      <c r="AI153" s="18"/>
      <c r="AJ153" s="18"/>
      <c r="AK153" s="21"/>
      <c r="AL153" s="18"/>
      <c r="AM153" s="18"/>
      <c r="AN153" s="18"/>
      <c r="AO153" s="18"/>
      <c r="AP153" s="21"/>
      <c r="AQ153" s="22"/>
      <c r="AR153" s="18"/>
      <c r="AS153" s="18"/>
      <c r="AT153" s="18"/>
      <c r="AU153" s="21"/>
      <c r="AV153" s="22"/>
      <c r="AW153" s="18"/>
      <c r="AX153" s="18"/>
      <c r="AY153" s="18"/>
      <c r="AZ153" s="21"/>
      <c r="BA153" s="21"/>
      <c r="BB153" s="22"/>
      <c r="BC153" s="19"/>
      <c r="BD153" s="19"/>
      <c r="BE153" s="19"/>
      <c r="BF153" s="21"/>
      <c r="BG153" s="22"/>
      <c r="BH153" s="19"/>
      <c r="BI153" s="19"/>
      <c r="BJ153" s="19"/>
      <c r="BK153" s="21"/>
      <c r="BL153" s="22"/>
      <c r="BM153" s="19"/>
      <c r="BN153" s="19"/>
      <c r="BO153" s="19"/>
      <c r="BP153" s="21"/>
      <c r="BQ153" s="22"/>
      <c r="BR153" s="19"/>
      <c r="BS153" s="19"/>
      <c r="BT153" s="1103"/>
      <c r="BU153" s="21"/>
      <c r="BV153" s="22"/>
      <c r="BW153" s="19"/>
      <c r="BX153" s="19"/>
      <c r="BY153" s="19"/>
      <c r="BZ153" s="21"/>
      <c r="CA153" s="22"/>
      <c r="CB153" s="19"/>
      <c r="CC153" s="19"/>
      <c r="CD153" s="19"/>
      <c r="CE153" s="21"/>
      <c r="CF153" s="22"/>
      <c r="CG153" s="19"/>
      <c r="CH153" s="19"/>
      <c r="CI153" s="19"/>
      <c r="CJ153" s="21"/>
      <c r="CK153" s="39"/>
      <c r="CL153" s="7"/>
      <c r="CM153" s="734"/>
      <c r="CN153" s="734"/>
      <c r="CO153" s="734"/>
      <c r="CP153" s="734"/>
      <c r="CQ153" s="734"/>
      <c r="CR153" s="1004"/>
      <c r="CS153" s="1004"/>
      <c r="CT153" s="1004"/>
      <c r="CU153" s="1004"/>
      <c r="CV153" s="734"/>
      <c r="CW153" s="7"/>
      <c r="CX153" s="39"/>
      <c r="CY153" s="39"/>
      <c r="CZ153"/>
      <c r="DA153"/>
      <c r="DB153"/>
      <c r="DC153"/>
      <c r="DD153"/>
    </row>
    <row r="154" spans="1:108" s="115" customFormat="1">
      <c r="A154" s="106" t="s">
        <v>26</v>
      </c>
      <c r="B154" s="107">
        <f t="shared" ref="B154:AB154" si="365">B157/B4</f>
        <v>0.19142419601837674</v>
      </c>
      <c r="C154" s="107">
        <f t="shared" si="365"/>
        <v>0.13590757069017939</v>
      </c>
      <c r="D154" s="107">
        <f t="shared" si="365"/>
        <v>7.3998642226748138E-2</v>
      </c>
      <c r="E154" s="107">
        <f t="shared" si="365"/>
        <v>0.13047808764940239</v>
      </c>
      <c r="F154" s="107">
        <f t="shared" si="365"/>
        <v>0.14418875618992136</v>
      </c>
      <c r="G154" s="107">
        <f t="shared" si="365"/>
        <v>0.15646258503401361</v>
      </c>
      <c r="H154" s="108">
        <f t="shared" si="365"/>
        <v>0.15813528336380256</v>
      </c>
      <c r="I154" s="108">
        <f t="shared" si="365"/>
        <v>0.16473509933774835</v>
      </c>
      <c r="J154" s="108">
        <f t="shared" si="365"/>
        <v>0.17186311787072242</v>
      </c>
      <c r="K154" s="108">
        <f t="shared" si="365"/>
        <v>0.1750619322873658</v>
      </c>
      <c r="L154" s="107">
        <f t="shared" si="365"/>
        <v>0.16777133388566695</v>
      </c>
      <c r="M154" s="108">
        <f t="shared" si="365"/>
        <v>0.18451915559030493</v>
      </c>
      <c r="N154" s="108">
        <f t="shared" si="365"/>
        <v>0.18058690744920994</v>
      </c>
      <c r="O154" s="108">
        <f t="shared" si="365"/>
        <v>0.20481049562682216</v>
      </c>
      <c r="P154" s="108">
        <f t="shared" si="365"/>
        <v>0.17232375979112272</v>
      </c>
      <c r="Q154" s="107">
        <f t="shared" si="365"/>
        <v>0.18523222060957911</v>
      </c>
      <c r="R154" s="108">
        <f t="shared" si="365"/>
        <v>0.13745704467353953</v>
      </c>
      <c r="S154" s="108">
        <f t="shared" si="365"/>
        <v>0.1519434628975265</v>
      </c>
      <c r="T154" s="108">
        <f t="shared" si="365"/>
        <v>0.11160714285714286</v>
      </c>
      <c r="U154" s="108">
        <f t="shared" si="365"/>
        <v>0.14140558848433532</v>
      </c>
      <c r="V154" s="107">
        <f t="shared" si="365"/>
        <v>0.13672403790369367</v>
      </c>
      <c r="W154" s="108">
        <f t="shared" si="365"/>
        <v>0.16064848931466469</v>
      </c>
      <c r="X154" s="108">
        <f t="shared" si="365"/>
        <v>0.16847433116413593</v>
      </c>
      <c r="Y154" s="108">
        <f t="shared" si="365"/>
        <v>0.1541440743609605</v>
      </c>
      <c r="Z154" s="108">
        <f t="shared" si="365"/>
        <v>0.16561514195583596</v>
      </c>
      <c r="AA154" s="107">
        <f t="shared" si="365"/>
        <v>0.1622947725986035</v>
      </c>
      <c r="AB154" s="108">
        <f t="shared" si="365"/>
        <v>0.16999260901699925</v>
      </c>
      <c r="AC154" s="108">
        <f>+AC157/AC4</f>
        <v>0.15188953488372092</v>
      </c>
      <c r="AD154" s="108">
        <f>+AD157/AD4</f>
        <v>0.1536827195467422</v>
      </c>
      <c r="AE154" s="108">
        <f>AE157/AE4</f>
        <v>3.9310716208939146E-2</v>
      </c>
      <c r="AF154" s="107">
        <f>AF157/AF4</f>
        <v>0.1215405135045015</v>
      </c>
      <c r="AG154" s="108">
        <f>AG157/AG4</f>
        <v>0.16697473813924832</v>
      </c>
      <c r="AH154" s="108">
        <f>+AH157/AH4</f>
        <v>0.16143216080402009</v>
      </c>
      <c r="AI154" s="108">
        <f>+AI157/AI4</f>
        <v>0.14215686274509803</v>
      </c>
      <c r="AJ154" s="108">
        <f>AJ157/AJ4</f>
        <v>0.13970983342289092</v>
      </c>
      <c r="AK154" s="107">
        <f>AK157/AK4</f>
        <v>0.15176504629629631</v>
      </c>
      <c r="AL154" s="108">
        <f>+AL157/AL4</f>
        <v>0.17435320584926883</v>
      </c>
      <c r="AM154" s="108">
        <f>+AM157/AM4</f>
        <v>0.18947881149537263</v>
      </c>
      <c r="AN154" s="108">
        <f>+AN157/AN4</f>
        <v>0.17146840148698886</v>
      </c>
      <c r="AO154" s="108">
        <f>+AO157/AO4</f>
        <v>0.1629976580796253</v>
      </c>
      <c r="AP154" s="107">
        <f>AP157/AP4</f>
        <v>0.17442719881744273</v>
      </c>
      <c r="AQ154" s="108">
        <f>+AQ157/AQ4</f>
        <v>0.19011764705882353</v>
      </c>
      <c r="AR154" s="108">
        <f>+AR157/AR4</f>
        <v>0.19248120300751881</v>
      </c>
      <c r="AS154" s="108">
        <f>+AS157/AS4</f>
        <v>0.17955439056356487</v>
      </c>
      <c r="AT154" s="108">
        <f>+AT157/AT4</f>
        <v>0.18392857142857144</v>
      </c>
      <c r="AU154" s="107">
        <f>AU157/AU4</f>
        <v>0.186264308012487</v>
      </c>
      <c r="AV154" s="108">
        <f>+AV157/AV4</f>
        <v>0.20445920303605314</v>
      </c>
      <c r="AW154" s="108">
        <f>+AW157/AW4</f>
        <v>0.19441984056687334</v>
      </c>
      <c r="AX154" s="108">
        <f>+AX157/AX4</f>
        <v>0.18181818181818182</v>
      </c>
      <c r="AY154" s="108">
        <f>+AY157/AY4</f>
        <v>0.19140989729225025</v>
      </c>
      <c r="AZ154" s="107">
        <f>AZ157/AZ4</f>
        <v>0.19274658230708394</v>
      </c>
      <c r="BA154" s="107">
        <f>BA157/BA4</f>
        <v>0.19690530674512369</v>
      </c>
      <c r="BB154" s="108">
        <f>+BB157/BB4</f>
        <v>0.20684448917966783</v>
      </c>
      <c r="BC154" s="108">
        <f>+BC157/BC4</f>
        <v>0.20337394564198688</v>
      </c>
      <c r="BD154" s="108">
        <f>+BD157/BD4</f>
        <v>0.2166584035696579</v>
      </c>
      <c r="BE154" s="108">
        <f>+BE157/BE4</f>
        <v>0.1960431654676259</v>
      </c>
      <c r="BF154" s="107">
        <f>BF157/BF4</f>
        <v>0.20545324085147093</v>
      </c>
      <c r="BG154" s="108">
        <f>+BG157/BG4</f>
        <v>0.18641212801796744</v>
      </c>
      <c r="BH154" s="108">
        <f>+BH157/BH4</f>
        <v>0.18563922942206654</v>
      </c>
      <c r="BI154" s="108">
        <f>+BI157/BI4</f>
        <v>0.19790026246719161</v>
      </c>
      <c r="BJ154" s="108">
        <f>+BJ157/BJ4</f>
        <v>0.14850948509485096</v>
      </c>
      <c r="BK154" s="107">
        <f>BK157/BK4</f>
        <v>0.18003838771593089</v>
      </c>
      <c r="BL154" s="108">
        <f>+BL157/BL4</f>
        <v>0.21359691417550628</v>
      </c>
      <c r="BM154" s="108">
        <f>+BM157/BM4</f>
        <v>0.20452358036573628</v>
      </c>
      <c r="BN154" s="108">
        <f>+BN157/BN4</f>
        <v>0.19298245614035087</v>
      </c>
      <c r="BO154" s="108">
        <f>+BO157/BO4</f>
        <v>0.1715438950554995</v>
      </c>
      <c r="BP154" s="107">
        <f>BP157/BP4</f>
        <v>0.19596506335342601</v>
      </c>
      <c r="BQ154" s="207">
        <v>0.18</v>
      </c>
      <c r="BR154" s="208">
        <v>0.18</v>
      </c>
      <c r="BS154" s="208">
        <v>0.18</v>
      </c>
      <c r="BT154" s="1124">
        <v>0.18</v>
      </c>
      <c r="BU154" s="1053">
        <f>BU157/BU4</f>
        <v>0.18000000000000002</v>
      </c>
      <c r="BV154" s="207"/>
      <c r="BW154" s="208"/>
      <c r="BX154" s="208"/>
      <c r="BY154" s="208"/>
      <c r="BZ154" s="206">
        <v>0.17499999999999999</v>
      </c>
      <c r="CA154" s="207"/>
      <c r="CB154" s="208"/>
      <c r="CC154" s="208"/>
      <c r="CD154" s="208"/>
      <c r="CE154" s="206">
        <v>0.17</v>
      </c>
      <c r="CF154" s="207"/>
      <c r="CG154" s="208"/>
      <c r="CH154" s="208"/>
      <c r="CI154" s="208"/>
      <c r="CJ154" s="206">
        <v>0.17</v>
      </c>
      <c r="CK154" s="114"/>
      <c r="CL154" s="231"/>
      <c r="CM154" s="661" t="s">
        <v>375</v>
      </c>
      <c r="CN154" s="999"/>
      <c r="CO154" s="654"/>
      <c r="CP154" s="654"/>
      <c r="CQ154" s="661"/>
      <c r="CR154" s="661"/>
      <c r="CS154" s="661" t="s">
        <v>386</v>
      </c>
      <c r="CT154" s="734"/>
      <c r="CU154" s="1229" t="s">
        <v>104</v>
      </c>
      <c r="CV154" s="1230">
        <f>+(CJ157/BP157)^(1/4)-1</f>
        <v>2.2375168838846715E-2</v>
      </c>
      <c r="CW154" s="231"/>
      <c r="CX154" s="114"/>
      <c r="CY154" s="114"/>
      <c r="CZ154"/>
      <c r="DA154"/>
      <c r="DB154"/>
      <c r="DC154"/>
      <c r="DD154"/>
    </row>
    <row r="155" spans="1:108" s="198" customFormat="1">
      <c r="A155" s="116" t="s">
        <v>24</v>
      </c>
      <c r="B155" s="193"/>
      <c r="C155" s="199">
        <f>(C154-B154)*100</f>
        <v>-5.5516625328197344</v>
      </c>
      <c r="D155" s="199">
        <f>(D154-C154)*100</f>
        <v>-6.1908928463431252</v>
      </c>
      <c r="E155" s="199">
        <f>(E154-D154)*100</f>
        <v>5.6479445422654244</v>
      </c>
      <c r="F155" s="199">
        <f>(F154-E154)*100</f>
        <v>1.3710668540518971</v>
      </c>
      <c r="G155" s="199">
        <f>(G154-F154)*100</f>
        <v>1.2273828844092254</v>
      </c>
      <c r="H155" s="194"/>
      <c r="I155" s="194"/>
      <c r="J155" s="194"/>
      <c r="K155" s="194"/>
      <c r="L155" s="199">
        <f t="shared" ref="L155:AS155" si="366">(L154-G154)*100</f>
        <v>1.1308748851653339</v>
      </c>
      <c r="M155" s="200">
        <f t="shared" si="366"/>
        <v>2.6383872226502376</v>
      </c>
      <c r="N155" s="200">
        <f t="shared" si="366"/>
        <v>1.5851808111461585</v>
      </c>
      <c r="O155" s="200">
        <f t="shared" si="366"/>
        <v>3.2947377756099741</v>
      </c>
      <c r="P155" s="200">
        <f t="shared" si="366"/>
        <v>-0.27381724962430853</v>
      </c>
      <c r="Q155" s="199">
        <f t="shared" si="366"/>
        <v>1.7460886723912161</v>
      </c>
      <c r="R155" s="200">
        <f t="shared" si="366"/>
        <v>-4.7062110916765407</v>
      </c>
      <c r="S155" s="200">
        <f t="shared" si="366"/>
        <v>-2.8643444551683439</v>
      </c>
      <c r="T155" s="200">
        <f t="shared" si="366"/>
        <v>-9.3203352769679295</v>
      </c>
      <c r="U155" s="200">
        <f t="shared" si="366"/>
        <v>-3.0918171306787396</v>
      </c>
      <c r="V155" s="199">
        <f t="shared" si="366"/>
        <v>-4.8508182705885448</v>
      </c>
      <c r="W155" s="200">
        <f t="shared" si="366"/>
        <v>2.3191444641125161</v>
      </c>
      <c r="X155" s="200">
        <f t="shared" si="366"/>
        <v>1.6530868266609433</v>
      </c>
      <c r="Y155" s="200">
        <f t="shared" si="366"/>
        <v>4.2536931503817641</v>
      </c>
      <c r="Z155" s="200">
        <f t="shared" si="366"/>
        <v>2.420955347150064</v>
      </c>
      <c r="AA155" s="199">
        <f t="shared" si="366"/>
        <v>2.5570734694909838</v>
      </c>
      <c r="AB155" s="200">
        <f t="shared" si="366"/>
        <v>0.93441197023345635</v>
      </c>
      <c r="AC155" s="200">
        <f t="shared" si="366"/>
        <v>-1.6584796280415008</v>
      </c>
      <c r="AD155" s="200">
        <f t="shared" si="366"/>
        <v>-4.6135481421830105E-2</v>
      </c>
      <c r="AE155" s="200">
        <f t="shared" si="366"/>
        <v>-12.630442574689681</v>
      </c>
      <c r="AF155" s="199">
        <f t="shared" si="366"/>
        <v>-4.0754259094102006</v>
      </c>
      <c r="AG155" s="200">
        <f t="shared" si="366"/>
        <v>-0.30178708777509333</v>
      </c>
      <c r="AH155" s="200">
        <f t="shared" si="366"/>
        <v>0.95426259202991692</v>
      </c>
      <c r="AI155" s="200">
        <f t="shared" si="366"/>
        <v>-1.152585680164417</v>
      </c>
      <c r="AJ155" s="200">
        <f>(AJ154-AE154)*100</f>
        <v>10.039911721395178</v>
      </c>
      <c r="AK155" s="199">
        <f t="shared" si="366"/>
        <v>3.0224532791794809</v>
      </c>
      <c r="AL155" s="200">
        <f t="shared" si="366"/>
        <v>0.73784677100205143</v>
      </c>
      <c r="AM155" s="200">
        <f t="shared" si="366"/>
        <v>2.8046650691352539</v>
      </c>
      <c r="AN155" s="200">
        <f t="shared" si="366"/>
        <v>2.9311538741890826</v>
      </c>
      <c r="AO155" s="200">
        <f t="shared" si="366"/>
        <v>2.3287824656734375</v>
      </c>
      <c r="AP155" s="199">
        <f t="shared" si="366"/>
        <v>2.2662152521146424</v>
      </c>
      <c r="AQ155" s="200">
        <f t="shared" si="366"/>
        <v>1.5764441209554696</v>
      </c>
      <c r="AR155" s="200">
        <f t="shared" si="366"/>
        <v>0.30023915121461797</v>
      </c>
      <c r="AS155" s="200">
        <f t="shared" si="366"/>
        <v>0.80859890765760112</v>
      </c>
      <c r="AT155" s="200">
        <f t="shared" ref="AT155:AZ155" si="367">(AT154-AO154)*100</f>
        <v>2.0930913348946145</v>
      </c>
      <c r="AU155" s="199">
        <f t="shared" si="367"/>
        <v>1.1837109195044271</v>
      </c>
      <c r="AV155" s="200">
        <f t="shared" si="367"/>
        <v>1.434155597722961</v>
      </c>
      <c r="AW155" s="200">
        <f t="shared" si="367"/>
        <v>0.1938637559354528</v>
      </c>
      <c r="AX155" s="200">
        <f t="shared" si="367"/>
        <v>0.22637912546169536</v>
      </c>
      <c r="AY155" s="200">
        <f t="shared" si="367"/>
        <v>0.7481325863678806</v>
      </c>
      <c r="AZ155" s="199">
        <f t="shared" si="367"/>
        <v>0.64822742945969403</v>
      </c>
      <c r="BA155" s="199"/>
      <c r="BB155" s="200">
        <f>(BB154-AV154)*100</f>
        <v>0.23852861436146899</v>
      </c>
      <c r="BC155" s="200">
        <f>(BC154-AW154)*100</f>
        <v>0.89541050751135443</v>
      </c>
      <c r="BD155" s="200">
        <f>(BD154-AX154)*100</f>
        <v>3.4840221751476079</v>
      </c>
      <c r="BE155" s="200">
        <f>(BE154-AY154)*100</f>
        <v>0.46332681753756544</v>
      </c>
      <c r="BF155" s="199">
        <f>(BF154-AZ154)*100</f>
        <v>1.2706658544386991</v>
      </c>
      <c r="BG155" s="200"/>
      <c r="BH155" s="200"/>
      <c r="BI155" s="200"/>
      <c r="BJ155" s="200"/>
      <c r="BK155" s="199">
        <f>(BK154-BA154)*100</f>
        <v>-1.6866919029192795</v>
      </c>
      <c r="BL155" s="200">
        <f>IFERROR((BL154-BG154)*100,"")</f>
        <v>2.7184786157538832</v>
      </c>
      <c r="BM155" s="200">
        <f>IF(BH154=0,"",(BM154-BH154)*100)</f>
        <v>1.8884350943669748</v>
      </c>
      <c r="BN155" s="200">
        <f>(BN154-BI154)*100</f>
        <v>-0.49178063268407457</v>
      </c>
      <c r="BO155" s="200">
        <f>(BO154-BJ154)*100</f>
        <v>2.3034409960648539</v>
      </c>
      <c r="BP155" s="199">
        <f>(BP154-BK154)*100</f>
        <v>1.5926675637495114</v>
      </c>
      <c r="BQ155" s="223">
        <f t="shared" ref="BQ155" si="368">IF(BL154=0,"",(BQ154-BL154)*100)</f>
        <v>-3.3596914175506281</v>
      </c>
      <c r="BR155" s="200">
        <f t="shared" ref="BR155" si="369">IF(BM154=0,"",(BR154-BM154)*100)</f>
        <v>-2.4523580365736293</v>
      </c>
      <c r="BS155" s="200">
        <f t="shared" ref="BS155" si="370">IF(BN154=0,"",(BS154-BN154)*100)</f>
        <v>-1.2982456140350873</v>
      </c>
      <c r="BT155" s="541">
        <f t="shared" ref="BT155" si="371">IF(BO154=0,"",(BT154-BO154)*100)</f>
        <v>0.84561049445004977</v>
      </c>
      <c r="BU155" s="199">
        <f>(BU154-BP154)*100</f>
        <v>-1.5965063353425983</v>
      </c>
      <c r="BV155" s="195"/>
      <c r="BW155" s="194"/>
      <c r="BX155" s="194"/>
      <c r="BY155" s="194"/>
      <c r="BZ155" s="199">
        <f>(BZ154-BU154)*100</f>
        <v>-0.50000000000000322</v>
      </c>
      <c r="CA155" s="195"/>
      <c r="CB155" s="194"/>
      <c r="CC155" s="194"/>
      <c r="CD155" s="194"/>
      <c r="CE155" s="199">
        <f>(CE154-BZ154)*100</f>
        <v>-0.49999999999999767</v>
      </c>
      <c r="CF155" s="195"/>
      <c r="CG155" s="194"/>
      <c r="CH155" s="194"/>
      <c r="CI155" s="194"/>
      <c r="CJ155" s="199">
        <f>(CJ154-CE154)*100</f>
        <v>0</v>
      </c>
      <c r="CK155" s="197"/>
      <c r="CL155" s="229"/>
      <c r="CM155" s="661"/>
      <c r="CN155" s="661"/>
      <c r="CO155" s="654"/>
      <c r="CP155" s="661"/>
      <c r="CQ155" s="661"/>
      <c r="CR155" s="661"/>
      <c r="CS155" s="661" t="s">
        <v>388</v>
      </c>
      <c r="CT155" s="661"/>
      <c r="CU155" s="1012"/>
      <c r="CV155" s="1012"/>
      <c r="CW155" s="229"/>
      <c r="CX155" s="197"/>
      <c r="CY155" s="197"/>
      <c r="CZ155"/>
      <c r="DA155"/>
      <c r="DB155"/>
      <c r="DC155"/>
      <c r="DD155"/>
    </row>
    <row r="156" spans="1:108" s="205" customFormat="1">
      <c r="A156" s="117" t="s">
        <v>25</v>
      </c>
      <c r="B156" s="201"/>
      <c r="C156" s="201">
        <f>(C157-B157)/(C4-B4)</f>
        <v>-7.416666666666667</v>
      </c>
      <c r="D156" s="201">
        <f>(D157-C157)/(D4-C4)</f>
        <v>0.66763848396501457</v>
      </c>
      <c r="E156" s="201">
        <f>(E157-D157)/(E4-D4)</f>
        <v>2.6515151515151514</v>
      </c>
      <c r="F156" s="201">
        <f>(F157-E157)/(F4-E4)</f>
        <v>0.24228028503562946</v>
      </c>
      <c r="G156" s="201">
        <f>(G157-F157)/(G4-F4)</f>
        <v>0.21815519765739386</v>
      </c>
      <c r="H156" s="202"/>
      <c r="I156" s="202"/>
      <c r="J156" s="202"/>
      <c r="K156" s="202"/>
      <c r="L156" s="201">
        <f t="shared" ref="L156:AZ156" si="372">(L157-G157)/(L4-G4)</f>
        <v>0.23314606741573032</v>
      </c>
      <c r="M156" s="202">
        <f t="shared" si="372"/>
        <v>0.34054054054054056</v>
      </c>
      <c r="N156" s="202">
        <f t="shared" si="372"/>
        <v>0.33884297520661155</v>
      </c>
      <c r="O156" s="202">
        <f t="shared" si="372"/>
        <v>0.96491228070175439</v>
      </c>
      <c r="P156" s="202">
        <f t="shared" si="372"/>
        <v>0.16199376947040497</v>
      </c>
      <c r="Q156" s="201">
        <f t="shared" si="372"/>
        <v>0.30847953216374269</v>
      </c>
      <c r="R156" s="202">
        <f t="shared" si="372"/>
        <v>-0.20454545454545456</v>
      </c>
      <c r="S156" s="202">
        <f t="shared" si="372"/>
        <v>-0.29069767441860467</v>
      </c>
      <c r="T156" s="202">
        <f t="shared" si="372"/>
        <v>0.61904761904761907</v>
      </c>
      <c r="U156" s="202">
        <f t="shared" si="372"/>
        <v>0.27635327635327633</v>
      </c>
      <c r="V156" s="201">
        <f t="shared" si="372"/>
        <v>0.92082111436950143</v>
      </c>
      <c r="W156" s="202">
        <f t="shared" si="372"/>
        <v>-0.18367346938775511</v>
      </c>
      <c r="X156" s="202">
        <f t="shared" si="372"/>
        <v>-0.5625</v>
      </c>
      <c r="Y156" s="202">
        <f t="shared" si="372"/>
        <v>0.43274853801169588</v>
      </c>
      <c r="Z156" s="202">
        <f t="shared" si="372"/>
        <v>0.4942528735632184</v>
      </c>
      <c r="AA156" s="201">
        <f t="shared" si="372"/>
        <v>1.1953125</v>
      </c>
      <c r="AB156" s="202">
        <f t="shared" si="372"/>
        <v>-3</v>
      </c>
      <c r="AC156" s="202">
        <f t="shared" si="372"/>
        <v>3.4285714285714284</v>
      </c>
      <c r="AD156" s="202">
        <f t="shared" si="372"/>
        <v>0.1487603305785124</v>
      </c>
      <c r="AE156" s="202">
        <f t="shared" si="372"/>
        <v>-0.23259762308998302</v>
      </c>
      <c r="AF156" s="201">
        <f t="shared" si="372"/>
        <v>-0.18741058655221746</v>
      </c>
      <c r="AG156" s="202">
        <f t="shared" si="372"/>
        <v>0.15185185185185185</v>
      </c>
      <c r="AH156" s="202">
        <f t="shared" si="372"/>
        <v>0.22222222222222221</v>
      </c>
      <c r="AI156" s="202">
        <f t="shared" si="372"/>
        <v>0.10377358490566038</v>
      </c>
      <c r="AJ156" s="202">
        <f t="shared" si="372"/>
        <v>46.75</v>
      </c>
      <c r="AK156" s="201">
        <f t="shared" si="372"/>
        <v>0.35010940919037198</v>
      </c>
      <c r="AL156" s="202">
        <f t="shared" si="372"/>
        <v>0.25161290322580643</v>
      </c>
      <c r="AM156" s="202">
        <f t="shared" si="372"/>
        <v>0.28633405639913234</v>
      </c>
      <c r="AN156" s="202">
        <f t="shared" si="372"/>
        <v>0.34177215189873417</v>
      </c>
      <c r="AO156" s="202">
        <f t="shared" si="372"/>
        <v>0.32116788321167883</v>
      </c>
      <c r="AP156" s="201">
        <f t="shared" si="372"/>
        <v>0.30431177446102819</v>
      </c>
      <c r="AQ156" s="202">
        <f t="shared" si="372"/>
        <v>0.27089337175792505</v>
      </c>
      <c r="AR156" s="202">
        <f t="shared" si="372"/>
        <v>8.6206896551724144E-2</v>
      </c>
      <c r="AS156" s="202">
        <f t="shared" si="372"/>
        <v>0.30656934306569344</v>
      </c>
      <c r="AT156" s="202">
        <f t="shared" si="372"/>
        <v>0.60952380952380958</v>
      </c>
      <c r="AU156" s="201">
        <f t="shared" si="372"/>
        <v>0.3672316384180791</v>
      </c>
      <c r="AV156" s="202">
        <f t="shared" si="372"/>
        <v>-1.588235294117647</v>
      </c>
      <c r="AW156" s="202">
        <f t="shared" si="372"/>
        <v>0.20912547528517111</v>
      </c>
      <c r="AX156" s="202">
        <f t="shared" si="372"/>
        <v>0.27777777777777779</v>
      </c>
      <c r="AY156" s="202">
        <f t="shared" si="372"/>
        <v>2.0408163265306121E-2</v>
      </c>
      <c r="AZ156" s="201">
        <f t="shared" si="372"/>
        <v>0.47029702970297027</v>
      </c>
      <c r="BA156" s="201"/>
      <c r="BB156" s="202">
        <f>(BB157-AV157)/(BB4-AV4)</f>
        <v>0.16528925619834711</v>
      </c>
      <c r="BC156" s="202">
        <f>(BC157-AW157)/(BC4-AW4)</f>
        <v>4.0322580645161289E-2</v>
      </c>
      <c r="BD156" s="202">
        <f>(BD157-AX157)/(BD4-AX4)</f>
        <v>-3.3742331288343558E-2</v>
      </c>
      <c r="BE156" s="202">
        <f>(BE157-AY157)/(BE4-AY4)</f>
        <v>0.31707317073170732</v>
      </c>
      <c r="BF156" s="201">
        <f>(BF157-AZ157)/(BF4-AZ4)</f>
        <v>-2.4539877300613498E-2</v>
      </c>
      <c r="BG156" s="202"/>
      <c r="BH156" s="202"/>
      <c r="BI156" s="202"/>
      <c r="BJ156" s="202"/>
      <c r="BK156" s="201">
        <f>(BK157-BA157)/(BK4-BA4)</f>
        <v>0.29368575624082233</v>
      </c>
      <c r="BL156" s="202">
        <f t="shared" ref="BL156:BU156" si="373">(BL157-BG157)/(BL4-BG4)</f>
        <v>0.37883959044368598</v>
      </c>
      <c r="BM156" s="202">
        <f t="shared" si="373"/>
        <v>-4.8543689320388345E-3</v>
      </c>
      <c r="BN156" s="202">
        <f t="shared" si="373"/>
        <v>8.8888888888888892E-2</v>
      </c>
      <c r="BO156" s="202">
        <f t="shared" si="373"/>
        <v>0.48175182481751827</v>
      </c>
      <c r="BP156" s="201">
        <f t="shared" si="373"/>
        <v>0.59235668789808915</v>
      </c>
      <c r="BQ156" s="203">
        <f t="shared" si="373"/>
        <v>3.9911212397447651</v>
      </c>
      <c r="BR156" s="202">
        <f t="shared" si="373"/>
        <v>-4.0292511013216226</v>
      </c>
      <c r="BS156" s="202">
        <f t="shared" si="373"/>
        <v>-0.36142568462128133</v>
      </c>
      <c r="BT156" s="1125">
        <f t="shared" si="373"/>
        <v>0.27102264704285017</v>
      </c>
      <c r="BU156" s="201">
        <f t="shared" si="373"/>
        <v>-0.3947818769653233</v>
      </c>
      <c r="BV156" s="203"/>
      <c r="BW156" s="202"/>
      <c r="BX156" s="202"/>
      <c r="BY156" s="202"/>
      <c r="BZ156" s="201">
        <f>(BZ157-BU157)/(BZ4-BU4)</f>
        <v>8.2234966246224006E-2</v>
      </c>
      <c r="CA156" s="203"/>
      <c r="CB156" s="202"/>
      <c r="CC156" s="202"/>
      <c r="CD156" s="202"/>
      <c r="CE156" s="201">
        <f>(CE157-BZ157)/(CE4-BZ4)</f>
        <v>0.10332649034157498</v>
      </c>
      <c r="CF156" s="203"/>
      <c r="CG156" s="202"/>
      <c r="CH156" s="202"/>
      <c r="CI156" s="202"/>
      <c r="CJ156" s="201">
        <f>(CJ157-CE157)/(CJ4-CE4)</f>
        <v>0.16999999999999985</v>
      </c>
      <c r="CK156" s="204"/>
      <c r="CL156" s="239"/>
      <c r="CM156" s="661"/>
      <c r="CN156" s="654"/>
      <c r="CO156" s="661"/>
      <c r="CP156" s="661"/>
      <c r="CQ156" s="1012"/>
      <c r="CR156" s="1012"/>
      <c r="CS156" s="661" t="s">
        <v>387</v>
      </c>
      <c r="CT156" s="1012"/>
      <c r="CU156" s="1012"/>
      <c r="CV156" s="1012"/>
      <c r="CW156" s="239"/>
      <c r="CX156" s="204"/>
      <c r="CY156" s="204"/>
      <c r="CZ156"/>
      <c r="DA156"/>
      <c r="DB156"/>
      <c r="DC156"/>
      <c r="DD156"/>
    </row>
    <row r="157" spans="1:108" s="123" customFormat="1">
      <c r="A157" s="118" t="s">
        <v>27</v>
      </c>
      <c r="B157" s="119">
        <v>625</v>
      </c>
      <c r="C157" s="119">
        <v>447</v>
      </c>
      <c r="D157" s="119">
        <v>218</v>
      </c>
      <c r="E157" s="119">
        <v>393</v>
      </c>
      <c r="F157" s="119">
        <v>495</v>
      </c>
      <c r="G157" s="119">
        <v>644</v>
      </c>
      <c r="H157" s="120">
        <v>173</v>
      </c>
      <c r="I157" s="120">
        <v>199</v>
      </c>
      <c r="J157" s="120">
        <v>226</v>
      </c>
      <c r="K157" s="121">
        <v>212</v>
      </c>
      <c r="L157" s="119">
        <f>SUM(H157:K157)</f>
        <v>810</v>
      </c>
      <c r="M157" s="120">
        <v>236</v>
      </c>
      <c r="N157" s="120">
        <v>240</v>
      </c>
      <c r="O157" s="120">
        <v>281</v>
      </c>
      <c r="P157" s="121">
        <v>264</v>
      </c>
      <c r="Q157" s="119">
        <f>SUM(M157:P157)</f>
        <v>1021</v>
      </c>
      <c r="R157" s="120">
        <v>200</v>
      </c>
      <c r="S157" s="120">
        <v>215</v>
      </c>
      <c r="T157" s="120">
        <v>125</v>
      </c>
      <c r="U157" s="121">
        <v>167</v>
      </c>
      <c r="V157" s="119">
        <f>SUM(R157:U157)</f>
        <v>707</v>
      </c>
      <c r="W157" s="120">
        <v>218</v>
      </c>
      <c r="X157" s="120">
        <v>233</v>
      </c>
      <c r="Y157" s="120">
        <v>199</v>
      </c>
      <c r="Z157" s="121">
        <v>210</v>
      </c>
      <c r="AA157" s="119">
        <f>SUM(W157:Z157)</f>
        <v>860</v>
      </c>
      <c r="AB157" s="120">
        <v>230</v>
      </c>
      <c r="AC157" s="120">
        <f>209</f>
        <v>209</v>
      </c>
      <c r="AD157" s="120">
        <v>217</v>
      </c>
      <c r="AE157" s="121">
        <v>73</v>
      </c>
      <c r="AF157" s="119">
        <f>SUM(AB157:AE157)</f>
        <v>729</v>
      </c>
      <c r="AG157" s="120">
        <v>271</v>
      </c>
      <c r="AH157" s="120">
        <v>257</v>
      </c>
      <c r="AI157" s="120">
        <v>261</v>
      </c>
      <c r="AJ157" s="636">
        <v>260</v>
      </c>
      <c r="AK157" s="119">
        <f>SUM(AG157:AJ157)</f>
        <v>1049</v>
      </c>
      <c r="AL157" s="120">
        <v>310</v>
      </c>
      <c r="AM157" s="120">
        <v>389</v>
      </c>
      <c r="AN157" s="120">
        <v>369</v>
      </c>
      <c r="AO157" s="121">
        <v>348</v>
      </c>
      <c r="AP157" s="119">
        <f>SUM(AL157:AO157)</f>
        <v>1416</v>
      </c>
      <c r="AQ157" s="120">
        <v>404</v>
      </c>
      <c r="AR157" s="120">
        <v>384</v>
      </c>
      <c r="AS157" s="120">
        <v>411</v>
      </c>
      <c r="AT157" s="121">
        <v>412</v>
      </c>
      <c r="AU157" s="119">
        <f>SUM(AQ157:AT157)</f>
        <v>1611</v>
      </c>
      <c r="AV157" s="120">
        <v>431</v>
      </c>
      <c r="AW157" s="120">
        <v>439</v>
      </c>
      <c r="AX157" s="120">
        <v>426</v>
      </c>
      <c r="AY157" s="121">
        <v>410</v>
      </c>
      <c r="AZ157" s="119">
        <f>SUM(AV157:AY157)</f>
        <v>1706</v>
      </c>
      <c r="BA157" s="119">
        <v>1807</v>
      </c>
      <c r="BB157" s="122">
        <v>411</v>
      </c>
      <c r="BC157" s="121">
        <v>434</v>
      </c>
      <c r="BD157" s="121">
        <v>437</v>
      </c>
      <c r="BE157" s="121">
        <f>1718-BD157-BC157-BB157</f>
        <v>436</v>
      </c>
      <c r="BF157" s="119">
        <f>SUM(BB157:BE157)</f>
        <v>1718</v>
      </c>
      <c r="BG157" s="122">
        <v>332</v>
      </c>
      <c r="BH157" s="121">
        <v>424</v>
      </c>
      <c r="BI157" s="121">
        <v>377</v>
      </c>
      <c r="BJ157" s="121">
        <v>274</v>
      </c>
      <c r="BK157" s="119">
        <f>SUM(BG157:BJ157)</f>
        <v>1407</v>
      </c>
      <c r="BL157" s="122">
        <v>443</v>
      </c>
      <c r="BM157" s="121">
        <v>425</v>
      </c>
      <c r="BN157" s="121">
        <v>385</v>
      </c>
      <c r="BO157" s="121">
        <v>340</v>
      </c>
      <c r="BP157" s="119">
        <f>SUM(BL157:BO157)</f>
        <v>1593</v>
      </c>
      <c r="BQ157" s="122">
        <f>BQ4*BQ154</f>
        <v>370.029</v>
      </c>
      <c r="BR157" s="121">
        <f>BR4*BR154</f>
        <v>376.21919999999994</v>
      </c>
      <c r="BS157" s="121">
        <f>BS4*BS154</f>
        <v>367.7106</v>
      </c>
      <c r="BT157" s="1126">
        <f>BT4*BT154</f>
        <v>389.90340000000003</v>
      </c>
      <c r="BU157" s="1056">
        <f>+SUM(BQ157:BT157)</f>
        <v>1503.8622</v>
      </c>
      <c r="BV157" s="122"/>
      <c r="BW157" s="121"/>
      <c r="BX157" s="121"/>
      <c r="BY157" s="121"/>
      <c r="BZ157" s="119">
        <f>BZ4*BZ154</f>
        <v>1540.8942499999996</v>
      </c>
      <c r="CA157" s="122"/>
      <c r="CB157" s="121"/>
      <c r="CC157" s="121"/>
      <c r="CD157" s="121"/>
      <c r="CE157" s="119">
        <f>CE4*CE154</f>
        <v>1609.1223302400003</v>
      </c>
      <c r="CF157" s="122"/>
      <c r="CG157" s="121"/>
      <c r="CH157" s="121"/>
      <c r="CI157" s="121"/>
      <c r="CJ157" s="119">
        <f>CJ4*CJ154</f>
        <v>1740.4315501362003</v>
      </c>
      <c r="CK157" s="118"/>
      <c r="CL157" s="237"/>
      <c r="CM157" s="661"/>
      <c r="CN157" s="661"/>
      <c r="CO157" s="1012"/>
      <c r="CP157" s="622"/>
      <c r="CQ157" s="622"/>
      <c r="CR157" s="622"/>
      <c r="CS157" s="622"/>
      <c r="CT157" s="622"/>
      <c r="CU157" s="1012"/>
      <c r="CV157" s="1012"/>
      <c r="CW157" s="237"/>
      <c r="CX157" s="118"/>
      <c r="CY157" s="118"/>
      <c r="CZ157"/>
      <c r="DA157"/>
      <c r="DB157"/>
      <c r="DC157"/>
      <c r="DD157"/>
    </row>
    <row r="158" spans="1:108" s="40" customFormat="1">
      <c r="A158" s="28" t="s">
        <v>21</v>
      </c>
      <c r="B158" s="29"/>
      <c r="C158" s="29">
        <f>C157/B157-1</f>
        <v>-0.28480000000000005</v>
      </c>
      <c r="D158" s="29">
        <f>D157/C157-1</f>
        <v>-0.51230425055928408</v>
      </c>
      <c r="E158" s="29">
        <f>E157/D157-1</f>
        <v>0.80275229357798161</v>
      </c>
      <c r="F158" s="29">
        <f>F157/E157-1</f>
        <v>0.25954198473282442</v>
      </c>
      <c r="G158" s="29">
        <f>G157/F157-1</f>
        <v>0.30101010101010095</v>
      </c>
      <c r="H158" s="30"/>
      <c r="I158" s="30"/>
      <c r="J158" s="30"/>
      <c r="K158" s="30"/>
      <c r="L158" s="29">
        <f t="shared" ref="L158:AR158" si="374">L157/G157-1</f>
        <v>0.2577639751552796</v>
      </c>
      <c r="M158" s="30">
        <f t="shared" si="374"/>
        <v>0.36416184971098264</v>
      </c>
      <c r="N158" s="30">
        <f t="shared" si="374"/>
        <v>0.20603015075376874</v>
      </c>
      <c r="O158" s="30">
        <f t="shared" si="374"/>
        <v>0.24336283185840712</v>
      </c>
      <c r="P158" s="30">
        <f t="shared" si="374"/>
        <v>0.24528301886792447</v>
      </c>
      <c r="Q158" s="29">
        <f t="shared" si="374"/>
        <v>0.26049382716049374</v>
      </c>
      <c r="R158" s="30">
        <f t="shared" si="374"/>
        <v>-0.15254237288135597</v>
      </c>
      <c r="S158" s="30">
        <f t="shared" si="374"/>
        <v>-0.10416666666666663</v>
      </c>
      <c r="T158" s="30">
        <f t="shared" si="374"/>
        <v>-0.55516014234875444</v>
      </c>
      <c r="U158" s="30">
        <f t="shared" si="374"/>
        <v>-0.36742424242424243</v>
      </c>
      <c r="V158" s="29">
        <f t="shared" si="374"/>
        <v>-0.30754162585700295</v>
      </c>
      <c r="W158" s="30">
        <f t="shared" si="374"/>
        <v>9.000000000000008E-2</v>
      </c>
      <c r="X158" s="30">
        <f t="shared" si="374"/>
        <v>8.3720930232558111E-2</v>
      </c>
      <c r="Y158" s="30">
        <f t="shared" si="374"/>
        <v>0.59200000000000008</v>
      </c>
      <c r="Z158" s="30">
        <f t="shared" si="374"/>
        <v>0.25748502994011968</v>
      </c>
      <c r="AA158" s="29">
        <f t="shared" si="374"/>
        <v>0.21640735502121644</v>
      </c>
      <c r="AB158" s="30">
        <f t="shared" si="374"/>
        <v>5.504587155963292E-2</v>
      </c>
      <c r="AC158" s="30">
        <f t="shared" si="374"/>
        <v>-0.10300429184549353</v>
      </c>
      <c r="AD158" s="30">
        <f t="shared" si="374"/>
        <v>9.0452261306532611E-2</v>
      </c>
      <c r="AE158" s="30">
        <f t="shared" si="374"/>
        <v>-0.65238095238095239</v>
      </c>
      <c r="AF158" s="29">
        <f t="shared" si="374"/>
        <v>-0.1523255813953488</v>
      </c>
      <c r="AG158" s="30">
        <f t="shared" si="374"/>
        <v>0.17826086956521747</v>
      </c>
      <c r="AH158" s="30">
        <f t="shared" si="374"/>
        <v>0.22966507177033502</v>
      </c>
      <c r="AI158" s="30">
        <f t="shared" si="374"/>
        <v>0.20276497695852536</v>
      </c>
      <c r="AJ158" s="30">
        <f t="shared" si="374"/>
        <v>2.5616438356164384</v>
      </c>
      <c r="AK158" s="29">
        <f t="shared" si="374"/>
        <v>0.43895747599451296</v>
      </c>
      <c r="AL158" s="30">
        <f t="shared" si="374"/>
        <v>0.14391143911439119</v>
      </c>
      <c r="AM158" s="30">
        <f t="shared" si="374"/>
        <v>0.51361867704280151</v>
      </c>
      <c r="AN158" s="30">
        <f>AN157/AI157-1</f>
        <v>0.4137931034482758</v>
      </c>
      <c r="AO158" s="30">
        <f t="shared" si="374"/>
        <v>0.33846153846153837</v>
      </c>
      <c r="AP158" s="29">
        <f>AP157/AK157-1</f>
        <v>0.349857006673022</v>
      </c>
      <c r="AQ158" s="30">
        <f t="shared" si="374"/>
        <v>0.3032258064516129</v>
      </c>
      <c r="AR158" s="30">
        <f t="shared" si="374"/>
        <v>-1.2853470437018011E-2</v>
      </c>
      <c r="AS158" s="30">
        <f t="shared" ref="AS158:AX158" si="375">AS157/AN157-1</f>
        <v>0.11382113821138207</v>
      </c>
      <c r="AT158" s="30">
        <f t="shared" si="375"/>
        <v>0.18390804597701149</v>
      </c>
      <c r="AU158" s="29">
        <f t="shared" si="375"/>
        <v>0.13771186440677963</v>
      </c>
      <c r="AV158" s="30">
        <f t="shared" si="375"/>
        <v>6.6831683168316891E-2</v>
      </c>
      <c r="AW158" s="30">
        <f t="shared" si="375"/>
        <v>0.14322916666666674</v>
      </c>
      <c r="AX158" s="30">
        <f t="shared" si="375"/>
        <v>3.649635036496357E-2</v>
      </c>
      <c r="AY158" s="30">
        <f t="shared" ref="AY158:AZ158" si="376">AY157/AT157-1</f>
        <v>-4.8543689320388328E-3</v>
      </c>
      <c r="AZ158" s="29">
        <f t="shared" si="376"/>
        <v>5.8969584109249018E-2</v>
      </c>
      <c r="BA158" s="29"/>
      <c r="BB158" s="30">
        <f>BB157/AV157-1</f>
        <v>-4.6403712296983812E-2</v>
      </c>
      <c r="BC158" s="30">
        <f>BC157/AW157-1</f>
        <v>-1.1389521640091105E-2</v>
      </c>
      <c r="BD158" s="30">
        <f>BD157/AX157-1</f>
        <v>2.5821596244131495E-2</v>
      </c>
      <c r="BE158" s="30">
        <f>BE157/AY157-1</f>
        <v>6.341463414634152E-2</v>
      </c>
      <c r="BF158" s="29">
        <f>BF157/AZ157-1</f>
        <v>7.0339976553341899E-3</v>
      </c>
      <c r="BG158" s="30"/>
      <c r="BH158" s="30"/>
      <c r="BI158" s="30"/>
      <c r="BJ158" s="30"/>
      <c r="BK158" s="29">
        <f>BK157/BA157-1</f>
        <v>-0.22136137244050913</v>
      </c>
      <c r="BL158" s="194">
        <f>BL157/BG157-1</f>
        <v>0.3343373493975903</v>
      </c>
      <c r="BM158" s="194">
        <f>BM157/BH157-1</f>
        <v>2.3584905660376521E-3</v>
      </c>
      <c r="BN158" s="194">
        <f>BN157/BI157-1</f>
        <v>2.1220159151193574E-2</v>
      </c>
      <c r="BO158" s="194">
        <f>BO157/BJ157-1</f>
        <v>0.24087591240875916</v>
      </c>
      <c r="BP158" s="29">
        <f>BP157/BK157-1</f>
        <v>0.13219616204690832</v>
      </c>
      <c r="BQ158" s="31">
        <f t="shared" ref="BQ158:BT158" si="377">BQ157/BL157-1</f>
        <v>-0.16472009029345369</v>
      </c>
      <c r="BR158" s="30">
        <f t="shared" si="377"/>
        <v>-0.11477835294117655</v>
      </c>
      <c r="BS158" s="30">
        <f t="shared" si="377"/>
        <v>-4.4907532467532429E-2</v>
      </c>
      <c r="BT158" s="1106">
        <f t="shared" si="377"/>
        <v>0.14677470588235297</v>
      </c>
      <c r="BU158" s="1041">
        <f>BU157/BP157-1</f>
        <v>-5.5955932203389791E-2</v>
      </c>
      <c r="BV158" s="31"/>
      <c r="BW158" s="30"/>
      <c r="BX158" s="30"/>
      <c r="BY158" s="30"/>
      <c r="BZ158" s="29">
        <f>BZ157/BU157-1</f>
        <v>2.4624629836430101E-2</v>
      </c>
      <c r="CA158" s="31"/>
      <c r="CB158" s="30"/>
      <c r="CC158" s="30"/>
      <c r="CD158" s="30"/>
      <c r="CE158" s="29">
        <f>CE157/BZ157-1</f>
        <v>4.4278236640834301E-2</v>
      </c>
      <c r="CF158" s="31"/>
      <c r="CG158" s="30"/>
      <c r="CH158" s="30"/>
      <c r="CI158" s="30"/>
      <c r="CJ158" s="29">
        <f>CJ157/CE157-1</f>
        <v>8.1603006451731463E-2</v>
      </c>
      <c r="CK158" s="39"/>
      <c r="CL158" s="7"/>
      <c r="CM158" s="661"/>
      <c r="CN158" s="661"/>
      <c r="CO158" s="622"/>
      <c r="CP158" s="734"/>
      <c r="CQ158" s="734"/>
      <c r="CR158" s="734"/>
      <c r="CS158" s="734"/>
      <c r="CT158" s="734"/>
      <c r="CU158" s="734"/>
      <c r="CV158" s="734"/>
      <c r="CW158" s="75"/>
      <c r="CX158" s="38"/>
      <c r="CY158" s="38"/>
      <c r="CZ158"/>
      <c r="DA158"/>
      <c r="DB158"/>
      <c r="DC158"/>
      <c r="DD158"/>
    </row>
    <row r="159" spans="1:108" s="123" customFormat="1">
      <c r="A159" s="118" t="s">
        <v>28</v>
      </c>
      <c r="B159" s="119">
        <f t="shared" ref="B159:AG159" si="378">B4-B157</f>
        <v>2640</v>
      </c>
      <c r="C159" s="119">
        <f t="shared" si="378"/>
        <v>2842</v>
      </c>
      <c r="D159" s="119">
        <f t="shared" si="378"/>
        <v>2728</v>
      </c>
      <c r="E159" s="119">
        <f t="shared" si="378"/>
        <v>2619</v>
      </c>
      <c r="F159" s="119">
        <f t="shared" si="378"/>
        <v>2938</v>
      </c>
      <c r="G159" s="119">
        <f t="shared" si="378"/>
        <v>3472</v>
      </c>
      <c r="H159" s="120">
        <f t="shared" si="378"/>
        <v>921</v>
      </c>
      <c r="I159" s="120">
        <f t="shared" si="378"/>
        <v>1009</v>
      </c>
      <c r="J159" s="120">
        <f t="shared" si="378"/>
        <v>1089</v>
      </c>
      <c r="K159" s="121">
        <f t="shared" si="378"/>
        <v>999</v>
      </c>
      <c r="L159" s="119">
        <f t="shared" si="378"/>
        <v>4018</v>
      </c>
      <c r="M159" s="120">
        <f t="shared" si="378"/>
        <v>1043</v>
      </c>
      <c r="N159" s="120">
        <f t="shared" si="378"/>
        <v>1089</v>
      </c>
      <c r="O159" s="120">
        <f t="shared" si="378"/>
        <v>1091</v>
      </c>
      <c r="P159" s="121">
        <f t="shared" si="378"/>
        <v>1268</v>
      </c>
      <c r="Q159" s="119">
        <f t="shared" si="378"/>
        <v>4491</v>
      </c>
      <c r="R159" s="120">
        <f t="shared" si="378"/>
        <v>1255</v>
      </c>
      <c r="S159" s="120">
        <f t="shared" si="378"/>
        <v>1200</v>
      </c>
      <c r="T159" s="120">
        <f t="shared" si="378"/>
        <v>995</v>
      </c>
      <c r="U159" s="121">
        <f t="shared" si="378"/>
        <v>1014</v>
      </c>
      <c r="V159" s="119">
        <f t="shared" si="378"/>
        <v>4464</v>
      </c>
      <c r="W159" s="120">
        <f t="shared" si="378"/>
        <v>1139</v>
      </c>
      <c r="X159" s="120">
        <f t="shared" si="378"/>
        <v>1150</v>
      </c>
      <c r="Y159" s="120">
        <f t="shared" si="378"/>
        <v>1092</v>
      </c>
      <c r="Z159" s="121">
        <f t="shared" si="378"/>
        <v>1058</v>
      </c>
      <c r="AA159" s="119">
        <f t="shared" si="378"/>
        <v>4439</v>
      </c>
      <c r="AB159" s="120">
        <f t="shared" si="378"/>
        <v>1123</v>
      </c>
      <c r="AC159" s="120">
        <f t="shared" si="378"/>
        <v>1167</v>
      </c>
      <c r="AD159" s="120">
        <f t="shared" si="378"/>
        <v>1195</v>
      </c>
      <c r="AE159" s="121">
        <f t="shared" si="378"/>
        <v>1784</v>
      </c>
      <c r="AF159" s="119">
        <f t="shared" si="378"/>
        <v>5269</v>
      </c>
      <c r="AG159" s="120">
        <f t="shared" si="378"/>
        <v>1352</v>
      </c>
      <c r="AH159" s="120">
        <f t="shared" ref="AH159:BM159" si="379">AH4-AH157</f>
        <v>1335</v>
      </c>
      <c r="AI159" s="120">
        <f t="shared" si="379"/>
        <v>1575</v>
      </c>
      <c r="AJ159" s="121">
        <f t="shared" si="379"/>
        <v>1601</v>
      </c>
      <c r="AK159" s="119">
        <f t="shared" si="379"/>
        <v>5863</v>
      </c>
      <c r="AL159" s="120">
        <f t="shared" si="379"/>
        <v>1468</v>
      </c>
      <c r="AM159" s="120">
        <f t="shared" si="379"/>
        <v>1664</v>
      </c>
      <c r="AN159" s="120">
        <f t="shared" si="379"/>
        <v>1783</v>
      </c>
      <c r="AO159" s="121">
        <f t="shared" si="379"/>
        <v>1787</v>
      </c>
      <c r="AP159" s="119">
        <f t="shared" si="379"/>
        <v>6702</v>
      </c>
      <c r="AQ159" s="120">
        <f t="shared" si="379"/>
        <v>1721</v>
      </c>
      <c r="AR159" s="120">
        <f t="shared" si="379"/>
        <v>1611</v>
      </c>
      <c r="AS159" s="120">
        <f t="shared" si="379"/>
        <v>1878</v>
      </c>
      <c r="AT159" s="121">
        <f t="shared" si="379"/>
        <v>1828</v>
      </c>
      <c r="AU159" s="119">
        <f t="shared" si="379"/>
        <v>7038</v>
      </c>
      <c r="AV159" s="120">
        <f t="shared" si="379"/>
        <v>1677</v>
      </c>
      <c r="AW159" s="120">
        <f t="shared" si="379"/>
        <v>1819</v>
      </c>
      <c r="AX159" s="120">
        <f t="shared" si="379"/>
        <v>1917</v>
      </c>
      <c r="AY159" s="121">
        <f t="shared" si="379"/>
        <v>1732</v>
      </c>
      <c r="AZ159" s="119">
        <f t="shared" si="379"/>
        <v>7145</v>
      </c>
      <c r="BA159" s="119">
        <f t="shared" si="379"/>
        <v>7370</v>
      </c>
      <c r="BB159" s="120">
        <f t="shared" si="379"/>
        <v>1576</v>
      </c>
      <c r="BC159" s="120">
        <f t="shared" si="379"/>
        <v>1700</v>
      </c>
      <c r="BD159" s="120">
        <f t="shared" si="379"/>
        <v>1580</v>
      </c>
      <c r="BE159" s="121">
        <f t="shared" si="379"/>
        <v>1788</v>
      </c>
      <c r="BF159" s="119">
        <f t="shared" si="379"/>
        <v>6644</v>
      </c>
      <c r="BG159" s="120">
        <f t="shared" si="379"/>
        <v>1449</v>
      </c>
      <c r="BH159" s="120">
        <f t="shared" si="379"/>
        <v>1860</v>
      </c>
      <c r="BI159" s="120">
        <f t="shared" si="379"/>
        <v>1528</v>
      </c>
      <c r="BJ159" s="121">
        <f t="shared" si="379"/>
        <v>1571</v>
      </c>
      <c r="BK159" s="119">
        <f t="shared" si="379"/>
        <v>6408</v>
      </c>
      <c r="BL159" s="120">
        <f t="shared" si="379"/>
        <v>1631</v>
      </c>
      <c r="BM159" s="120">
        <f t="shared" si="379"/>
        <v>1653</v>
      </c>
      <c r="BN159" s="120">
        <f t="shared" ref="BN159:BU159" si="380">BN4-BN157</f>
        <v>1610</v>
      </c>
      <c r="BO159" s="120">
        <f t="shared" si="380"/>
        <v>1642</v>
      </c>
      <c r="BP159" s="119">
        <f t="shared" si="380"/>
        <v>6536</v>
      </c>
      <c r="BQ159" s="122">
        <f t="shared" si="380"/>
        <v>1685.6876666666667</v>
      </c>
      <c r="BR159" s="121">
        <f t="shared" si="380"/>
        <v>1713.8874666666666</v>
      </c>
      <c r="BS159" s="121">
        <f t="shared" si="380"/>
        <v>1675.1260666666667</v>
      </c>
      <c r="BT159" s="1126">
        <f t="shared" si="380"/>
        <v>1776.2266</v>
      </c>
      <c r="BU159" s="119">
        <f t="shared" si="380"/>
        <v>6850.9277999999995</v>
      </c>
      <c r="BV159" s="122"/>
      <c r="BW159" s="121"/>
      <c r="BX159" s="121"/>
      <c r="BY159" s="121"/>
      <c r="BZ159" s="119">
        <f>BZ4-BZ157</f>
        <v>7264.2157499999994</v>
      </c>
      <c r="CA159" s="122"/>
      <c r="CB159" s="121"/>
      <c r="CC159" s="121"/>
      <c r="CD159" s="121"/>
      <c r="CE159" s="119">
        <f>CE4-CE157</f>
        <v>7856.3031417600005</v>
      </c>
      <c r="CF159" s="122"/>
      <c r="CG159" s="121"/>
      <c r="CH159" s="121"/>
      <c r="CI159" s="121"/>
      <c r="CJ159" s="119">
        <f>CJ4-CJ157</f>
        <v>8497.4010977238013</v>
      </c>
      <c r="CK159" s="118"/>
      <c r="CL159" s="237"/>
      <c r="CM159" s="654"/>
      <c r="CN159" s="661"/>
      <c r="CO159" s="622"/>
      <c r="CP159" s="622"/>
      <c r="CQ159" s="622"/>
      <c r="CR159" s="622"/>
      <c r="CS159" s="622"/>
      <c r="CT159" s="622"/>
      <c r="CU159" s="622"/>
      <c r="CV159" s="622"/>
      <c r="CW159" s="237"/>
      <c r="CX159" s="118"/>
      <c r="CY159" s="118"/>
      <c r="CZ159"/>
      <c r="DA159"/>
      <c r="DB159"/>
      <c r="DC159"/>
      <c r="DD159"/>
    </row>
    <row r="160" spans="1:108" s="40" customFormat="1">
      <c r="A160" s="28" t="s">
        <v>21</v>
      </c>
      <c r="B160" s="29"/>
      <c r="C160" s="29">
        <f>C159/B159-1</f>
        <v>7.6515151515151425E-2</v>
      </c>
      <c r="D160" s="29">
        <f>D159/C159-1</f>
        <v>-4.0112596762843067E-2</v>
      </c>
      <c r="E160" s="29">
        <f>E159/D159-1</f>
        <v>-3.9956011730205243E-2</v>
      </c>
      <c r="F160" s="29">
        <f>F159/E159-1</f>
        <v>0.12180221458571983</v>
      </c>
      <c r="G160" s="29">
        <f>G159/F159-1</f>
        <v>0.18175629680054461</v>
      </c>
      <c r="H160" s="30"/>
      <c r="I160" s="30"/>
      <c r="J160" s="30"/>
      <c r="K160" s="30"/>
      <c r="L160" s="29">
        <f t="shared" ref="L160:AS160" si="381">L159/G159-1</f>
        <v>0.157258064516129</v>
      </c>
      <c r="M160" s="30">
        <f t="shared" si="381"/>
        <v>0.13246471226927259</v>
      </c>
      <c r="N160" s="30">
        <f t="shared" si="381"/>
        <v>7.9286422200198325E-2</v>
      </c>
      <c r="O160" s="30">
        <f t="shared" si="381"/>
        <v>1.8365472910928382E-3</v>
      </c>
      <c r="P160" s="30">
        <f t="shared" si="381"/>
        <v>0.26926926926926931</v>
      </c>
      <c r="Q160" s="29">
        <f t="shared" si="381"/>
        <v>0.11772025883524151</v>
      </c>
      <c r="R160" s="30">
        <f t="shared" si="381"/>
        <v>0.20325982742090121</v>
      </c>
      <c r="S160" s="30">
        <f t="shared" si="381"/>
        <v>0.10192837465564741</v>
      </c>
      <c r="T160" s="30">
        <f t="shared" si="381"/>
        <v>-8.799266727772681E-2</v>
      </c>
      <c r="U160" s="30">
        <f t="shared" si="381"/>
        <v>-0.20031545741324919</v>
      </c>
      <c r="V160" s="29">
        <f t="shared" si="381"/>
        <v>-6.0120240480961984E-3</v>
      </c>
      <c r="W160" s="30">
        <f t="shared" si="381"/>
        <v>-9.2430278884462203E-2</v>
      </c>
      <c r="X160" s="30">
        <f t="shared" si="381"/>
        <v>-4.166666666666663E-2</v>
      </c>
      <c r="Y160" s="30">
        <f t="shared" si="381"/>
        <v>9.748743718592956E-2</v>
      </c>
      <c r="Z160" s="30">
        <f t="shared" si="381"/>
        <v>4.3392504930966469E-2</v>
      </c>
      <c r="AA160" s="29">
        <f t="shared" si="381"/>
        <v>-5.6003584229390446E-3</v>
      </c>
      <c r="AB160" s="30">
        <f t="shared" si="381"/>
        <v>-1.4047410008779626E-2</v>
      </c>
      <c r="AC160" s="30">
        <f t="shared" si="381"/>
        <v>1.4782608695652177E-2</v>
      </c>
      <c r="AD160" s="30">
        <f t="shared" si="381"/>
        <v>9.4322344322344431E-2</v>
      </c>
      <c r="AE160" s="30">
        <f t="shared" si="381"/>
        <v>0.68620037807183354</v>
      </c>
      <c r="AF160" s="29">
        <f t="shared" si="381"/>
        <v>0.18697904933543597</v>
      </c>
      <c r="AG160" s="30">
        <f t="shared" si="381"/>
        <v>0.20391807658058769</v>
      </c>
      <c r="AH160" s="30">
        <f t="shared" si="381"/>
        <v>0.14395886889460163</v>
      </c>
      <c r="AI160" s="30">
        <f t="shared" si="381"/>
        <v>0.31799163179916312</v>
      </c>
      <c r="AJ160" s="30">
        <f t="shared" si="381"/>
        <v>-0.10257847533632292</v>
      </c>
      <c r="AK160" s="29">
        <f t="shared" si="381"/>
        <v>0.11273486430062629</v>
      </c>
      <c r="AL160" s="30">
        <f t="shared" si="381"/>
        <v>8.5798816568047442E-2</v>
      </c>
      <c r="AM160" s="30">
        <f t="shared" si="381"/>
        <v>0.24644194756554305</v>
      </c>
      <c r="AN160" s="30">
        <f t="shared" si="381"/>
        <v>0.13206349206349199</v>
      </c>
      <c r="AO160" s="30">
        <f t="shared" si="381"/>
        <v>0.11617738913179254</v>
      </c>
      <c r="AP160" s="29">
        <f t="shared" si="381"/>
        <v>0.14310080163738692</v>
      </c>
      <c r="AQ160" s="30">
        <f t="shared" si="381"/>
        <v>0.17234332425068111</v>
      </c>
      <c r="AR160" s="30">
        <f t="shared" si="381"/>
        <v>-3.1850961538461564E-2</v>
      </c>
      <c r="AS160" s="30">
        <f t="shared" si="381"/>
        <v>5.3280987100392529E-2</v>
      </c>
      <c r="AT160" s="30">
        <f t="shared" ref="AT160:AZ160" si="382">AT159/AO159-1</f>
        <v>2.2943480693900398E-2</v>
      </c>
      <c r="AU160" s="29">
        <f t="shared" si="382"/>
        <v>5.0134288272157601E-2</v>
      </c>
      <c r="AV160" s="30">
        <f t="shared" si="382"/>
        <v>-2.5566531086577582E-2</v>
      </c>
      <c r="AW160" s="30">
        <f t="shared" si="382"/>
        <v>0.12911235257603981</v>
      </c>
      <c r="AX160" s="30">
        <f t="shared" si="382"/>
        <v>2.0766773162939289E-2</v>
      </c>
      <c r="AY160" s="30">
        <f t="shared" si="382"/>
        <v>-5.2516411378555783E-2</v>
      </c>
      <c r="AZ160" s="29">
        <f t="shared" si="382"/>
        <v>1.5203182722364206E-2</v>
      </c>
      <c r="BA160" s="29"/>
      <c r="BB160" s="30">
        <f>BB159/AV159-1</f>
        <v>-6.0226595110316028E-2</v>
      </c>
      <c r="BC160" s="30">
        <f>BC159/AW159-1</f>
        <v>-6.5420560747663559E-2</v>
      </c>
      <c r="BD160" s="30">
        <f>BD159/AX159-1</f>
        <v>-0.17579551382368286</v>
      </c>
      <c r="BE160" s="30">
        <f>BE159/AY159-1</f>
        <v>3.2332563510392598E-2</v>
      </c>
      <c r="BF160" s="29">
        <f>BF159/AZ159-1</f>
        <v>-7.0118964310706744E-2</v>
      </c>
      <c r="BG160" s="30"/>
      <c r="BH160" s="30"/>
      <c r="BI160" s="30"/>
      <c r="BJ160" s="30"/>
      <c r="BK160" s="29">
        <f>BK159/BA159-1</f>
        <v>-0.1305291723202171</v>
      </c>
      <c r="BL160" s="194">
        <f>BL159/BG159-1</f>
        <v>0.12560386473429941</v>
      </c>
      <c r="BM160" s="194">
        <f>BM159/BH159-1</f>
        <v>-0.1112903225806452</v>
      </c>
      <c r="BN160" s="194">
        <f>BN159/BI159-1</f>
        <v>5.3664921465968574E-2</v>
      </c>
      <c r="BO160" s="194">
        <f>BO159/BJ159-1</f>
        <v>4.5194143857415714E-2</v>
      </c>
      <c r="BP160" s="29">
        <f>BP159/BK159-1</f>
        <v>1.9975031210986316E-2</v>
      </c>
      <c r="BQ160" s="31">
        <f t="shared" ref="BQ160:BT160" si="383">BQ159/BL159-1</f>
        <v>3.3530145105252318E-2</v>
      </c>
      <c r="BR160" s="30">
        <f t="shared" si="383"/>
        <v>3.6834523089332549E-2</v>
      </c>
      <c r="BS160" s="30">
        <f t="shared" si="383"/>
        <v>4.0450973084886099E-2</v>
      </c>
      <c r="BT160" s="1106">
        <f t="shared" si="383"/>
        <v>8.1745797807551757E-2</v>
      </c>
      <c r="BU160" s="29">
        <f>BU159/BP159-1</f>
        <v>4.8183567931456395E-2</v>
      </c>
      <c r="BV160" s="31"/>
      <c r="BW160" s="30"/>
      <c r="BX160" s="30"/>
      <c r="BY160" s="30"/>
      <c r="BZ160" s="29">
        <f>BZ159/BU159-1</f>
        <v>6.0325836450940251E-2</v>
      </c>
      <c r="CA160" s="31"/>
      <c r="CB160" s="30"/>
      <c r="CC160" s="30"/>
      <c r="CD160" s="30"/>
      <c r="CE160" s="29">
        <f>CE159/BZ159-1</f>
        <v>8.1507407287565892E-2</v>
      </c>
      <c r="CF160" s="31"/>
      <c r="CG160" s="30"/>
      <c r="CH160" s="30"/>
      <c r="CI160" s="30"/>
      <c r="CJ160" s="29">
        <f>CJ159/CE159-1</f>
        <v>8.1603006451731686E-2</v>
      </c>
      <c r="CK160" s="39"/>
      <c r="CL160" s="7"/>
      <c r="CM160" s="788"/>
      <c r="CN160" s="622"/>
      <c r="CO160" s="734"/>
      <c r="CP160" s="734"/>
      <c r="CQ160" s="734"/>
      <c r="CR160" s="734"/>
      <c r="CS160" s="734"/>
      <c r="CT160" s="734"/>
      <c r="CU160" s="734"/>
      <c r="CV160" s="734"/>
      <c r="CW160" s="75"/>
      <c r="CX160" s="38"/>
      <c r="CY160" s="38"/>
      <c r="CZ160"/>
      <c r="DA160"/>
      <c r="DB160"/>
      <c r="DC160"/>
      <c r="DD160"/>
    </row>
    <row r="161" spans="1:108" s="115" customFormat="1">
      <c r="A161" s="106" t="s">
        <v>29</v>
      </c>
      <c r="B161" s="107">
        <f t="shared" ref="B161:AB161" si="384">B164/B38</f>
        <v>0.1076923076923077</v>
      </c>
      <c r="C161" s="107">
        <f t="shared" si="384"/>
        <v>0.11091170136396267</v>
      </c>
      <c r="D161" s="107">
        <f t="shared" si="384"/>
        <v>0.11055652607936112</v>
      </c>
      <c r="E161" s="107">
        <f t="shared" si="384"/>
        <v>0.11844792375765827</v>
      </c>
      <c r="F161" s="107">
        <f t="shared" si="384"/>
        <v>0.11471818362875921</v>
      </c>
      <c r="G161" s="107">
        <f t="shared" si="384"/>
        <v>0.1131539361524319</v>
      </c>
      <c r="H161" s="108">
        <f t="shared" si="384"/>
        <v>0.11096938775510204</v>
      </c>
      <c r="I161" s="108">
        <f t="shared" si="384"/>
        <v>0.11156542056074767</v>
      </c>
      <c r="J161" s="108">
        <f t="shared" si="384"/>
        <v>0.12179487179487179</v>
      </c>
      <c r="K161" s="108">
        <f t="shared" si="384"/>
        <v>0.12211720226843101</v>
      </c>
      <c r="L161" s="107">
        <f t="shared" si="384"/>
        <v>0.11748108246761575</v>
      </c>
      <c r="M161" s="108">
        <f t="shared" si="384"/>
        <v>0.12969454181271908</v>
      </c>
      <c r="N161" s="108">
        <f t="shared" si="384"/>
        <v>0.13995037220843673</v>
      </c>
      <c r="O161" s="108">
        <f t="shared" si="384"/>
        <v>0.14162162162162162</v>
      </c>
      <c r="P161" s="108">
        <f t="shared" si="384"/>
        <v>0.13207547169811321</v>
      </c>
      <c r="Q161" s="107">
        <f t="shared" si="384"/>
        <v>0.13558701488894312</v>
      </c>
      <c r="R161" s="108">
        <f t="shared" si="384"/>
        <v>0.11591192355629414</v>
      </c>
      <c r="S161" s="108">
        <f t="shared" si="384"/>
        <v>0.12474012474012475</v>
      </c>
      <c r="T161" s="108">
        <f t="shared" si="384"/>
        <v>0.13463996591393268</v>
      </c>
      <c r="U161" s="108">
        <f t="shared" si="384"/>
        <v>0.14762670957361224</v>
      </c>
      <c r="V161" s="107">
        <f t="shared" si="384"/>
        <v>0.13084499740798342</v>
      </c>
      <c r="W161" s="108">
        <f t="shared" si="384"/>
        <v>0.13436563436563437</v>
      </c>
      <c r="X161" s="108">
        <f t="shared" si="384"/>
        <v>0.13974419706300331</v>
      </c>
      <c r="Y161" s="108">
        <f t="shared" si="384"/>
        <v>0.15031416143064283</v>
      </c>
      <c r="Z161" s="108">
        <f t="shared" si="384"/>
        <v>0.14836795252225518</v>
      </c>
      <c r="AA161" s="107">
        <f t="shared" si="384"/>
        <v>0.14361342644739805</v>
      </c>
      <c r="AB161" s="108">
        <f t="shared" si="384"/>
        <v>0.14168797953964193</v>
      </c>
      <c r="AC161" s="108">
        <f>+AC164/AC38</f>
        <v>0.14097123998114097</v>
      </c>
      <c r="AD161" s="108">
        <f>+AD164/AD38</f>
        <v>0.14906542056074767</v>
      </c>
      <c r="AE161" s="108">
        <f>AE164/AE38</f>
        <v>0.14860206817311375</v>
      </c>
      <c r="AF161" s="107">
        <f>AF164/AF38</f>
        <v>0.14534949586495979</v>
      </c>
      <c r="AG161" s="108">
        <f>AG164/AG38</f>
        <v>0.10622710622710622</v>
      </c>
      <c r="AH161" s="108">
        <f>+AH164/AH38</f>
        <v>0.14983713355048861</v>
      </c>
      <c r="AI161" s="108">
        <f>+AI164/AI38</f>
        <v>0.14008179959100203</v>
      </c>
      <c r="AJ161" s="108">
        <f>AJ164/AJ38</f>
        <v>0.13613360323886639</v>
      </c>
      <c r="AK161" s="107">
        <f>AK164/AK38</f>
        <v>0.13363363363363365</v>
      </c>
      <c r="AL161" s="108">
        <f>+AL164/AL38</f>
        <v>0.13844172569220864</v>
      </c>
      <c r="AM161" s="108">
        <f>+AM164/AM38</f>
        <v>0.1407359586830213</v>
      </c>
      <c r="AN161" s="108">
        <f>+AN164/AN38</f>
        <v>0.16386247256766642</v>
      </c>
      <c r="AO161" s="108">
        <f>+AO164/AO38</f>
        <v>0.18415260454878943</v>
      </c>
      <c r="AP161" s="107">
        <f>AP164/AP38</f>
        <v>0.15569272976680384</v>
      </c>
      <c r="AQ161" s="108">
        <f>+AQ164/AQ38</f>
        <v>0.10326499620349279</v>
      </c>
      <c r="AR161" s="108">
        <f>+AR164/AR38</f>
        <v>0.15017064846416384</v>
      </c>
      <c r="AS161" s="108">
        <f>+AS164/AS38</f>
        <v>0.16630824372759856</v>
      </c>
      <c r="AT161" s="108">
        <f>+AT164/AT38</f>
        <v>0.1742765273311897</v>
      </c>
      <c r="AU161" s="107">
        <f>AU164/AU38</f>
        <v>0.1503838101884159</v>
      </c>
      <c r="AV161" s="108">
        <f>+AV164/AV38</f>
        <v>0.14966984592809979</v>
      </c>
      <c r="AW161" s="108">
        <f>+AW164/AW38</f>
        <v>0.16051136363636365</v>
      </c>
      <c r="AX161" s="108">
        <f>+AX164/AX38</f>
        <v>0.16208178438661711</v>
      </c>
      <c r="AY161" s="108">
        <f>+AY164/AY38</f>
        <v>0.15354330708661418</v>
      </c>
      <c r="AZ161" s="107">
        <f>AZ164/AZ38</f>
        <v>0.15638297872340426</v>
      </c>
      <c r="BA161" s="107">
        <f>BA164/BA38</f>
        <v>0.15700868332447279</v>
      </c>
      <c r="BB161" s="108">
        <f>+BB164/BB38</f>
        <v>0.17046347211311863</v>
      </c>
      <c r="BC161" s="108">
        <f>+BC164/BC38</f>
        <v>0.16653992395437262</v>
      </c>
      <c r="BD161" s="108">
        <f>+BD164/BD38</f>
        <v>0.16466165413533834</v>
      </c>
      <c r="BE161" s="108">
        <f>+BE164/BE38</f>
        <v>0.15380047505938244</v>
      </c>
      <c r="BF161" s="107">
        <f>BF164/BF38</f>
        <v>0.16315601570867547</v>
      </c>
      <c r="BG161" s="108">
        <f>+BG164/BG38</f>
        <v>0.1502008032128514</v>
      </c>
      <c r="BH161" s="108">
        <f>+BH164/BH38</f>
        <v>0.15805705474171164</v>
      </c>
      <c r="BI161" s="108">
        <f>+BI164/BI38</f>
        <v>0.15749811605124342</v>
      </c>
      <c r="BJ161" s="108">
        <f>+BJ164/BJ38</f>
        <v>0.13847080072245635</v>
      </c>
      <c r="BK161" s="107">
        <f>BK164/BK38</f>
        <v>0.15027124773960218</v>
      </c>
      <c r="BL161" s="108">
        <f>+BL164/BL38</f>
        <v>0.15928515928515929</v>
      </c>
      <c r="BM161" s="108">
        <f>+BM164/BM38</f>
        <v>0.15912305516265912</v>
      </c>
      <c r="BN161" s="108">
        <f>+BN164/BN38</f>
        <v>0.16466666666666666</v>
      </c>
      <c r="BO161" s="108">
        <f>+BO164/BO38</f>
        <v>0.14874141876430205</v>
      </c>
      <c r="BP161" s="107">
        <f>BP164/BP38</f>
        <v>0.15750546310304253</v>
      </c>
      <c r="BQ161" s="207">
        <v>0.157</v>
      </c>
      <c r="BR161" s="208">
        <v>0.157</v>
      </c>
      <c r="BS161" s="208">
        <v>0.157</v>
      </c>
      <c r="BT161" s="1124">
        <v>0.157</v>
      </c>
      <c r="BU161" s="1053">
        <f>BU164/BU38</f>
        <v>0.157</v>
      </c>
      <c r="BV161" s="207"/>
      <c r="BW161" s="208"/>
      <c r="BX161" s="208"/>
      <c r="BY161" s="208"/>
      <c r="BZ161" s="206">
        <v>0.155</v>
      </c>
      <c r="CA161" s="207"/>
      <c r="CB161" s="208"/>
      <c r="CC161" s="208"/>
      <c r="CD161" s="208"/>
      <c r="CE161" s="206">
        <v>0.1525</v>
      </c>
      <c r="CF161" s="207"/>
      <c r="CG161" s="208"/>
      <c r="CH161" s="208"/>
      <c r="CI161" s="208"/>
      <c r="CJ161" s="206">
        <v>0.15</v>
      </c>
      <c r="CK161" s="114"/>
      <c r="CL161" s="231"/>
      <c r="CM161" s="661" t="s">
        <v>377</v>
      </c>
      <c r="CN161" s="661"/>
      <c r="CO161" s="661"/>
      <c r="CP161" s="661"/>
      <c r="CQ161" s="661"/>
      <c r="CR161" s="661"/>
      <c r="CS161" s="661" t="s">
        <v>389</v>
      </c>
      <c r="CT161" s="249"/>
      <c r="CU161" s="1229" t="s">
        <v>104</v>
      </c>
      <c r="CV161" s="1230">
        <f>+(CJ164/BP164)^(1/4)-1</f>
        <v>6.3056058531448578E-2</v>
      </c>
      <c r="CW161" s="231"/>
      <c r="CX161" s="114"/>
      <c r="CY161" s="114"/>
      <c r="CZ161"/>
      <c r="DA161"/>
      <c r="DB161"/>
      <c r="DC161"/>
      <c r="DD161"/>
    </row>
    <row r="162" spans="1:108" s="198" customFormat="1">
      <c r="A162" s="116" t="s">
        <v>24</v>
      </c>
      <c r="B162" s="193"/>
      <c r="C162" s="199">
        <f>(C161-B161)*100</f>
        <v>0.32193936716549687</v>
      </c>
      <c r="D162" s="199">
        <f>(D161-C161)*100</f>
        <v>-3.551752846015499E-2</v>
      </c>
      <c r="E162" s="199">
        <f>(E161-D161)*100</f>
        <v>0.78913976782971496</v>
      </c>
      <c r="F162" s="199">
        <f>(F161-E161)*100</f>
        <v>-0.37297401288990534</v>
      </c>
      <c r="G162" s="199">
        <f>(G161-F161)*100</f>
        <v>-0.15642474763273156</v>
      </c>
      <c r="H162" s="194"/>
      <c r="I162" s="194"/>
      <c r="J162" s="194"/>
      <c r="K162" s="194"/>
      <c r="L162" s="199">
        <f t="shared" ref="L162:AS162" si="385">(L161-G161)*100</f>
        <v>0.43271463151838552</v>
      </c>
      <c r="M162" s="200">
        <f t="shared" si="385"/>
        <v>1.8725154057617044</v>
      </c>
      <c r="N162" s="200">
        <f t="shared" si="385"/>
        <v>2.8384951647689061</v>
      </c>
      <c r="O162" s="200">
        <f t="shared" si="385"/>
        <v>1.9826749826749825</v>
      </c>
      <c r="P162" s="200">
        <f t="shared" si="385"/>
        <v>0.99582694296821983</v>
      </c>
      <c r="Q162" s="199">
        <f t="shared" si="385"/>
        <v>1.8105932421327366</v>
      </c>
      <c r="R162" s="200">
        <f t="shared" si="385"/>
        <v>-1.3782618256424948</v>
      </c>
      <c r="S162" s="200">
        <f t="shared" si="385"/>
        <v>-1.5210247468311984</v>
      </c>
      <c r="T162" s="200">
        <f t="shared" si="385"/>
        <v>-0.69816557076889385</v>
      </c>
      <c r="U162" s="200">
        <f t="shared" si="385"/>
        <v>1.5551237875499031</v>
      </c>
      <c r="V162" s="199">
        <f t="shared" si="385"/>
        <v>-0.47420174809597038</v>
      </c>
      <c r="W162" s="200">
        <f t="shared" si="385"/>
        <v>1.8453710809340231</v>
      </c>
      <c r="X162" s="200">
        <f t="shared" si="385"/>
        <v>1.5004072322878566</v>
      </c>
      <c r="Y162" s="200">
        <f t="shared" si="385"/>
        <v>1.5674195516710148</v>
      </c>
      <c r="Z162" s="200">
        <f t="shared" si="385"/>
        <v>7.4124294864294504E-2</v>
      </c>
      <c r="AA162" s="199">
        <f t="shared" si="385"/>
        <v>1.2768429039414637</v>
      </c>
      <c r="AB162" s="200">
        <f t="shared" si="385"/>
        <v>0.73223451740075662</v>
      </c>
      <c r="AC162" s="200">
        <f t="shared" si="385"/>
        <v>0.12270429181376608</v>
      </c>
      <c r="AD162" s="200">
        <f t="shared" si="385"/>
        <v>-0.12487408698951541</v>
      </c>
      <c r="AE162" s="200">
        <f t="shared" si="385"/>
        <v>2.3411565085856845E-2</v>
      </c>
      <c r="AF162" s="199">
        <f t="shared" si="385"/>
        <v>0.17360694175617419</v>
      </c>
      <c r="AG162" s="200">
        <f t="shared" si="385"/>
        <v>-3.5460873312535708</v>
      </c>
      <c r="AH162" s="200">
        <f t="shared" si="385"/>
        <v>0.88658935693476382</v>
      </c>
      <c r="AI162" s="200">
        <f t="shared" si="385"/>
        <v>-0.89836209697456426</v>
      </c>
      <c r="AJ162" s="200">
        <f t="shared" si="385"/>
        <v>-1.2468464934247359</v>
      </c>
      <c r="AK162" s="199">
        <f t="shared" si="385"/>
        <v>-1.1715862231326146</v>
      </c>
      <c r="AL162" s="200">
        <f t="shared" si="385"/>
        <v>3.2214619465102414</v>
      </c>
      <c r="AM162" s="200">
        <f t="shared" si="385"/>
        <v>-0.91011748674673099</v>
      </c>
      <c r="AN162" s="200">
        <f t="shared" si="385"/>
        <v>2.3780672976664392</v>
      </c>
      <c r="AO162" s="200">
        <f t="shared" si="385"/>
        <v>4.8019001309923039</v>
      </c>
      <c r="AP162" s="199">
        <f>(AP161-AK161)*100</f>
        <v>2.2059096133170195</v>
      </c>
      <c r="AQ162" s="200">
        <f t="shared" si="385"/>
        <v>-3.517672948871585</v>
      </c>
      <c r="AR162" s="200">
        <f t="shared" si="385"/>
        <v>0.94346897811425356</v>
      </c>
      <c r="AS162" s="200">
        <f t="shared" si="385"/>
        <v>0.24457711599321363</v>
      </c>
      <c r="AT162" s="200">
        <f t="shared" ref="AT162:AZ162" si="386">(AT161-AO161)*100</f>
        <v>-0.98760772175997269</v>
      </c>
      <c r="AU162" s="199">
        <f t="shared" si="386"/>
        <v>-0.53089195783879439</v>
      </c>
      <c r="AV162" s="200">
        <f t="shared" si="386"/>
        <v>4.6404849724606994</v>
      </c>
      <c r="AW162" s="200">
        <f t="shared" si="386"/>
        <v>1.034071517219981</v>
      </c>
      <c r="AX162" s="200">
        <f t="shared" si="386"/>
        <v>-0.42264593409814533</v>
      </c>
      <c r="AY162" s="200">
        <f t="shared" si="386"/>
        <v>-2.0733220244575525</v>
      </c>
      <c r="AZ162" s="199">
        <f t="shared" si="386"/>
        <v>0.59991685349883583</v>
      </c>
      <c r="BA162" s="199"/>
      <c r="BB162" s="200">
        <f>(BB161-AV161)*100</f>
        <v>2.0793626185018841</v>
      </c>
      <c r="BC162" s="200">
        <f>(BC161-AW161)*100</f>
        <v>0.60285603180089686</v>
      </c>
      <c r="BD162" s="200">
        <f>(BD161-AX161)*100</f>
        <v>0.25798697487212363</v>
      </c>
      <c r="BE162" s="200">
        <f>(BE161-AY161)*100</f>
        <v>2.5716797276825742E-2</v>
      </c>
      <c r="BF162" s="199">
        <f>(BF161-AZ161)*100</f>
        <v>0.6773036985271208</v>
      </c>
      <c r="BG162" s="200"/>
      <c r="BH162" s="200"/>
      <c r="BI162" s="200"/>
      <c r="BJ162" s="200"/>
      <c r="BK162" s="199">
        <f>(BK161-BA161)*100</f>
        <v>-0.67374355848706102</v>
      </c>
      <c r="BL162" s="200">
        <f>IFERROR((BL161-BG161)*100,"")</f>
        <v>0.90843560723078975</v>
      </c>
      <c r="BM162" s="200">
        <f>IF(BH161=0,"",(BM161-BH161)*100)</f>
        <v>0.10660004209474827</v>
      </c>
      <c r="BN162" s="200">
        <f>(BN161-BI161)*100</f>
        <v>0.71685506154232359</v>
      </c>
      <c r="BO162" s="200">
        <f>(BO161-BJ161)*100</f>
        <v>1.0270618041845703</v>
      </c>
      <c r="BP162" s="199">
        <f>(BP161-BK161)*100</f>
        <v>0.72342153634403494</v>
      </c>
      <c r="BQ162" s="223">
        <f t="shared" ref="BQ162" si="387">IF(BL161=0,"",(BQ161-BL161)*100)</f>
        <v>-0.22851592851592939</v>
      </c>
      <c r="BR162" s="200">
        <f t="shared" ref="BR162" si="388">IF(BM161=0,"",(BR161-BM161)*100)</f>
        <v>-0.2123055162659121</v>
      </c>
      <c r="BS162" s="200">
        <f t="shared" ref="BS162" si="389">IF(BN161=0,"",(BS161-BN161)*100)</f>
        <v>-0.7666666666666655</v>
      </c>
      <c r="BT162" s="541">
        <f t="shared" ref="BT162" si="390">IF(BO161=0,"",(BT161-BO161)*100)</f>
        <v>0.82585812356979482</v>
      </c>
      <c r="BU162" s="1054">
        <f>(BU161-BP161)*100</f>
        <v>-5.054631030425305E-2</v>
      </c>
      <c r="BV162" s="195"/>
      <c r="BW162" s="194"/>
      <c r="BX162" s="194"/>
      <c r="BY162" s="194"/>
      <c r="BZ162" s="199">
        <f>(BZ161-BU161)*100</f>
        <v>-0.20000000000000018</v>
      </c>
      <c r="CA162" s="195"/>
      <c r="CB162" s="194"/>
      <c r="CC162" s="194"/>
      <c r="CD162" s="194"/>
      <c r="CE162" s="199">
        <f>(CE161-BZ161)*100</f>
        <v>-0.25000000000000022</v>
      </c>
      <c r="CF162" s="195"/>
      <c r="CG162" s="194"/>
      <c r="CH162" s="194"/>
      <c r="CI162" s="194"/>
      <c r="CJ162" s="199">
        <f>(CJ161-CE161)*100</f>
        <v>-0.25000000000000022</v>
      </c>
      <c r="CK162" s="197"/>
      <c r="CL162" s="229"/>
      <c r="CM162" s="622"/>
      <c r="CN162" s="661"/>
      <c r="CO162" s="661"/>
      <c r="CP162" s="1012"/>
      <c r="CQ162" s="661"/>
      <c r="CR162" s="661"/>
      <c r="CS162" s="661"/>
      <c r="CT162" s="661"/>
      <c r="CU162" s="1012"/>
      <c r="CV162" s="1012"/>
      <c r="CW162" s="229"/>
      <c r="CX162" s="197"/>
      <c r="CY162" s="197"/>
      <c r="CZ162"/>
      <c r="DA162"/>
      <c r="DB162"/>
      <c r="DC162"/>
      <c r="DD162"/>
    </row>
    <row r="163" spans="1:108" s="205" customFormat="1">
      <c r="A163" s="117" t="s">
        <v>25</v>
      </c>
      <c r="B163" s="201"/>
      <c r="C163" s="201">
        <f>(C164-B164)/(C38-B38)</f>
        <v>0.1232638888888889</v>
      </c>
      <c r="D163" s="201">
        <f>(D164-C164)/(D38-C38)</f>
        <v>0.10974610974610975</v>
      </c>
      <c r="E163" s="201">
        <f>(E164-D164)/(E38-D38)</f>
        <v>0.19750000000000001</v>
      </c>
      <c r="F163" s="201">
        <f>(F164-E164)/(F38-E38)</f>
        <v>8.7947882736156349E-2</v>
      </c>
      <c r="G163" s="201">
        <f>(G164-F164)/(G38-F38)</f>
        <v>0.104989604989605</v>
      </c>
      <c r="H163" s="202"/>
      <c r="I163" s="202"/>
      <c r="J163" s="202"/>
      <c r="K163" s="202"/>
      <c r="L163" s="201">
        <f t="shared" ref="L163:AZ163" si="391">(L164-G164)/(L38-G38)</f>
        <v>0.13175303197353913</v>
      </c>
      <c r="M163" s="202">
        <f t="shared" si="391"/>
        <v>0.19813519813519814</v>
      </c>
      <c r="N163" s="202">
        <f t="shared" si="391"/>
        <v>0.30033003300330036</v>
      </c>
      <c r="O163" s="202">
        <f t="shared" si="391"/>
        <v>-1.5454545454545454</v>
      </c>
      <c r="P163" s="202">
        <f t="shared" si="391"/>
        <v>4.7923322683706068E-2</v>
      </c>
      <c r="Q163" s="201">
        <f t="shared" si="391"/>
        <v>0.49118387909319899</v>
      </c>
      <c r="R163" s="202">
        <f t="shared" si="391"/>
        <v>4.878048780487805E-2</v>
      </c>
      <c r="S163" s="202">
        <f t="shared" si="391"/>
        <v>4.6153846153846156E-2</v>
      </c>
      <c r="T163" s="202">
        <f t="shared" si="391"/>
        <v>0.10865191146881288</v>
      </c>
      <c r="U163" s="202">
        <f t="shared" si="391"/>
        <v>0.38311688311688313</v>
      </c>
      <c r="V163" s="201">
        <f t="shared" si="391"/>
        <v>0.10406616126809097</v>
      </c>
      <c r="W163" s="202">
        <f t="shared" si="391"/>
        <v>2.4691358024691357E-2</v>
      </c>
      <c r="X163" s="202">
        <f t="shared" si="391"/>
        <v>1.7006802721088437E-2</v>
      </c>
      <c r="Y163" s="202">
        <f t="shared" si="391"/>
        <v>1.7985611510791366E-2</v>
      </c>
      <c r="Z163" s="202">
        <f t="shared" si="391"/>
        <v>0.15714285714285714</v>
      </c>
      <c r="AA163" s="201">
        <f t="shared" si="391"/>
        <v>-1.6949152542372881E-2</v>
      </c>
      <c r="AB163" s="202">
        <f t="shared" si="391"/>
        <v>-0.1702127659574468</v>
      </c>
      <c r="AC163" s="202">
        <f t="shared" si="391"/>
        <v>0.4</v>
      </c>
      <c r="AD163" s="202">
        <f t="shared" si="391"/>
        <v>0.11267605633802817</v>
      </c>
      <c r="AE163" s="202">
        <f t="shared" si="391"/>
        <v>0.14117647058823529</v>
      </c>
      <c r="AF163" s="201">
        <f t="shared" si="391"/>
        <v>-0.15686274509803921</v>
      </c>
      <c r="AG163" s="202">
        <f t="shared" si="391"/>
        <v>1.6818181818181819</v>
      </c>
      <c r="AH163" s="202">
        <f t="shared" si="391"/>
        <v>0.8214285714285714</v>
      </c>
      <c r="AI163" s="202">
        <f t="shared" si="391"/>
        <v>0.24456521739130435</v>
      </c>
      <c r="AJ163" s="202">
        <f t="shared" si="391"/>
        <v>0.18740157480314962</v>
      </c>
      <c r="AK163" s="201">
        <f t="shared" si="391"/>
        <v>0.25748502994011974</v>
      </c>
      <c r="AL163" s="202">
        <f t="shared" si="391"/>
        <v>-3.3519553072625698E-2</v>
      </c>
      <c r="AM163" s="202">
        <f t="shared" si="391"/>
        <v>0.17333333333333334</v>
      </c>
      <c r="AN163" s="202">
        <f t="shared" si="391"/>
        <v>8.4889643463497449E-2</v>
      </c>
      <c r="AO163" s="202">
        <f t="shared" si="391"/>
        <v>2.936378466557912E-2</v>
      </c>
      <c r="AP163" s="201">
        <f t="shared" si="391"/>
        <v>7.407407407407407E-2</v>
      </c>
      <c r="AQ163" s="202">
        <f t="shared" si="391"/>
        <v>0.3347457627118644</v>
      </c>
      <c r="AR163" s="202">
        <f t="shared" si="391"/>
        <v>-2.3809523809523808E-2</v>
      </c>
      <c r="AS163" s="202">
        <f t="shared" si="391"/>
        <v>0.2857142857142857</v>
      </c>
      <c r="AT163" s="202">
        <f t="shared" si="391"/>
        <v>0.10416666666666667</v>
      </c>
      <c r="AU163" s="201">
        <f t="shared" si="391"/>
        <v>0.46</v>
      </c>
      <c r="AV163" s="202">
        <f t="shared" si="391"/>
        <v>1.4782608695652173</v>
      </c>
      <c r="AW163" s="202">
        <f t="shared" si="391"/>
        <v>-0.10526315789473684</v>
      </c>
      <c r="AX163" s="202">
        <f t="shared" si="391"/>
        <v>0.28000000000000003</v>
      </c>
      <c r="AY163" s="202">
        <f t="shared" si="391"/>
        <v>1.1935483870967742</v>
      </c>
      <c r="AZ163" s="201">
        <f t="shared" si="391"/>
        <v>-0.21739130434782608</v>
      </c>
      <c r="BA163" s="201"/>
      <c r="BB163" s="202">
        <f>(BB164-AV164)/(BB38-AV38)</f>
        <v>-0.14444444444444443</v>
      </c>
      <c r="BC163" s="202">
        <f>(BC164-AW164)/(BC38-AW38)</f>
        <v>7.5268817204301078E-2</v>
      </c>
      <c r="BD163" s="202">
        <f>(BD164-AX164)/(BD38-AX38)</f>
        <v>-6.6666666666666666E-2</v>
      </c>
      <c r="BE163" s="202">
        <f>(BE164-AY164)/(BE38-AY38)</f>
        <v>0.15625</v>
      </c>
      <c r="BF163" s="201">
        <f>(BF164-AZ164)/(BF38-AZ38)</f>
        <v>-0.84210526315789469</v>
      </c>
      <c r="BG163" s="202"/>
      <c r="BH163" s="202"/>
      <c r="BI163" s="202"/>
      <c r="BJ163" s="202"/>
      <c r="BK163" s="201">
        <f>(BK164-BA164)/(BK38-BA38)</f>
        <v>0.48672566371681414</v>
      </c>
      <c r="BL163" s="202">
        <f t="shared" ref="BL163:BU163" si="392">(BL164-BG164)/(BL38-BG38)</f>
        <v>0.42857142857142855</v>
      </c>
      <c r="BM163" s="202">
        <f t="shared" si="392"/>
        <v>0.17094017094017094</v>
      </c>
      <c r="BN163" s="202">
        <f t="shared" si="392"/>
        <v>0.21965317919075145</v>
      </c>
      <c r="BO163" s="202">
        <f t="shared" si="392"/>
        <v>0.34482758620689657</v>
      </c>
      <c r="BP163" s="201">
        <f t="shared" si="392"/>
        <v>0.2529832935560859</v>
      </c>
      <c r="BQ163" s="203">
        <f t="shared" si="392"/>
        <v>9.2631429196761081E-2</v>
      </c>
      <c r="BR163" s="202">
        <f t="shared" si="392"/>
        <v>9.6414732593339825E-2</v>
      </c>
      <c r="BS163" s="202">
        <f t="shared" si="392"/>
        <v>-5.831548399176132E-2</v>
      </c>
      <c r="BT163" s="1125">
        <f t="shared" si="392"/>
        <v>0.3859611419508332</v>
      </c>
      <c r="BU163" s="1055">
        <f t="shared" si="392"/>
        <v>0.14279593764761486</v>
      </c>
      <c r="BV163" s="203"/>
      <c r="BW163" s="202"/>
      <c r="BX163" s="202"/>
      <c r="BY163" s="202"/>
      <c r="BZ163" s="201">
        <f>(BZ164-BU164)/(BZ38-BU38)</f>
        <v>0.13500000000000001</v>
      </c>
      <c r="CA163" s="203"/>
      <c r="CB163" s="202"/>
      <c r="CC163" s="202"/>
      <c r="CD163" s="202"/>
      <c r="CE163" s="201">
        <f>(CE164-BZ164)/(CE38-BZ38)</f>
        <v>0.12472222222222216</v>
      </c>
      <c r="CF163" s="203"/>
      <c r="CG163" s="202"/>
      <c r="CH163" s="202"/>
      <c r="CI163" s="202"/>
      <c r="CJ163" s="201">
        <f>(CJ164-CE164)/(CJ38-CE38)</f>
        <v>0.11875000000000002</v>
      </c>
      <c r="CK163" s="204"/>
      <c r="CL163" s="239"/>
      <c r="CM163" s="661"/>
      <c r="CN163" s="661"/>
      <c r="CO163" s="661"/>
      <c r="CP163" s="622"/>
      <c r="CQ163" s="1012"/>
      <c r="CR163" s="1012"/>
      <c r="CS163" s="1012"/>
      <c r="CT163" s="1012"/>
      <c r="CU163" s="1012"/>
      <c r="CV163" s="1012"/>
      <c r="CW163" s="239"/>
      <c r="CX163" s="204"/>
      <c r="CY163" s="204"/>
      <c r="CZ163"/>
      <c r="DA163"/>
      <c r="DB163"/>
      <c r="DC163"/>
      <c r="DD163"/>
    </row>
    <row r="164" spans="1:108" s="123" customFormat="1">
      <c r="A164" s="118" t="s">
        <v>30</v>
      </c>
      <c r="B164" s="119">
        <v>238</v>
      </c>
      <c r="C164" s="119">
        <v>309</v>
      </c>
      <c r="D164" s="119">
        <v>443</v>
      </c>
      <c r="E164" s="119">
        <v>522</v>
      </c>
      <c r="F164" s="119">
        <v>576</v>
      </c>
      <c r="G164" s="119">
        <v>677</v>
      </c>
      <c r="H164" s="120">
        <v>174</v>
      </c>
      <c r="I164" s="120">
        <v>191</v>
      </c>
      <c r="J164" s="120">
        <v>228</v>
      </c>
      <c r="K164" s="121">
        <v>323</v>
      </c>
      <c r="L164" s="119">
        <f>SUM(H164:K164)</f>
        <v>916</v>
      </c>
      <c r="M164" s="120">
        <v>259</v>
      </c>
      <c r="N164" s="120">
        <v>282</v>
      </c>
      <c r="O164" s="120">
        <v>262</v>
      </c>
      <c r="P164" s="121">
        <v>308</v>
      </c>
      <c r="Q164" s="119">
        <f>SUM(M164:P164)</f>
        <v>1111</v>
      </c>
      <c r="R164" s="120">
        <v>279</v>
      </c>
      <c r="S164" s="120">
        <v>300</v>
      </c>
      <c r="T164" s="120">
        <v>316</v>
      </c>
      <c r="U164" s="121">
        <v>367</v>
      </c>
      <c r="V164" s="119">
        <f>SUM(R164:U164)</f>
        <v>1262</v>
      </c>
      <c r="W164" s="120">
        <v>269</v>
      </c>
      <c r="X164" s="120">
        <v>295</v>
      </c>
      <c r="Y164" s="120">
        <v>311</v>
      </c>
      <c r="Z164" s="121">
        <v>400</v>
      </c>
      <c r="AA164" s="119">
        <f>SUM(W164:Z164)</f>
        <v>1275</v>
      </c>
      <c r="AB164" s="120">
        <v>277</v>
      </c>
      <c r="AC164" s="120">
        <v>299</v>
      </c>
      <c r="AD164" s="120">
        <v>319</v>
      </c>
      <c r="AE164" s="121">
        <v>388</v>
      </c>
      <c r="AF164" s="119">
        <f>SUM(AB164:AE164)</f>
        <v>1283</v>
      </c>
      <c r="AG164" s="120">
        <v>203</v>
      </c>
      <c r="AH164" s="120">
        <v>322</v>
      </c>
      <c r="AI164" s="120">
        <v>274</v>
      </c>
      <c r="AJ164" s="636">
        <v>269</v>
      </c>
      <c r="AK164" s="119">
        <f>SUM(AG164:AJ164)</f>
        <v>1068</v>
      </c>
      <c r="AL164" s="120">
        <v>215</v>
      </c>
      <c r="AM164" s="120">
        <v>218</v>
      </c>
      <c r="AN164" s="120">
        <v>224</v>
      </c>
      <c r="AO164" s="121">
        <f>908-AN164-AM164-AL164</f>
        <v>251</v>
      </c>
      <c r="AP164" s="119">
        <f>SUM(AL164:AO164)</f>
        <v>908</v>
      </c>
      <c r="AQ164" s="120">
        <v>136</v>
      </c>
      <c r="AR164" s="120">
        <v>220</v>
      </c>
      <c r="AS164" s="120">
        <v>232</v>
      </c>
      <c r="AT164" s="121">
        <v>271</v>
      </c>
      <c r="AU164" s="119">
        <v>862</v>
      </c>
      <c r="AV164" s="120">
        <v>204</v>
      </c>
      <c r="AW164" s="120">
        <v>226</v>
      </c>
      <c r="AX164" s="120">
        <v>218</v>
      </c>
      <c r="AY164" s="121">
        <v>234</v>
      </c>
      <c r="AZ164" s="119">
        <f>SUM(AV164:AY164)</f>
        <v>882</v>
      </c>
      <c r="BA164" s="119">
        <v>886</v>
      </c>
      <c r="BB164" s="122">
        <v>217</v>
      </c>
      <c r="BC164" s="121">
        <v>219</v>
      </c>
      <c r="BD164" s="121">
        <v>219</v>
      </c>
      <c r="BE164" s="121">
        <f>914-BD164-BC164-BB164</f>
        <v>259</v>
      </c>
      <c r="BF164" s="119">
        <f>SUM(BB164:BE164)</f>
        <v>914</v>
      </c>
      <c r="BG164" s="122">
        <v>187</v>
      </c>
      <c r="BH164" s="121">
        <v>205</v>
      </c>
      <c r="BI164" s="121">
        <v>209</v>
      </c>
      <c r="BJ164" s="121">
        <v>230</v>
      </c>
      <c r="BK164" s="119">
        <f>SUM(BG164:BJ164)</f>
        <v>831</v>
      </c>
      <c r="BL164" s="122">
        <v>205</v>
      </c>
      <c r="BM164" s="121">
        <v>225</v>
      </c>
      <c r="BN164" s="121">
        <v>247</v>
      </c>
      <c r="BO164" s="121">
        <v>260</v>
      </c>
      <c r="BP164" s="119">
        <f>SUM(BL164:BO164)</f>
        <v>937</v>
      </c>
      <c r="BQ164" s="122">
        <f>BQ38*BQ161</f>
        <v>209.23233000000002</v>
      </c>
      <c r="BR164" s="121">
        <f>BR38*BR161</f>
        <v>229.77734999999998</v>
      </c>
      <c r="BS164" s="121">
        <f>BS38*BS161</f>
        <v>243.88537000000002</v>
      </c>
      <c r="BT164" s="1126">
        <f>BT38*BT161</f>
        <v>284.33485000000002</v>
      </c>
      <c r="BU164" s="1056">
        <f>+SUM(BQ164:BT164)</f>
        <v>967.22990000000004</v>
      </c>
      <c r="BV164" s="122"/>
      <c r="BW164" s="121"/>
      <c r="BX164" s="121"/>
      <c r="BY164" s="121"/>
      <c r="BZ164" s="119">
        <f>BZ38*BZ161</f>
        <v>1050.3993500000001</v>
      </c>
      <c r="CA164" s="122"/>
      <c r="CB164" s="121"/>
      <c r="CC164" s="121"/>
      <c r="CD164" s="121"/>
      <c r="CE164" s="119">
        <f>CE38*CE161</f>
        <v>1126.4685932500001</v>
      </c>
      <c r="CF164" s="122"/>
      <c r="CG164" s="121"/>
      <c r="CH164" s="121"/>
      <c r="CI164" s="121"/>
      <c r="CJ164" s="119">
        <f>CJ38*CJ161</f>
        <v>1196.6420466000002</v>
      </c>
      <c r="CK164" s="118"/>
      <c r="CL164" s="237"/>
      <c r="CM164" s="661"/>
      <c r="CN164" s="661"/>
      <c r="CO164" s="1012"/>
      <c r="CP164" s="734"/>
      <c r="CQ164" s="622"/>
      <c r="CR164" s="622"/>
      <c r="CS164" s="622"/>
      <c r="CT164" s="622"/>
      <c r="CU164" s="622"/>
      <c r="CV164" s="622"/>
      <c r="CW164" s="237"/>
      <c r="CX164" s="118"/>
      <c r="CY164" s="118"/>
      <c r="CZ164"/>
      <c r="DA164"/>
      <c r="DB164"/>
      <c r="DC164"/>
      <c r="DD164"/>
    </row>
    <row r="165" spans="1:108" s="40" customFormat="1">
      <c r="A165" s="28" t="s">
        <v>21</v>
      </c>
      <c r="B165" s="29"/>
      <c r="C165" s="29">
        <f>C164/B164-1</f>
        <v>0.29831932773109249</v>
      </c>
      <c r="D165" s="29">
        <f>D164/C164-1</f>
        <v>0.43365695792880254</v>
      </c>
      <c r="E165" s="29">
        <f>E164/D164-1</f>
        <v>0.17832957110609482</v>
      </c>
      <c r="F165" s="29">
        <f>F164/E164-1</f>
        <v>0.10344827586206895</v>
      </c>
      <c r="G165" s="29">
        <f>G164/F164-1</f>
        <v>0.17534722222222232</v>
      </c>
      <c r="H165" s="30"/>
      <c r="I165" s="30"/>
      <c r="J165" s="30"/>
      <c r="K165" s="30"/>
      <c r="L165" s="29">
        <f t="shared" ref="L165:AS165" si="393">L164/G164-1</f>
        <v>0.35302806499261452</v>
      </c>
      <c r="M165" s="30">
        <f t="shared" si="393"/>
        <v>0.48850574712643668</v>
      </c>
      <c r="N165" s="30">
        <f t="shared" si="393"/>
        <v>0.47643979057591612</v>
      </c>
      <c r="O165" s="30">
        <f t="shared" si="393"/>
        <v>0.14912280701754388</v>
      </c>
      <c r="P165" s="30">
        <f t="shared" si="393"/>
        <v>-4.6439628482972117E-2</v>
      </c>
      <c r="Q165" s="29">
        <f t="shared" si="393"/>
        <v>0.21288209606986896</v>
      </c>
      <c r="R165" s="30">
        <f t="shared" si="393"/>
        <v>7.7220077220077288E-2</v>
      </c>
      <c r="S165" s="30">
        <f t="shared" si="393"/>
        <v>6.3829787234042534E-2</v>
      </c>
      <c r="T165" s="30">
        <f t="shared" si="393"/>
        <v>0.20610687022900764</v>
      </c>
      <c r="U165" s="30">
        <f t="shared" si="393"/>
        <v>0.19155844155844148</v>
      </c>
      <c r="V165" s="29">
        <f t="shared" si="393"/>
        <v>0.13591359135913583</v>
      </c>
      <c r="W165" s="30">
        <f t="shared" si="393"/>
        <v>-3.5842293906810041E-2</v>
      </c>
      <c r="X165" s="30">
        <f t="shared" si="393"/>
        <v>-1.6666666666666718E-2</v>
      </c>
      <c r="Y165" s="30">
        <f t="shared" si="393"/>
        <v>-1.5822784810126556E-2</v>
      </c>
      <c r="Z165" s="30">
        <f t="shared" si="393"/>
        <v>8.9918256130790297E-2</v>
      </c>
      <c r="AA165" s="29">
        <f t="shared" si="393"/>
        <v>1.0301109350237647E-2</v>
      </c>
      <c r="AB165" s="30">
        <f t="shared" si="393"/>
        <v>2.9739776951672958E-2</v>
      </c>
      <c r="AC165" s="30">
        <f t="shared" si="393"/>
        <v>1.3559322033898313E-2</v>
      </c>
      <c r="AD165" s="30">
        <f t="shared" si="393"/>
        <v>2.5723472668810254E-2</v>
      </c>
      <c r="AE165" s="30">
        <f t="shared" si="393"/>
        <v>-3.0000000000000027E-2</v>
      </c>
      <c r="AF165" s="29">
        <f t="shared" si="393"/>
        <v>6.2745098039216352E-3</v>
      </c>
      <c r="AG165" s="30">
        <f t="shared" si="393"/>
        <v>-0.26714801444043323</v>
      </c>
      <c r="AH165" s="30">
        <f t="shared" si="393"/>
        <v>7.6923076923076872E-2</v>
      </c>
      <c r="AI165" s="30">
        <f t="shared" si="393"/>
        <v>-0.14106583072100309</v>
      </c>
      <c r="AJ165" s="30">
        <f t="shared" si="393"/>
        <v>-0.30670103092783507</v>
      </c>
      <c r="AK165" s="29">
        <f t="shared" si="393"/>
        <v>-0.16757599376461418</v>
      </c>
      <c r="AL165" s="30">
        <f t="shared" si="393"/>
        <v>5.9113300492610765E-2</v>
      </c>
      <c r="AM165" s="30">
        <f t="shared" si="393"/>
        <v>-0.32298136645962738</v>
      </c>
      <c r="AN165" s="30">
        <f t="shared" si="393"/>
        <v>-0.18248175182481752</v>
      </c>
      <c r="AO165" s="30">
        <f t="shared" si="393"/>
        <v>-6.6914498141263934E-2</v>
      </c>
      <c r="AP165" s="29">
        <f t="shared" si="393"/>
        <v>-0.14981273408239704</v>
      </c>
      <c r="AQ165" s="30">
        <f t="shared" si="393"/>
        <v>-0.36744186046511629</v>
      </c>
      <c r="AR165" s="30">
        <f t="shared" si="393"/>
        <v>9.1743119266054496E-3</v>
      </c>
      <c r="AS165" s="30">
        <f t="shared" si="393"/>
        <v>3.5714285714285809E-2</v>
      </c>
      <c r="AT165" s="30">
        <f t="shared" ref="AT165:AZ165" si="394">AT164/AO164-1</f>
        <v>7.9681274900398336E-2</v>
      </c>
      <c r="AU165" s="29">
        <f t="shared" si="394"/>
        <v>-5.06607929515418E-2</v>
      </c>
      <c r="AV165" s="30">
        <f t="shared" si="394"/>
        <v>0.5</v>
      </c>
      <c r="AW165" s="30">
        <f t="shared" si="394"/>
        <v>2.7272727272727337E-2</v>
      </c>
      <c r="AX165" s="30">
        <f t="shared" si="394"/>
        <v>-6.0344827586206851E-2</v>
      </c>
      <c r="AY165" s="30">
        <f t="shared" si="394"/>
        <v>-0.13653136531365317</v>
      </c>
      <c r="AZ165" s="29">
        <f t="shared" si="394"/>
        <v>2.3201856148491906E-2</v>
      </c>
      <c r="BA165" s="29"/>
      <c r="BB165" s="30">
        <f>BB164/AV164-1</f>
        <v>6.3725490196078427E-2</v>
      </c>
      <c r="BC165" s="30">
        <f>BC164/AW164-1</f>
        <v>-3.0973451327433676E-2</v>
      </c>
      <c r="BD165" s="30">
        <f>BD164/AX164-1</f>
        <v>4.5871559633028358E-3</v>
      </c>
      <c r="BE165" s="30">
        <f>BE164/AY164-1</f>
        <v>0.1068376068376069</v>
      </c>
      <c r="BF165" s="29">
        <f>BF164/AZ164-1</f>
        <v>3.6281179138321962E-2</v>
      </c>
      <c r="BG165" s="30"/>
      <c r="BH165" s="30"/>
      <c r="BI165" s="30"/>
      <c r="BJ165" s="30"/>
      <c r="BK165" s="29">
        <f>BK164/BA164-1</f>
        <v>-6.2076749435665879E-2</v>
      </c>
      <c r="BL165" s="194">
        <f>BL164/BG164-1</f>
        <v>9.625668449197855E-2</v>
      </c>
      <c r="BM165" s="194">
        <f>BM164/BH164-1</f>
        <v>9.7560975609756184E-2</v>
      </c>
      <c r="BN165" s="194">
        <f>BN164/BI164-1</f>
        <v>0.18181818181818188</v>
      </c>
      <c r="BO165" s="194">
        <f>BO164/BJ164-1</f>
        <v>0.13043478260869557</v>
      </c>
      <c r="BP165" s="29">
        <f>BP164/BK164-1</f>
        <v>0.12755716004813489</v>
      </c>
      <c r="BQ165" s="31">
        <f t="shared" ref="BQ165:BT165" si="395">BQ164/BL164-1</f>
        <v>2.0645512195122118E-2</v>
      </c>
      <c r="BR165" s="30">
        <f t="shared" si="395"/>
        <v>2.1232666666666677E-2</v>
      </c>
      <c r="BS165" s="30">
        <f t="shared" si="395"/>
        <v>-1.2609838056680034E-2</v>
      </c>
      <c r="BT165" s="1106">
        <f t="shared" si="395"/>
        <v>9.3595576923076962E-2</v>
      </c>
      <c r="BU165" s="1041">
        <f>BU164/BP164-1</f>
        <v>3.2262433297758797E-2</v>
      </c>
      <c r="BV165" s="31"/>
      <c r="BW165" s="30"/>
      <c r="BX165" s="30"/>
      <c r="BY165" s="30"/>
      <c r="BZ165" s="29">
        <f>BZ164/BU164-1</f>
        <v>8.5987261146496907E-2</v>
      </c>
      <c r="CA165" s="31"/>
      <c r="CB165" s="30"/>
      <c r="CC165" s="30"/>
      <c r="CD165" s="30"/>
      <c r="CE165" s="29">
        <f>CE164/BZ164-1</f>
        <v>7.241935483870976E-2</v>
      </c>
      <c r="CF165" s="31"/>
      <c r="CG165" s="30"/>
      <c r="CH165" s="30"/>
      <c r="CI165" s="30"/>
      <c r="CJ165" s="29">
        <f>CJ164/CE164-1</f>
        <v>6.2295081967213228E-2</v>
      </c>
      <c r="CK165" s="39"/>
      <c r="CL165" s="7"/>
      <c r="CM165" s="734"/>
      <c r="CN165" s="734"/>
      <c r="CO165" s="734"/>
      <c r="CP165" s="622"/>
      <c r="CQ165" s="734"/>
      <c r="CR165" s="734"/>
      <c r="CS165" s="734"/>
      <c r="CT165" s="734"/>
      <c r="CU165" s="734"/>
      <c r="CV165" s="734"/>
      <c r="CW165" s="75"/>
      <c r="CX165" s="38"/>
      <c r="CY165" s="38"/>
      <c r="CZ165"/>
      <c r="DA165"/>
      <c r="DB165"/>
      <c r="DC165"/>
      <c r="DD165"/>
    </row>
    <row r="166" spans="1:108" s="123" customFormat="1">
      <c r="A166" s="118" t="s">
        <v>31</v>
      </c>
      <c r="B166" s="119">
        <f t="shared" ref="B166:AG166" si="396">B38-B164</f>
        <v>1972</v>
      </c>
      <c r="C166" s="119">
        <f t="shared" si="396"/>
        <v>2477</v>
      </c>
      <c r="D166" s="119">
        <f t="shared" si="396"/>
        <v>3564</v>
      </c>
      <c r="E166" s="119">
        <f t="shared" si="396"/>
        <v>3885</v>
      </c>
      <c r="F166" s="119">
        <f t="shared" si="396"/>
        <v>4445</v>
      </c>
      <c r="G166" s="119">
        <f t="shared" si="396"/>
        <v>5306</v>
      </c>
      <c r="H166" s="120">
        <f t="shared" si="396"/>
        <v>1394</v>
      </c>
      <c r="I166" s="120">
        <f t="shared" si="396"/>
        <v>1521</v>
      </c>
      <c r="J166" s="120">
        <f t="shared" si="396"/>
        <v>1644</v>
      </c>
      <c r="K166" s="121">
        <f t="shared" si="396"/>
        <v>2322</v>
      </c>
      <c r="L166" s="119">
        <f t="shared" si="396"/>
        <v>6881</v>
      </c>
      <c r="M166" s="120">
        <f t="shared" si="396"/>
        <v>1738</v>
      </c>
      <c r="N166" s="120">
        <f t="shared" si="396"/>
        <v>1733</v>
      </c>
      <c r="O166" s="120">
        <f t="shared" si="396"/>
        <v>1588</v>
      </c>
      <c r="P166" s="121">
        <f t="shared" si="396"/>
        <v>2024</v>
      </c>
      <c r="Q166" s="119">
        <f t="shared" si="396"/>
        <v>7083</v>
      </c>
      <c r="R166" s="120">
        <f t="shared" si="396"/>
        <v>2128</v>
      </c>
      <c r="S166" s="120">
        <f t="shared" si="396"/>
        <v>2105</v>
      </c>
      <c r="T166" s="120">
        <f t="shared" si="396"/>
        <v>2031</v>
      </c>
      <c r="U166" s="121">
        <f t="shared" si="396"/>
        <v>2119</v>
      </c>
      <c r="V166" s="119">
        <f t="shared" si="396"/>
        <v>8383</v>
      </c>
      <c r="W166" s="120">
        <f t="shared" si="396"/>
        <v>1733</v>
      </c>
      <c r="X166" s="120">
        <f t="shared" si="396"/>
        <v>1816</v>
      </c>
      <c r="Y166" s="120">
        <f t="shared" si="396"/>
        <v>1758</v>
      </c>
      <c r="Z166" s="121">
        <f t="shared" si="396"/>
        <v>2296</v>
      </c>
      <c r="AA166" s="119">
        <f t="shared" si="396"/>
        <v>7603</v>
      </c>
      <c r="AB166" s="120">
        <f t="shared" si="396"/>
        <v>1678</v>
      </c>
      <c r="AC166" s="120">
        <f t="shared" si="396"/>
        <v>1822</v>
      </c>
      <c r="AD166" s="120">
        <f t="shared" si="396"/>
        <v>1821</v>
      </c>
      <c r="AE166" s="121">
        <f t="shared" si="396"/>
        <v>2223</v>
      </c>
      <c r="AF166" s="119">
        <f t="shared" si="396"/>
        <v>7544</v>
      </c>
      <c r="AG166" s="120">
        <f t="shared" si="396"/>
        <v>1708</v>
      </c>
      <c r="AH166" s="120">
        <f t="shared" ref="AH166:BM166" si="397">AH38-AH164</f>
        <v>1827</v>
      </c>
      <c r="AI166" s="120">
        <f t="shared" si="397"/>
        <v>1682</v>
      </c>
      <c r="AJ166" s="121">
        <f t="shared" si="397"/>
        <v>1707</v>
      </c>
      <c r="AK166" s="119">
        <f t="shared" si="397"/>
        <v>6924</v>
      </c>
      <c r="AL166" s="120">
        <f t="shared" si="397"/>
        <v>1338</v>
      </c>
      <c r="AM166" s="120">
        <f t="shared" si="397"/>
        <v>1331</v>
      </c>
      <c r="AN166" s="120">
        <f t="shared" si="397"/>
        <v>1143</v>
      </c>
      <c r="AO166" s="121">
        <f t="shared" si="397"/>
        <v>1112</v>
      </c>
      <c r="AP166" s="119">
        <f t="shared" si="397"/>
        <v>4924</v>
      </c>
      <c r="AQ166" s="120">
        <f t="shared" si="397"/>
        <v>1181</v>
      </c>
      <c r="AR166" s="120">
        <f t="shared" si="397"/>
        <v>1245</v>
      </c>
      <c r="AS166" s="120">
        <f t="shared" si="397"/>
        <v>1163</v>
      </c>
      <c r="AT166" s="121">
        <f t="shared" si="397"/>
        <v>1284</v>
      </c>
      <c r="AU166" s="119">
        <f t="shared" si="397"/>
        <v>4870</v>
      </c>
      <c r="AV166" s="120">
        <f t="shared" si="397"/>
        <v>1159</v>
      </c>
      <c r="AW166" s="120">
        <f t="shared" si="397"/>
        <v>1182</v>
      </c>
      <c r="AX166" s="120">
        <f t="shared" si="397"/>
        <v>1127</v>
      </c>
      <c r="AY166" s="121">
        <f t="shared" si="397"/>
        <v>1290</v>
      </c>
      <c r="AZ166" s="119">
        <f t="shared" si="397"/>
        <v>4758</v>
      </c>
      <c r="BA166" s="119">
        <f t="shared" si="397"/>
        <v>4757</v>
      </c>
      <c r="BB166" s="120">
        <f t="shared" si="397"/>
        <v>1056</v>
      </c>
      <c r="BC166" s="120">
        <f t="shared" si="397"/>
        <v>1096</v>
      </c>
      <c r="BD166" s="120">
        <f t="shared" si="397"/>
        <v>1111</v>
      </c>
      <c r="BE166" s="121">
        <f t="shared" si="397"/>
        <v>1425</v>
      </c>
      <c r="BF166" s="119">
        <f t="shared" si="397"/>
        <v>4688</v>
      </c>
      <c r="BG166" s="120">
        <f t="shared" si="397"/>
        <v>1058</v>
      </c>
      <c r="BH166" s="120">
        <f t="shared" si="397"/>
        <v>1092</v>
      </c>
      <c r="BI166" s="120">
        <f t="shared" si="397"/>
        <v>1118</v>
      </c>
      <c r="BJ166" s="121">
        <f t="shared" si="397"/>
        <v>1431</v>
      </c>
      <c r="BK166" s="119">
        <f t="shared" si="397"/>
        <v>4699</v>
      </c>
      <c r="BL166" s="120">
        <f t="shared" si="397"/>
        <v>1082</v>
      </c>
      <c r="BM166" s="120">
        <f t="shared" si="397"/>
        <v>1189</v>
      </c>
      <c r="BN166" s="120">
        <f t="shared" ref="BN166:BU166" si="398">BN38-BN164</f>
        <v>1253</v>
      </c>
      <c r="BO166" s="120">
        <f t="shared" si="398"/>
        <v>1488</v>
      </c>
      <c r="BP166" s="119">
        <f t="shared" si="398"/>
        <v>5012</v>
      </c>
      <c r="BQ166" s="122">
        <f t="shared" si="398"/>
        <v>1123.45767</v>
      </c>
      <c r="BR166" s="121">
        <f t="shared" si="398"/>
        <v>1233.7726499999999</v>
      </c>
      <c r="BS166" s="121">
        <f t="shared" si="398"/>
        <v>1309.5246300000001</v>
      </c>
      <c r="BT166" s="1126">
        <f t="shared" si="398"/>
        <v>1526.71515</v>
      </c>
      <c r="BU166" s="1056">
        <f t="shared" si="398"/>
        <v>5193.4700999999995</v>
      </c>
      <c r="BV166" s="122"/>
      <c r="BW166" s="121"/>
      <c r="BX166" s="121"/>
      <c r="BY166" s="121"/>
      <c r="BZ166" s="119">
        <f>BZ38-BZ164</f>
        <v>5726.3706500000008</v>
      </c>
      <c r="CA166" s="122"/>
      <c r="CB166" s="121"/>
      <c r="CC166" s="121"/>
      <c r="CD166" s="121"/>
      <c r="CE166" s="119">
        <f>CE38-CE164</f>
        <v>6260.2107067500001</v>
      </c>
      <c r="CF166" s="122"/>
      <c r="CG166" s="121"/>
      <c r="CH166" s="121"/>
      <c r="CI166" s="121"/>
      <c r="CJ166" s="119">
        <f>CJ38-CJ164</f>
        <v>6780.971597400001</v>
      </c>
      <c r="CK166" s="118"/>
      <c r="CL166" s="237"/>
      <c r="CM166" s="622"/>
      <c r="CN166" s="622"/>
      <c r="CO166" s="622"/>
      <c r="CP166" s="622"/>
      <c r="CQ166" s="622"/>
      <c r="CR166" s="622"/>
      <c r="CS166" s="622"/>
      <c r="CT166" s="622"/>
      <c r="CU166" s="622"/>
      <c r="CV166" s="622"/>
      <c r="CW166" s="237"/>
      <c r="CX166" s="118"/>
      <c r="CY166" s="118"/>
      <c r="CZ166"/>
      <c r="DA166"/>
      <c r="DB166"/>
      <c r="DC166"/>
      <c r="DD166"/>
    </row>
    <row r="167" spans="1:108" s="40" customFormat="1">
      <c r="A167" s="28" t="s">
        <v>21</v>
      </c>
      <c r="B167" s="29"/>
      <c r="C167" s="29">
        <f>C166/B166-1</f>
        <v>0.25608519269776875</v>
      </c>
      <c r="D167" s="29">
        <f>D166/C166-1</f>
        <v>0.438837303189342</v>
      </c>
      <c r="E167" s="29">
        <f>E166/D166-1</f>
        <v>9.0067340067339963E-2</v>
      </c>
      <c r="F167" s="29">
        <f>F166/E166-1</f>
        <v>0.14414414414414423</v>
      </c>
      <c r="G167" s="29">
        <f>G166/F166-1</f>
        <v>0.19370078740157481</v>
      </c>
      <c r="H167" s="30"/>
      <c r="I167" s="30"/>
      <c r="J167" s="30"/>
      <c r="K167" s="30"/>
      <c r="L167" s="29">
        <f t="shared" ref="L167:AR167" si="399">L166/G166-1</f>
        <v>0.29683377308707115</v>
      </c>
      <c r="M167" s="30">
        <f t="shared" si="399"/>
        <v>0.24677187948350077</v>
      </c>
      <c r="N167" s="30">
        <f t="shared" si="399"/>
        <v>0.13938198553583159</v>
      </c>
      <c r="O167" s="30">
        <f t="shared" si="399"/>
        <v>-3.4063260340632562E-2</v>
      </c>
      <c r="P167" s="30">
        <f t="shared" si="399"/>
        <v>-0.12833763996554692</v>
      </c>
      <c r="Q167" s="29">
        <f t="shared" si="399"/>
        <v>2.9356198227001862E-2</v>
      </c>
      <c r="R167" s="30">
        <f t="shared" si="399"/>
        <v>0.22439585730724976</v>
      </c>
      <c r="S167" s="30">
        <f t="shared" si="399"/>
        <v>0.21465666474321976</v>
      </c>
      <c r="T167" s="30">
        <f t="shared" si="399"/>
        <v>0.27896725440806036</v>
      </c>
      <c r="U167" s="30">
        <f t="shared" si="399"/>
        <v>4.6936758893280528E-2</v>
      </c>
      <c r="V167" s="29">
        <f t="shared" si="399"/>
        <v>0.18353804884935765</v>
      </c>
      <c r="W167" s="30">
        <f t="shared" si="399"/>
        <v>-0.18562030075187974</v>
      </c>
      <c r="X167" s="30">
        <f t="shared" si="399"/>
        <v>-0.13729216152018997</v>
      </c>
      <c r="Y167" s="30">
        <f t="shared" si="399"/>
        <v>-0.13441654357459376</v>
      </c>
      <c r="Z167" s="30">
        <f t="shared" si="399"/>
        <v>8.3529966965549818E-2</v>
      </c>
      <c r="AA167" s="29">
        <f t="shared" si="399"/>
        <v>-9.3045449123225543E-2</v>
      </c>
      <c r="AB167" s="30">
        <f t="shared" si="399"/>
        <v>-3.1736872475476074E-2</v>
      </c>
      <c r="AC167" s="30">
        <f t="shared" si="399"/>
        <v>3.3039647577093323E-3</v>
      </c>
      <c r="AD167" s="30">
        <f t="shared" si="399"/>
        <v>3.5836177474402708E-2</v>
      </c>
      <c r="AE167" s="30">
        <f t="shared" si="399"/>
        <v>-3.1794425087108058E-2</v>
      </c>
      <c r="AF167" s="29">
        <f t="shared" si="399"/>
        <v>-7.7600946994607067E-3</v>
      </c>
      <c r="AG167" s="30">
        <f t="shared" si="399"/>
        <v>1.7878426698450633E-2</v>
      </c>
      <c r="AH167" s="30">
        <f t="shared" si="399"/>
        <v>2.7442371020856005E-3</v>
      </c>
      <c r="AI167" s="30">
        <f t="shared" si="399"/>
        <v>-7.6331685886875333E-2</v>
      </c>
      <c r="AJ167" s="30">
        <f t="shared" si="399"/>
        <v>-0.23211875843454788</v>
      </c>
      <c r="AK167" s="29">
        <f t="shared" si="399"/>
        <v>-8.2184517497348897E-2</v>
      </c>
      <c r="AL167" s="30">
        <f t="shared" si="399"/>
        <v>-0.21662763466042156</v>
      </c>
      <c r="AM167" s="30">
        <f t="shared" si="399"/>
        <v>-0.27148330596606463</v>
      </c>
      <c r="AN167" s="30">
        <f>AN166/AI166-1</f>
        <v>-0.32045184304399521</v>
      </c>
      <c r="AO167" s="30">
        <f t="shared" si="399"/>
        <v>-0.34856473345049799</v>
      </c>
      <c r="AP167" s="29">
        <f t="shared" si="399"/>
        <v>-0.2888503755054882</v>
      </c>
      <c r="AQ167" s="30">
        <f t="shared" si="399"/>
        <v>-0.11733931240657702</v>
      </c>
      <c r="AR167" s="30">
        <f t="shared" si="399"/>
        <v>-6.4613072877535704E-2</v>
      </c>
      <c r="AS167" s="30">
        <f t="shared" ref="AS167:AX167" si="400">AS166/AN166-1</f>
        <v>1.7497812773403343E-2</v>
      </c>
      <c r="AT167" s="30">
        <f t="shared" si="400"/>
        <v>0.15467625899280568</v>
      </c>
      <c r="AU167" s="29">
        <f t="shared" si="400"/>
        <v>-1.0966693744922873E-2</v>
      </c>
      <c r="AV167" s="30">
        <f t="shared" si="400"/>
        <v>-1.8628281117696877E-2</v>
      </c>
      <c r="AW167" s="30">
        <f t="shared" si="400"/>
        <v>-5.0602409638554224E-2</v>
      </c>
      <c r="AX167" s="30">
        <f t="shared" si="400"/>
        <v>-3.095442820292349E-2</v>
      </c>
      <c r="AY167" s="30">
        <f t="shared" ref="AY167:AZ167" si="401">AY166/AT166-1</f>
        <v>4.6728971962617383E-3</v>
      </c>
      <c r="AZ167" s="29">
        <f t="shared" si="401"/>
        <v>-2.2997946611909681E-2</v>
      </c>
      <c r="BA167" s="29"/>
      <c r="BB167" s="30">
        <f>BB166/AV166-1</f>
        <v>-8.8869715271785998E-2</v>
      </c>
      <c r="BC167" s="30">
        <f>BC166/AW166-1</f>
        <v>-7.275803722504226E-2</v>
      </c>
      <c r="BD167" s="30">
        <f>BD166/AX166-1</f>
        <v>-1.4196983141082531E-2</v>
      </c>
      <c r="BE167" s="30">
        <f>BE166/AY166-1</f>
        <v>0.10465116279069764</v>
      </c>
      <c r="BF167" s="29">
        <f>BF166/AZ166-1</f>
        <v>-1.4712063892391769E-2</v>
      </c>
      <c r="BG167" s="30"/>
      <c r="BH167" s="30"/>
      <c r="BI167" s="30"/>
      <c r="BJ167" s="30"/>
      <c r="BK167" s="29">
        <f>BK166/BA166-1</f>
        <v>-1.2192558335085146E-2</v>
      </c>
      <c r="BL167" s="194">
        <f>BL166/BG166-1</f>
        <v>2.2684310018903586E-2</v>
      </c>
      <c r="BM167" s="194">
        <f>BM166/BH166-1</f>
        <v>8.8827838827838734E-2</v>
      </c>
      <c r="BN167" s="194">
        <f>BN166/BI166-1</f>
        <v>0.1207513416815742</v>
      </c>
      <c r="BO167" s="194">
        <f>BO166/BJ166-1</f>
        <v>3.98322851153039E-2</v>
      </c>
      <c r="BP167" s="29">
        <f>BP166/BK166-1</f>
        <v>6.6609917003617847E-2</v>
      </c>
      <c r="BQ167" s="31">
        <f t="shared" ref="BQ167:BT167" si="402">BQ166/BL166-1</f>
        <v>3.8315776340110963E-2</v>
      </c>
      <c r="BR167" s="30">
        <f t="shared" si="402"/>
        <v>3.7655719091673534E-2</v>
      </c>
      <c r="BS167" s="30">
        <f t="shared" si="402"/>
        <v>4.5111436552274675E-2</v>
      </c>
      <c r="BT167" s="1106">
        <f t="shared" si="402"/>
        <v>2.6018245967741827E-2</v>
      </c>
      <c r="BU167" s="1041">
        <f>BU166/BP166-1</f>
        <v>3.6207122905027811E-2</v>
      </c>
      <c r="BV167" s="31"/>
      <c r="BW167" s="30"/>
      <c r="BX167" s="30"/>
      <c r="BY167" s="30"/>
      <c r="BZ167" s="29">
        <f>BZ166/BU166-1</f>
        <v>0.10260972716488759</v>
      </c>
      <c r="CA167" s="31"/>
      <c r="CB167" s="30"/>
      <c r="CC167" s="30"/>
      <c r="CD167" s="30"/>
      <c r="CE167" s="29">
        <f>CE166/BZ166-1</f>
        <v>9.3224852071005726E-2</v>
      </c>
      <c r="CF167" s="31"/>
      <c r="CG167" s="30"/>
      <c r="CH167" s="30"/>
      <c r="CI167" s="30"/>
      <c r="CJ167" s="29">
        <f>CJ166/CE166-1</f>
        <v>8.3185840707964642E-2</v>
      </c>
      <c r="CK167" s="39"/>
      <c r="CL167" s="7"/>
      <c r="CM167" s="622"/>
      <c r="CN167" s="622"/>
      <c r="CO167" s="734"/>
      <c r="CP167" s="734"/>
      <c r="CQ167" s="734"/>
      <c r="CR167" s="734"/>
      <c r="CS167" s="734"/>
      <c r="CT167" s="734"/>
      <c r="CU167" s="734"/>
      <c r="CV167" s="734"/>
      <c r="CW167" s="75"/>
      <c r="CX167" s="38"/>
      <c r="CY167" s="38"/>
      <c r="CZ167"/>
      <c r="DA167"/>
      <c r="DB167"/>
      <c r="DC167"/>
      <c r="DD167"/>
    </row>
    <row r="168" spans="1:108" s="115" customFormat="1">
      <c r="A168" s="106" t="s">
        <v>366</v>
      </c>
      <c r="B168" s="107">
        <f t="shared" ref="B168:AB168" si="403">B171/B62</f>
        <v>9.6989966555183951E-2</v>
      </c>
      <c r="C168" s="107">
        <f t="shared" si="403"/>
        <v>0.11856091578086672</v>
      </c>
      <c r="D168" s="107">
        <f t="shared" si="403"/>
        <v>0.10963387195745551</v>
      </c>
      <c r="E168" s="107">
        <f t="shared" si="403"/>
        <v>0.1068134483784588</v>
      </c>
      <c r="F168" s="107">
        <f t="shared" si="403"/>
        <v>0.11052900587784309</v>
      </c>
      <c r="G168" s="107">
        <f t="shared" si="403"/>
        <v>0.10815602836879433</v>
      </c>
      <c r="H168" s="108">
        <f t="shared" si="403"/>
        <v>0.10499790004199916</v>
      </c>
      <c r="I168" s="108">
        <f t="shared" si="403"/>
        <v>0.11213005418924551</v>
      </c>
      <c r="J168" s="108">
        <f t="shared" si="403"/>
        <v>0.10578925447730113</v>
      </c>
      <c r="K168" s="108">
        <f t="shared" si="403"/>
        <v>0.10405571487095452</v>
      </c>
      <c r="L168" s="107">
        <f t="shared" si="403"/>
        <v>0.1067345666181667</v>
      </c>
      <c r="M168" s="108">
        <f t="shared" si="403"/>
        <v>0.11059123777116121</v>
      </c>
      <c r="N168" s="108">
        <f t="shared" si="403"/>
        <v>0.1138401559454191</v>
      </c>
      <c r="O168" s="108">
        <f t="shared" si="403"/>
        <v>0.10739856801909307</v>
      </c>
      <c r="P168" s="108">
        <f t="shared" si="403"/>
        <v>9.7009202453987725E-2</v>
      </c>
      <c r="Q168" s="107">
        <f t="shared" si="403"/>
        <v>0.10709304642359035</v>
      </c>
      <c r="R168" s="108">
        <f t="shared" si="403"/>
        <v>0.10574460300036589</v>
      </c>
      <c r="S168" s="108">
        <f t="shared" si="403"/>
        <v>0.10696798493408663</v>
      </c>
      <c r="T168" s="108">
        <f t="shared" si="403"/>
        <v>0.10826627651792246</v>
      </c>
      <c r="U168" s="108">
        <f t="shared" si="403"/>
        <v>0.10522388059701493</v>
      </c>
      <c r="V168" s="107">
        <f t="shared" si="403"/>
        <v>0.10655434178855767</v>
      </c>
      <c r="W168" s="108">
        <f t="shared" si="403"/>
        <v>0.10537790697674419</v>
      </c>
      <c r="X168" s="108">
        <f t="shared" si="403"/>
        <v>0.10494450050454086</v>
      </c>
      <c r="Y168" s="108">
        <f t="shared" si="403"/>
        <v>0.1036936631650288</v>
      </c>
      <c r="Z168" s="108">
        <f t="shared" si="403"/>
        <v>0.10592643051771117</v>
      </c>
      <c r="AA168" s="107">
        <f t="shared" si="403"/>
        <v>0.10497760936961764</v>
      </c>
      <c r="AB168" s="108">
        <f t="shared" si="403"/>
        <v>9.8081023454157784E-2</v>
      </c>
      <c r="AC168" s="108">
        <f>+AC171/AC62</f>
        <v>0.10655737704918032</v>
      </c>
      <c r="AD168" s="108">
        <f>+AD171/AD62</f>
        <v>0.11567164179104478</v>
      </c>
      <c r="AE168" s="108">
        <f>AE171/AE62</f>
        <v>0.10783978089695309</v>
      </c>
      <c r="AF168" s="107">
        <f>AF171/AF62</f>
        <v>0.10694234025487924</v>
      </c>
      <c r="AG168" s="108">
        <f>AG171/AG62</f>
        <v>8.9344262295081966E-2</v>
      </c>
      <c r="AH168" s="108">
        <f>+AH171/AH62</f>
        <v>8.9398734177215194E-2</v>
      </c>
      <c r="AI168" s="108">
        <f>+AI171/AI62</f>
        <v>8.1310679611650491E-2</v>
      </c>
      <c r="AJ168" s="108">
        <f>AJ171/AJ62</f>
        <v>4.9670159099728363E-2</v>
      </c>
      <c r="AK168" s="107">
        <v>0.09</v>
      </c>
      <c r="AL168" s="108">
        <f>+AL171/AL62</f>
        <v>7.5602778912954638E-2</v>
      </c>
      <c r="AM168" s="108">
        <f>+AM171/AM62</f>
        <v>7.7647058823529416E-2</v>
      </c>
      <c r="AN168" s="108">
        <f>+AN171/AN62</f>
        <v>8.3720930232558138E-2</v>
      </c>
      <c r="AO168" s="108">
        <f>+AO171/AO62</f>
        <v>7.2835377183203265E-2</v>
      </c>
      <c r="AP168" s="107">
        <f>AP171/AP62</f>
        <v>7.7425009738994938E-2</v>
      </c>
      <c r="AQ168" s="108">
        <f>+AQ171/AQ62</f>
        <v>8.0227970188513811E-2</v>
      </c>
      <c r="AR168" s="108">
        <f>+AR171/AR62</f>
        <v>8.6916319926028662E-2</v>
      </c>
      <c r="AS168" s="108">
        <f>+AS171/AS62</f>
        <v>8.9897641299510458E-2</v>
      </c>
      <c r="AT168" s="108">
        <f>+AT171/AT62</f>
        <v>8.5899513776337116E-2</v>
      </c>
      <c r="AU168" s="107">
        <f>AU171/AU62</f>
        <v>8.5708046729992354E-2</v>
      </c>
      <c r="AV168" s="108">
        <f>+AV171/AV62</f>
        <v>9.1561181434599154E-2</v>
      </c>
      <c r="AW168" s="108">
        <f>+AW171/AW62</f>
        <v>0.10699774266365689</v>
      </c>
      <c r="AX168" s="108">
        <f>+AX171/AX62</f>
        <v>9.869310500225327E-2</v>
      </c>
      <c r="AY168" s="108">
        <f>+AY171/AY62</f>
        <v>0.1064322073114299</v>
      </c>
      <c r="AZ168" s="107">
        <f>AZ171/AZ62</f>
        <v>0.10072504182933631</v>
      </c>
      <c r="BA168" s="107">
        <f>BA171/BA62</f>
        <v>0.10023518871094188</v>
      </c>
      <c r="BB168" s="108">
        <f>+BB171/BB62</f>
        <v>0.1063009001285898</v>
      </c>
      <c r="BC168" s="108">
        <f>+BC171/BC62</f>
        <v>0.10946612830865859</v>
      </c>
      <c r="BD168" s="108">
        <f>+BD171/BD62</f>
        <v>0.10935497650576677</v>
      </c>
      <c r="BE168" s="108">
        <f>+BE171/BE62</f>
        <v>0.10683012259194395</v>
      </c>
      <c r="BF168" s="107">
        <f>BF171/BF62</f>
        <v>0.10797866550560575</v>
      </c>
      <c r="BG168" s="108">
        <f>+BG171/BG62</f>
        <v>0.10180412371134021</v>
      </c>
      <c r="BH168" s="108">
        <f>+BH171/BH62</f>
        <v>0.10564334085778782</v>
      </c>
      <c r="BI168" s="108">
        <f>+BI171/BI62</f>
        <v>0.10257510729613734</v>
      </c>
      <c r="BJ168" s="108">
        <f>+BJ171/BJ62</f>
        <v>0.10171730515191546</v>
      </c>
      <c r="BK168" s="107">
        <f>BK171/BK62</f>
        <v>0.1029090113735783</v>
      </c>
      <c r="BL168" s="108">
        <f>+BL171/BL62</f>
        <v>0.10997204100652376</v>
      </c>
      <c r="BM168" s="108">
        <f>+BM171/BM62</f>
        <v>0.11406844106463879</v>
      </c>
      <c r="BN168" s="108">
        <f>+BN171/BN62</f>
        <v>0.11745589600742803</v>
      </c>
      <c r="BO168" s="108">
        <f>+BO171/BO62</f>
        <v>0.11338962605548854</v>
      </c>
      <c r="BP168" s="107">
        <f>BP171/BP62</f>
        <v>0.11371049375773254</v>
      </c>
      <c r="BQ168" s="207">
        <v>0.11</v>
      </c>
      <c r="BR168" s="208">
        <v>0.11</v>
      </c>
      <c r="BS168" s="208">
        <v>0.11</v>
      </c>
      <c r="BT168" s="1124">
        <v>0.11</v>
      </c>
      <c r="BU168" s="1053">
        <f>BU171/BU62</f>
        <v>0.10999999999999999</v>
      </c>
      <c r="BV168" s="207"/>
      <c r="BW168" s="208"/>
      <c r="BX168" s="208"/>
      <c r="BY168" s="208"/>
      <c r="BZ168" s="206">
        <v>0.105</v>
      </c>
      <c r="CA168" s="207"/>
      <c r="CB168" s="208"/>
      <c r="CC168" s="208"/>
      <c r="CD168" s="208"/>
      <c r="CE168" s="206">
        <v>0.105</v>
      </c>
      <c r="CF168" s="207"/>
      <c r="CG168" s="208"/>
      <c r="CH168" s="208"/>
      <c r="CI168" s="208"/>
      <c r="CJ168" s="206">
        <v>0.105</v>
      </c>
      <c r="CK168" s="114"/>
      <c r="CL168" s="231"/>
      <c r="CM168" s="661" t="s">
        <v>379</v>
      </c>
      <c r="CN168" s="622"/>
      <c r="CO168" s="1012"/>
      <c r="CP168" s="661"/>
      <c r="CQ168" s="661"/>
      <c r="CR168" s="661"/>
      <c r="CS168" s="661" t="s">
        <v>390</v>
      </c>
      <c r="CT168" s="661"/>
      <c r="CU168" s="1229" t="s">
        <v>104</v>
      </c>
      <c r="CV168" s="1230">
        <f>+(CJ171/BP171)^(1/4)-1</f>
        <v>2.3130893962062693E-2</v>
      </c>
      <c r="CW168" s="231"/>
      <c r="CX168" s="114"/>
      <c r="CY168" s="114"/>
      <c r="CZ168"/>
      <c r="DA168"/>
      <c r="DB168"/>
      <c r="DC168"/>
      <c r="DD168"/>
    </row>
    <row r="169" spans="1:108" s="198" customFormat="1">
      <c r="A169" s="116" t="s">
        <v>24</v>
      </c>
      <c r="B169" s="193"/>
      <c r="C169" s="199">
        <f>(C168-B168)*100</f>
        <v>2.1570949225682772</v>
      </c>
      <c r="D169" s="199">
        <f>(D168-C168)*100</f>
        <v>-0.89270438234112093</v>
      </c>
      <c r="E169" s="199">
        <f>(E168-D168)*100</f>
        <v>-0.28204235789967141</v>
      </c>
      <c r="F169" s="199">
        <f>(F168-E168)*100</f>
        <v>0.37155574993842921</v>
      </c>
      <c r="G169" s="199">
        <f>(G168-F168)*100</f>
        <v>-0.23729775090487598</v>
      </c>
      <c r="H169" s="194"/>
      <c r="I169" s="194"/>
      <c r="J169" s="194"/>
      <c r="K169" s="194"/>
      <c r="L169" s="199">
        <f t="shared" ref="L169:AS169" si="404">(L168-G168)*100</f>
        <v>-0.14214617506276284</v>
      </c>
      <c r="M169" s="200">
        <f t="shared" si="404"/>
        <v>0.55933377291620534</v>
      </c>
      <c r="N169" s="200">
        <f t="shared" si="404"/>
        <v>0.17101017561735876</v>
      </c>
      <c r="O169" s="200">
        <f t="shared" si="404"/>
        <v>0.16093135417919457</v>
      </c>
      <c r="P169" s="200">
        <f t="shared" si="404"/>
        <v>-0.70465124169667992</v>
      </c>
      <c r="Q169" s="199">
        <f t="shared" si="404"/>
        <v>3.5847980542365321E-2</v>
      </c>
      <c r="R169" s="200">
        <f t="shared" si="404"/>
        <v>-0.48466347707953189</v>
      </c>
      <c r="S169" s="200">
        <f t="shared" si="404"/>
        <v>-0.6872171011332473</v>
      </c>
      <c r="T169" s="200">
        <f t="shared" si="404"/>
        <v>8.6770849882938927E-2</v>
      </c>
      <c r="U169" s="200">
        <f t="shared" si="404"/>
        <v>0.82146781430272042</v>
      </c>
      <c r="V169" s="199">
        <f t="shared" si="404"/>
        <v>-5.3870463503268018E-2</v>
      </c>
      <c r="W169" s="200">
        <f t="shared" si="404"/>
        <v>-3.6669602362170151E-2</v>
      </c>
      <c r="X169" s="200">
        <f t="shared" si="404"/>
        <v>-0.2023484429545766</v>
      </c>
      <c r="Y169" s="200">
        <f t="shared" si="404"/>
        <v>-0.45726133528936619</v>
      </c>
      <c r="Z169" s="200">
        <f t="shared" si="404"/>
        <v>7.0254992069623823E-2</v>
      </c>
      <c r="AA169" s="199">
        <f t="shared" si="404"/>
        <v>-0.15767324189400328</v>
      </c>
      <c r="AB169" s="200">
        <f t="shared" si="404"/>
        <v>-0.72968835225864082</v>
      </c>
      <c r="AC169" s="200">
        <f t="shared" si="404"/>
        <v>0.16128765446394577</v>
      </c>
      <c r="AD169" s="200">
        <f t="shared" si="404"/>
        <v>1.1977978626015975</v>
      </c>
      <c r="AE169" s="200">
        <f t="shared" si="404"/>
        <v>0.19133503792419237</v>
      </c>
      <c r="AF169" s="199">
        <f t="shared" si="404"/>
        <v>0.1964730885261598</v>
      </c>
      <c r="AG169" s="200">
        <f t="shared" si="404"/>
        <v>-0.87367611590758176</v>
      </c>
      <c r="AH169" s="200">
        <f t="shared" si="404"/>
        <v>-1.7158642871965126</v>
      </c>
      <c r="AI169" s="200">
        <f t="shared" si="404"/>
        <v>-3.4360962179394288</v>
      </c>
      <c r="AJ169" s="200">
        <f t="shared" si="404"/>
        <v>-5.8169621797224726</v>
      </c>
      <c r="AK169" s="199">
        <f t="shared" si="404"/>
        <v>-1.6942340254879242</v>
      </c>
      <c r="AL169" s="200">
        <f t="shared" si="404"/>
        <v>-1.3741483382127329</v>
      </c>
      <c r="AM169" s="200">
        <f t="shared" si="404"/>
        <v>-1.1751675353685778</v>
      </c>
      <c r="AN169" s="200">
        <f t="shared" si="404"/>
        <v>0.24102506209076474</v>
      </c>
      <c r="AO169" s="200">
        <f t="shared" si="404"/>
        <v>2.3165218083474901</v>
      </c>
      <c r="AP169" s="199">
        <f>(AP168-AK168)*100</f>
        <v>-1.2574990261005059</v>
      </c>
      <c r="AQ169" s="200">
        <f t="shared" si="404"/>
        <v>0.46251912755591734</v>
      </c>
      <c r="AR169" s="200">
        <f t="shared" si="404"/>
        <v>0.92692611024992466</v>
      </c>
      <c r="AS169" s="200">
        <f t="shared" si="404"/>
        <v>0.61767110669523206</v>
      </c>
      <c r="AT169" s="200">
        <f t="shared" ref="AT169:AZ169" si="405">(AT168-AO168)*100</f>
        <v>1.3064136593133853</v>
      </c>
      <c r="AU169" s="199">
        <f t="shared" si="405"/>
        <v>0.82830369909974166</v>
      </c>
      <c r="AV169" s="200">
        <f t="shared" si="405"/>
        <v>1.1333211246085342</v>
      </c>
      <c r="AW169" s="200">
        <f t="shared" si="405"/>
        <v>2.0081422737628225</v>
      </c>
      <c r="AX169" s="200">
        <f t="shared" si="405"/>
        <v>0.87954637027428118</v>
      </c>
      <c r="AY169" s="200">
        <f t="shared" si="405"/>
        <v>2.0532693535092781</v>
      </c>
      <c r="AZ169" s="199">
        <f t="shared" si="405"/>
        <v>1.5016995099343955</v>
      </c>
      <c r="BA169" s="199"/>
      <c r="BB169" s="200">
        <f>(BB168-AV168)*100</f>
        <v>1.4739718693990642</v>
      </c>
      <c r="BC169" s="200">
        <f>(BC168-AW168)*100</f>
        <v>0.24683856450017083</v>
      </c>
      <c r="BD169" s="200">
        <f>(BD168-AX168)*100</f>
        <v>1.0661871503513498</v>
      </c>
      <c r="BE169" s="200">
        <f>(BE168-AY168)*100</f>
        <v>3.9791528051405511E-2</v>
      </c>
      <c r="BF169" s="199">
        <f>(BF168-AZ168)*100</f>
        <v>0.72536236762694439</v>
      </c>
      <c r="BG169" s="200"/>
      <c r="BH169" s="200"/>
      <c r="BI169" s="200"/>
      <c r="BJ169" s="200"/>
      <c r="BK169" s="199">
        <f>(BK168-BA168)*100</f>
        <v>0.26738226626364242</v>
      </c>
      <c r="BL169" s="200">
        <f>IFERROR((BL168-BG168)*100,"")</f>
        <v>0.81679172951835555</v>
      </c>
      <c r="BM169" s="200">
        <f>IF(BH168=0,"",(BM168-BH168)*100)</f>
        <v>0.84251002068509717</v>
      </c>
      <c r="BN169" s="200">
        <f>(BN168-BI168)*100</f>
        <v>1.48807887112907</v>
      </c>
      <c r="BO169" s="200">
        <f>(BO168-BJ168)*100</f>
        <v>1.1672320903573077</v>
      </c>
      <c r="BP169" s="199">
        <f>(BP168-BF168)*100</f>
        <v>0.5731828252126786</v>
      </c>
      <c r="BQ169" s="223">
        <f t="shared" ref="BQ169" si="406">IF(BL168=0,"",(BQ168-BL168)*100)</f>
        <v>2.7958993476240313E-3</v>
      </c>
      <c r="BR169" s="200">
        <f t="shared" ref="BR169" si="407">IF(BM168=0,"",(BR168-BM168)*100)</f>
        <v>-0.40684410646387864</v>
      </c>
      <c r="BS169" s="200">
        <f t="shared" ref="BS169" si="408">IF(BN168=0,"",(BS168-BN168)*100)</f>
        <v>-0.74558960074280334</v>
      </c>
      <c r="BT169" s="541">
        <f t="shared" ref="BT169" si="409">IF(BO168=0,"",(BT168-BO168)*100)</f>
        <v>-0.33896260554885371</v>
      </c>
      <c r="BU169" s="1054">
        <f>(BU168-BP168)*100</f>
        <v>-0.37104937577325525</v>
      </c>
      <c r="BV169" s="195"/>
      <c r="BW169" s="194"/>
      <c r="BX169" s="194"/>
      <c r="BY169" s="194"/>
      <c r="BZ169" s="199">
        <f>(BZ168-BU168)*100</f>
        <v>-0.49999999999999906</v>
      </c>
      <c r="CA169" s="195"/>
      <c r="CB169" s="194"/>
      <c r="CC169" s="194"/>
      <c r="CD169" s="194"/>
      <c r="CE169" s="199">
        <f>(CE168-BZ168)*100</f>
        <v>0</v>
      </c>
      <c r="CF169" s="195"/>
      <c r="CG169" s="194"/>
      <c r="CH169" s="194"/>
      <c r="CI169" s="194"/>
      <c r="CJ169" s="199">
        <f>(CJ168-CE168)*100</f>
        <v>0</v>
      </c>
      <c r="CK169" s="197"/>
      <c r="CL169" s="229"/>
      <c r="CM169" s="661"/>
      <c r="CN169" s="661"/>
      <c r="CO169" s="622"/>
      <c r="CP169" s="661"/>
      <c r="CQ169" s="661"/>
      <c r="CR169" s="661"/>
      <c r="CS169" s="661"/>
      <c r="CT169" s="661"/>
      <c r="CU169" s="1012"/>
      <c r="CV169" s="1012"/>
      <c r="CW169" s="229"/>
      <c r="CX169" s="197"/>
      <c r="CY169" s="197"/>
      <c r="CZ169"/>
      <c r="DA169"/>
      <c r="DB169"/>
      <c r="DC169"/>
      <c r="DD169"/>
    </row>
    <row r="170" spans="1:108" s="205" customFormat="1">
      <c r="A170" s="117" t="s">
        <v>25</v>
      </c>
      <c r="B170" s="201"/>
      <c r="C170" s="201">
        <f>(C171-B171)/(C62-B62)</f>
        <v>0.17791411042944785</v>
      </c>
      <c r="D170" s="201">
        <f>(D171-C171)/(D62-C62)</f>
        <v>8.2786885245901637E-2</v>
      </c>
      <c r="E170" s="201">
        <f>(E171-D171)/(E62-D62)</f>
        <v>9.9290780141843976E-2</v>
      </c>
      <c r="F170" s="201">
        <f>(F171-E171)/(F62-E62)</f>
        <v>0.13315217391304349</v>
      </c>
      <c r="G170" s="201">
        <f>(G171-F171)/(G62-F62)</f>
        <v>9.2654424040066782E-2</v>
      </c>
      <c r="H170" s="202"/>
      <c r="I170" s="202"/>
      <c r="J170" s="202"/>
      <c r="K170" s="202"/>
      <c r="L170" s="201">
        <f t="shared" ref="L170:AZ170" si="410">(L171-G171)/(L62-G62)</f>
        <v>8.5284280936454848E-2</v>
      </c>
      <c r="M170" s="202">
        <f t="shared" si="410"/>
        <v>-0.33333333333333331</v>
      </c>
      <c r="N170" s="202">
        <f t="shared" si="410"/>
        <v>0.13855421686746988</v>
      </c>
      <c r="O170" s="202">
        <f t="shared" si="410"/>
        <v>0.1415929203539823</v>
      </c>
      <c r="P170" s="202">
        <f t="shared" si="410"/>
        <v>-5.9880239520958087E-3</v>
      </c>
      <c r="Q170" s="201">
        <f t="shared" si="410"/>
        <v>0.11538461538461539</v>
      </c>
      <c r="R170" s="202">
        <f t="shared" si="410"/>
        <v>7.5916230366492143E-2</v>
      </c>
      <c r="S170" s="202">
        <f t="shared" si="410"/>
        <v>-8.8888888888888892E-2</v>
      </c>
      <c r="T170" s="202">
        <f t="shared" si="410"/>
        <v>0.11818181818181818</v>
      </c>
      <c r="U170" s="202">
        <f t="shared" si="410"/>
        <v>0.40277777777777779</v>
      </c>
      <c r="V170" s="201">
        <f t="shared" si="410"/>
        <v>9.947643979057591E-2</v>
      </c>
      <c r="W170" s="202">
        <f t="shared" si="410"/>
        <v>5.2631578947368418E-2</v>
      </c>
      <c r="X170" s="202">
        <f t="shared" si="410"/>
        <v>8.8050314465408799E-2</v>
      </c>
      <c r="Y170" s="202">
        <f t="shared" si="410"/>
        <v>4.6082949308755762E-2</v>
      </c>
      <c r="Z170" s="202">
        <f t="shared" si="410"/>
        <v>0.11328125</v>
      </c>
      <c r="AA170" s="201">
        <f t="shared" si="410"/>
        <v>8.3950617283950618E-2</v>
      </c>
      <c r="AB170" s="202">
        <f t="shared" si="410"/>
        <v>-0.22580645161290322</v>
      </c>
      <c r="AC170" s="202">
        <f t="shared" si="410"/>
        <v>7.7844311377245512E-2</v>
      </c>
      <c r="AD170" s="202">
        <f t="shared" si="410"/>
        <v>-1.4760147601476014E-2</v>
      </c>
      <c r="AE170" s="202">
        <f t="shared" si="410"/>
        <v>-0.26666666666666666</v>
      </c>
      <c r="AF170" s="201">
        <f t="shared" si="410"/>
        <v>4.859335038363171E-2</v>
      </c>
      <c r="AG170" s="202">
        <f t="shared" si="410"/>
        <v>0.15508021390374332</v>
      </c>
      <c r="AH170" s="202">
        <f t="shared" si="410"/>
        <v>0.26258992805755393</v>
      </c>
      <c r="AI170" s="202">
        <f t="shared" si="410"/>
        <v>0.52403846153846156</v>
      </c>
      <c r="AJ170" s="202">
        <f t="shared" si="410"/>
        <v>0.54360465116279066</v>
      </c>
      <c r="AK170" s="201">
        <f t="shared" si="410"/>
        <v>0.35465116279069769</v>
      </c>
      <c r="AL170" s="202">
        <f t="shared" si="410"/>
        <v>-4.7142857142857144</v>
      </c>
      <c r="AM170" s="202">
        <f t="shared" si="410"/>
        <v>-1.2727272727272727</v>
      </c>
      <c r="AN170" s="202">
        <f t="shared" si="410"/>
        <v>0.1388888888888889</v>
      </c>
      <c r="AO170" s="202">
        <f t="shared" si="410"/>
        <v>0.59649122807017541</v>
      </c>
      <c r="AP170" s="201">
        <f t="shared" si="410"/>
        <v>8.7649402390438252E-2</v>
      </c>
      <c r="AQ170" s="202">
        <f t="shared" si="410"/>
        <v>1.2048192771084338E-2</v>
      </c>
      <c r="AR170" s="202">
        <f t="shared" si="410"/>
        <v>2.5839793281653745E-2</v>
      </c>
      <c r="AS170" s="202">
        <f t="shared" si="410"/>
        <v>4.2042042042042045E-2</v>
      </c>
      <c r="AT170" s="202">
        <f t="shared" si="410"/>
        <v>-7.1748878923766815E-2</v>
      </c>
      <c r="AU170" s="201">
        <f t="shared" si="410"/>
        <v>9.017132551848512E-3</v>
      </c>
      <c r="AV170" s="202">
        <f t="shared" si="410"/>
        <v>0.38202247191011235</v>
      </c>
      <c r="AW170" s="202">
        <f t="shared" si="410"/>
        <v>0.94230769230769229</v>
      </c>
      <c r="AX170" s="202">
        <f t="shared" si="410"/>
        <v>-0.6071428571428571</v>
      </c>
      <c r="AY170" s="202">
        <f t="shared" si="410"/>
        <v>-5.8631921824104233E-2</v>
      </c>
      <c r="AZ170" s="201">
        <f t="shared" si="410"/>
        <v>-0.60824742268041232</v>
      </c>
      <c r="BA170" s="201"/>
      <c r="BB170" s="202">
        <f>(BB171-AV171)/(BB62-AV62)</f>
        <v>-0.83783783783783783</v>
      </c>
      <c r="BC170" s="202">
        <f>(BC171-AW171)/(BC62-AW62)</f>
        <v>0.5</v>
      </c>
      <c r="BD170" s="202">
        <f>(BD171-AX171)/(BD62-AX62)</f>
        <v>0.30327868852459017</v>
      </c>
      <c r="BE170" s="202">
        <f>(BE171-AY171)/(BE62-AY62)</f>
        <v>0.11382113821138211</v>
      </c>
      <c r="BF170" s="201">
        <f>(BF171-AZ171)/(BF62-AZ62)</f>
        <v>0.40090090090090091</v>
      </c>
      <c r="BG170" s="202"/>
      <c r="BH170" s="202"/>
      <c r="BI170" s="202"/>
      <c r="BJ170" s="202"/>
      <c r="BK170" s="201">
        <f>(BK171-BA171)/(BK62-BA62)</f>
        <v>0.21395348837209302</v>
      </c>
      <c r="BL170" s="202">
        <f t="shared" ref="BL170:BU170" si="411">(BL171-BG171)/(BL62-BG62)</f>
        <v>5.4945054945054949E-3</v>
      </c>
      <c r="BM170" s="202">
        <f t="shared" si="411"/>
        <v>-5.4054054054054057E-2</v>
      </c>
      <c r="BN170" s="202">
        <f t="shared" si="411"/>
        <v>-7.9545454545454544E-2</v>
      </c>
      <c r="BO170" s="202">
        <f t="shared" si="411"/>
        <v>0.2361111111111111</v>
      </c>
      <c r="BP170" s="201">
        <f t="shared" si="411"/>
        <v>-0.27667984189723321</v>
      </c>
      <c r="BQ170" s="203">
        <f t="shared" si="411"/>
        <v>0.11050899219545297</v>
      </c>
      <c r="BR170" s="202">
        <f t="shared" si="411"/>
        <v>3.6028344279294924E-2</v>
      </c>
      <c r="BS170" s="202">
        <f t="shared" si="411"/>
        <v>-2.5664808244635802E-2</v>
      </c>
      <c r="BT170" s="1125">
        <f t="shared" si="411"/>
        <v>4.8318577595668398E-2</v>
      </c>
      <c r="BU170" s="1055">
        <f t="shared" si="411"/>
        <v>4.2487465466080031E-2</v>
      </c>
      <c r="BV170" s="203"/>
      <c r="BW170" s="202"/>
      <c r="BX170" s="202"/>
      <c r="BY170" s="202"/>
      <c r="BZ170" s="201">
        <f>(BZ171-BU171)/(BZ62-BU62)</f>
        <v>-1.999999999999983E-2</v>
      </c>
      <c r="CA170" s="203"/>
      <c r="CB170" s="202"/>
      <c r="CC170" s="202"/>
      <c r="CD170" s="202"/>
      <c r="CE170" s="201">
        <f>(CE171-BZ171)/(CE62-BZ62)</f>
        <v>0.10499999999999968</v>
      </c>
      <c r="CF170" s="203"/>
      <c r="CG170" s="202"/>
      <c r="CH170" s="202"/>
      <c r="CI170" s="202"/>
      <c r="CJ170" s="201">
        <f>(CJ171-CE171)/(CJ62-CE62)</f>
        <v>0.10500000000000029</v>
      </c>
      <c r="CK170" s="204"/>
      <c r="CL170" s="239"/>
      <c r="CM170" s="661"/>
      <c r="CN170" s="622"/>
      <c r="CO170" s="1012"/>
      <c r="CP170" s="1012"/>
      <c r="CQ170" s="1012"/>
      <c r="CR170" s="1012"/>
      <c r="CS170" s="1012"/>
      <c r="CT170" s="1012"/>
      <c r="CU170" s="1012"/>
      <c r="CV170" s="1012"/>
      <c r="CW170" s="239"/>
      <c r="CX170" s="204"/>
      <c r="CY170" s="204"/>
      <c r="CZ170"/>
      <c r="DA170"/>
      <c r="DB170"/>
      <c r="DC170"/>
      <c r="DD170"/>
    </row>
    <row r="171" spans="1:108" s="123" customFormat="1">
      <c r="A171" s="118" t="s">
        <v>41</v>
      </c>
      <c r="B171" s="119">
        <v>261</v>
      </c>
      <c r="C171" s="119">
        <v>435</v>
      </c>
      <c r="D171" s="119">
        <v>536</v>
      </c>
      <c r="E171" s="119">
        <v>718</v>
      </c>
      <c r="F171" s="119">
        <v>865</v>
      </c>
      <c r="G171" s="119">
        <v>976</v>
      </c>
      <c r="H171" s="120">
        <v>250</v>
      </c>
      <c r="I171" s="120">
        <v>269</v>
      </c>
      <c r="J171" s="120">
        <v>254</v>
      </c>
      <c r="K171" s="121">
        <v>254</v>
      </c>
      <c r="L171" s="119">
        <f>SUM(H171:K171)</f>
        <v>1027</v>
      </c>
      <c r="M171" s="120">
        <v>260</v>
      </c>
      <c r="N171" s="120">
        <v>292</v>
      </c>
      <c r="O171" s="120">
        <v>270</v>
      </c>
      <c r="P171" s="121">
        <v>253</v>
      </c>
      <c r="Q171" s="119">
        <f>SUM(M171:P171)</f>
        <v>1075</v>
      </c>
      <c r="R171" s="120">
        <v>289</v>
      </c>
      <c r="S171" s="120">
        <v>284</v>
      </c>
      <c r="T171" s="120">
        <v>296</v>
      </c>
      <c r="U171" s="121">
        <v>282</v>
      </c>
      <c r="V171" s="119">
        <f>SUM(R171:U171)</f>
        <v>1151</v>
      </c>
      <c r="W171" s="120">
        <v>290</v>
      </c>
      <c r="X171" s="120">
        <v>312</v>
      </c>
      <c r="Y171" s="120">
        <v>306</v>
      </c>
      <c r="Z171" s="121">
        <v>311</v>
      </c>
      <c r="AA171" s="119">
        <f>SUM(W171:Z171)</f>
        <v>1219</v>
      </c>
      <c r="AB171" s="120">
        <v>276</v>
      </c>
      <c r="AC171" s="120">
        <v>299</v>
      </c>
      <c r="AD171" s="120">
        <v>310</v>
      </c>
      <c r="AE171" s="121">
        <v>315</v>
      </c>
      <c r="AF171" s="119">
        <f>SUM(AB171:AE171)</f>
        <v>1200</v>
      </c>
      <c r="AG171" s="120">
        <v>218</v>
      </c>
      <c r="AH171" s="120">
        <v>226</v>
      </c>
      <c r="AI171" s="120">
        <v>201</v>
      </c>
      <c r="AJ171" s="636">
        <v>128</v>
      </c>
      <c r="AK171" s="638">
        <f>SUM(AG171:AJ171)</f>
        <v>773</v>
      </c>
      <c r="AL171" s="120">
        <v>185</v>
      </c>
      <c r="AM171" s="120">
        <v>198</v>
      </c>
      <c r="AN171" s="120">
        <v>216</v>
      </c>
      <c r="AO171" s="121">
        <v>196</v>
      </c>
      <c r="AP171" s="119">
        <f>SUM(AL171:AO171)</f>
        <v>795</v>
      </c>
      <c r="AQ171" s="120">
        <v>183</v>
      </c>
      <c r="AR171" s="120">
        <v>188</v>
      </c>
      <c r="AS171" s="120">
        <v>202</v>
      </c>
      <c r="AT171" s="121">
        <v>212</v>
      </c>
      <c r="AU171" s="119">
        <f>SUM(AQ171:AT171)</f>
        <v>785</v>
      </c>
      <c r="AV171" s="120">
        <v>217</v>
      </c>
      <c r="AW171" s="120">
        <v>237</v>
      </c>
      <c r="AX171" s="120">
        <v>219</v>
      </c>
      <c r="AY171" s="121">
        <v>230</v>
      </c>
      <c r="AZ171" s="119">
        <f>SUM(AV171:AY171)</f>
        <v>903</v>
      </c>
      <c r="BA171" s="119">
        <v>895</v>
      </c>
      <c r="BB171" s="122">
        <v>248</v>
      </c>
      <c r="BC171" s="121">
        <v>244</v>
      </c>
      <c r="BD171" s="121">
        <v>256</v>
      </c>
      <c r="BE171" s="121">
        <f>992-BD171-BC171-BB171</f>
        <v>244</v>
      </c>
      <c r="BF171" s="119">
        <f>SUM(BB171:BE171)</f>
        <v>992</v>
      </c>
      <c r="BG171" s="122">
        <v>237</v>
      </c>
      <c r="BH171" s="121">
        <v>234</v>
      </c>
      <c r="BI171" s="121">
        <v>239</v>
      </c>
      <c r="BJ171" s="121">
        <v>231</v>
      </c>
      <c r="BK171" s="119">
        <f>SUM(BG171:BJ171)</f>
        <v>941</v>
      </c>
      <c r="BL171" s="122">
        <v>236</v>
      </c>
      <c r="BM171" s="121">
        <v>240</v>
      </c>
      <c r="BN171" s="121">
        <v>253</v>
      </c>
      <c r="BO171" s="121">
        <v>282</v>
      </c>
      <c r="BP171" s="119">
        <f>SUM(BL171:BO171)</f>
        <v>1011</v>
      </c>
      <c r="BQ171" s="122">
        <f>BQ62*BQ168</f>
        <v>249.02680000000001</v>
      </c>
      <c r="BR171" s="121">
        <f>BR62*BR168</f>
        <v>244.16920000000002</v>
      </c>
      <c r="BS171" s="121">
        <f>BS62*BS168</f>
        <v>249.96180000000001</v>
      </c>
      <c r="BT171" s="1126">
        <f>BT62*BT168</f>
        <v>288.6037</v>
      </c>
      <c r="BU171" s="1056">
        <f>+SUM(BQ171:BT171)</f>
        <v>1031.7615000000001</v>
      </c>
      <c r="BV171" s="122"/>
      <c r="BW171" s="121"/>
      <c r="BX171" s="121"/>
      <c r="BY171" s="121"/>
      <c r="BZ171" s="119">
        <f>BZ62*BZ168</f>
        <v>1024.2577800000001</v>
      </c>
      <c r="CA171" s="122"/>
      <c r="CB171" s="121"/>
      <c r="CC171" s="121"/>
      <c r="CD171" s="121"/>
      <c r="CE171" s="119">
        <f>CE62*CE168</f>
        <v>1065.2280912000001</v>
      </c>
      <c r="CF171" s="122"/>
      <c r="CG171" s="121"/>
      <c r="CH171" s="121"/>
      <c r="CI171" s="121"/>
      <c r="CJ171" s="119">
        <f>CJ62*CJ168</f>
        <v>1107.8372148480003</v>
      </c>
      <c r="CK171" s="118"/>
      <c r="CL171" s="237"/>
      <c r="CM171" s="622"/>
      <c r="CN171" s="734"/>
      <c r="CO171" s="734"/>
      <c r="CP171" s="734"/>
      <c r="CQ171" s="622"/>
      <c r="CR171" s="622"/>
      <c r="CS171" s="622"/>
      <c r="CT171" s="622"/>
      <c r="CU171" s="622"/>
      <c r="CV171" s="622"/>
      <c r="CW171" s="237"/>
      <c r="CX171" s="118"/>
      <c r="CY171" s="118"/>
      <c r="CZ171"/>
      <c r="DA171"/>
      <c r="DB171"/>
      <c r="DC171"/>
      <c r="DD171"/>
    </row>
    <row r="172" spans="1:108" s="40" customFormat="1">
      <c r="A172" s="28" t="s">
        <v>21</v>
      </c>
      <c r="B172" s="29"/>
      <c r="C172" s="29">
        <f>C171/B171-1</f>
        <v>0.66666666666666674</v>
      </c>
      <c r="D172" s="29">
        <f>D171/C171-1</f>
        <v>0.23218390804597711</v>
      </c>
      <c r="E172" s="29">
        <f>E171/D171-1</f>
        <v>0.33955223880597019</v>
      </c>
      <c r="F172" s="29">
        <f>F171/E171-1</f>
        <v>0.20473537604456826</v>
      </c>
      <c r="G172" s="29">
        <f>G171/F171-1</f>
        <v>0.12832369942196542</v>
      </c>
      <c r="H172" s="30"/>
      <c r="I172" s="30"/>
      <c r="J172" s="30"/>
      <c r="K172" s="30"/>
      <c r="L172" s="29">
        <f t="shared" ref="L172:AS172" si="412">L171/G171-1</f>
        <v>5.2254098360655643E-2</v>
      </c>
      <c r="M172" s="30">
        <f t="shared" si="412"/>
        <v>4.0000000000000036E-2</v>
      </c>
      <c r="N172" s="30">
        <f t="shared" si="412"/>
        <v>8.5501858736059422E-2</v>
      </c>
      <c r="O172" s="30">
        <f t="shared" si="412"/>
        <v>6.2992125984252079E-2</v>
      </c>
      <c r="P172" s="30">
        <f t="shared" si="412"/>
        <v>-3.937007874015741E-3</v>
      </c>
      <c r="Q172" s="29">
        <f t="shared" si="412"/>
        <v>4.6738072054527846E-2</v>
      </c>
      <c r="R172" s="30">
        <f t="shared" si="412"/>
        <v>0.11153846153846159</v>
      </c>
      <c r="S172" s="30">
        <f t="shared" si="412"/>
        <v>-2.7397260273972601E-2</v>
      </c>
      <c r="T172" s="30">
        <f t="shared" si="412"/>
        <v>9.6296296296296324E-2</v>
      </c>
      <c r="U172" s="30">
        <f t="shared" si="412"/>
        <v>0.11462450592885376</v>
      </c>
      <c r="V172" s="29">
        <f t="shared" si="412"/>
        <v>7.069767441860475E-2</v>
      </c>
      <c r="W172" s="30">
        <f t="shared" si="412"/>
        <v>3.4602076124568004E-3</v>
      </c>
      <c r="X172" s="30">
        <f t="shared" si="412"/>
        <v>9.8591549295774739E-2</v>
      </c>
      <c r="Y172" s="30">
        <f t="shared" si="412"/>
        <v>3.3783783783783772E-2</v>
      </c>
      <c r="Z172" s="30">
        <f t="shared" si="412"/>
        <v>0.10283687943262421</v>
      </c>
      <c r="AA172" s="29">
        <f t="shared" si="412"/>
        <v>5.9079061685490819E-2</v>
      </c>
      <c r="AB172" s="30">
        <f t="shared" si="412"/>
        <v>-4.8275862068965503E-2</v>
      </c>
      <c r="AC172" s="30">
        <f t="shared" si="412"/>
        <v>-4.166666666666663E-2</v>
      </c>
      <c r="AD172" s="30">
        <f t="shared" si="412"/>
        <v>1.3071895424836555E-2</v>
      </c>
      <c r="AE172" s="30">
        <f t="shared" si="412"/>
        <v>1.2861736334405238E-2</v>
      </c>
      <c r="AF172" s="29">
        <f t="shared" si="412"/>
        <v>-1.5586546349466768E-2</v>
      </c>
      <c r="AG172" s="30">
        <f t="shared" si="412"/>
        <v>-0.21014492753623193</v>
      </c>
      <c r="AH172" s="30">
        <f t="shared" si="412"/>
        <v>-0.2441471571906354</v>
      </c>
      <c r="AI172" s="30">
        <f t="shared" si="412"/>
        <v>-0.35161290322580641</v>
      </c>
      <c r="AJ172" s="30">
        <f t="shared" si="412"/>
        <v>-0.59365079365079365</v>
      </c>
      <c r="AK172" s="29">
        <f t="shared" si="412"/>
        <v>-0.35583333333333333</v>
      </c>
      <c r="AL172" s="30">
        <f t="shared" si="412"/>
        <v>-0.15137614678899081</v>
      </c>
      <c r="AM172" s="30">
        <f t="shared" si="412"/>
        <v>-0.12389380530973448</v>
      </c>
      <c r="AN172" s="30">
        <f t="shared" si="412"/>
        <v>7.4626865671641784E-2</v>
      </c>
      <c r="AO172" s="30">
        <f t="shared" si="412"/>
        <v>0.53125</v>
      </c>
      <c r="AP172" s="29">
        <f>AP171/AK171-1</f>
        <v>2.8460543337645472E-2</v>
      </c>
      <c r="AQ172" s="30">
        <f t="shared" si="412"/>
        <v>-1.0810810810810811E-2</v>
      </c>
      <c r="AR172" s="30">
        <f t="shared" si="412"/>
        <v>-5.0505050505050497E-2</v>
      </c>
      <c r="AS172" s="30">
        <f t="shared" si="412"/>
        <v>-6.481481481481477E-2</v>
      </c>
      <c r="AT172" s="30">
        <f t="shared" ref="AT172:AZ172" si="413">AT171/AO171-1</f>
        <v>8.163265306122458E-2</v>
      </c>
      <c r="AU172" s="29">
        <f t="shared" si="413"/>
        <v>-1.2578616352201255E-2</v>
      </c>
      <c r="AV172" s="30">
        <f t="shared" si="413"/>
        <v>0.18579234972677594</v>
      </c>
      <c r="AW172" s="30">
        <f t="shared" si="413"/>
        <v>0.2606382978723405</v>
      </c>
      <c r="AX172" s="30">
        <f t="shared" si="413"/>
        <v>8.4158415841584233E-2</v>
      </c>
      <c r="AY172" s="30">
        <f t="shared" si="413"/>
        <v>8.4905660377358583E-2</v>
      </c>
      <c r="AZ172" s="29">
        <f t="shared" si="413"/>
        <v>0.15031847133757958</v>
      </c>
      <c r="BA172" s="29"/>
      <c r="BB172" s="30">
        <f>BB171/AV171-1</f>
        <v>0.14285714285714279</v>
      </c>
      <c r="BC172" s="30">
        <f>BC171/AW171-1</f>
        <v>2.9535864978903037E-2</v>
      </c>
      <c r="BD172" s="30">
        <f>BD171/AX171-1</f>
        <v>0.16894977168949765</v>
      </c>
      <c r="BE172" s="30">
        <f>BE171/AY171-1</f>
        <v>6.0869565217391397E-2</v>
      </c>
      <c r="BF172" s="29">
        <f>BF171/AZ171-1</f>
        <v>9.8560354374307879E-2</v>
      </c>
      <c r="BG172" s="30"/>
      <c r="BH172" s="30"/>
      <c r="BI172" s="30"/>
      <c r="BJ172" s="30"/>
      <c r="BK172" s="29">
        <f>BK171/BA171-1</f>
        <v>5.1396648044692794E-2</v>
      </c>
      <c r="BL172" s="194">
        <f>BL171/BG171-1</f>
        <v>-4.2194092827003704E-3</v>
      </c>
      <c r="BM172" s="194">
        <f>BM171/BH171-1</f>
        <v>2.564102564102555E-2</v>
      </c>
      <c r="BN172" s="194">
        <f>BN171/BI171-1</f>
        <v>5.8577405857740628E-2</v>
      </c>
      <c r="BO172" s="194">
        <f>BO171/BJ171-1</f>
        <v>0.22077922077922074</v>
      </c>
      <c r="BP172" s="29">
        <f>BP171/BK171-1</f>
        <v>7.4388947927736426E-2</v>
      </c>
      <c r="BQ172" s="31">
        <f t="shared" ref="BQ172:BT172" si="414">BQ171/BL171-1</f>
        <v>5.5198305084745769E-2</v>
      </c>
      <c r="BR172" s="30">
        <f t="shared" si="414"/>
        <v>1.7371666666666785E-2</v>
      </c>
      <c r="BS172" s="30">
        <f t="shared" si="414"/>
        <v>-1.2008695652173884E-2</v>
      </c>
      <c r="BT172" s="1106">
        <f t="shared" si="414"/>
        <v>2.3417375886524816E-2</v>
      </c>
      <c r="BU172" s="29">
        <f>BU171/BP171-1</f>
        <v>2.0535608308605457E-2</v>
      </c>
      <c r="BV172" s="31"/>
      <c r="BW172" s="30"/>
      <c r="BX172" s="30"/>
      <c r="BY172" s="30"/>
      <c r="BZ172" s="29">
        <f>BZ171/BU171-1</f>
        <v>-7.2727272727272085E-3</v>
      </c>
      <c r="CA172" s="31"/>
      <c r="CB172" s="30"/>
      <c r="CC172" s="30"/>
      <c r="CD172" s="30"/>
      <c r="CE172" s="29">
        <f>CE171/BZ171-1</f>
        <v>4.0000000000000036E-2</v>
      </c>
      <c r="CF172" s="31"/>
      <c r="CG172" s="30"/>
      <c r="CH172" s="30"/>
      <c r="CI172" s="30"/>
      <c r="CJ172" s="29">
        <f>CJ171/CE171-1</f>
        <v>4.0000000000000036E-2</v>
      </c>
      <c r="CK172" s="39"/>
      <c r="CL172" s="7"/>
      <c r="CM172" s="734"/>
      <c r="CN172" s="734"/>
      <c r="CO172" s="734"/>
      <c r="CP172" s="734"/>
      <c r="CQ172" s="734"/>
      <c r="CR172" s="734"/>
      <c r="CS172" s="734"/>
      <c r="CT172" s="734"/>
      <c r="CU172" s="734"/>
      <c r="CV172" s="734"/>
      <c r="CW172" s="75"/>
      <c r="CX172" s="38"/>
      <c r="CY172" s="38"/>
      <c r="CZ172"/>
      <c r="DA172"/>
      <c r="DB172"/>
      <c r="DC172"/>
      <c r="DD172"/>
    </row>
    <row r="173" spans="1:108" s="123" customFormat="1">
      <c r="A173" s="118" t="s">
        <v>42</v>
      </c>
      <c r="B173" s="119">
        <f t="shared" ref="B173:AG173" si="415">B62-B171</f>
        <v>2430</v>
      </c>
      <c r="C173" s="119">
        <f t="shared" si="415"/>
        <v>3234</v>
      </c>
      <c r="D173" s="119">
        <f t="shared" si="415"/>
        <v>4353</v>
      </c>
      <c r="E173" s="119">
        <f t="shared" si="415"/>
        <v>6004</v>
      </c>
      <c r="F173" s="119">
        <f t="shared" si="415"/>
        <v>6961</v>
      </c>
      <c r="G173" s="119">
        <f t="shared" si="415"/>
        <v>8048</v>
      </c>
      <c r="H173" s="120">
        <f t="shared" si="415"/>
        <v>2131</v>
      </c>
      <c r="I173" s="120">
        <f t="shared" si="415"/>
        <v>2130</v>
      </c>
      <c r="J173" s="120">
        <f t="shared" si="415"/>
        <v>2147</v>
      </c>
      <c r="K173" s="121">
        <f t="shared" si="415"/>
        <v>2187</v>
      </c>
      <c r="L173" s="119">
        <f t="shared" si="415"/>
        <v>8595</v>
      </c>
      <c r="M173" s="120">
        <f t="shared" si="415"/>
        <v>2091</v>
      </c>
      <c r="N173" s="120">
        <f t="shared" si="415"/>
        <v>2273</v>
      </c>
      <c r="O173" s="120">
        <f t="shared" si="415"/>
        <v>2244</v>
      </c>
      <c r="P173" s="121">
        <f t="shared" si="415"/>
        <v>2355</v>
      </c>
      <c r="Q173" s="119">
        <f t="shared" si="415"/>
        <v>8963</v>
      </c>
      <c r="R173" s="120">
        <f t="shared" si="415"/>
        <v>2444</v>
      </c>
      <c r="S173" s="120">
        <f t="shared" si="415"/>
        <v>2371</v>
      </c>
      <c r="T173" s="120">
        <f t="shared" si="415"/>
        <v>2438</v>
      </c>
      <c r="U173" s="121">
        <f t="shared" si="415"/>
        <v>2398</v>
      </c>
      <c r="V173" s="119">
        <f t="shared" si="415"/>
        <v>9651</v>
      </c>
      <c r="W173" s="120">
        <f t="shared" si="415"/>
        <v>2462</v>
      </c>
      <c r="X173" s="120">
        <f t="shared" si="415"/>
        <v>2661</v>
      </c>
      <c r="Y173" s="120">
        <f t="shared" si="415"/>
        <v>2645</v>
      </c>
      <c r="Z173" s="121">
        <f t="shared" si="415"/>
        <v>2625</v>
      </c>
      <c r="AA173" s="119">
        <f t="shared" si="415"/>
        <v>10393</v>
      </c>
      <c r="AB173" s="120">
        <f t="shared" si="415"/>
        <v>2538</v>
      </c>
      <c r="AC173" s="120">
        <f t="shared" si="415"/>
        <v>2507</v>
      </c>
      <c r="AD173" s="120">
        <f t="shared" si="415"/>
        <v>2370</v>
      </c>
      <c r="AE173" s="121">
        <f t="shared" si="415"/>
        <v>2606</v>
      </c>
      <c r="AF173" s="119">
        <f t="shared" si="415"/>
        <v>10021</v>
      </c>
      <c r="AG173" s="120">
        <f t="shared" si="415"/>
        <v>2222</v>
      </c>
      <c r="AH173" s="120">
        <f t="shared" ref="AH173:BM173" si="416">AH62-AH171</f>
        <v>2302</v>
      </c>
      <c r="AI173" s="120">
        <f t="shared" si="416"/>
        <v>2271</v>
      </c>
      <c r="AJ173" s="121">
        <f t="shared" si="416"/>
        <v>2449</v>
      </c>
      <c r="AK173" s="119">
        <f t="shared" si="416"/>
        <v>9244</v>
      </c>
      <c r="AL173" s="120">
        <f t="shared" si="416"/>
        <v>2262</v>
      </c>
      <c r="AM173" s="120">
        <f t="shared" si="416"/>
        <v>2352</v>
      </c>
      <c r="AN173" s="120">
        <f t="shared" si="416"/>
        <v>2364</v>
      </c>
      <c r="AO173" s="121">
        <f t="shared" si="416"/>
        <v>2495</v>
      </c>
      <c r="AP173" s="119">
        <f t="shared" si="416"/>
        <v>9473</v>
      </c>
      <c r="AQ173" s="120">
        <f t="shared" si="416"/>
        <v>2098</v>
      </c>
      <c r="AR173" s="120">
        <f t="shared" si="416"/>
        <v>1975</v>
      </c>
      <c r="AS173" s="120">
        <f t="shared" si="416"/>
        <v>2045</v>
      </c>
      <c r="AT173" s="121">
        <f t="shared" si="416"/>
        <v>2256</v>
      </c>
      <c r="AU173" s="119">
        <f t="shared" si="416"/>
        <v>8374</v>
      </c>
      <c r="AV173" s="120">
        <f t="shared" si="416"/>
        <v>2153</v>
      </c>
      <c r="AW173" s="120">
        <f t="shared" si="416"/>
        <v>1978</v>
      </c>
      <c r="AX173" s="120">
        <f t="shared" si="416"/>
        <v>2000</v>
      </c>
      <c r="AY173" s="121">
        <f t="shared" si="416"/>
        <v>1931</v>
      </c>
      <c r="AZ173" s="119">
        <f t="shared" si="416"/>
        <v>8062</v>
      </c>
      <c r="BA173" s="119">
        <f t="shared" si="416"/>
        <v>8034</v>
      </c>
      <c r="BB173" s="120">
        <f t="shared" si="416"/>
        <v>2085</v>
      </c>
      <c r="BC173" s="120">
        <f t="shared" si="416"/>
        <v>1985</v>
      </c>
      <c r="BD173" s="120">
        <f t="shared" si="416"/>
        <v>2085</v>
      </c>
      <c r="BE173" s="121">
        <f t="shared" si="416"/>
        <v>2040</v>
      </c>
      <c r="BF173" s="119">
        <f t="shared" si="416"/>
        <v>8195</v>
      </c>
      <c r="BG173" s="120">
        <f t="shared" si="416"/>
        <v>2091</v>
      </c>
      <c r="BH173" s="120">
        <f t="shared" si="416"/>
        <v>1981</v>
      </c>
      <c r="BI173" s="120">
        <f t="shared" si="416"/>
        <v>2091</v>
      </c>
      <c r="BJ173" s="121">
        <f t="shared" si="416"/>
        <v>2040</v>
      </c>
      <c r="BK173" s="119">
        <f t="shared" si="416"/>
        <v>8203</v>
      </c>
      <c r="BL173" s="120">
        <f t="shared" si="416"/>
        <v>1910</v>
      </c>
      <c r="BM173" s="120">
        <f t="shared" si="416"/>
        <v>1864</v>
      </c>
      <c r="BN173" s="120">
        <f t="shared" ref="BN173:BU173" si="417">BN62-BN171</f>
        <v>1901</v>
      </c>
      <c r="BO173" s="120">
        <f t="shared" si="417"/>
        <v>2205</v>
      </c>
      <c r="BP173" s="119">
        <f t="shared" si="417"/>
        <v>7880</v>
      </c>
      <c r="BQ173" s="122">
        <f t="shared" si="417"/>
        <v>2014.8532</v>
      </c>
      <c r="BR173" s="121">
        <f t="shared" si="417"/>
        <v>1975.5508000000002</v>
      </c>
      <c r="BS173" s="121">
        <f t="shared" si="417"/>
        <v>2022.4182000000001</v>
      </c>
      <c r="BT173" s="1126">
        <f t="shared" si="417"/>
        <v>2335.0663</v>
      </c>
      <c r="BU173" s="1056">
        <f t="shared" si="417"/>
        <v>8347.8885000000009</v>
      </c>
      <c r="BV173" s="122"/>
      <c r="BW173" s="121"/>
      <c r="BX173" s="121"/>
      <c r="BY173" s="121"/>
      <c r="BZ173" s="119">
        <f>BZ62-BZ171</f>
        <v>8730.5782200000012</v>
      </c>
      <c r="CA173" s="122"/>
      <c r="CB173" s="121"/>
      <c r="CC173" s="121"/>
      <c r="CD173" s="121"/>
      <c r="CE173" s="119">
        <f>CE62-CE171</f>
        <v>9079.8013488000015</v>
      </c>
      <c r="CF173" s="122"/>
      <c r="CG173" s="121"/>
      <c r="CH173" s="121"/>
      <c r="CI173" s="121"/>
      <c r="CJ173" s="119">
        <f>CJ62-CJ171</f>
        <v>9442.993402752003</v>
      </c>
      <c r="CK173" s="118"/>
      <c r="CL173" s="237"/>
      <c r="CM173" s="622"/>
      <c r="CN173" s="622"/>
      <c r="CO173" s="622"/>
      <c r="CP173" s="622"/>
      <c r="CQ173" s="622"/>
      <c r="CR173" s="622"/>
      <c r="CS173" s="622"/>
      <c r="CT173" s="622"/>
      <c r="CU173" s="622"/>
      <c r="CV173" s="622"/>
      <c r="CW173" s="237"/>
      <c r="CX173" s="118"/>
      <c r="CY173" s="118"/>
      <c r="CZ173"/>
      <c r="DA173"/>
      <c r="DB173"/>
      <c r="DC173"/>
      <c r="DD173"/>
    </row>
    <row r="174" spans="1:108" s="40" customFormat="1">
      <c r="A174" s="28" t="s">
        <v>21</v>
      </c>
      <c r="B174" s="29"/>
      <c r="C174" s="29">
        <f>C173/B173-1</f>
        <v>0.33086419753086416</v>
      </c>
      <c r="D174" s="29">
        <f>D173/C173-1</f>
        <v>0.34601113172541753</v>
      </c>
      <c r="E174" s="29">
        <f>E173/D173-1</f>
        <v>0.37927865839650821</v>
      </c>
      <c r="F174" s="29">
        <f>F173/E173-1</f>
        <v>0.15939373750832786</v>
      </c>
      <c r="G174" s="29">
        <f>G173/F173-1</f>
        <v>0.15615572475219075</v>
      </c>
      <c r="H174" s="30"/>
      <c r="I174" s="30"/>
      <c r="J174" s="30"/>
      <c r="K174" s="30"/>
      <c r="L174" s="29">
        <f t="shared" ref="L174:AS174" si="418">L173/G173-1</f>
        <v>6.7967196819085585E-2</v>
      </c>
      <c r="M174" s="30">
        <f t="shared" si="418"/>
        <v>-1.8770530267480101E-2</v>
      </c>
      <c r="N174" s="30">
        <f t="shared" si="418"/>
        <v>6.7136150234741843E-2</v>
      </c>
      <c r="O174" s="30">
        <f t="shared" si="418"/>
        <v>4.5179319981369259E-2</v>
      </c>
      <c r="P174" s="30">
        <f t="shared" si="418"/>
        <v>7.6817558299039801E-2</v>
      </c>
      <c r="Q174" s="29">
        <f t="shared" si="418"/>
        <v>4.2815590459569508E-2</v>
      </c>
      <c r="R174" s="30">
        <f t="shared" si="418"/>
        <v>0.16881874701099941</v>
      </c>
      <c r="S174" s="30">
        <f t="shared" si="418"/>
        <v>4.3114826220853608E-2</v>
      </c>
      <c r="T174" s="30">
        <f t="shared" si="418"/>
        <v>8.6452762923351134E-2</v>
      </c>
      <c r="U174" s="30">
        <f t="shared" si="418"/>
        <v>1.8259023354564752E-2</v>
      </c>
      <c r="V174" s="29">
        <f t="shared" si="418"/>
        <v>7.6760013388374349E-2</v>
      </c>
      <c r="W174" s="30">
        <f t="shared" si="418"/>
        <v>7.3649754500817455E-3</v>
      </c>
      <c r="X174" s="30">
        <f t="shared" si="418"/>
        <v>0.12231126107127799</v>
      </c>
      <c r="Y174" s="30">
        <f t="shared" si="418"/>
        <v>8.4905660377358583E-2</v>
      </c>
      <c r="Z174" s="30">
        <f t="shared" si="418"/>
        <v>9.4662218515429553E-2</v>
      </c>
      <c r="AA174" s="29">
        <f t="shared" si="418"/>
        <v>7.6883224536317574E-2</v>
      </c>
      <c r="AB174" s="30">
        <f t="shared" si="418"/>
        <v>3.086921202274584E-2</v>
      </c>
      <c r="AC174" s="30">
        <f t="shared" si="418"/>
        <v>-5.7872980082675718E-2</v>
      </c>
      <c r="AD174" s="30">
        <f t="shared" si="418"/>
        <v>-0.10396975425330812</v>
      </c>
      <c r="AE174" s="30">
        <f t="shared" si="418"/>
        <v>-7.2380952380952657E-3</v>
      </c>
      <c r="AF174" s="29">
        <f t="shared" si="418"/>
        <v>-3.5793322428557706E-2</v>
      </c>
      <c r="AG174" s="30">
        <f t="shared" si="418"/>
        <v>-0.12450748620961383</v>
      </c>
      <c r="AH174" s="30">
        <f t="shared" si="418"/>
        <v>-8.1771041084962137E-2</v>
      </c>
      <c r="AI174" s="30">
        <f t="shared" si="418"/>
        <v>-4.1772151898734178E-2</v>
      </c>
      <c r="AJ174" s="30">
        <f t="shared" si="418"/>
        <v>-6.0245587106676934E-2</v>
      </c>
      <c r="AK174" s="29">
        <f t="shared" si="418"/>
        <v>-7.7537171938928284E-2</v>
      </c>
      <c r="AL174" s="30">
        <f t="shared" si="418"/>
        <v>1.8001800180017957E-2</v>
      </c>
      <c r="AM174" s="30">
        <f t="shared" si="418"/>
        <v>2.1720243266724504E-2</v>
      </c>
      <c r="AN174" s="30">
        <f t="shared" si="418"/>
        <v>4.0951122853368549E-2</v>
      </c>
      <c r="AO174" s="30">
        <f t="shared" si="418"/>
        <v>1.8783176806860036E-2</v>
      </c>
      <c r="AP174" s="29">
        <f>AP173/AK173-1</f>
        <v>2.4772825616616201E-2</v>
      </c>
      <c r="AQ174" s="30">
        <f t="shared" si="418"/>
        <v>-7.2502210433244896E-2</v>
      </c>
      <c r="AR174" s="30">
        <f t="shared" si="418"/>
        <v>-0.16028911564625847</v>
      </c>
      <c r="AS174" s="30">
        <f t="shared" si="418"/>
        <v>-0.13494077834179352</v>
      </c>
      <c r="AT174" s="30">
        <f t="shared" ref="AT174:AZ174" si="419">AT173/AO173-1</f>
        <v>-9.5791583166332628E-2</v>
      </c>
      <c r="AU174" s="29">
        <f t="shared" si="419"/>
        <v>-0.11601393433970231</v>
      </c>
      <c r="AV174" s="30">
        <f t="shared" si="419"/>
        <v>2.6215443279313577E-2</v>
      </c>
      <c r="AW174" s="30">
        <f t="shared" si="419"/>
        <v>1.5189873417722488E-3</v>
      </c>
      <c r="AX174" s="30">
        <f t="shared" si="419"/>
        <v>-2.2004889975550168E-2</v>
      </c>
      <c r="AY174" s="30">
        <f t="shared" si="419"/>
        <v>-0.14406028368794321</v>
      </c>
      <c r="AZ174" s="29">
        <f t="shared" si="419"/>
        <v>-3.725818008120374E-2</v>
      </c>
      <c r="BA174" s="29"/>
      <c r="BB174" s="30">
        <f>BB173/AV173-1</f>
        <v>-3.1583836507199203E-2</v>
      </c>
      <c r="BC174" s="30">
        <f>BC173/AW173-1</f>
        <v>3.5389282103135411E-3</v>
      </c>
      <c r="BD174" s="30">
        <f>BD173/AX173-1</f>
        <v>4.2499999999999982E-2</v>
      </c>
      <c r="BE174" s="30">
        <f>BE173/AY173-1</f>
        <v>5.6447436561367192E-2</v>
      </c>
      <c r="BF174" s="29">
        <f>BF173/AZ173-1</f>
        <v>1.6497147109898247E-2</v>
      </c>
      <c r="BG174" s="30"/>
      <c r="BH174" s="30"/>
      <c r="BI174" s="30"/>
      <c r="BJ174" s="30"/>
      <c r="BK174" s="29">
        <f>BK173/BA173-1</f>
        <v>2.1035598705501535E-2</v>
      </c>
      <c r="BL174" s="194">
        <f t="shared" ref="BL174:BQ174" si="420">BL173/BG173-1</f>
        <v>-8.6561453849832604E-2</v>
      </c>
      <c r="BM174" s="194">
        <f t="shared" si="420"/>
        <v>-5.9061080262493681E-2</v>
      </c>
      <c r="BN174" s="194">
        <f t="shared" si="420"/>
        <v>-9.0865614538498285E-2</v>
      </c>
      <c r="BO174" s="194">
        <f t="shared" si="420"/>
        <v>8.0882352941176405E-2</v>
      </c>
      <c r="BP174" s="29">
        <f t="shared" si="420"/>
        <v>-3.9375838108009265E-2</v>
      </c>
      <c r="BQ174" s="31">
        <f t="shared" si="420"/>
        <v>5.4896963350785422E-2</v>
      </c>
      <c r="BR174" s="30">
        <f t="shared" ref="BR174:BT174" si="421">BR173/BM173-1</f>
        <v>5.9844849785407828E-2</v>
      </c>
      <c r="BS174" s="30">
        <f t="shared" si="421"/>
        <v>6.3870699631772831E-2</v>
      </c>
      <c r="BT174" s="1106">
        <f t="shared" si="421"/>
        <v>5.898698412698411E-2</v>
      </c>
      <c r="BU174" s="29">
        <f>BU173/BP173-1</f>
        <v>5.9376713197969666E-2</v>
      </c>
      <c r="BV174" s="31"/>
      <c r="BW174" s="30"/>
      <c r="BX174" s="30"/>
      <c r="BY174" s="30"/>
      <c r="BZ174" s="29">
        <f>BZ173/BU173-1</f>
        <v>4.5842696629213586E-2</v>
      </c>
      <c r="CA174" s="31"/>
      <c r="CB174" s="30"/>
      <c r="CC174" s="30"/>
      <c r="CD174" s="30"/>
      <c r="CE174" s="29">
        <f>CE173/BZ173-1</f>
        <v>4.0000000000000036E-2</v>
      </c>
      <c r="CF174" s="31"/>
      <c r="CG174" s="30"/>
      <c r="CH174" s="30"/>
      <c r="CI174" s="30"/>
      <c r="CJ174" s="29">
        <f>CJ173/CE173-1</f>
        <v>4.0000000000000258E-2</v>
      </c>
      <c r="CK174" s="39"/>
      <c r="CL174" s="7"/>
      <c r="CM174" s="1013"/>
      <c r="CN174" s="734"/>
      <c r="CO174" s="734"/>
      <c r="CP174" s="734"/>
      <c r="CQ174" s="734"/>
      <c r="CR174" s="734"/>
      <c r="CS174" s="661"/>
      <c r="CT174" s="734"/>
      <c r="CU174" s="734"/>
      <c r="CV174" s="734"/>
      <c r="CW174" s="75"/>
      <c r="CX174" s="38"/>
      <c r="CY174" s="38"/>
      <c r="CZ174"/>
      <c r="DA174"/>
      <c r="DB174"/>
      <c r="DC174"/>
      <c r="DD174"/>
    </row>
    <row r="175" spans="1:108" s="40" customFormat="1">
      <c r="A175" s="106" t="s">
        <v>416</v>
      </c>
      <c r="B175" s="107"/>
      <c r="C175" s="107"/>
      <c r="D175" s="107"/>
      <c r="E175" s="107"/>
      <c r="F175" s="107"/>
      <c r="G175" s="107"/>
      <c r="H175" s="108"/>
      <c r="I175" s="108"/>
      <c r="J175" s="108"/>
      <c r="K175" s="108"/>
      <c r="L175" s="107"/>
      <c r="M175" s="108"/>
      <c r="N175" s="108"/>
      <c r="O175" s="108"/>
      <c r="P175" s="108"/>
      <c r="Q175" s="107"/>
      <c r="R175" s="108"/>
      <c r="S175" s="108"/>
      <c r="T175" s="108"/>
      <c r="U175" s="108"/>
      <c r="V175" s="107"/>
      <c r="W175" s="108"/>
      <c r="X175" s="108"/>
      <c r="Y175" s="108"/>
      <c r="Z175" s="108"/>
      <c r="AA175" s="107"/>
      <c r="AB175" s="108"/>
      <c r="AC175" s="108"/>
      <c r="AD175" s="108"/>
      <c r="AE175" s="108"/>
      <c r="AF175" s="107"/>
      <c r="AG175" s="108"/>
      <c r="AH175" s="108"/>
      <c r="AI175" s="108"/>
      <c r="AJ175" s="108"/>
      <c r="AK175" s="107"/>
      <c r="AL175" s="108"/>
      <c r="AM175" s="108"/>
      <c r="AN175" s="108"/>
      <c r="AO175" s="108"/>
      <c r="AP175" s="107"/>
      <c r="AQ175" s="108"/>
      <c r="AR175" s="108"/>
      <c r="AS175" s="108"/>
      <c r="AT175" s="108"/>
      <c r="AU175" s="107"/>
      <c r="AV175" s="108"/>
      <c r="AW175" s="108"/>
      <c r="AX175" s="108"/>
      <c r="AY175" s="108"/>
      <c r="AZ175" s="107"/>
      <c r="BA175" s="107"/>
      <c r="BB175" s="108"/>
      <c r="BC175" s="108"/>
      <c r="BD175" s="108"/>
      <c r="BE175" s="108"/>
      <c r="BF175" s="107"/>
      <c r="BG175" s="108"/>
      <c r="BH175" s="108"/>
      <c r="BI175" s="108"/>
      <c r="BJ175" s="108"/>
      <c r="BK175" s="107"/>
      <c r="BL175" s="108"/>
      <c r="BM175" s="108"/>
      <c r="BN175" s="108"/>
      <c r="BO175" s="108"/>
      <c r="BP175" s="107"/>
      <c r="BQ175" s="207"/>
      <c r="BR175" s="208">
        <v>0.1125</v>
      </c>
      <c r="BS175" s="208">
        <v>0.1125</v>
      </c>
      <c r="BT175" s="1124">
        <v>0.1125</v>
      </c>
      <c r="BU175" s="1053">
        <f>BU178/BU80</f>
        <v>0.1125</v>
      </c>
      <c r="BV175" s="207"/>
      <c r="BW175" s="208"/>
      <c r="BX175" s="208"/>
      <c r="BY175" s="208"/>
      <c r="BZ175" s="206">
        <v>0.115</v>
      </c>
      <c r="CA175" s="207"/>
      <c r="CB175" s="208"/>
      <c r="CC175" s="208"/>
      <c r="CD175" s="208"/>
      <c r="CE175" s="206">
        <v>0.115</v>
      </c>
      <c r="CF175" s="207"/>
      <c r="CG175" s="208"/>
      <c r="CH175" s="208"/>
      <c r="CI175" s="208"/>
      <c r="CJ175" s="206">
        <v>0.115</v>
      </c>
      <c r="CK175" s="39"/>
      <c r="CL175" s="7"/>
      <c r="CM175" s="1013"/>
      <c r="CN175" s="734"/>
      <c r="CO175" s="734"/>
      <c r="CP175" s="734"/>
      <c r="CQ175" s="734"/>
      <c r="CR175" s="734"/>
      <c r="CS175" s="661"/>
      <c r="CT175" s="734"/>
      <c r="CU175" s="734"/>
      <c r="CV175" s="734"/>
      <c r="CW175" s="75"/>
      <c r="CX175" s="38"/>
      <c r="CY175" s="38"/>
      <c r="CZ175"/>
      <c r="DA175"/>
      <c r="DB175"/>
      <c r="DC175"/>
      <c r="DD175"/>
    </row>
    <row r="176" spans="1:108" s="40" customFormat="1">
      <c r="A176" s="116" t="s">
        <v>24</v>
      </c>
      <c r="B176" s="193"/>
      <c r="C176" s="199"/>
      <c r="D176" s="199"/>
      <c r="E176" s="199"/>
      <c r="F176" s="199"/>
      <c r="G176" s="199"/>
      <c r="H176" s="194"/>
      <c r="I176" s="194"/>
      <c r="J176" s="194"/>
      <c r="K176" s="194"/>
      <c r="L176" s="199"/>
      <c r="M176" s="200"/>
      <c r="N176" s="200"/>
      <c r="O176" s="200"/>
      <c r="P176" s="200"/>
      <c r="Q176" s="199"/>
      <c r="R176" s="200"/>
      <c r="S176" s="200"/>
      <c r="T176" s="200"/>
      <c r="U176" s="200"/>
      <c r="V176" s="199"/>
      <c r="W176" s="200"/>
      <c r="X176" s="200"/>
      <c r="Y176" s="200"/>
      <c r="Z176" s="200"/>
      <c r="AA176" s="199"/>
      <c r="AB176" s="200"/>
      <c r="AC176" s="200"/>
      <c r="AD176" s="200"/>
      <c r="AE176" s="200"/>
      <c r="AF176" s="199"/>
      <c r="AG176" s="200"/>
      <c r="AH176" s="200"/>
      <c r="AI176" s="200"/>
      <c r="AJ176" s="200"/>
      <c r="AK176" s="199"/>
      <c r="AL176" s="200"/>
      <c r="AM176" s="200"/>
      <c r="AN176" s="200"/>
      <c r="AO176" s="200"/>
      <c r="AP176" s="199"/>
      <c r="AQ176" s="200"/>
      <c r="AR176" s="200"/>
      <c r="AS176" s="200"/>
      <c r="AT176" s="200"/>
      <c r="AU176" s="199"/>
      <c r="AV176" s="200"/>
      <c r="AW176" s="200"/>
      <c r="AX176" s="200"/>
      <c r="AY176" s="200"/>
      <c r="AZ176" s="199"/>
      <c r="BA176" s="199"/>
      <c r="BB176" s="200"/>
      <c r="BC176" s="200"/>
      <c r="BD176" s="200"/>
      <c r="BE176" s="200"/>
      <c r="BF176" s="199"/>
      <c r="BG176" s="200"/>
      <c r="BH176" s="200"/>
      <c r="BI176" s="200"/>
      <c r="BJ176" s="200"/>
      <c r="BK176" s="199"/>
      <c r="BL176" s="200"/>
      <c r="BM176" s="200"/>
      <c r="BN176" s="200"/>
      <c r="BO176" s="200"/>
      <c r="BP176" s="199"/>
      <c r="BQ176" s="223"/>
      <c r="BR176" s="200"/>
      <c r="BS176" s="200"/>
      <c r="BT176" s="541"/>
      <c r="BU176" s="1054"/>
      <c r="BV176" s="195"/>
      <c r="BW176" s="194"/>
      <c r="BX176" s="194"/>
      <c r="BY176" s="194"/>
      <c r="BZ176" s="199">
        <f>(BZ175-BU175)*100</f>
        <v>0.25000000000000022</v>
      </c>
      <c r="CA176" s="195"/>
      <c r="CB176" s="194"/>
      <c r="CC176" s="194"/>
      <c r="CD176" s="194"/>
      <c r="CE176" s="199">
        <f>(CE175-BZ175)*100</f>
        <v>0</v>
      </c>
      <c r="CF176" s="195"/>
      <c r="CG176" s="194"/>
      <c r="CH176" s="194"/>
      <c r="CI176" s="194"/>
      <c r="CJ176" s="199">
        <f>(CJ175-CE175)*100</f>
        <v>0</v>
      </c>
      <c r="CK176" s="39"/>
      <c r="CL176" s="7"/>
      <c r="CM176" s="1013"/>
      <c r="CN176" s="734"/>
      <c r="CO176" s="734"/>
      <c r="CP176" s="734"/>
      <c r="CQ176" s="734"/>
      <c r="CR176" s="734"/>
      <c r="CS176" s="661"/>
      <c r="CT176" s="734"/>
      <c r="CU176" s="734"/>
      <c r="CV176" s="734"/>
      <c r="CW176" s="75"/>
      <c r="CX176" s="38"/>
      <c r="CY176" s="38"/>
      <c r="CZ176"/>
      <c r="DA176"/>
      <c r="DB176"/>
      <c r="DC176"/>
      <c r="DD176"/>
    </row>
    <row r="177" spans="1:108" s="40" customFormat="1">
      <c r="A177" s="117" t="s">
        <v>25</v>
      </c>
      <c r="B177" s="201"/>
      <c r="C177" s="201"/>
      <c r="D177" s="201"/>
      <c r="E177" s="201"/>
      <c r="F177" s="201"/>
      <c r="G177" s="201"/>
      <c r="H177" s="202"/>
      <c r="I177" s="202"/>
      <c r="J177" s="202"/>
      <c r="K177" s="202"/>
      <c r="L177" s="201"/>
      <c r="M177" s="202"/>
      <c r="N177" s="202"/>
      <c r="O177" s="202"/>
      <c r="P177" s="202"/>
      <c r="Q177" s="201"/>
      <c r="R177" s="202"/>
      <c r="S177" s="202"/>
      <c r="T177" s="202"/>
      <c r="U177" s="202"/>
      <c r="V177" s="201"/>
      <c r="W177" s="202"/>
      <c r="X177" s="202"/>
      <c r="Y177" s="202"/>
      <c r="Z177" s="202"/>
      <c r="AA177" s="201"/>
      <c r="AB177" s="202"/>
      <c r="AC177" s="202"/>
      <c r="AD177" s="202"/>
      <c r="AE177" s="202"/>
      <c r="AF177" s="201"/>
      <c r="AG177" s="202"/>
      <c r="AH177" s="202"/>
      <c r="AI177" s="202"/>
      <c r="AJ177" s="202"/>
      <c r="AK177" s="201"/>
      <c r="AL177" s="202"/>
      <c r="AM177" s="202"/>
      <c r="AN177" s="202"/>
      <c r="AO177" s="202"/>
      <c r="AP177" s="201"/>
      <c r="AQ177" s="202"/>
      <c r="AR177" s="202"/>
      <c r="AS177" s="202"/>
      <c r="AT177" s="202"/>
      <c r="AU177" s="201"/>
      <c r="AV177" s="202"/>
      <c r="AW177" s="202"/>
      <c r="AX177" s="202"/>
      <c r="AY177" s="202"/>
      <c r="AZ177" s="201"/>
      <c r="BA177" s="201"/>
      <c r="BB177" s="202"/>
      <c r="BC177" s="202"/>
      <c r="BD177" s="202"/>
      <c r="BE177" s="202"/>
      <c r="BF177" s="201"/>
      <c r="BG177" s="202"/>
      <c r="BH177" s="202"/>
      <c r="BI177" s="202"/>
      <c r="BJ177" s="202"/>
      <c r="BK177" s="201"/>
      <c r="BL177" s="202"/>
      <c r="BM177" s="202"/>
      <c r="BN177" s="202"/>
      <c r="BO177" s="202"/>
      <c r="BP177" s="201"/>
      <c r="BQ177" s="203"/>
      <c r="BR177" s="202"/>
      <c r="BS177" s="202"/>
      <c r="BT177" s="1125"/>
      <c r="BU177" s="1055"/>
      <c r="BV177" s="203"/>
      <c r="BW177" s="202"/>
      <c r="BX177" s="202"/>
      <c r="BY177" s="202"/>
      <c r="BZ177" s="201"/>
      <c r="CA177" s="203"/>
      <c r="CB177" s="202"/>
      <c r="CC177" s="202"/>
      <c r="CD177" s="202"/>
      <c r="CE177" s="201">
        <f>(CE178-BZ178)/(CE80-BZ80)</f>
        <v>0.11500000000000035</v>
      </c>
      <c r="CF177" s="203"/>
      <c r="CG177" s="202"/>
      <c r="CH177" s="202"/>
      <c r="CI177" s="202"/>
      <c r="CJ177" s="201">
        <f>(CJ178-CE178)/(CJ80-CE80)</f>
        <v>0.11499999999999969</v>
      </c>
      <c r="CK177" s="39"/>
      <c r="CL177" s="7"/>
      <c r="CM177" s="1013"/>
      <c r="CN177" s="734"/>
      <c r="CO177" s="734"/>
      <c r="CP177" s="734"/>
      <c r="CQ177" s="734"/>
      <c r="CR177" s="734"/>
      <c r="CS177" s="661"/>
      <c r="CT177" s="734"/>
      <c r="CU177" s="734"/>
      <c r="CV177" s="734"/>
      <c r="CW177" s="75"/>
      <c r="CX177" s="38"/>
      <c r="CY177" s="38"/>
      <c r="CZ177"/>
      <c r="DA177"/>
      <c r="DB177"/>
      <c r="DC177"/>
      <c r="DD177"/>
    </row>
    <row r="178" spans="1:108" s="40" customFormat="1">
      <c r="A178" s="1293" t="s">
        <v>414</v>
      </c>
      <c r="B178" s="119"/>
      <c r="C178" s="119"/>
      <c r="D178" s="119"/>
      <c r="E178" s="119"/>
      <c r="F178" s="119"/>
      <c r="G178" s="119"/>
      <c r="H178" s="120"/>
      <c r="I178" s="120"/>
      <c r="J178" s="120"/>
      <c r="K178" s="121"/>
      <c r="L178" s="119"/>
      <c r="M178" s="120"/>
      <c r="N178" s="120"/>
      <c r="O178" s="120"/>
      <c r="P178" s="121"/>
      <c r="Q178" s="119"/>
      <c r="R178" s="120"/>
      <c r="S178" s="120"/>
      <c r="T178" s="120"/>
      <c r="U178" s="121"/>
      <c r="V178" s="119"/>
      <c r="W178" s="120"/>
      <c r="X178" s="120"/>
      <c r="Y178" s="120"/>
      <c r="Z178" s="121"/>
      <c r="AA178" s="119"/>
      <c r="AB178" s="120"/>
      <c r="AC178" s="120"/>
      <c r="AD178" s="120"/>
      <c r="AE178" s="121"/>
      <c r="AF178" s="119"/>
      <c r="AG178" s="120"/>
      <c r="AH178" s="120"/>
      <c r="AI178" s="120"/>
      <c r="AJ178" s="636"/>
      <c r="AK178" s="638"/>
      <c r="AL178" s="120"/>
      <c r="AM178" s="120"/>
      <c r="AN178" s="120"/>
      <c r="AO178" s="121"/>
      <c r="AP178" s="119"/>
      <c r="AQ178" s="120"/>
      <c r="AR178" s="120"/>
      <c r="AS178" s="120"/>
      <c r="AT178" s="121"/>
      <c r="AU178" s="119"/>
      <c r="AV178" s="120"/>
      <c r="AW178" s="120"/>
      <c r="AX178" s="120"/>
      <c r="AY178" s="121"/>
      <c r="AZ178" s="119"/>
      <c r="BA178" s="119"/>
      <c r="BB178" s="122"/>
      <c r="BC178" s="121"/>
      <c r="BD178" s="121"/>
      <c r="BE178" s="121"/>
      <c r="BF178" s="119"/>
      <c r="BG178" s="122"/>
      <c r="BH178" s="121"/>
      <c r="BI178" s="121"/>
      <c r="BJ178" s="121"/>
      <c r="BK178" s="119"/>
      <c r="BL178" s="122"/>
      <c r="BM178" s="121"/>
      <c r="BN178" s="121"/>
      <c r="BO178" s="121"/>
      <c r="BP178" s="119"/>
      <c r="BQ178" s="122"/>
      <c r="BR178" s="121">
        <f>BR80*BR175</f>
        <v>140.625</v>
      </c>
      <c r="BS178" s="121">
        <f>BS80*BS175</f>
        <v>140.625</v>
      </c>
      <c r="BT178" s="1126">
        <f>BT80*BT175</f>
        <v>140.625</v>
      </c>
      <c r="BU178" s="1056">
        <f>+SUM(BQ178:BT178)</f>
        <v>421.875</v>
      </c>
      <c r="BV178" s="122"/>
      <c r="BW178" s="121"/>
      <c r="BX178" s="121"/>
      <c r="BY178" s="121"/>
      <c r="BZ178" s="119">
        <f>BZ80*BZ175</f>
        <v>598</v>
      </c>
      <c r="CA178" s="122"/>
      <c r="CB178" s="121"/>
      <c r="CC178" s="121"/>
      <c r="CD178" s="121"/>
      <c r="CE178" s="119">
        <f>CE80*CE175</f>
        <v>621.92000000000007</v>
      </c>
      <c r="CF178" s="122"/>
      <c r="CG178" s="121"/>
      <c r="CH178" s="121"/>
      <c r="CI178" s="121"/>
      <c r="CJ178" s="119">
        <f>CJ80*CJ175</f>
        <v>646.79680000000008</v>
      </c>
      <c r="CK178" s="39"/>
      <c r="CL178" s="7"/>
      <c r="CM178" s="1013"/>
      <c r="CN178" s="734"/>
      <c r="CO178" s="734"/>
      <c r="CP178" s="734"/>
      <c r="CQ178" s="734"/>
      <c r="CR178" s="734"/>
      <c r="CS178" s="661"/>
      <c r="CT178" s="734"/>
      <c r="CU178" s="734"/>
      <c r="CV178" s="734"/>
      <c r="CW178" s="75"/>
      <c r="CX178" s="38"/>
      <c r="CY178" s="38"/>
      <c r="CZ178"/>
      <c r="DA178"/>
      <c r="DB178"/>
      <c r="DC178"/>
      <c r="DD178"/>
    </row>
    <row r="179" spans="1:108" s="40" customFormat="1">
      <c r="A179" s="28" t="s">
        <v>21</v>
      </c>
      <c r="B179" s="29"/>
      <c r="C179" s="29"/>
      <c r="D179" s="29"/>
      <c r="E179" s="29"/>
      <c r="F179" s="29"/>
      <c r="G179" s="29"/>
      <c r="H179" s="30"/>
      <c r="I179" s="30"/>
      <c r="J179" s="30"/>
      <c r="K179" s="30"/>
      <c r="L179" s="29"/>
      <c r="M179" s="30"/>
      <c r="N179" s="30"/>
      <c r="O179" s="30"/>
      <c r="P179" s="30"/>
      <c r="Q179" s="29"/>
      <c r="R179" s="30"/>
      <c r="S179" s="30"/>
      <c r="T179" s="30"/>
      <c r="U179" s="30"/>
      <c r="V179" s="29"/>
      <c r="W179" s="30"/>
      <c r="X179" s="30"/>
      <c r="Y179" s="30"/>
      <c r="Z179" s="30"/>
      <c r="AA179" s="29"/>
      <c r="AB179" s="30"/>
      <c r="AC179" s="30"/>
      <c r="AD179" s="30"/>
      <c r="AE179" s="30"/>
      <c r="AF179" s="29"/>
      <c r="AG179" s="30"/>
      <c r="AH179" s="30"/>
      <c r="AI179" s="30"/>
      <c r="AJ179" s="30"/>
      <c r="AK179" s="29"/>
      <c r="AL179" s="30"/>
      <c r="AM179" s="30"/>
      <c r="AN179" s="30"/>
      <c r="AO179" s="30"/>
      <c r="AP179" s="29"/>
      <c r="AQ179" s="30"/>
      <c r="AR179" s="30"/>
      <c r="AS179" s="30"/>
      <c r="AT179" s="30"/>
      <c r="AU179" s="29"/>
      <c r="AV179" s="30"/>
      <c r="AW179" s="30"/>
      <c r="AX179" s="30"/>
      <c r="AY179" s="30"/>
      <c r="AZ179" s="29"/>
      <c r="BA179" s="29"/>
      <c r="BB179" s="30"/>
      <c r="BC179" s="30"/>
      <c r="BD179" s="30"/>
      <c r="BE179" s="30"/>
      <c r="BF179" s="29"/>
      <c r="BG179" s="30"/>
      <c r="BH179" s="30"/>
      <c r="BI179" s="30"/>
      <c r="BJ179" s="30"/>
      <c r="BK179" s="29"/>
      <c r="BL179" s="194"/>
      <c r="BM179" s="194"/>
      <c r="BN179" s="194"/>
      <c r="BO179" s="194"/>
      <c r="BP179" s="29"/>
      <c r="BQ179" s="31"/>
      <c r="BR179" s="30"/>
      <c r="BS179" s="30"/>
      <c r="BT179" s="1106"/>
      <c r="BU179" s="29"/>
      <c r="BV179" s="31"/>
      <c r="BW179" s="30"/>
      <c r="BX179" s="30"/>
      <c r="BY179" s="30"/>
      <c r="BZ179" s="29"/>
      <c r="CA179" s="31"/>
      <c r="CB179" s="30"/>
      <c r="CC179" s="30"/>
      <c r="CD179" s="30"/>
      <c r="CE179" s="29">
        <f>CE178/BZ178-1</f>
        <v>4.0000000000000036E-2</v>
      </c>
      <c r="CF179" s="31"/>
      <c r="CG179" s="30"/>
      <c r="CH179" s="30"/>
      <c r="CI179" s="30"/>
      <c r="CJ179" s="1284">
        <f>CJ178/CE178-1</f>
        <v>4.0000000000000036E-2</v>
      </c>
      <c r="CK179" s="39"/>
      <c r="CL179" s="7"/>
      <c r="CM179" s="1013"/>
      <c r="CN179" s="734"/>
      <c r="CO179" s="734"/>
      <c r="CP179" s="734"/>
      <c r="CQ179" s="734"/>
      <c r="CR179" s="734"/>
      <c r="CS179" s="661"/>
      <c r="CT179" s="734"/>
      <c r="CU179" s="734"/>
      <c r="CV179" s="734"/>
      <c r="CW179" s="75"/>
      <c r="CX179" s="38"/>
      <c r="CY179" s="38"/>
      <c r="CZ179"/>
      <c r="DA179"/>
      <c r="DB179"/>
      <c r="DC179"/>
      <c r="DD179"/>
    </row>
    <row r="180" spans="1:108" s="40" customFormat="1">
      <c r="A180" s="1293" t="s">
        <v>402</v>
      </c>
      <c r="B180" s="1284"/>
      <c r="C180" s="1284"/>
      <c r="D180" s="1284"/>
      <c r="E180" s="1284"/>
      <c r="F180" s="1284"/>
      <c r="G180" s="1284"/>
      <c r="H180" s="30"/>
      <c r="I180" s="30"/>
      <c r="J180" s="30"/>
      <c r="K180" s="30"/>
      <c r="L180" s="1284"/>
      <c r="M180" s="30"/>
      <c r="N180" s="30"/>
      <c r="O180" s="30"/>
      <c r="P180" s="30"/>
      <c r="Q180" s="1284"/>
      <c r="R180" s="30"/>
      <c r="S180" s="30"/>
      <c r="T180" s="30"/>
      <c r="U180" s="30"/>
      <c r="V180" s="1284"/>
      <c r="W180" s="30"/>
      <c r="X180" s="30"/>
      <c r="Y180" s="30"/>
      <c r="Z180" s="30"/>
      <c r="AA180" s="1284"/>
      <c r="AB180" s="30"/>
      <c r="AC180" s="30"/>
      <c r="AD180" s="30"/>
      <c r="AE180" s="30"/>
      <c r="AF180" s="1284"/>
      <c r="AG180" s="30"/>
      <c r="AH180" s="30"/>
      <c r="AI180" s="30"/>
      <c r="AJ180" s="30"/>
      <c r="AK180" s="1284"/>
      <c r="AL180" s="30"/>
      <c r="AM180" s="30"/>
      <c r="AN180" s="30"/>
      <c r="AO180" s="30"/>
      <c r="AP180" s="1284"/>
      <c r="AQ180" s="30"/>
      <c r="AR180" s="30"/>
      <c r="AS180" s="30"/>
      <c r="AT180" s="30"/>
      <c r="AU180" s="1284"/>
      <c r="AV180" s="30"/>
      <c r="AW180" s="30"/>
      <c r="AX180" s="30"/>
      <c r="AY180" s="30"/>
      <c r="AZ180" s="1284"/>
      <c r="BA180" s="1284"/>
      <c r="BB180" s="30"/>
      <c r="BC180" s="30"/>
      <c r="BD180" s="30"/>
      <c r="BE180" s="30"/>
      <c r="BF180" s="1284"/>
      <c r="BG180" s="30"/>
      <c r="BH180" s="30"/>
      <c r="BI180" s="30"/>
      <c r="BJ180" s="30"/>
      <c r="BK180" s="1284"/>
      <c r="BL180" s="194"/>
      <c r="BM180" s="194"/>
      <c r="BN180" s="194"/>
      <c r="BO180" s="194"/>
      <c r="BP180" s="1284"/>
      <c r="BQ180" s="1036"/>
      <c r="BR180" s="121">
        <f>BR178+BR181+BR182+BR183</f>
        <v>61.625</v>
      </c>
      <c r="BS180" s="121">
        <f>BS178+BS181+BS182+BS183</f>
        <v>86.625</v>
      </c>
      <c r="BT180" s="1126">
        <f>BT178+BT181+BT182+BT183</f>
        <v>86.625</v>
      </c>
      <c r="BU180" s="1056">
        <f>+SUM(BQ180:BT180)</f>
        <v>234.875</v>
      </c>
      <c r="BV180" s="1036"/>
      <c r="BW180" s="30"/>
      <c r="BX180" s="30"/>
      <c r="BY180" s="30"/>
      <c r="BZ180" s="1056">
        <f>BZ178+BZ181+BZ182+BZ183</f>
        <v>532</v>
      </c>
      <c r="CA180" s="1036"/>
      <c r="CB180" s="30"/>
      <c r="CC180" s="30"/>
      <c r="CD180" s="30"/>
      <c r="CE180" s="1056">
        <f>CE178+CE181+CE182+CE183</f>
        <v>605.92000000000007</v>
      </c>
      <c r="CF180" s="1036"/>
      <c r="CG180" s="30"/>
      <c r="CH180" s="30"/>
      <c r="CI180" s="30"/>
      <c r="CJ180" s="1315">
        <f>CJ178+CJ181+CJ182+CJ183</f>
        <v>630.79680000000008</v>
      </c>
      <c r="CK180" s="39"/>
      <c r="CL180" s="7"/>
      <c r="CM180" s="1013"/>
      <c r="CN180" s="734"/>
      <c r="CO180" s="734"/>
      <c r="CP180" s="734"/>
      <c r="CQ180" s="734"/>
      <c r="CR180" s="734"/>
      <c r="CS180" s="661"/>
      <c r="CT180" s="734"/>
      <c r="CU180" s="734"/>
      <c r="CV180" s="734"/>
      <c r="CW180" s="75"/>
      <c r="CX180" s="38"/>
      <c r="CY180" s="38"/>
      <c r="CZ180"/>
      <c r="DA180"/>
      <c r="DB180"/>
      <c r="DC180"/>
      <c r="DD180"/>
    </row>
    <row r="181" spans="1:108" s="539" customFormat="1">
      <c r="A181" s="475" t="s">
        <v>403</v>
      </c>
      <c r="B181" s="1222"/>
      <c r="C181" s="1222"/>
      <c r="D181" s="1222"/>
      <c r="E181" s="1222"/>
      <c r="F181" s="1222"/>
      <c r="G181" s="1222"/>
      <c r="H181" s="194"/>
      <c r="I181" s="194"/>
      <c r="J181" s="194"/>
      <c r="K181" s="194"/>
      <c r="L181" s="1222"/>
      <c r="M181" s="194"/>
      <c r="N181" s="194"/>
      <c r="O181" s="194"/>
      <c r="P181" s="194"/>
      <c r="Q181" s="1222"/>
      <c r="R181" s="194"/>
      <c r="S181" s="194"/>
      <c r="T181" s="194"/>
      <c r="U181" s="194"/>
      <c r="V181" s="1222"/>
      <c r="W181" s="194"/>
      <c r="X181" s="194"/>
      <c r="Y181" s="194"/>
      <c r="Z181" s="194"/>
      <c r="AA181" s="1222"/>
      <c r="AB181" s="194"/>
      <c r="AC181" s="194"/>
      <c r="AD181" s="194"/>
      <c r="AE181" s="194"/>
      <c r="AF181" s="1222"/>
      <c r="AG181" s="194"/>
      <c r="AH181" s="194"/>
      <c r="AI181" s="194"/>
      <c r="AJ181" s="194"/>
      <c r="AK181" s="1222"/>
      <c r="AL181" s="194"/>
      <c r="AM181" s="194"/>
      <c r="AN181" s="194"/>
      <c r="AO181" s="194"/>
      <c r="AP181" s="1222"/>
      <c r="AQ181" s="194"/>
      <c r="AR181" s="194"/>
      <c r="AS181" s="194"/>
      <c r="AT181" s="194"/>
      <c r="AU181" s="1222"/>
      <c r="AV181" s="194"/>
      <c r="AW181" s="194"/>
      <c r="AX181" s="194"/>
      <c r="AY181" s="194"/>
      <c r="AZ181" s="1222"/>
      <c r="BA181" s="1222"/>
      <c r="BB181" s="194"/>
      <c r="BC181" s="194"/>
      <c r="BD181" s="194"/>
      <c r="BE181" s="194"/>
      <c r="BF181" s="1222"/>
      <c r="BG181" s="194"/>
      <c r="BH181" s="194"/>
      <c r="BI181" s="194"/>
      <c r="BJ181" s="194"/>
      <c r="BK181" s="1222"/>
      <c r="BL181" s="194"/>
      <c r="BM181" s="194"/>
      <c r="BN181" s="194"/>
      <c r="BO181" s="194"/>
      <c r="BP181" s="1222"/>
      <c r="BQ181" s="1041"/>
      <c r="BR181" s="1329">
        <f>0.02*10000*50%/4</f>
        <v>25</v>
      </c>
      <c r="BS181" s="1329">
        <f>0.02*10000*50%/4</f>
        <v>25</v>
      </c>
      <c r="BT181" s="1330">
        <f>0.02*10000*50%/4</f>
        <v>25</v>
      </c>
      <c r="BU181" s="1331">
        <f>+SUM(BQ181:BT181)</f>
        <v>75</v>
      </c>
      <c r="BV181" s="1332"/>
      <c r="BW181" s="1333"/>
      <c r="BX181" s="1333"/>
      <c r="BY181" s="1333"/>
      <c r="BZ181" s="1334">
        <f>0.02*10000*75%</f>
        <v>150</v>
      </c>
      <c r="CA181" s="1332"/>
      <c r="CB181" s="1333"/>
      <c r="CC181" s="1333"/>
      <c r="CD181" s="1333"/>
      <c r="CE181" s="1334">
        <f>0.02*10000*100%</f>
        <v>200</v>
      </c>
      <c r="CF181" s="1332"/>
      <c r="CG181" s="1333"/>
      <c r="CH181" s="1333"/>
      <c r="CI181" s="1333"/>
      <c r="CJ181" s="1335">
        <f>0.02*10000*100%</f>
        <v>200</v>
      </c>
      <c r="CK181" s="913"/>
      <c r="CL181" s="914"/>
      <c r="CM181" s="1013" t="s">
        <v>411</v>
      </c>
      <c r="CN181" s="734"/>
      <c r="CO181" s="734"/>
      <c r="CP181" s="734"/>
      <c r="CQ181" s="734"/>
      <c r="CR181" s="734"/>
      <c r="CS181" s="661"/>
      <c r="CT181" s="734"/>
      <c r="CU181" s="734"/>
      <c r="CV181" s="734"/>
      <c r="CW181" s="537"/>
      <c r="CX181" s="538"/>
      <c r="CY181" s="538"/>
      <c r="CZ181"/>
      <c r="DA181"/>
      <c r="DB181"/>
      <c r="DC181"/>
      <c r="DD181"/>
    </row>
    <row r="182" spans="1:108" s="539" customFormat="1">
      <c r="A182" s="475" t="s">
        <v>405</v>
      </c>
      <c r="B182" s="1222"/>
      <c r="C182" s="1222"/>
      <c r="D182" s="1222"/>
      <c r="E182" s="1222"/>
      <c r="F182" s="1222"/>
      <c r="G182" s="1222"/>
      <c r="H182" s="194"/>
      <c r="I182" s="194"/>
      <c r="J182" s="194"/>
      <c r="K182" s="194"/>
      <c r="L182" s="1222"/>
      <c r="M182" s="194"/>
      <c r="N182" s="194"/>
      <c r="O182" s="194"/>
      <c r="P182" s="194"/>
      <c r="Q182" s="1222"/>
      <c r="R182" s="194"/>
      <c r="S182" s="194"/>
      <c r="T182" s="194"/>
      <c r="U182" s="194"/>
      <c r="V182" s="1222"/>
      <c r="W182" s="194"/>
      <c r="X182" s="194"/>
      <c r="Y182" s="194"/>
      <c r="Z182" s="194"/>
      <c r="AA182" s="1222"/>
      <c r="AB182" s="194"/>
      <c r="AC182" s="194"/>
      <c r="AD182" s="194"/>
      <c r="AE182" s="194"/>
      <c r="AF182" s="1222"/>
      <c r="AG182" s="194"/>
      <c r="AH182" s="194"/>
      <c r="AI182" s="194"/>
      <c r="AJ182" s="194"/>
      <c r="AK182" s="1222"/>
      <c r="AL182" s="194"/>
      <c r="AM182" s="194"/>
      <c r="AN182" s="194"/>
      <c r="AO182" s="194"/>
      <c r="AP182" s="1222"/>
      <c r="AQ182" s="194"/>
      <c r="AR182" s="194"/>
      <c r="AS182" s="194"/>
      <c r="AT182" s="194"/>
      <c r="AU182" s="1222"/>
      <c r="AV182" s="194"/>
      <c r="AW182" s="194"/>
      <c r="AX182" s="194"/>
      <c r="AY182" s="194"/>
      <c r="AZ182" s="1222"/>
      <c r="BA182" s="1222"/>
      <c r="BB182" s="194"/>
      <c r="BC182" s="194"/>
      <c r="BD182" s="194"/>
      <c r="BE182" s="194"/>
      <c r="BF182" s="1222"/>
      <c r="BG182" s="194"/>
      <c r="BH182" s="194"/>
      <c r="BI182" s="194"/>
      <c r="BJ182" s="194"/>
      <c r="BK182" s="1222"/>
      <c r="BL182" s="194"/>
      <c r="BM182" s="194"/>
      <c r="BN182" s="194"/>
      <c r="BO182" s="194"/>
      <c r="BP182" s="1222"/>
      <c r="BQ182" s="1041"/>
      <c r="BR182" s="1329">
        <v>-50</v>
      </c>
      <c r="BS182" s="1329">
        <v>-25</v>
      </c>
      <c r="BT182" s="1330">
        <v>-25</v>
      </c>
      <c r="BU182" s="1331">
        <f>+SUM(BQ182:BT182)</f>
        <v>-100</v>
      </c>
      <c r="BV182" s="1332"/>
      <c r="BW182" s="1333"/>
      <c r="BX182" s="1333"/>
      <c r="BY182" s="1333"/>
      <c r="BZ182" s="1334">
        <v>0</v>
      </c>
      <c r="CA182" s="1332"/>
      <c r="CB182" s="1333"/>
      <c r="CC182" s="1333"/>
      <c r="CD182" s="1333"/>
      <c r="CE182" s="1334">
        <v>0</v>
      </c>
      <c r="CF182" s="1332"/>
      <c r="CG182" s="1333"/>
      <c r="CH182" s="1333"/>
      <c r="CI182" s="1333"/>
      <c r="CJ182" s="1335">
        <v>0</v>
      </c>
      <c r="CK182" s="913"/>
      <c r="CL182" s="914"/>
      <c r="CM182" s="1013" t="s">
        <v>412</v>
      </c>
      <c r="CN182" s="734"/>
      <c r="CO182" s="734"/>
      <c r="CP182" s="734"/>
      <c r="CQ182" s="734"/>
      <c r="CR182" s="734"/>
      <c r="CS182" s="661"/>
      <c r="CT182" s="734"/>
      <c r="CU182" s="734"/>
      <c r="CV182" s="734"/>
      <c r="CW182" s="537"/>
      <c r="CX182" s="538"/>
      <c r="CY182" s="538"/>
      <c r="CZ182"/>
      <c r="DA182"/>
      <c r="DB182"/>
      <c r="DC182"/>
      <c r="DD182"/>
    </row>
    <row r="183" spans="1:108" s="539" customFormat="1">
      <c r="A183" s="475" t="s">
        <v>404</v>
      </c>
      <c r="B183" s="1222"/>
      <c r="C183" s="1222"/>
      <c r="D183" s="1222"/>
      <c r="E183" s="1222"/>
      <c r="F183" s="1222"/>
      <c r="G183" s="1222"/>
      <c r="H183" s="194"/>
      <c r="I183" s="194"/>
      <c r="J183" s="194"/>
      <c r="K183" s="194"/>
      <c r="L183" s="1222"/>
      <c r="M183" s="194"/>
      <c r="N183" s="194"/>
      <c r="O183" s="194"/>
      <c r="P183" s="194"/>
      <c r="Q183" s="1222"/>
      <c r="R183" s="194"/>
      <c r="S183" s="194"/>
      <c r="T183" s="194"/>
      <c r="U183" s="194"/>
      <c r="V183" s="1222"/>
      <c r="W183" s="194"/>
      <c r="X183" s="194"/>
      <c r="Y183" s="194"/>
      <c r="Z183" s="194"/>
      <c r="AA183" s="1222"/>
      <c r="AB183" s="194"/>
      <c r="AC183" s="194"/>
      <c r="AD183" s="194"/>
      <c r="AE183" s="194"/>
      <c r="AF183" s="1222"/>
      <c r="AG183" s="194"/>
      <c r="AH183" s="194"/>
      <c r="AI183" s="194"/>
      <c r="AJ183" s="194"/>
      <c r="AK183" s="1222"/>
      <c r="AL183" s="194"/>
      <c r="AM183" s="194"/>
      <c r="AN183" s="194"/>
      <c r="AO183" s="194"/>
      <c r="AP183" s="1222"/>
      <c r="AQ183" s="194"/>
      <c r="AR183" s="194"/>
      <c r="AS183" s="194"/>
      <c r="AT183" s="194"/>
      <c r="AU183" s="1222"/>
      <c r="AV183" s="194"/>
      <c r="AW183" s="194"/>
      <c r="AX183" s="194"/>
      <c r="AY183" s="194"/>
      <c r="AZ183" s="1222"/>
      <c r="BA183" s="1222"/>
      <c r="BB183" s="194"/>
      <c r="BC183" s="194"/>
      <c r="BD183" s="194"/>
      <c r="BE183" s="194"/>
      <c r="BF183" s="1222"/>
      <c r="BG183" s="194"/>
      <c r="BH183" s="194"/>
      <c r="BI183" s="194"/>
      <c r="BJ183" s="194"/>
      <c r="BK183" s="1222"/>
      <c r="BL183" s="194"/>
      <c r="BM183" s="194"/>
      <c r="BN183" s="194"/>
      <c r="BO183" s="194"/>
      <c r="BP183" s="1222"/>
      <c r="BQ183" s="1041"/>
      <c r="BR183" s="1329">
        <f>-(9600*22.5%)/10/4</f>
        <v>-54</v>
      </c>
      <c r="BS183" s="1329">
        <f>-(9600*22.5%)/10/4</f>
        <v>-54</v>
      </c>
      <c r="BT183" s="1330">
        <f>-(9600*22.5%)/10/4</f>
        <v>-54</v>
      </c>
      <c r="BU183" s="1331">
        <f>+SUM(BQ183:BT183)</f>
        <v>-162</v>
      </c>
      <c r="BV183" s="1332"/>
      <c r="BW183" s="1333"/>
      <c r="BX183" s="1333"/>
      <c r="BY183" s="1333"/>
      <c r="BZ183" s="1334">
        <f>-(9600*22.5%)/10</f>
        <v>-216</v>
      </c>
      <c r="CA183" s="1332"/>
      <c r="CB183" s="1333"/>
      <c r="CC183" s="1333"/>
      <c r="CD183" s="1333"/>
      <c r="CE183" s="1334">
        <f>-(9600*22.5%)/10</f>
        <v>-216</v>
      </c>
      <c r="CF183" s="1332"/>
      <c r="CG183" s="1333"/>
      <c r="CH183" s="1333"/>
      <c r="CI183" s="1333"/>
      <c r="CJ183" s="1335">
        <f>-(9600*22.5%)/10</f>
        <v>-216</v>
      </c>
      <c r="CK183" s="913"/>
      <c r="CL183" s="914"/>
      <c r="CM183" s="1013" t="s">
        <v>413</v>
      </c>
      <c r="CN183" s="734"/>
      <c r="CO183" s="734"/>
      <c r="CP183" s="734"/>
      <c r="CQ183" s="734"/>
      <c r="CR183" s="734"/>
      <c r="CS183" s="661"/>
      <c r="CT183" s="734"/>
      <c r="CU183" s="734"/>
      <c r="CV183" s="734"/>
      <c r="CW183" s="537"/>
      <c r="CX183" s="538"/>
      <c r="CY183" s="538"/>
      <c r="CZ183"/>
      <c r="DA183"/>
      <c r="DB183"/>
      <c r="DC183"/>
      <c r="DD183"/>
    </row>
    <row r="184" spans="1:108" s="539" customFormat="1">
      <c r="A184" s="475" t="s">
        <v>415</v>
      </c>
      <c r="B184" s="1336"/>
      <c r="C184" s="1336"/>
      <c r="D184" s="1336"/>
      <c r="E184" s="1336"/>
      <c r="F184" s="1336"/>
      <c r="G184" s="1336"/>
      <c r="H184" s="1337"/>
      <c r="I184" s="1337"/>
      <c r="J184" s="1337"/>
      <c r="K184" s="1333"/>
      <c r="L184" s="1336"/>
      <c r="M184" s="1337"/>
      <c r="N184" s="1337"/>
      <c r="O184" s="1337"/>
      <c r="P184" s="1333"/>
      <c r="Q184" s="1336"/>
      <c r="R184" s="1337"/>
      <c r="S184" s="1337"/>
      <c r="T184" s="1337"/>
      <c r="U184" s="1333"/>
      <c r="V184" s="1336"/>
      <c r="W184" s="1337"/>
      <c r="X184" s="1337"/>
      <c r="Y184" s="1337"/>
      <c r="Z184" s="1333"/>
      <c r="AA184" s="1336"/>
      <c r="AB184" s="1337"/>
      <c r="AC184" s="1337"/>
      <c r="AD184" s="1337"/>
      <c r="AE184" s="1333"/>
      <c r="AF184" s="1336"/>
      <c r="AG184" s="1337"/>
      <c r="AH184" s="1337"/>
      <c r="AI184" s="1337"/>
      <c r="AJ184" s="1333"/>
      <c r="AK184" s="1336"/>
      <c r="AL184" s="1337"/>
      <c r="AM184" s="1337"/>
      <c r="AN184" s="1337"/>
      <c r="AO184" s="1333"/>
      <c r="AP184" s="1336"/>
      <c r="AQ184" s="1337"/>
      <c r="AR184" s="1337"/>
      <c r="AS184" s="1337"/>
      <c r="AT184" s="1333"/>
      <c r="AU184" s="1336"/>
      <c r="AV184" s="1337"/>
      <c r="AW184" s="1337"/>
      <c r="AX184" s="1337"/>
      <c r="AY184" s="1333"/>
      <c r="AZ184" s="1336"/>
      <c r="BA184" s="1336"/>
      <c r="BB184" s="1337"/>
      <c r="BC184" s="1337"/>
      <c r="BD184" s="1337"/>
      <c r="BE184" s="1333"/>
      <c r="BF184" s="1336"/>
      <c r="BG184" s="1337"/>
      <c r="BH184" s="1337"/>
      <c r="BI184" s="1337"/>
      <c r="BJ184" s="1333"/>
      <c r="BK184" s="1336"/>
      <c r="BL184" s="1337"/>
      <c r="BM184" s="1337"/>
      <c r="BN184" s="1337"/>
      <c r="BO184" s="1337"/>
      <c r="BP184" s="1336"/>
      <c r="BQ184" s="1332"/>
      <c r="BR184" s="1333">
        <f>BR80-BR180</f>
        <v>1188.375</v>
      </c>
      <c r="BS184" s="1333">
        <f>BS80-BS180</f>
        <v>1163.375</v>
      </c>
      <c r="BT184" s="1338">
        <f>BT80-BT180</f>
        <v>1163.375</v>
      </c>
      <c r="BU184" s="1331">
        <f>+SUM(BQ184:BT184)</f>
        <v>3515.125</v>
      </c>
      <c r="BV184" s="1332"/>
      <c r="BW184" s="1333"/>
      <c r="BX184" s="1333"/>
      <c r="BY184" s="1333"/>
      <c r="BZ184" s="1336">
        <f>BZ80-BZ180</f>
        <v>4668</v>
      </c>
      <c r="CA184" s="1332"/>
      <c r="CB184" s="1333"/>
      <c r="CC184" s="1333"/>
      <c r="CD184" s="1333"/>
      <c r="CE184" s="1336">
        <f>CE80-CE180</f>
        <v>4802.08</v>
      </c>
      <c r="CF184" s="1332"/>
      <c r="CG184" s="1333"/>
      <c r="CH184" s="1333"/>
      <c r="CI184" s="1333"/>
      <c r="CJ184" s="1336">
        <f>CJ80-CJ180</f>
        <v>4993.5232000000005</v>
      </c>
      <c r="CK184" s="913"/>
      <c r="CL184" s="914"/>
      <c r="CM184" s="1013"/>
      <c r="CN184" s="734"/>
      <c r="CO184" s="734"/>
      <c r="CP184" s="734"/>
      <c r="CQ184" s="734"/>
      <c r="CR184" s="734"/>
      <c r="CS184" s="661"/>
      <c r="CT184" s="734"/>
      <c r="CU184" s="734"/>
      <c r="CV184" s="734"/>
      <c r="CW184" s="537"/>
      <c r="CX184" s="538"/>
      <c r="CY184" s="538"/>
      <c r="CZ184"/>
      <c r="DA184"/>
      <c r="DB184"/>
      <c r="DC184"/>
      <c r="DD184"/>
    </row>
    <row r="185" spans="1:108" s="40" customFormat="1">
      <c r="A185" s="28" t="s">
        <v>21</v>
      </c>
      <c r="B185" s="29"/>
      <c r="C185" s="29"/>
      <c r="D185" s="29"/>
      <c r="E185" s="29"/>
      <c r="F185" s="29"/>
      <c r="G185" s="29"/>
      <c r="H185" s="30"/>
      <c r="I185" s="30"/>
      <c r="J185" s="30"/>
      <c r="K185" s="30"/>
      <c r="L185" s="29"/>
      <c r="M185" s="30"/>
      <c r="N185" s="30"/>
      <c r="O185" s="30"/>
      <c r="P185" s="30"/>
      <c r="Q185" s="29"/>
      <c r="R185" s="30"/>
      <c r="S185" s="30"/>
      <c r="T185" s="30"/>
      <c r="U185" s="30"/>
      <c r="V185" s="29"/>
      <c r="W185" s="30"/>
      <c r="X185" s="30"/>
      <c r="Y185" s="30"/>
      <c r="Z185" s="30"/>
      <c r="AA185" s="29"/>
      <c r="AB185" s="30"/>
      <c r="AC185" s="30"/>
      <c r="AD185" s="30"/>
      <c r="AE185" s="30"/>
      <c r="AF185" s="29"/>
      <c r="AG185" s="30"/>
      <c r="AH185" s="30"/>
      <c r="AI185" s="30"/>
      <c r="AJ185" s="30"/>
      <c r="AK185" s="29"/>
      <c r="AL185" s="30"/>
      <c r="AM185" s="30"/>
      <c r="AN185" s="30"/>
      <c r="AO185" s="30"/>
      <c r="AP185" s="29"/>
      <c r="AQ185" s="30"/>
      <c r="AR185" s="30"/>
      <c r="AS185" s="30"/>
      <c r="AT185" s="30"/>
      <c r="AU185" s="29"/>
      <c r="AV185" s="30"/>
      <c r="AW185" s="30"/>
      <c r="AX185" s="30"/>
      <c r="AY185" s="30"/>
      <c r="AZ185" s="29"/>
      <c r="BA185" s="29"/>
      <c r="BB185" s="30"/>
      <c r="BC185" s="30"/>
      <c r="BD185" s="30"/>
      <c r="BE185" s="30"/>
      <c r="BF185" s="29"/>
      <c r="BG185" s="30"/>
      <c r="BH185" s="30"/>
      <c r="BI185" s="30"/>
      <c r="BJ185" s="30"/>
      <c r="BK185" s="29"/>
      <c r="BL185" s="194"/>
      <c r="BM185" s="194"/>
      <c r="BN185" s="194"/>
      <c r="BO185" s="194"/>
      <c r="BP185" s="29"/>
      <c r="BQ185" s="31"/>
      <c r="BR185" s="30"/>
      <c r="BS185" s="30"/>
      <c r="BT185" s="1106"/>
      <c r="BU185" s="29"/>
      <c r="BV185" s="31"/>
      <c r="BW185" s="30"/>
      <c r="BX185" s="30"/>
      <c r="BY185" s="30"/>
      <c r="BZ185" s="29"/>
      <c r="CA185" s="31"/>
      <c r="CB185" s="30"/>
      <c r="CC185" s="30"/>
      <c r="CD185" s="30"/>
      <c r="CE185" s="29">
        <f>CE184/BZ184-1</f>
        <v>2.8723221936589605E-2</v>
      </c>
      <c r="CF185" s="31"/>
      <c r="CG185" s="30"/>
      <c r="CH185" s="30"/>
      <c r="CI185" s="30"/>
      <c r="CJ185" s="29">
        <f>CJ184/CE184-1</f>
        <v>3.9866724419418409E-2</v>
      </c>
      <c r="CK185" s="39"/>
      <c r="CL185" s="7"/>
      <c r="CM185" s="1013"/>
      <c r="CN185" s="734"/>
      <c r="CO185" s="734"/>
      <c r="CP185" s="734"/>
      <c r="CQ185" s="734"/>
      <c r="CR185" s="734"/>
      <c r="CS185" s="661"/>
      <c r="CT185" s="734"/>
      <c r="CU185" s="734"/>
      <c r="CV185" s="734"/>
      <c r="CW185" s="75"/>
      <c r="CX185" s="38"/>
      <c r="CY185" s="38"/>
      <c r="CZ185"/>
      <c r="DA185"/>
      <c r="DB185"/>
      <c r="DC185"/>
      <c r="DD185"/>
    </row>
    <row r="186" spans="1:108" s="115" customFormat="1">
      <c r="A186" s="106" t="s">
        <v>32</v>
      </c>
      <c r="B186" s="107">
        <f t="shared" ref="B186:AB186" si="422">B189/B92</f>
        <v>8.58250276854928E-2</v>
      </c>
      <c r="C186" s="107">
        <f t="shared" si="422"/>
        <v>7.8630136986301363E-2</v>
      </c>
      <c r="D186" s="107">
        <f t="shared" si="422"/>
        <v>5.0573636150784362E-2</v>
      </c>
      <c r="E186" s="107">
        <f t="shared" si="422"/>
        <v>6.1785865425306813E-2</v>
      </c>
      <c r="F186" s="107">
        <f t="shared" si="422"/>
        <v>5.3035143769968054E-2</v>
      </c>
      <c r="G186" s="107">
        <f t="shared" si="422"/>
        <v>7.5910931174089064E-2</v>
      </c>
      <c r="H186" s="108">
        <f t="shared" si="422"/>
        <v>7.7963404932378674E-2</v>
      </c>
      <c r="I186" s="108">
        <f t="shared" si="422"/>
        <v>8.8050314465408799E-2</v>
      </c>
      <c r="J186" s="108">
        <f t="shared" si="422"/>
        <v>8.8282504012841087E-2</v>
      </c>
      <c r="K186" s="108">
        <f t="shared" si="422"/>
        <v>8.2922824302134643E-2</v>
      </c>
      <c r="L186" s="107">
        <f t="shared" si="422"/>
        <v>8.431804526336871E-2</v>
      </c>
      <c r="M186" s="108">
        <f t="shared" si="422"/>
        <v>8.8534107402031936E-2</v>
      </c>
      <c r="N186" s="108">
        <f t="shared" si="422"/>
        <v>9.1104734576757537E-2</v>
      </c>
      <c r="O186" s="108">
        <f t="shared" si="422"/>
        <v>9.9715099715099717E-2</v>
      </c>
      <c r="P186" s="108">
        <f t="shared" si="422"/>
        <v>9.5652173913043481E-2</v>
      </c>
      <c r="Q186" s="107">
        <f t="shared" si="422"/>
        <v>9.3772498200143994E-2</v>
      </c>
      <c r="R186" s="108">
        <f t="shared" si="422"/>
        <v>9.7663271420011979E-2</v>
      </c>
      <c r="S186" s="108">
        <f t="shared" si="422"/>
        <v>0.10338461538461538</v>
      </c>
      <c r="T186" s="108">
        <f t="shared" si="422"/>
        <v>0.10210803689064558</v>
      </c>
      <c r="U186" s="108">
        <f t="shared" si="422"/>
        <v>0.10058027079303675</v>
      </c>
      <c r="V186" s="107">
        <f t="shared" si="422"/>
        <v>0.10089580386610089</v>
      </c>
      <c r="W186" s="108">
        <f t="shared" si="422"/>
        <v>9.823062843197071E-2</v>
      </c>
      <c r="X186" s="108">
        <f t="shared" si="422"/>
        <v>0.10201588271227856</v>
      </c>
      <c r="Y186" s="108">
        <f t="shared" si="422"/>
        <v>9.9411764705882352E-2</v>
      </c>
      <c r="Z186" s="108">
        <f t="shared" si="422"/>
        <v>0.10405643738977072</v>
      </c>
      <c r="AA186" s="107">
        <f t="shared" si="422"/>
        <v>0.10094353751684888</v>
      </c>
      <c r="AB186" s="108">
        <f t="shared" si="422"/>
        <v>9.9642004773269691E-2</v>
      </c>
      <c r="AC186" s="108">
        <f>+AC189/AC92</f>
        <v>0.10215736040609137</v>
      </c>
      <c r="AD186" s="108">
        <f>+AD189/AD92</f>
        <v>0.1067242442936459</v>
      </c>
      <c r="AE186" s="108">
        <f>AE189/AE92</f>
        <v>0.1080773606370876</v>
      </c>
      <c r="AF186" s="107">
        <f>AF189/AF92</f>
        <v>0.10420751017946012</v>
      </c>
      <c r="AG186" s="108">
        <f>AG189/AG92</f>
        <v>0.11526479750778816</v>
      </c>
      <c r="AH186" s="108">
        <f>+AH189/AH92</f>
        <v>0.11070780399274047</v>
      </c>
      <c r="AI186" s="108">
        <f>+AI189/AI92</f>
        <v>0.11137724550898204</v>
      </c>
      <c r="AJ186" s="108">
        <f>AJ189/AJ92</f>
        <v>0.11778846153846154</v>
      </c>
      <c r="AK186" s="107">
        <f>AK189/AK92</f>
        <v>0.1137742718446602</v>
      </c>
      <c r="AL186" s="108">
        <f>+AL189/AL92</f>
        <v>9.7785977859778592E-2</v>
      </c>
      <c r="AM186" s="108">
        <f>+AM189/AM92</f>
        <v>0.10119386014781126</v>
      </c>
      <c r="AN186" s="108">
        <f>+AN189/AN92</f>
        <v>0.10017678255745432</v>
      </c>
      <c r="AO186" s="108">
        <f>+AO189/AO92</f>
        <v>9.7546012269938656E-2</v>
      </c>
      <c r="AP186" s="107">
        <f>AP189/AP92</f>
        <v>9.9225268176400483E-2</v>
      </c>
      <c r="AQ186" s="108">
        <f>+AQ189/AQ92</f>
        <v>0.10368519675202999</v>
      </c>
      <c r="AR186" s="108">
        <f>+AR189/AR92</f>
        <v>9.4003241491085895E-2</v>
      </c>
      <c r="AS186" s="108">
        <f>+AS189/AS92</f>
        <v>9.3406593406593408E-2</v>
      </c>
      <c r="AT186" s="108">
        <f>+AT189/AT92</f>
        <v>9.4607843137254899E-2</v>
      </c>
      <c r="AU186" s="107">
        <f>AU189/AU92</f>
        <v>9.6143326039387314E-2</v>
      </c>
      <c r="AV186" s="108">
        <f>+AV189/AV92</f>
        <v>9.6757591353576949E-2</v>
      </c>
      <c r="AW186" s="108">
        <f>+AW189/AW92</f>
        <v>9.3453273363318337E-2</v>
      </c>
      <c r="AX186" s="108">
        <f>+AX189/AX92</f>
        <v>8.6727359846669863E-2</v>
      </c>
      <c r="AY186" s="108">
        <f>+AY189/AY92</f>
        <v>8.6781029263370335E-2</v>
      </c>
      <c r="AZ186" s="107">
        <f>AZ189/AZ92</f>
        <v>9.0852364907026084E-2</v>
      </c>
      <c r="BA186" s="107">
        <f>BA189/BA92</f>
        <v>9.3127490039840638E-2</v>
      </c>
      <c r="BB186" s="108">
        <f>+BB189/BB92</f>
        <v>9.0098545283904277E-2</v>
      </c>
      <c r="BC186" s="108">
        <f>+BC189/BC92</f>
        <v>9.1092098641167588E-2</v>
      </c>
      <c r="BD186" s="108">
        <f>+BD189/BD92</f>
        <v>8.1253059226627511E-2</v>
      </c>
      <c r="BE186" s="108">
        <f>+BE189/BE92</f>
        <v>9.1131798138167561E-2</v>
      </c>
      <c r="BF186" s="107">
        <f>BF189/BF92</f>
        <v>8.8393074859790297E-2</v>
      </c>
      <c r="BG186" s="108">
        <f>+BG189/BG92</f>
        <v>8.6710650329877473E-2</v>
      </c>
      <c r="BH186" s="108">
        <f>+BH189/BH92</f>
        <v>8.6956521739130432E-2</v>
      </c>
      <c r="BI186" s="108">
        <f>+BI189/BI92</f>
        <v>9.4939759036144572E-2</v>
      </c>
      <c r="BJ186" s="108">
        <f>+BJ189/BJ92</f>
        <v>2.2140221402214021E-2</v>
      </c>
      <c r="BK186" s="107">
        <f>BK189/BK92</f>
        <v>7.3711595639246785E-2</v>
      </c>
      <c r="BL186" s="108">
        <f>+BL189/BL92</f>
        <v>8.3247156153050672E-2</v>
      </c>
      <c r="BM186" s="108">
        <f>+BM189/BM92</f>
        <v>8.5618085618085621E-2</v>
      </c>
      <c r="BN186" s="108">
        <f>+BN189/BN92</f>
        <v>9.2698083894355257E-2</v>
      </c>
      <c r="BO186" s="108">
        <f>+BO189/BO92</f>
        <v>8.1067961165048538E-2</v>
      </c>
      <c r="BP186" s="107">
        <f>BP189/BP92</f>
        <v>8.5582208895552223E-2</v>
      </c>
      <c r="BQ186" s="207">
        <v>8.6999999999999994E-2</v>
      </c>
      <c r="BR186" s="208">
        <v>8.6999999999999994E-2</v>
      </c>
      <c r="BS186" s="208">
        <v>8.6999999999999994E-2</v>
      </c>
      <c r="BT186" s="1124">
        <v>8.6999999999999994E-2</v>
      </c>
      <c r="BU186" s="1053">
        <f>BU189/BU92</f>
        <v>8.7000000000000008E-2</v>
      </c>
      <c r="BV186" s="207"/>
      <c r="BW186" s="208"/>
      <c r="BX186" s="208"/>
      <c r="BY186" s="208"/>
      <c r="BZ186" s="206">
        <v>0.09</v>
      </c>
      <c r="CA186" s="207"/>
      <c r="CB186" s="208"/>
      <c r="CC186" s="208"/>
      <c r="CD186" s="208"/>
      <c r="CE186" s="206">
        <v>0.09</v>
      </c>
      <c r="CF186" s="207"/>
      <c r="CG186" s="208"/>
      <c r="CH186" s="208"/>
      <c r="CI186" s="208"/>
      <c r="CJ186" s="206">
        <v>0.09</v>
      </c>
      <c r="CK186" s="114"/>
      <c r="CL186" s="231"/>
      <c r="CM186" s="661" t="s">
        <v>380</v>
      </c>
      <c r="CN186" s="661"/>
      <c r="CO186" s="661"/>
      <c r="CP186" s="661"/>
      <c r="CQ186" s="661"/>
      <c r="CR186" s="661"/>
      <c r="CS186" s="661" t="s">
        <v>391</v>
      </c>
      <c r="CT186" s="661"/>
      <c r="CU186" s="1229" t="s">
        <v>104</v>
      </c>
      <c r="CV186" s="1230">
        <f>+(CJ189/BP189)^(1/4)-1</f>
        <v>7.1780440531022283E-2</v>
      </c>
      <c r="CW186" s="231"/>
      <c r="CX186" s="114"/>
      <c r="CY186" s="114"/>
      <c r="CZ186"/>
      <c r="DA186"/>
      <c r="DB186"/>
      <c r="DC186"/>
      <c r="DD186"/>
    </row>
    <row r="187" spans="1:108" s="198" customFormat="1">
      <c r="A187" s="116" t="s">
        <v>24</v>
      </c>
      <c r="B187" s="193"/>
      <c r="C187" s="199">
        <f>(C186-B186)*100</f>
        <v>-0.71948906991914363</v>
      </c>
      <c r="D187" s="199">
        <f>(D186-C186)*100</f>
        <v>-2.8056500835517002</v>
      </c>
      <c r="E187" s="199">
        <f>(E186-D186)*100</f>
        <v>1.1212229274522452</v>
      </c>
      <c r="F187" s="199">
        <f>(F186-E186)*100</f>
        <v>-0.87507216553387579</v>
      </c>
      <c r="G187" s="199">
        <f>(G186-F186)*100</f>
        <v>2.2875787404121009</v>
      </c>
      <c r="H187" s="194"/>
      <c r="I187" s="194"/>
      <c r="J187" s="194"/>
      <c r="K187" s="194"/>
      <c r="L187" s="199">
        <f t="shared" ref="L187:AR187" si="423">(L186-G186)*100</f>
        <v>0.84071140892796459</v>
      </c>
      <c r="M187" s="200">
        <f t="shared" si="423"/>
        <v>1.0570702469653261</v>
      </c>
      <c r="N187" s="200">
        <f t="shared" si="423"/>
        <v>0.30544201113487379</v>
      </c>
      <c r="O187" s="200">
        <f t="shared" si="423"/>
        <v>1.143259570225863</v>
      </c>
      <c r="P187" s="200">
        <f t="shared" si="423"/>
        <v>1.2729349610908838</v>
      </c>
      <c r="Q187" s="199">
        <f t="shared" si="423"/>
        <v>0.94544529367752839</v>
      </c>
      <c r="R187" s="200">
        <f t="shared" si="423"/>
        <v>0.91291640179800426</v>
      </c>
      <c r="S187" s="200">
        <f t="shared" si="423"/>
        <v>1.2279880807857844</v>
      </c>
      <c r="T187" s="200">
        <f t="shared" si="423"/>
        <v>0.23929371755458673</v>
      </c>
      <c r="U187" s="200">
        <f t="shared" si="423"/>
        <v>0.49280968799932656</v>
      </c>
      <c r="V187" s="199">
        <f t="shared" si="423"/>
        <v>0.71233056659568972</v>
      </c>
      <c r="W187" s="200">
        <f t="shared" si="423"/>
        <v>5.6735701195873012E-2</v>
      </c>
      <c r="X187" s="200">
        <f t="shared" si="423"/>
        <v>-0.13687326723368226</v>
      </c>
      <c r="Y187" s="200">
        <f t="shared" si="423"/>
        <v>-0.2696272184763232</v>
      </c>
      <c r="Z187" s="200">
        <f t="shared" si="423"/>
        <v>0.34761665967339705</v>
      </c>
      <c r="AA187" s="199">
        <f t="shared" si="423"/>
        <v>4.7733650747991407E-3</v>
      </c>
      <c r="AB187" s="200">
        <f t="shared" si="423"/>
        <v>0.1411376341298981</v>
      </c>
      <c r="AC187" s="200">
        <f t="shared" si="423"/>
        <v>1.4147769381281372E-2</v>
      </c>
      <c r="AD187" s="200">
        <f t="shared" si="423"/>
        <v>0.73124795877635429</v>
      </c>
      <c r="AE187" s="200">
        <f t="shared" si="423"/>
        <v>0.40209232473168849</v>
      </c>
      <c r="AF187" s="199">
        <f t="shared" si="423"/>
        <v>0.32639726626112336</v>
      </c>
      <c r="AG187" s="200">
        <f t="shared" si="423"/>
        <v>1.5622792734518471</v>
      </c>
      <c r="AH187" s="200">
        <f t="shared" si="423"/>
        <v>0.85504435866490947</v>
      </c>
      <c r="AI187" s="200">
        <f t="shared" si="423"/>
        <v>0.46530012153361416</v>
      </c>
      <c r="AJ187" s="200">
        <f t="shared" si="423"/>
        <v>0.97111009013739347</v>
      </c>
      <c r="AK187" s="199">
        <f t="shared" si="423"/>
        <v>0.95667616652000831</v>
      </c>
      <c r="AL187" s="200">
        <f t="shared" si="423"/>
        <v>-1.7478819648009569</v>
      </c>
      <c r="AM187" s="200">
        <f t="shared" si="423"/>
        <v>-0.95139438449292069</v>
      </c>
      <c r="AN187" s="200">
        <f>(AN186-AI186)*100</f>
        <v>-1.1200462951527712</v>
      </c>
      <c r="AO187" s="200">
        <f t="shared" si="423"/>
        <v>-2.0242449268522882</v>
      </c>
      <c r="AP187" s="199">
        <f t="shared" si="423"/>
        <v>-1.4549003668259717</v>
      </c>
      <c r="AQ187" s="200">
        <f t="shared" si="423"/>
        <v>0.58992188922513955</v>
      </c>
      <c r="AR187" s="200">
        <f t="shared" si="423"/>
        <v>-0.71906186567253649</v>
      </c>
      <c r="AS187" s="200">
        <f t="shared" ref="AS187:AX187" si="424">(AS186-AN186)*100</f>
        <v>-0.67701891508609169</v>
      </c>
      <c r="AT187" s="200">
        <f t="shared" si="424"/>
        <v>-0.29381691326837572</v>
      </c>
      <c r="AU187" s="199">
        <f t="shared" si="424"/>
        <v>-0.30819421370131689</v>
      </c>
      <c r="AV187" s="200">
        <f t="shared" si="424"/>
        <v>-0.69276053984530384</v>
      </c>
      <c r="AW187" s="200">
        <f t="shared" si="424"/>
        <v>-5.4996812776755832E-2</v>
      </c>
      <c r="AX187" s="200">
        <f t="shared" si="424"/>
        <v>-0.66792335599235453</v>
      </c>
      <c r="AY187" s="200">
        <f t="shared" ref="AY187:AZ187" si="425">(AY186-AT186)*100</f>
        <v>-0.78268138738845638</v>
      </c>
      <c r="AZ187" s="199">
        <f t="shared" si="425"/>
        <v>-0.52909611323612293</v>
      </c>
      <c r="BA187" s="199"/>
      <c r="BB187" s="200">
        <f>(BB186-AV186)*100</f>
        <v>-0.66590460696726717</v>
      </c>
      <c r="BC187" s="200">
        <f>(BC186-AW186)*100</f>
        <v>-0.23611747221507495</v>
      </c>
      <c r="BD187" s="200">
        <f>(BD186-AX186)*100</f>
        <v>-0.54743006200423516</v>
      </c>
      <c r="BE187" s="200">
        <f>(BE186-AY186)*100</f>
        <v>0.43507688747972256</v>
      </c>
      <c r="BF187" s="199">
        <f>(BF186-AZ186)*100</f>
        <v>-0.24592900472357876</v>
      </c>
      <c r="BG187" s="200"/>
      <c r="BH187" s="200"/>
      <c r="BI187" s="200"/>
      <c r="BJ187" s="200"/>
      <c r="BK187" s="199">
        <f>(BK186-BA186)*100</f>
        <v>-1.9415894400593854</v>
      </c>
      <c r="BL187" s="200">
        <f>IFERROR((BL186-BG186)*100,"")</f>
        <v>-0.34634941768268007</v>
      </c>
      <c r="BM187" s="200">
        <f>IF(BH186=0,"",(BM186-BH186)*100)</f>
        <v>-0.13384361210448115</v>
      </c>
      <c r="BN187" s="200">
        <f>(BN186-BI186)*100</f>
        <v>-0.22416751417893149</v>
      </c>
      <c r="BO187" s="200">
        <f>(BO186-BJ186)*100</f>
        <v>5.8927739762834515</v>
      </c>
      <c r="BP187" s="199">
        <f>(BP186-BK186)*100</f>
        <v>1.1870613256305438</v>
      </c>
      <c r="BQ187" s="223">
        <f t="shared" ref="BQ187" si="426">IF(BL186=0,"",(BQ186-BL186)*100)</f>
        <v>0.37528438469493219</v>
      </c>
      <c r="BR187" s="200">
        <f t="shared" ref="BR187" si="427">IF(BM186=0,"",(BR186-BM186)*100)</f>
        <v>0.13819143819143731</v>
      </c>
      <c r="BS187" s="200">
        <f t="shared" ref="BS187" si="428">IF(BN186=0,"",(BS186-BN186)*100)</f>
        <v>-0.56980838943552636</v>
      </c>
      <c r="BT187" s="541">
        <f t="shared" ref="BT187" si="429">IF(BO186=0,"",(BT186-BO186)*100)</f>
        <v>0.59320388349514563</v>
      </c>
      <c r="BU187" s="1054">
        <f>(BU186-BP186)*100</f>
        <v>0.14177911044477853</v>
      </c>
      <c r="BV187" s="195"/>
      <c r="BW187" s="194"/>
      <c r="BX187" s="194"/>
      <c r="BY187" s="194"/>
      <c r="BZ187" s="199">
        <f>(BZ186-BU186)*100</f>
        <v>0.29999999999999888</v>
      </c>
      <c r="CA187" s="195"/>
      <c r="CB187" s="194"/>
      <c r="CC187" s="194"/>
      <c r="CD187" s="194"/>
      <c r="CE187" s="199">
        <f>(CE186-BZ186)*100</f>
        <v>0</v>
      </c>
      <c r="CF187" s="195"/>
      <c r="CG187" s="194"/>
      <c r="CH187" s="194"/>
      <c r="CI187" s="194"/>
      <c r="CJ187" s="199">
        <f>(CJ186-CE186)*100</f>
        <v>0</v>
      </c>
      <c r="CK187" s="197"/>
      <c r="CL187" s="229"/>
      <c r="CM187" s="733"/>
      <c r="CN187" s="661"/>
      <c r="CO187" s="661"/>
      <c r="CP187" s="661"/>
      <c r="CQ187" s="661"/>
      <c r="CR187" s="661"/>
      <c r="CS187" s="661"/>
      <c r="CT187" s="661"/>
      <c r="CU187" s="1012"/>
      <c r="CV187" s="1012"/>
      <c r="CW187" s="229"/>
      <c r="CX187" s="197"/>
      <c r="CY187" s="197"/>
      <c r="CZ187"/>
      <c r="DA187"/>
      <c r="DB187"/>
      <c r="DC187"/>
      <c r="DD187"/>
    </row>
    <row r="188" spans="1:108" s="205" customFormat="1">
      <c r="A188" s="117" t="s">
        <v>25</v>
      </c>
      <c r="B188" s="201"/>
      <c r="C188" s="201">
        <f>(C189-B189)/(C92-B92)</f>
        <v>-0.60526315789473684</v>
      </c>
      <c r="D188" s="201">
        <f>(D189-C189)/(D92-C92)</f>
        <v>-0.1143317230273752</v>
      </c>
      <c r="E188" s="201">
        <f>(E189-D189)/(E92-D92)</f>
        <v>0.16703296703296702</v>
      </c>
      <c r="F188" s="201">
        <f>(F189-E189)/(F92-E92)</f>
        <v>1.3870967741935485</v>
      </c>
      <c r="G188" s="201">
        <f>(G189-F189)/(G92-F92)</f>
        <v>0.51428571428571423</v>
      </c>
      <c r="H188" s="202"/>
      <c r="I188" s="202"/>
      <c r="J188" s="202"/>
      <c r="K188" s="202"/>
      <c r="L188" s="201">
        <f t="shared" ref="L188:AZ188" si="430">(L189-G189)/(L92-G92)</f>
        <v>0.86792452830188682</v>
      </c>
      <c r="M188" s="202">
        <f t="shared" si="430"/>
        <v>0.19834710743801653</v>
      </c>
      <c r="N188" s="202">
        <f t="shared" si="430"/>
        <v>0.12295081967213115</v>
      </c>
      <c r="O188" s="202">
        <f t="shared" si="430"/>
        <v>0.189873417721519</v>
      </c>
      <c r="P188" s="202">
        <f t="shared" si="430"/>
        <v>0.19135802469135801</v>
      </c>
      <c r="Q188" s="201">
        <f t="shared" si="430"/>
        <v>0.17761989342806395</v>
      </c>
      <c r="R188" s="202">
        <f t="shared" si="430"/>
        <v>0.14089347079037801</v>
      </c>
      <c r="S188" s="202">
        <f t="shared" si="430"/>
        <v>0.1774891774891775</v>
      </c>
      <c r="T188" s="202">
        <f t="shared" si="430"/>
        <v>0.13157894736842105</v>
      </c>
      <c r="U188" s="202">
        <f t="shared" si="430"/>
        <v>0.14035087719298245</v>
      </c>
      <c r="V188" s="201">
        <f t="shared" si="430"/>
        <v>0.14993804213135067</v>
      </c>
      <c r="W188" s="202">
        <f t="shared" si="430"/>
        <v>6.6666666666666666E-2</v>
      </c>
      <c r="X188" s="202">
        <f t="shared" si="430"/>
        <v>-8.3333333333333329E-2</v>
      </c>
      <c r="Y188" s="202">
        <f t="shared" si="430"/>
        <v>7.6923076923076927E-2</v>
      </c>
      <c r="Z188" s="202">
        <f t="shared" si="430"/>
        <v>0.14000000000000001</v>
      </c>
      <c r="AA188" s="201">
        <f t="shared" si="430"/>
        <v>0.10191082802547771</v>
      </c>
      <c r="AB188" s="202">
        <f t="shared" si="430"/>
        <v>0.16216216216216217</v>
      </c>
      <c r="AC188" s="202">
        <f t="shared" si="430"/>
        <v>9.8360655737704916E-2</v>
      </c>
      <c r="AD188" s="202">
        <f t="shared" si="430"/>
        <v>-5.0632911392405063E-2</v>
      </c>
      <c r="AE188" s="202">
        <f t="shared" si="430"/>
        <v>0.22807017543859648</v>
      </c>
      <c r="AF188" s="201">
        <f t="shared" si="430"/>
        <v>-0.36956521739130432</v>
      </c>
      <c r="AG188" s="202">
        <f t="shared" si="430"/>
        <v>-0.25352112676056338</v>
      </c>
      <c r="AH188" s="202">
        <f t="shared" si="430"/>
        <v>0.2857142857142857</v>
      </c>
      <c r="AI188" s="202">
        <f t="shared" si="430"/>
        <v>0.26530612244897961</v>
      </c>
      <c r="AJ188" s="202">
        <f t="shared" si="430"/>
        <v>-6.3829787234042548E-2</v>
      </c>
      <c r="AK188" s="201">
        <f t="shared" si="430"/>
        <v>-1.5128205128205128</v>
      </c>
      <c r="AL188" s="202">
        <f t="shared" si="430"/>
        <v>-1.2380952380952381</v>
      </c>
      <c r="AM188" s="202">
        <f t="shared" si="430"/>
        <v>-4.716981132075472E-2</v>
      </c>
      <c r="AN188" s="202">
        <f t="shared" si="430"/>
        <v>-0.59259259259259256</v>
      </c>
      <c r="AO188" s="202">
        <f t="shared" si="430"/>
        <v>1.088235294117647</v>
      </c>
      <c r="AP188" s="201">
        <f t="shared" si="430"/>
        <v>-0.7</v>
      </c>
      <c r="AQ188" s="202">
        <f t="shared" si="430"/>
        <v>-0.28000000000000003</v>
      </c>
      <c r="AR188" s="202">
        <f t="shared" si="430"/>
        <v>-4.3478260869565216E-2</v>
      </c>
      <c r="AS188" s="202">
        <f t="shared" si="430"/>
        <v>0</v>
      </c>
      <c r="AT188" s="202">
        <f t="shared" si="430"/>
        <v>8.2926829268292687E-2</v>
      </c>
      <c r="AU188" s="201">
        <f t="shared" si="430"/>
        <v>6.1666666666666668E-2</v>
      </c>
      <c r="AV188" s="202">
        <f t="shared" si="430"/>
        <v>6.4327485380116955E-2</v>
      </c>
      <c r="AW188" s="202">
        <f t="shared" si="430"/>
        <v>8.666666666666667E-2</v>
      </c>
      <c r="AX188" s="202">
        <f t="shared" si="430"/>
        <v>4.1198501872659173E-2</v>
      </c>
      <c r="AY188" s="202">
        <f t="shared" si="430"/>
        <v>0.36206896551724138</v>
      </c>
      <c r="AZ188" s="201">
        <f t="shared" si="430"/>
        <v>3.566333808844508E-2</v>
      </c>
      <c r="BA188" s="201"/>
      <c r="BB188" s="202">
        <f>(BB189-AV189)/(BB92-AV92)</f>
        <v>2.1276595744680851E-2</v>
      </c>
      <c r="BC188" s="202">
        <f>(BC189-AW189)/(BC92-AW92)</f>
        <v>0.42857142857142855</v>
      </c>
      <c r="BD188" s="202">
        <f>(BD189-AX189)/(BD92-AX92)</f>
        <v>0.34090909090909088</v>
      </c>
      <c r="BE188" s="202">
        <f>(BE189-AY189)/(BE92-AY92)</f>
        <v>0.23728813559322035</v>
      </c>
      <c r="BF188" s="201">
        <f>(BF189-AZ189)/(BF92-AZ92)</f>
        <v>-1.5873015873015872E-2</v>
      </c>
      <c r="BG188" s="202"/>
      <c r="BH188" s="202"/>
      <c r="BI188" s="202"/>
      <c r="BJ188" s="202"/>
      <c r="BK188" s="201">
        <f t="shared" ref="BK188" si="431">(BK189-BA189)/(BK92-BA92)</f>
        <v>-3.8250000000000002</v>
      </c>
      <c r="BL188" s="202">
        <f t="shared" ref="BL188:BU188" si="432">(BL189-BG189)/(BL92-BG92)</f>
        <v>0.12234042553191489</v>
      </c>
      <c r="BM188" s="202">
        <f t="shared" si="432"/>
        <v>5.9405940594059403E-2</v>
      </c>
      <c r="BN188" s="202">
        <f t="shared" si="432"/>
        <v>0.125</v>
      </c>
      <c r="BO188" s="202">
        <f t="shared" si="432"/>
        <v>0.76687116564417179</v>
      </c>
      <c r="BP188" s="201">
        <f t="shared" si="432"/>
        <v>-1.3235294117647058</v>
      </c>
      <c r="BQ188" s="203">
        <f t="shared" si="432"/>
        <v>0.15782357533177191</v>
      </c>
      <c r="BR188" s="202">
        <f t="shared" si="432"/>
        <v>0.11288521488422365</v>
      </c>
      <c r="BS188" s="202">
        <f t="shared" si="432"/>
        <v>-1.9340001932927207E-2</v>
      </c>
      <c r="BT188" s="1125">
        <f t="shared" si="432"/>
        <v>0.19658658416285493</v>
      </c>
      <c r="BU188" s="1055">
        <f t="shared" si="432"/>
        <v>0.11348617108180661</v>
      </c>
      <c r="BV188" s="203"/>
      <c r="BW188" s="202"/>
      <c r="BX188" s="202"/>
      <c r="BY188" s="202"/>
      <c r="BZ188" s="201">
        <f>(BZ189-BU189)/(BZ92-BU92)</f>
        <v>0.13999999999999976</v>
      </c>
      <c r="CA188" s="203"/>
      <c r="CB188" s="202"/>
      <c r="CC188" s="202"/>
      <c r="CD188" s="202"/>
      <c r="CE188" s="201">
        <f>(CE189-BZ189)/(CE92-BZ92)</f>
        <v>9.0000000000000135E-2</v>
      </c>
      <c r="CF188" s="203"/>
      <c r="CG188" s="202"/>
      <c r="CH188" s="202"/>
      <c r="CI188" s="202"/>
      <c r="CJ188" s="201">
        <f>(CJ189-CE189)/(CJ92-CE92)</f>
        <v>8.9999999999999969E-2</v>
      </c>
      <c r="CK188" s="204"/>
      <c r="CL188" s="239"/>
      <c r="CM188" s="733"/>
      <c r="CN188" s="661"/>
      <c r="CO188" s="661"/>
      <c r="CP188" s="733"/>
      <c r="CQ188" s="1012"/>
      <c r="CR188" s="1012"/>
      <c r="CS188" s="1012"/>
      <c r="CT188" s="1012"/>
      <c r="CU188" s="1012"/>
      <c r="CV188" s="1012"/>
      <c r="CW188" s="239"/>
      <c r="CX188" s="204"/>
      <c r="CY188" s="204"/>
      <c r="CZ188"/>
      <c r="DA188"/>
      <c r="DB188"/>
      <c r="DC188"/>
      <c r="DD188"/>
    </row>
    <row r="189" spans="1:108" s="123" customFormat="1">
      <c r="A189" s="118" t="s">
        <v>33</v>
      </c>
      <c r="B189" s="119">
        <v>310</v>
      </c>
      <c r="C189" s="119">
        <v>287</v>
      </c>
      <c r="D189" s="119">
        <v>216</v>
      </c>
      <c r="E189" s="119">
        <v>292</v>
      </c>
      <c r="F189" s="119">
        <v>249</v>
      </c>
      <c r="G189" s="119">
        <v>375</v>
      </c>
      <c r="H189" s="120">
        <v>98</v>
      </c>
      <c r="I189" s="120">
        <v>112</v>
      </c>
      <c r="J189" s="120">
        <v>110</v>
      </c>
      <c r="K189" s="121">
        <v>101</v>
      </c>
      <c r="L189" s="119">
        <f>SUM(H189:K189)</f>
        <v>421</v>
      </c>
      <c r="M189" s="120">
        <v>122</v>
      </c>
      <c r="N189" s="120">
        <v>127</v>
      </c>
      <c r="O189" s="120">
        <v>140</v>
      </c>
      <c r="P189" s="121">
        <v>132</v>
      </c>
      <c r="Q189" s="119">
        <f>SUM(M189:P189)</f>
        <v>521</v>
      </c>
      <c r="R189" s="120">
        <v>163</v>
      </c>
      <c r="S189" s="120">
        <v>168</v>
      </c>
      <c r="T189" s="120">
        <v>155</v>
      </c>
      <c r="U189" s="121">
        <v>156</v>
      </c>
      <c r="V189" s="119">
        <f>SUM(R189:U189)</f>
        <v>642</v>
      </c>
      <c r="W189" s="120">
        <v>161</v>
      </c>
      <c r="X189" s="120">
        <v>167</v>
      </c>
      <c r="Y189" s="120">
        <v>169</v>
      </c>
      <c r="Z189" s="121">
        <v>177</v>
      </c>
      <c r="AA189" s="119">
        <f>SUM(W189:Z189)</f>
        <v>674</v>
      </c>
      <c r="AB189" s="120">
        <v>167</v>
      </c>
      <c r="AC189" s="120">
        <v>161</v>
      </c>
      <c r="AD189" s="120">
        <v>173</v>
      </c>
      <c r="AE189" s="121">
        <v>190</v>
      </c>
      <c r="AF189" s="119">
        <f>SUM(AB189:AE189)</f>
        <v>691</v>
      </c>
      <c r="AG189" s="120">
        <v>185</v>
      </c>
      <c r="AH189" s="120">
        <v>183</v>
      </c>
      <c r="AI189" s="120">
        <v>186</v>
      </c>
      <c r="AJ189" s="121">
        <v>196</v>
      </c>
      <c r="AK189" s="119">
        <f>SUM(AG189:AJ189)</f>
        <v>750</v>
      </c>
      <c r="AL189" s="120">
        <v>159</v>
      </c>
      <c r="AM189" s="120">
        <v>178</v>
      </c>
      <c r="AN189" s="120">
        <v>170</v>
      </c>
      <c r="AO189" s="121">
        <v>159</v>
      </c>
      <c r="AP189" s="119">
        <f>SUM(AL189:AO189)</f>
        <v>666</v>
      </c>
      <c r="AQ189" s="120">
        <v>166</v>
      </c>
      <c r="AR189" s="120">
        <v>174</v>
      </c>
      <c r="AS189" s="120">
        <v>170</v>
      </c>
      <c r="AT189" s="121">
        <v>193</v>
      </c>
      <c r="AU189" s="119">
        <f>SUM(AQ189:AT189)</f>
        <v>703</v>
      </c>
      <c r="AV189" s="120">
        <v>188</v>
      </c>
      <c r="AW189" s="120">
        <v>187</v>
      </c>
      <c r="AX189" s="120">
        <v>181</v>
      </c>
      <c r="AY189" s="121">
        <v>172</v>
      </c>
      <c r="AZ189" s="119">
        <f>SUM(AV189:AY189)</f>
        <v>728</v>
      </c>
      <c r="BA189" s="119">
        <v>748</v>
      </c>
      <c r="BB189" s="122">
        <v>192</v>
      </c>
      <c r="BC189" s="121">
        <v>181</v>
      </c>
      <c r="BD189" s="121">
        <v>166</v>
      </c>
      <c r="BE189" s="121">
        <f>725-BD189-BC189-BB189</f>
        <v>186</v>
      </c>
      <c r="BF189" s="119">
        <f>SUM(BB189:BE189)</f>
        <v>725</v>
      </c>
      <c r="BG189" s="933">
        <v>184</v>
      </c>
      <c r="BH189" s="121">
        <v>172</v>
      </c>
      <c r="BI189" s="121">
        <v>197</v>
      </c>
      <c r="BJ189" s="121">
        <v>42</v>
      </c>
      <c r="BK189" s="119">
        <f>SUM(BG189:BJ189)</f>
        <v>595</v>
      </c>
      <c r="BL189" s="122">
        <v>161</v>
      </c>
      <c r="BM189" s="121">
        <v>178</v>
      </c>
      <c r="BN189" s="121">
        <v>179</v>
      </c>
      <c r="BO189" s="121">
        <v>167</v>
      </c>
      <c r="BP189" s="119">
        <f>SUM(BL189:BO189)</f>
        <v>685</v>
      </c>
      <c r="BQ189" s="122">
        <f t="shared" ref="BQ189:BT189" si="433">BQ92*BQ186</f>
        <v>177.17375999999999</v>
      </c>
      <c r="BR189" s="121">
        <f t="shared" si="433"/>
        <v>190.52913000000001</v>
      </c>
      <c r="BS189" s="121">
        <f t="shared" si="433"/>
        <v>176.99889000000002</v>
      </c>
      <c r="BT189" s="1126">
        <f t="shared" si="433"/>
        <v>188.92137</v>
      </c>
      <c r="BU189" s="1056">
        <f>+SUM(BQ189:BT189)</f>
        <v>733.62315000000012</v>
      </c>
      <c r="BV189" s="122"/>
      <c r="BW189" s="121"/>
      <c r="BX189" s="121"/>
      <c r="BY189" s="121"/>
      <c r="BZ189" s="119">
        <f>BZ92*BZ186</f>
        <v>804.45573000000002</v>
      </c>
      <c r="CA189" s="122"/>
      <c r="CB189" s="121"/>
      <c r="CC189" s="121"/>
      <c r="CD189" s="121"/>
      <c r="CE189" s="119">
        <f>CE92*CE186</f>
        <v>852.72307380000018</v>
      </c>
      <c r="CF189" s="122"/>
      <c r="CG189" s="121"/>
      <c r="CH189" s="121"/>
      <c r="CI189" s="121"/>
      <c r="CJ189" s="119">
        <f>CJ92*CJ186</f>
        <v>903.88645822800015</v>
      </c>
      <c r="CK189" s="118"/>
      <c r="CL189" s="237"/>
      <c r="CM189" s="661"/>
      <c r="CN189" s="661"/>
      <c r="CO189" s="661"/>
      <c r="CP189" s="733"/>
      <c r="CQ189" s="622"/>
      <c r="CR189" s="622"/>
      <c r="CS189" s="622"/>
      <c r="CT189" s="622"/>
      <c r="CU189" s="622"/>
      <c r="CV189" s="622"/>
      <c r="CW189" s="237"/>
      <c r="CX189" s="118"/>
      <c r="CY189" s="118"/>
      <c r="CZ189"/>
      <c r="DA189"/>
      <c r="DB189"/>
      <c r="DC189"/>
      <c r="DD189"/>
    </row>
    <row r="190" spans="1:108" s="40" customFormat="1">
      <c r="A190" s="28" t="s">
        <v>21</v>
      </c>
      <c r="B190" s="29"/>
      <c r="C190" s="29">
        <f>C189/B189-1</f>
        <v>-7.4193548387096797E-2</v>
      </c>
      <c r="D190" s="29">
        <f>D189/C189-1</f>
        <v>-0.2473867595818815</v>
      </c>
      <c r="E190" s="29">
        <f>E189/D189-1</f>
        <v>0.35185185185185186</v>
      </c>
      <c r="F190" s="29">
        <f>F189/E189-1</f>
        <v>-0.14726027397260277</v>
      </c>
      <c r="G190" s="29">
        <f>G189/F189-1</f>
        <v>0.50602409638554224</v>
      </c>
      <c r="H190" s="30"/>
      <c r="I190" s="30"/>
      <c r="J190" s="30"/>
      <c r="K190" s="30"/>
      <c r="L190" s="29">
        <f t="shared" ref="L190:AS190" si="434">L189/G189-1</f>
        <v>0.1226666666666667</v>
      </c>
      <c r="M190" s="30">
        <f t="shared" si="434"/>
        <v>0.24489795918367352</v>
      </c>
      <c r="N190" s="30">
        <f t="shared" si="434"/>
        <v>0.1339285714285714</v>
      </c>
      <c r="O190" s="30">
        <f t="shared" si="434"/>
        <v>0.27272727272727271</v>
      </c>
      <c r="P190" s="30">
        <f t="shared" si="434"/>
        <v>0.30693069306930698</v>
      </c>
      <c r="Q190" s="29">
        <f t="shared" si="434"/>
        <v>0.23752969121140133</v>
      </c>
      <c r="R190" s="30">
        <f t="shared" si="434"/>
        <v>0.33606557377049184</v>
      </c>
      <c r="S190" s="30">
        <f t="shared" si="434"/>
        <v>0.32283464566929143</v>
      </c>
      <c r="T190" s="30">
        <f t="shared" si="434"/>
        <v>0.10714285714285721</v>
      </c>
      <c r="U190" s="30">
        <f t="shared" si="434"/>
        <v>0.18181818181818188</v>
      </c>
      <c r="V190" s="29">
        <f t="shared" si="434"/>
        <v>0.23224568138195778</v>
      </c>
      <c r="W190" s="30">
        <f t="shared" si="434"/>
        <v>-1.2269938650306789E-2</v>
      </c>
      <c r="X190" s="30">
        <f t="shared" si="434"/>
        <v>-5.9523809523809312E-3</v>
      </c>
      <c r="Y190" s="30">
        <f t="shared" si="434"/>
        <v>9.0322580645161299E-2</v>
      </c>
      <c r="Z190" s="30">
        <f t="shared" si="434"/>
        <v>0.13461538461538458</v>
      </c>
      <c r="AA190" s="29">
        <f t="shared" si="434"/>
        <v>4.9844236760124616E-2</v>
      </c>
      <c r="AB190" s="30">
        <f t="shared" si="434"/>
        <v>3.7267080745341685E-2</v>
      </c>
      <c r="AC190" s="30">
        <f t="shared" si="434"/>
        <v>-3.59281437125748E-2</v>
      </c>
      <c r="AD190" s="30">
        <f t="shared" si="434"/>
        <v>2.3668639053254337E-2</v>
      </c>
      <c r="AE190" s="30">
        <f t="shared" si="434"/>
        <v>7.344632768361592E-2</v>
      </c>
      <c r="AF190" s="29">
        <f t="shared" si="434"/>
        <v>2.5222551928783421E-2</v>
      </c>
      <c r="AG190" s="30">
        <f t="shared" si="434"/>
        <v>0.10778443113772451</v>
      </c>
      <c r="AH190" s="30">
        <f t="shared" si="434"/>
        <v>0.13664596273291929</v>
      </c>
      <c r="AI190" s="30">
        <f t="shared" si="434"/>
        <v>7.5144508670520249E-2</v>
      </c>
      <c r="AJ190" s="30">
        <f t="shared" si="434"/>
        <v>3.1578947368421151E-2</v>
      </c>
      <c r="AK190" s="29">
        <f t="shared" si="434"/>
        <v>8.5383502170766956E-2</v>
      </c>
      <c r="AL190" s="30">
        <f t="shared" si="434"/>
        <v>-0.14054054054054055</v>
      </c>
      <c r="AM190" s="30">
        <f t="shared" si="434"/>
        <v>-2.732240437158473E-2</v>
      </c>
      <c r="AN190" s="30">
        <f t="shared" si="434"/>
        <v>-8.6021505376344121E-2</v>
      </c>
      <c r="AO190" s="30">
        <f t="shared" si="434"/>
        <v>-0.18877551020408168</v>
      </c>
      <c r="AP190" s="29">
        <f t="shared" si="434"/>
        <v>-0.11199999999999999</v>
      </c>
      <c r="AQ190" s="30">
        <f t="shared" si="434"/>
        <v>4.4025157232704393E-2</v>
      </c>
      <c r="AR190" s="30">
        <f t="shared" si="434"/>
        <v>-2.2471910112359605E-2</v>
      </c>
      <c r="AS190" s="30">
        <f t="shared" si="434"/>
        <v>0</v>
      </c>
      <c r="AT190" s="30">
        <f t="shared" ref="AT190:AZ190" si="435">AT189/AO189-1</f>
        <v>0.21383647798742134</v>
      </c>
      <c r="AU190" s="29">
        <f t="shared" si="435"/>
        <v>5.555555555555558E-2</v>
      </c>
      <c r="AV190" s="30">
        <f t="shared" si="435"/>
        <v>0.1325301204819278</v>
      </c>
      <c r="AW190" s="30">
        <f t="shared" si="435"/>
        <v>7.4712643678160884E-2</v>
      </c>
      <c r="AX190" s="30">
        <f t="shared" si="435"/>
        <v>6.4705882352941169E-2</v>
      </c>
      <c r="AY190" s="30">
        <f t="shared" si="435"/>
        <v>-0.10880829015544047</v>
      </c>
      <c r="AZ190" s="29">
        <f t="shared" si="435"/>
        <v>3.5561877667140918E-2</v>
      </c>
      <c r="BA190" s="29"/>
      <c r="BB190" s="30">
        <f>BB189/AV189-1</f>
        <v>2.1276595744680771E-2</v>
      </c>
      <c r="BC190" s="30">
        <f>BC189/AW189-1</f>
        <v>-3.208556149732622E-2</v>
      </c>
      <c r="BD190" s="30">
        <f>BD189/AX189-1</f>
        <v>-8.2872928176795591E-2</v>
      </c>
      <c r="BE190" s="30">
        <f>BE189/AY189-1</f>
        <v>8.1395348837209225E-2</v>
      </c>
      <c r="BF190" s="29">
        <f>BF189/AZ189-1</f>
        <v>-4.1208791208791062E-3</v>
      </c>
      <c r="BG190" s="30"/>
      <c r="BH190" s="30"/>
      <c r="BI190" s="30"/>
      <c r="BJ190" s="30"/>
      <c r="BK190" s="29">
        <f>BK189/BA189-1</f>
        <v>-0.20454545454545459</v>
      </c>
      <c r="BL190" s="194">
        <f>BL189/BG189-1</f>
        <v>-0.125</v>
      </c>
      <c r="BM190" s="194">
        <f>BM189/BH189-1</f>
        <v>3.488372093023262E-2</v>
      </c>
      <c r="BN190" s="194">
        <f>BN189/BI189-1</f>
        <v>-9.137055837563457E-2</v>
      </c>
      <c r="BO190" s="194">
        <f>BO189/BJ189-1</f>
        <v>2.9761904761904763</v>
      </c>
      <c r="BP190" s="29">
        <f>BP189/BK189-1</f>
        <v>0.15126050420168058</v>
      </c>
      <c r="BQ190" s="31">
        <f t="shared" ref="BQ190:BT190" si="436">BQ189/BL189-1</f>
        <v>0.1004581366459627</v>
      </c>
      <c r="BR190" s="30">
        <f t="shared" si="436"/>
        <v>7.0388370786516941E-2</v>
      </c>
      <c r="BS190" s="30">
        <f t="shared" si="436"/>
        <v>-1.1179385474860193E-2</v>
      </c>
      <c r="BT190" s="1106">
        <f t="shared" si="436"/>
        <v>0.13126568862275456</v>
      </c>
      <c r="BU190" s="29">
        <f>BU189/BP189-1</f>
        <v>7.0982700729927295E-2</v>
      </c>
      <c r="BV190" s="31"/>
      <c r="BW190" s="30"/>
      <c r="BX190" s="30"/>
      <c r="BY190" s="30"/>
      <c r="BZ190" s="29">
        <f>BZ189/BU189-1</f>
        <v>9.6551724137930783E-2</v>
      </c>
      <c r="CA190" s="31"/>
      <c r="CB190" s="30"/>
      <c r="CC190" s="30"/>
      <c r="CD190" s="30"/>
      <c r="CE190" s="29">
        <f>CE189/BZ189-1</f>
        <v>6.0000000000000275E-2</v>
      </c>
      <c r="CF190" s="31"/>
      <c r="CG190" s="30"/>
      <c r="CH190" s="30"/>
      <c r="CI190" s="30"/>
      <c r="CJ190" s="29">
        <f>CJ189/CE189-1</f>
        <v>6.0000000000000053E-2</v>
      </c>
      <c r="CK190" s="39"/>
      <c r="CL190" s="7"/>
      <c r="CM190" s="661"/>
      <c r="CN190" s="661"/>
      <c r="CO190" s="661"/>
      <c r="CP190" s="622"/>
      <c r="CQ190" s="734"/>
      <c r="CR190" s="734"/>
      <c r="CS190" s="734"/>
      <c r="CT190" s="734"/>
      <c r="CU190" s="734"/>
      <c r="CV190" s="734"/>
      <c r="CW190" s="75"/>
      <c r="CX190" s="38"/>
      <c r="CY190" s="38"/>
      <c r="CZ190"/>
      <c r="DA190"/>
      <c r="DB190"/>
      <c r="DC190"/>
      <c r="DD190"/>
    </row>
    <row r="191" spans="1:108" s="123" customFormat="1">
      <c r="A191" s="118" t="s">
        <v>34</v>
      </c>
      <c r="B191" s="119">
        <f t="shared" ref="B191:AG191" si="437">B92-B189</f>
        <v>3302</v>
      </c>
      <c r="C191" s="119">
        <f t="shared" si="437"/>
        <v>3363</v>
      </c>
      <c r="D191" s="119">
        <f t="shared" si="437"/>
        <v>4055</v>
      </c>
      <c r="E191" s="119">
        <f t="shared" si="437"/>
        <v>4434</v>
      </c>
      <c r="F191" s="119">
        <f t="shared" si="437"/>
        <v>4446</v>
      </c>
      <c r="G191" s="119">
        <f t="shared" si="437"/>
        <v>4565</v>
      </c>
      <c r="H191" s="120">
        <f t="shared" si="437"/>
        <v>1159</v>
      </c>
      <c r="I191" s="120">
        <f t="shared" si="437"/>
        <v>1160</v>
      </c>
      <c r="J191" s="120">
        <f t="shared" si="437"/>
        <v>1136</v>
      </c>
      <c r="K191" s="121">
        <f t="shared" si="437"/>
        <v>1117</v>
      </c>
      <c r="L191" s="119">
        <f t="shared" si="437"/>
        <v>4572</v>
      </c>
      <c r="M191" s="120">
        <f t="shared" si="437"/>
        <v>1256</v>
      </c>
      <c r="N191" s="120">
        <f t="shared" si="437"/>
        <v>1267</v>
      </c>
      <c r="O191" s="120">
        <f t="shared" si="437"/>
        <v>1264</v>
      </c>
      <c r="P191" s="121">
        <f t="shared" si="437"/>
        <v>1248</v>
      </c>
      <c r="Q191" s="119">
        <f t="shared" si="437"/>
        <v>5035</v>
      </c>
      <c r="R191" s="120">
        <f t="shared" si="437"/>
        <v>1506</v>
      </c>
      <c r="S191" s="120">
        <f t="shared" si="437"/>
        <v>1457</v>
      </c>
      <c r="T191" s="120">
        <f t="shared" si="437"/>
        <v>1363</v>
      </c>
      <c r="U191" s="121">
        <f t="shared" si="437"/>
        <v>1395</v>
      </c>
      <c r="V191" s="119">
        <f t="shared" si="437"/>
        <v>5721</v>
      </c>
      <c r="W191" s="120">
        <f t="shared" si="437"/>
        <v>1478</v>
      </c>
      <c r="X191" s="120">
        <f t="shared" si="437"/>
        <v>1470</v>
      </c>
      <c r="Y191" s="120">
        <f t="shared" si="437"/>
        <v>1531</v>
      </c>
      <c r="Z191" s="121">
        <f t="shared" si="437"/>
        <v>1524</v>
      </c>
      <c r="AA191" s="119">
        <f t="shared" si="437"/>
        <v>6003</v>
      </c>
      <c r="AB191" s="120">
        <f t="shared" si="437"/>
        <v>1509</v>
      </c>
      <c r="AC191" s="120">
        <f t="shared" si="437"/>
        <v>1415</v>
      </c>
      <c r="AD191" s="120">
        <f t="shared" si="437"/>
        <v>1448</v>
      </c>
      <c r="AE191" s="121">
        <f t="shared" si="437"/>
        <v>1568</v>
      </c>
      <c r="AF191" s="119">
        <f t="shared" si="437"/>
        <v>5940</v>
      </c>
      <c r="AG191" s="120">
        <f t="shared" si="437"/>
        <v>1420</v>
      </c>
      <c r="AH191" s="120">
        <f t="shared" ref="AH191:BJ191" si="438">AH92-AH189</f>
        <v>1470</v>
      </c>
      <c r="AI191" s="120">
        <f t="shared" si="438"/>
        <v>1484</v>
      </c>
      <c r="AJ191" s="121">
        <f t="shared" si="438"/>
        <v>1468</v>
      </c>
      <c r="AK191" s="119">
        <f t="shared" si="438"/>
        <v>5842</v>
      </c>
      <c r="AL191" s="120">
        <f t="shared" si="438"/>
        <v>1467</v>
      </c>
      <c r="AM191" s="120">
        <f t="shared" si="438"/>
        <v>1581</v>
      </c>
      <c r="AN191" s="120">
        <f t="shared" si="438"/>
        <v>1527</v>
      </c>
      <c r="AO191" s="121">
        <f t="shared" si="438"/>
        <v>1471</v>
      </c>
      <c r="AP191" s="119">
        <f t="shared" si="438"/>
        <v>6046</v>
      </c>
      <c r="AQ191" s="120">
        <f t="shared" si="438"/>
        <v>1435</v>
      </c>
      <c r="AR191" s="120">
        <f t="shared" si="438"/>
        <v>1677</v>
      </c>
      <c r="AS191" s="120">
        <f t="shared" si="438"/>
        <v>1650</v>
      </c>
      <c r="AT191" s="121">
        <f t="shared" si="438"/>
        <v>1847</v>
      </c>
      <c r="AU191" s="119">
        <f t="shared" si="438"/>
        <v>6609</v>
      </c>
      <c r="AV191" s="120">
        <f t="shared" si="438"/>
        <v>1755</v>
      </c>
      <c r="AW191" s="120">
        <f t="shared" si="438"/>
        <v>1814</v>
      </c>
      <c r="AX191" s="120">
        <f t="shared" si="438"/>
        <v>1906</v>
      </c>
      <c r="AY191" s="121">
        <f t="shared" si="438"/>
        <v>1810</v>
      </c>
      <c r="AZ191" s="119">
        <f t="shared" si="438"/>
        <v>7285</v>
      </c>
      <c r="BA191" s="119">
        <f t="shared" si="438"/>
        <v>7284</v>
      </c>
      <c r="BB191" s="120">
        <f t="shared" si="438"/>
        <v>1939</v>
      </c>
      <c r="BC191" s="120">
        <f t="shared" si="438"/>
        <v>1806</v>
      </c>
      <c r="BD191" s="120">
        <f t="shared" si="438"/>
        <v>1877</v>
      </c>
      <c r="BE191" s="121">
        <f t="shared" si="438"/>
        <v>1855</v>
      </c>
      <c r="BF191" s="119">
        <f t="shared" si="438"/>
        <v>7477</v>
      </c>
      <c r="BG191" s="120">
        <f t="shared" si="438"/>
        <v>1938</v>
      </c>
      <c r="BH191" s="120">
        <f t="shared" si="438"/>
        <v>1806</v>
      </c>
      <c r="BI191" s="120">
        <f t="shared" si="438"/>
        <v>1878</v>
      </c>
      <c r="BJ191" s="121">
        <f t="shared" si="438"/>
        <v>1855</v>
      </c>
      <c r="BK191" s="119">
        <f t="shared" ref="BK191:BN191" si="439">BK92-BK189</f>
        <v>7477</v>
      </c>
      <c r="BL191" s="120">
        <f t="shared" si="439"/>
        <v>1773</v>
      </c>
      <c r="BM191" s="120">
        <f t="shared" si="439"/>
        <v>1901</v>
      </c>
      <c r="BN191" s="120">
        <f t="shared" si="439"/>
        <v>1752</v>
      </c>
      <c r="BO191" s="120">
        <f t="shared" ref="BO191:BP191" si="440">BO92-BO189</f>
        <v>1893</v>
      </c>
      <c r="BP191" s="119">
        <f t="shared" si="440"/>
        <v>7319</v>
      </c>
      <c r="BQ191" s="122">
        <f t="shared" ref="BQ191:BU191" si="441">BQ92-BQ189</f>
        <v>1859.3062400000001</v>
      </c>
      <c r="BR191" s="121">
        <f t="shared" si="441"/>
        <v>1999.4608700000003</v>
      </c>
      <c r="BS191" s="121">
        <f t="shared" si="441"/>
        <v>1857.4711100000002</v>
      </c>
      <c r="BT191" s="1126">
        <f t="shared" si="441"/>
        <v>1982.5886300000002</v>
      </c>
      <c r="BU191" s="1056">
        <f t="shared" si="441"/>
        <v>7698.8268500000004</v>
      </c>
      <c r="BV191" s="122"/>
      <c r="BW191" s="121"/>
      <c r="BX191" s="121"/>
      <c r="BY191" s="121"/>
      <c r="BZ191" s="119">
        <f>BZ92-BZ189</f>
        <v>8133.9412700000012</v>
      </c>
      <c r="CA191" s="122"/>
      <c r="CB191" s="121"/>
      <c r="CC191" s="121"/>
      <c r="CD191" s="121"/>
      <c r="CE191" s="119">
        <f>CE92-CE189</f>
        <v>8621.977746200002</v>
      </c>
      <c r="CF191" s="122"/>
      <c r="CG191" s="121"/>
      <c r="CH191" s="121"/>
      <c r="CI191" s="121"/>
      <c r="CJ191" s="119">
        <f>CJ92-CJ189</f>
        <v>9139.2964109720015</v>
      </c>
      <c r="CK191" s="118"/>
      <c r="CL191" s="237"/>
      <c r="CM191" s="661"/>
      <c r="CN191" s="661"/>
      <c r="CO191" s="622"/>
      <c r="CP191" s="622"/>
      <c r="CQ191" s="622"/>
      <c r="CR191" s="622"/>
      <c r="CS191" s="622"/>
      <c r="CT191" s="622"/>
      <c r="CU191" s="622"/>
      <c r="CV191" s="622"/>
      <c r="CW191" s="237"/>
      <c r="CX191" s="118"/>
      <c r="CY191" s="118"/>
      <c r="CZ191"/>
      <c r="DA191"/>
      <c r="DB191"/>
      <c r="DC191"/>
      <c r="DD191"/>
    </row>
    <row r="192" spans="1:108" s="40" customFormat="1">
      <c r="A192" s="28" t="s">
        <v>21</v>
      </c>
      <c r="B192" s="29"/>
      <c r="C192" s="29">
        <f>C191/B191-1</f>
        <v>1.8473652331919999E-2</v>
      </c>
      <c r="D192" s="29">
        <f>D191/C191-1</f>
        <v>0.20576865893547436</v>
      </c>
      <c r="E192" s="29">
        <f>E191/D191-1</f>
        <v>9.3464858199753476E-2</v>
      </c>
      <c r="F192" s="29">
        <f>F191/E191-1</f>
        <v>2.7063599458727605E-3</v>
      </c>
      <c r="G192" s="29">
        <f>G191/F191-1</f>
        <v>2.6765632028789899E-2</v>
      </c>
      <c r="H192" s="30"/>
      <c r="I192" s="30"/>
      <c r="J192" s="30"/>
      <c r="K192" s="30"/>
      <c r="L192" s="29">
        <f t="shared" ref="L192:AS192" si="442">L191/G191-1</f>
        <v>1.5334063526835084E-3</v>
      </c>
      <c r="M192" s="30">
        <f t="shared" si="442"/>
        <v>8.3692838654012114E-2</v>
      </c>
      <c r="N192" s="30">
        <f t="shared" si="442"/>
        <v>9.2241379310344929E-2</v>
      </c>
      <c r="O192" s="30">
        <f t="shared" si="442"/>
        <v>0.11267605633802824</v>
      </c>
      <c r="P192" s="30">
        <f t="shared" si="442"/>
        <v>0.11727842435093994</v>
      </c>
      <c r="Q192" s="29">
        <f t="shared" si="442"/>
        <v>0.10126859142607181</v>
      </c>
      <c r="R192" s="30">
        <f t="shared" si="442"/>
        <v>0.19904458598726116</v>
      </c>
      <c r="S192" s="30">
        <f t="shared" si="442"/>
        <v>0.14996053670086829</v>
      </c>
      <c r="T192" s="30">
        <f t="shared" si="442"/>
        <v>7.8322784810126667E-2</v>
      </c>
      <c r="U192" s="30">
        <f t="shared" si="442"/>
        <v>0.11778846153846145</v>
      </c>
      <c r="V192" s="29">
        <f t="shared" si="442"/>
        <v>0.13624627606752737</v>
      </c>
      <c r="W192" s="30">
        <f t="shared" si="442"/>
        <v>-1.8592297476759612E-2</v>
      </c>
      <c r="X192" s="30">
        <f t="shared" si="442"/>
        <v>8.9224433768015921E-3</v>
      </c>
      <c r="Y192" s="30">
        <f t="shared" si="442"/>
        <v>0.12325752017608216</v>
      </c>
      <c r="Z192" s="30">
        <f t="shared" si="442"/>
        <v>9.2473118279569944E-2</v>
      </c>
      <c r="AA192" s="29">
        <f t="shared" si="442"/>
        <v>4.929208180388045E-2</v>
      </c>
      <c r="AB192" s="30">
        <f t="shared" si="442"/>
        <v>2.0974289580514283E-2</v>
      </c>
      <c r="AC192" s="30">
        <f t="shared" si="442"/>
        <v>-3.7414965986394599E-2</v>
      </c>
      <c r="AD192" s="30">
        <f t="shared" si="442"/>
        <v>-5.4212932723709972E-2</v>
      </c>
      <c r="AE192" s="30">
        <f t="shared" si="442"/>
        <v>2.8871391076115582E-2</v>
      </c>
      <c r="AF192" s="29">
        <f t="shared" si="442"/>
        <v>-1.0494752623688153E-2</v>
      </c>
      <c r="AG192" s="30">
        <f t="shared" si="442"/>
        <v>-5.8979456593770685E-2</v>
      </c>
      <c r="AH192" s="30">
        <f t="shared" si="442"/>
        <v>3.8869257950530089E-2</v>
      </c>
      <c r="AI192" s="30">
        <f t="shared" si="442"/>
        <v>2.4861878453038777E-2</v>
      </c>
      <c r="AJ192" s="30">
        <f t="shared" si="442"/>
        <v>-6.3775510204081676E-2</v>
      </c>
      <c r="AK192" s="29">
        <f t="shared" si="442"/>
        <v>-1.6498316498316457E-2</v>
      </c>
      <c r="AL192" s="30">
        <f>AL191/AG191-1</f>
        <v>3.3098591549295842E-2</v>
      </c>
      <c r="AM192" s="30">
        <f t="shared" si="442"/>
        <v>7.551020408163267E-2</v>
      </c>
      <c r="AN192" s="30">
        <f t="shared" si="442"/>
        <v>2.8975741239892105E-2</v>
      </c>
      <c r="AO192" s="30">
        <f t="shared" si="442"/>
        <v>2.043596730245234E-3</v>
      </c>
      <c r="AP192" s="29">
        <f t="shared" si="442"/>
        <v>3.491954809996578E-2</v>
      </c>
      <c r="AQ192" s="30">
        <f>AQ191/AL191-1</f>
        <v>-2.1813224267211995E-2</v>
      </c>
      <c r="AR192" s="30">
        <f t="shared" si="442"/>
        <v>6.0721062618595889E-2</v>
      </c>
      <c r="AS192" s="30">
        <f t="shared" si="442"/>
        <v>8.0550098231827016E-2</v>
      </c>
      <c r="AT192" s="30">
        <f t="shared" ref="AT192:AZ192" si="443">AT191/AO191-1</f>
        <v>0.25560842963970098</v>
      </c>
      <c r="AU192" s="29">
        <f t="shared" si="443"/>
        <v>9.3119417796890591E-2</v>
      </c>
      <c r="AV192" s="30">
        <f t="shared" si="443"/>
        <v>0.22299651567944245</v>
      </c>
      <c r="AW192" s="30">
        <f t="shared" si="443"/>
        <v>8.1693500298151367E-2</v>
      </c>
      <c r="AX192" s="30">
        <f t="shared" si="443"/>
        <v>0.15515151515151526</v>
      </c>
      <c r="AY192" s="30">
        <f t="shared" si="443"/>
        <v>-2.0032485110990761E-2</v>
      </c>
      <c r="AZ192" s="29">
        <f t="shared" si="443"/>
        <v>0.10228476320169455</v>
      </c>
      <c r="BA192" s="29"/>
      <c r="BB192" s="30">
        <f>BB191/AV191-1</f>
        <v>0.10484330484330484</v>
      </c>
      <c r="BC192" s="30">
        <f>BC191/AW191-1</f>
        <v>-4.4101433296581671E-3</v>
      </c>
      <c r="BD192" s="30">
        <f>BD191/AX191-1</f>
        <v>-1.5215110178384061E-2</v>
      </c>
      <c r="BE192" s="30">
        <f>BE191/AY191-1</f>
        <v>2.4861878453038777E-2</v>
      </c>
      <c r="BF192" s="29">
        <f>BF191/AZ191-1</f>
        <v>2.6355525051475537E-2</v>
      </c>
      <c r="BG192" s="30"/>
      <c r="BH192" s="30"/>
      <c r="BI192" s="30"/>
      <c r="BJ192" s="30"/>
      <c r="BK192" s="29">
        <f>BK191/BA191-1</f>
        <v>2.6496430532674253E-2</v>
      </c>
      <c r="BL192" s="194">
        <f>BL191/BG191-1</f>
        <v>-8.51393188854489E-2</v>
      </c>
      <c r="BM192" s="194">
        <f>BM191/BH191-1</f>
        <v>5.2602436323366586E-2</v>
      </c>
      <c r="BN192" s="194">
        <f>BN191/BI191-1</f>
        <v>-6.7092651757188482E-2</v>
      </c>
      <c r="BO192" s="194">
        <f>BO191/BJ191-1</f>
        <v>2.0485175202156425E-2</v>
      </c>
      <c r="BP192" s="29">
        <f>BP191/BK191-1</f>
        <v>-2.1131469840845241E-2</v>
      </c>
      <c r="BQ192" s="31">
        <f t="shared" ref="BQ192:BT192" si="444">BQ191/BL191-1</f>
        <v>4.8678082346305773E-2</v>
      </c>
      <c r="BR192" s="30">
        <f t="shared" si="444"/>
        <v>5.1794250394529451E-2</v>
      </c>
      <c r="BS192" s="30">
        <f t="shared" si="444"/>
        <v>6.0200405251141564E-2</v>
      </c>
      <c r="BT192" s="1106">
        <f t="shared" si="444"/>
        <v>4.7326270470153364E-2</v>
      </c>
      <c r="BU192" s="29">
        <f>BU191/BP191-1</f>
        <v>5.1896003552397874E-2</v>
      </c>
      <c r="BV192" s="31"/>
      <c r="BW192" s="30"/>
      <c r="BX192" s="30"/>
      <c r="BY192" s="30"/>
      <c r="BZ192" s="29">
        <f>BZ191/BU191-1</f>
        <v>5.65169769989049E-2</v>
      </c>
      <c r="CA192" s="31"/>
      <c r="CB192" s="30"/>
      <c r="CC192" s="30"/>
      <c r="CD192" s="30"/>
      <c r="CE192" s="29">
        <f>CE191/BZ191-1</f>
        <v>6.0000000000000053E-2</v>
      </c>
      <c r="CF192" s="31"/>
      <c r="CG192" s="30"/>
      <c r="CH192" s="30"/>
      <c r="CI192" s="30"/>
      <c r="CJ192" s="29">
        <f>CJ191/CE191-1</f>
        <v>5.9999999999999831E-2</v>
      </c>
      <c r="CK192" s="39"/>
      <c r="CL192" s="7"/>
      <c r="CM192" s="661"/>
      <c r="CN192" s="661"/>
      <c r="CO192" s="734"/>
      <c r="CP192" s="734"/>
      <c r="CQ192" s="734"/>
      <c r="CR192" s="734"/>
      <c r="CS192" s="734"/>
      <c r="CT192" s="734"/>
      <c r="CU192" s="734"/>
      <c r="CV192" s="734"/>
      <c r="CW192" s="75"/>
      <c r="CX192" s="38"/>
      <c r="CY192" s="38"/>
      <c r="CZ192"/>
      <c r="DA192"/>
      <c r="DB192"/>
      <c r="DC192"/>
      <c r="DD192"/>
    </row>
    <row r="193" spans="1:108" s="222" customFormat="1">
      <c r="A193" s="1297" t="s">
        <v>100</v>
      </c>
      <c r="B193" s="1298">
        <v>52</v>
      </c>
      <c r="C193" s="1298">
        <v>89</v>
      </c>
      <c r="D193" s="1298">
        <v>32</v>
      </c>
      <c r="E193" s="1298">
        <v>6</v>
      </c>
      <c r="F193" s="1298">
        <v>-6</v>
      </c>
      <c r="G193" s="1298">
        <v>-47</v>
      </c>
      <c r="H193" s="1299">
        <v>-14</v>
      </c>
      <c r="I193" s="1299">
        <v>-11</v>
      </c>
      <c r="J193" s="1299">
        <v>-17</v>
      </c>
      <c r="K193" s="1299">
        <v>-19</v>
      </c>
      <c r="L193" s="1298">
        <f>SUM(H193:K193)</f>
        <v>-61</v>
      </c>
      <c r="M193" s="1299">
        <v>-16</v>
      </c>
      <c r="N193" s="1299">
        <v>-20</v>
      </c>
      <c r="O193" s="1299">
        <v>-20</v>
      </c>
      <c r="P193" s="1299">
        <v>-19</v>
      </c>
      <c r="Q193" s="1298">
        <f>SUM(M193:P193)</f>
        <v>-75</v>
      </c>
      <c r="R193" s="1299">
        <v>-26</v>
      </c>
      <c r="S193" s="1299">
        <v>-22</v>
      </c>
      <c r="T193" s="1299">
        <v>-18</v>
      </c>
      <c r="U193" s="1299">
        <v>-21</v>
      </c>
      <c r="V193" s="1298">
        <f>SUM(R193:U193)</f>
        <v>-87</v>
      </c>
      <c r="W193" s="1299">
        <v>-20</v>
      </c>
      <c r="X193" s="1299">
        <v>-22</v>
      </c>
      <c r="Y193" s="1299">
        <v>-19</v>
      </c>
      <c r="Z193" s="1299">
        <v>-22</v>
      </c>
      <c r="AA193" s="1298">
        <f>SUM(W193:Z193)</f>
        <v>-83</v>
      </c>
      <c r="AB193" s="1299">
        <v>-21</v>
      </c>
      <c r="AC193" s="1299">
        <v>-19</v>
      </c>
      <c r="AD193" s="1299">
        <v>-21</v>
      </c>
      <c r="AE193" s="1299">
        <v>-16</v>
      </c>
      <c r="AF193" s="1298">
        <f>SUM(AB193:AE193)</f>
        <v>-77</v>
      </c>
      <c r="AG193" s="1299">
        <v>-17</v>
      </c>
      <c r="AH193" s="1299">
        <v>-18</v>
      </c>
      <c r="AI193" s="1299">
        <v>-17</v>
      </c>
      <c r="AJ193" s="1299">
        <v>-17</v>
      </c>
      <c r="AK193" s="1298">
        <f>SUM(AG193:AJ193)</f>
        <v>-69</v>
      </c>
      <c r="AL193" s="1299">
        <v>-22</v>
      </c>
      <c r="AM193" s="1299">
        <v>-23</v>
      </c>
      <c r="AN193" s="1299">
        <v>-22</v>
      </c>
      <c r="AO193" s="1299">
        <f>AP193-SUM(AL193:AN193)</f>
        <v>-29</v>
      </c>
      <c r="AP193" s="1298">
        <v>-96</v>
      </c>
      <c r="AQ193" s="1299">
        <v>-18</v>
      </c>
      <c r="AR193" s="1299">
        <v>-17</v>
      </c>
      <c r="AS193" s="1299">
        <v>-16</v>
      </c>
      <c r="AT193" s="1299">
        <v>-21</v>
      </c>
      <c r="AU193" s="1298">
        <f>SUM(AQ193:AT193)</f>
        <v>-72</v>
      </c>
      <c r="AV193" s="1299">
        <v>-13</v>
      </c>
      <c r="AW193" s="1299">
        <v>-8</v>
      </c>
      <c r="AX193" s="1299">
        <v>-10</v>
      </c>
      <c r="AY193" s="1299">
        <v>-10</v>
      </c>
      <c r="AZ193" s="1298">
        <f>SUM(AV193:AY193)</f>
        <v>-41</v>
      </c>
      <c r="BA193" s="1298">
        <v>-41</v>
      </c>
      <c r="BB193" s="1300">
        <v>-15</v>
      </c>
      <c r="BC193" s="1299">
        <v>-8</v>
      </c>
      <c r="BD193" s="1299">
        <v>-9</v>
      </c>
      <c r="BE193" s="1299">
        <f>-40-BD193-BC193-BB193</f>
        <v>-8</v>
      </c>
      <c r="BF193" s="1298">
        <f>SUM(BB193:BE193)</f>
        <v>-40</v>
      </c>
      <c r="BG193" s="1300">
        <v>-16</v>
      </c>
      <c r="BH193" s="1299">
        <v>-8</v>
      </c>
      <c r="BI193" s="1299">
        <v>-7</v>
      </c>
      <c r="BJ193" s="1299">
        <v>-9</v>
      </c>
      <c r="BK193" s="1298">
        <f>SUM(BG193:BJ193)</f>
        <v>-40</v>
      </c>
      <c r="BL193" s="1300">
        <v>-10</v>
      </c>
      <c r="BM193" s="1299">
        <v>-12</v>
      </c>
      <c r="BN193" s="1299">
        <v>-12</v>
      </c>
      <c r="BO193" s="1299">
        <v>-15</v>
      </c>
      <c r="BP193" s="1298">
        <f>SUM(BL193:BO193)</f>
        <v>-49</v>
      </c>
      <c r="BQ193" s="1300">
        <f t="shared" ref="BQ193:BT193" si="445">BQ194*SUM(BQ157,BQ164,BQ189,BQ171)</f>
        <v>-11.562811735</v>
      </c>
      <c r="BR193" s="1299">
        <f t="shared" si="445"/>
        <v>-11.967991120000001</v>
      </c>
      <c r="BS193" s="1299">
        <f t="shared" si="445"/>
        <v>-11.943401590000002</v>
      </c>
      <c r="BT193" s="1301">
        <f t="shared" si="445"/>
        <v>-13.24527818</v>
      </c>
      <c r="BU193" s="1302">
        <f>+SUM(BQ193:BT193)</f>
        <v>-48.719482625000005</v>
      </c>
      <c r="BV193" s="1300"/>
      <c r="BW193" s="1299"/>
      <c r="BX193" s="1299"/>
      <c r="BY193" s="1299"/>
      <c r="BZ193" s="1298">
        <f>BZ194*SUM(BZ157,BZ164,BZ189,BZ171)</f>
        <v>-50.83008176500001</v>
      </c>
      <c r="CA193" s="1300"/>
      <c r="CB193" s="1299"/>
      <c r="CC193" s="1299"/>
      <c r="CD193" s="1299"/>
      <c r="CE193" s="1298">
        <f>CE194*SUM(CE157,CE164,CE189,CE171)</f>
        <v>-53.515734017635026</v>
      </c>
      <c r="CF193" s="1300"/>
      <c r="CG193" s="1299"/>
      <c r="CH193" s="1299"/>
      <c r="CI193" s="1299"/>
      <c r="CJ193" s="1298">
        <f>CJ194*SUM(CJ157,CJ164,CJ189,CJ171)</f>
        <v>-56.91116860284032</v>
      </c>
      <c r="CK193" s="134"/>
      <c r="CL193" s="233"/>
      <c r="CM193" s="661"/>
      <c r="CN193" s="734"/>
      <c r="CO193" s="703"/>
      <c r="CP193" s="703"/>
      <c r="CQ193" s="703"/>
      <c r="CR193" s="703"/>
      <c r="CS193" s="703"/>
      <c r="CT193" s="703"/>
      <c r="CU193" s="703"/>
      <c r="CV193" s="703"/>
      <c r="CW193" s="233"/>
      <c r="CX193" s="134"/>
      <c r="CY193" s="134"/>
      <c r="CZ193"/>
      <c r="DA193"/>
      <c r="DB193"/>
      <c r="DC193"/>
      <c r="DD193"/>
    </row>
    <row r="194" spans="1:108" s="634" customFormat="1">
      <c r="A194" s="625" t="s">
        <v>209</v>
      </c>
      <c r="B194" s="626">
        <f t="shared" ref="B194:AG194" si="446">B193/SUM(B157,B164,B189,B171)</f>
        <v>3.626220362622036E-2</v>
      </c>
      <c r="C194" s="626">
        <f t="shared" si="446"/>
        <v>6.0216508795669824E-2</v>
      </c>
      <c r="D194" s="626">
        <f t="shared" si="446"/>
        <v>2.264685067232838E-2</v>
      </c>
      <c r="E194" s="626">
        <f t="shared" si="446"/>
        <v>3.1168831168831169E-3</v>
      </c>
      <c r="F194" s="626">
        <f t="shared" si="446"/>
        <v>-2.745995423340961E-3</v>
      </c>
      <c r="G194" s="626">
        <f t="shared" si="446"/>
        <v>-1.7589820359281437E-2</v>
      </c>
      <c r="H194" s="627">
        <f t="shared" si="446"/>
        <v>-2.0143884892086329E-2</v>
      </c>
      <c r="I194" s="627">
        <f t="shared" si="446"/>
        <v>-1.4267185473411154E-2</v>
      </c>
      <c r="J194" s="627">
        <f t="shared" si="446"/>
        <v>-2.0782396088019559E-2</v>
      </c>
      <c r="K194" s="627">
        <f t="shared" si="446"/>
        <v>-2.1348314606741574E-2</v>
      </c>
      <c r="L194" s="626">
        <f t="shared" si="446"/>
        <v>-1.9218651543793319E-2</v>
      </c>
      <c r="M194" s="627">
        <f t="shared" si="446"/>
        <v>-1.8244013683010263E-2</v>
      </c>
      <c r="N194" s="627">
        <f t="shared" si="446"/>
        <v>-2.1253985122210415E-2</v>
      </c>
      <c r="O194" s="627">
        <f t="shared" si="446"/>
        <v>-2.098635886673662E-2</v>
      </c>
      <c r="P194" s="627">
        <f t="shared" si="446"/>
        <v>-1.9853709508881923E-2</v>
      </c>
      <c r="Q194" s="626">
        <f t="shared" si="446"/>
        <v>-2.0118025751072962E-2</v>
      </c>
      <c r="R194" s="627">
        <f t="shared" si="446"/>
        <v>-2.7926960257787327E-2</v>
      </c>
      <c r="S194" s="627">
        <f t="shared" si="446"/>
        <v>-2.2750775594622543E-2</v>
      </c>
      <c r="T194" s="627">
        <f t="shared" si="446"/>
        <v>-2.0179372197309416E-2</v>
      </c>
      <c r="U194" s="627">
        <f t="shared" si="446"/>
        <v>-2.1604938271604937E-2</v>
      </c>
      <c r="V194" s="628">
        <f t="shared" si="446"/>
        <v>-2.3125996810207338E-2</v>
      </c>
      <c r="W194" s="627">
        <f t="shared" si="446"/>
        <v>-2.1321961620469083E-2</v>
      </c>
      <c r="X194" s="627">
        <f t="shared" si="446"/>
        <v>-2.1847070506454815E-2</v>
      </c>
      <c r="Y194" s="627">
        <f t="shared" si="446"/>
        <v>-1.9289340101522844E-2</v>
      </c>
      <c r="Z194" s="627">
        <f t="shared" si="446"/>
        <v>-2.0036429872495445E-2</v>
      </c>
      <c r="AA194" s="628">
        <f t="shared" si="446"/>
        <v>-2.0605759682224428E-2</v>
      </c>
      <c r="AB194" s="627">
        <f t="shared" si="446"/>
        <v>-2.2105263157894735E-2</v>
      </c>
      <c r="AC194" s="627">
        <f t="shared" si="446"/>
        <v>-1.962809917355372E-2</v>
      </c>
      <c r="AD194" s="627">
        <f t="shared" si="446"/>
        <v>-2.0608439646712464E-2</v>
      </c>
      <c r="AE194" s="627">
        <f t="shared" si="446"/>
        <v>-1.6563146997929608E-2</v>
      </c>
      <c r="AF194" s="628">
        <f t="shared" si="446"/>
        <v>-1.972841404048168E-2</v>
      </c>
      <c r="AG194" s="627">
        <f t="shared" si="446"/>
        <v>-1.9384264538198404E-2</v>
      </c>
      <c r="AH194" s="627">
        <f t="shared" ref="AH194:BJ194" si="447">AH193/SUM(AH157,AH164,AH189,AH171)</f>
        <v>-1.8218623481781375E-2</v>
      </c>
      <c r="AI194" s="627">
        <f t="shared" si="447"/>
        <v>-1.843817787418655E-2</v>
      </c>
      <c r="AJ194" s="627">
        <f t="shared" si="447"/>
        <v>-1.992966002344666E-2</v>
      </c>
      <c r="AK194" s="628">
        <f t="shared" si="447"/>
        <v>-1.8956043956043955E-2</v>
      </c>
      <c r="AL194" s="627">
        <f t="shared" si="447"/>
        <v>-2.5316455696202531E-2</v>
      </c>
      <c r="AM194" s="627">
        <f t="shared" si="447"/>
        <v>-2.3397761953204477E-2</v>
      </c>
      <c r="AN194" s="627">
        <f t="shared" si="447"/>
        <v>-2.247191011235955E-2</v>
      </c>
      <c r="AO194" s="627">
        <f t="shared" si="447"/>
        <v>-3.0398322851153039E-2</v>
      </c>
      <c r="AP194" s="628">
        <f t="shared" si="447"/>
        <v>-2.536327608982827E-2</v>
      </c>
      <c r="AQ194" s="627">
        <f t="shared" si="447"/>
        <v>-2.0247469066366704E-2</v>
      </c>
      <c r="AR194" s="627">
        <f t="shared" si="447"/>
        <v>-1.7598343685300208E-2</v>
      </c>
      <c r="AS194" s="627">
        <f t="shared" si="447"/>
        <v>-1.5763546798029555E-2</v>
      </c>
      <c r="AT194" s="627">
        <f t="shared" si="447"/>
        <v>-1.9301470588235295E-2</v>
      </c>
      <c r="AU194" s="628">
        <f t="shared" si="447"/>
        <v>-1.8177227972734158E-2</v>
      </c>
      <c r="AV194" s="627">
        <f t="shared" si="447"/>
        <v>-1.2500000000000001E-2</v>
      </c>
      <c r="AW194" s="627">
        <f t="shared" si="447"/>
        <v>-7.3461891643709825E-3</v>
      </c>
      <c r="AX194" s="627">
        <f t="shared" si="447"/>
        <v>-9.5785440613026813E-3</v>
      </c>
      <c r="AY194" s="627">
        <f t="shared" si="447"/>
        <v>-9.5602294455066923E-3</v>
      </c>
      <c r="AZ194" s="628">
        <f t="shared" si="447"/>
        <v>-9.7179426404361228E-3</v>
      </c>
      <c r="BA194" s="628">
        <f t="shared" si="447"/>
        <v>-9.4557195571955723E-3</v>
      </c>
      <c r="BB194" s="627">
        <f t="shared" si="447"/>
        <v>-1.4044943820224719E-2</v>
      </c>
      <c r="BC194" s="627">
        <f t="shared" si="447"/>
        <v>-7.4211502782931356E-3</v>
      </c>
      <c r="BD194" s="627">
        <f t="shared" si="447"/>
        <v>-8.3487940630797772E-3</v>
      </c>
      <c r="BE194" s="627">
        <f t="shared" si="447"/>
        <v>-7.1111111111111115E-3</v>
      </c>
      <c r="BF194" s="628">
        <f t="shared" si="447"/>
        <v>-9.1975166704989647E-3</v>
      </c>
      <c r="BG194" s="627">
        <f t="shared" si="447"/>
        <v>-1.7021276595744681E-2</v>
      </c>
      <c r="BH194" s="627">
        <f t="shared" si="447"/>
        <v>-7.7294685990338162E-3</v>
      </c>
      <c r="BI194" s="627">
        <f t="shared" si="447"/>
        <v>-6.8493150684931503E-3</v>
      </c>
      <c r="BJ194" s="986">
        <f t="shared" si="447"/>
        <v>-1.1583011583011582E-2</v>
      </c>
      <c r="BK194" s="628">
        <f>BK193/SUM(BK157,BK164,BK189,BK171)</f>
        <v>-1.0598834128245893E-2</v>
      </c>
      <c r="BL194" s="627">
        <f>BL193/SUM(BL157,BL164,BL189,BL171)</f>
        <v>-9.5693779904306216E-3</v>
      </c>
      <c r="BM194" s="986">
        <f>BM193/SUM(BM157,BM164,BM189,BM171)</f>
        <v>-1.1235955056179775E-2</v>
      </c>
      <c r="BN194" s="986">
        <f t="shared" ref="BN194:BP194" si="448">BN193/SUM(BN157,BN164,BN189,BN171)</f>
        <v>-1.1278195488721804E-2</v>
      </c>
      <c r="BO194" s="986">
        <f t="shared" si="448"/>
        <v>-1.4299332697807437E-2</v>
      </c>
      <c r="BP194" s="628">
        <f t="shared" si="448"/>
        <v>-1.159488878371983E-2</v>
      </c>
      <c r="BQ194" s="631">
        <v>-1.15E-2</v>
      </c>
      <c r="BR194" s="629">
        <v>-1.15E-2</v>
      </c>
      <c r="BS194" s="629">
        <v>-1.15E-2</v>
      </c>
      <c r="BT194" s="1127">
        <v>-1.15E-2</v>
      </c>
      <c r="BU194" s="1058">
        <f>BU193/SUM(BU157,BU164,BU189,BU171)</f>
        <v>-1.1500000000000002E-2</v>
      </c>
      <c r="BV194" s="631"/>
      <c r="BW194" s="629"/>
      <c r="BX194" s="629"/>
      <c r="BY194" s="629"/>
      <c r="BZ194" s="630">
        <f>BU194</f>
        <v>-1.1500000000000002E-2</v>
      </c>
      <c r="CA194" s="631"/>
      <c r="CB194" s="629"/>
      <c r="CC194" s="629"/>
      <c r="CD194" s="629"/>
      <c r="CE194" s="630">
        <f>BZ194</f>
        <v>-1.1500000000000002E-2</v>
      </c>
      <c r="CF194" s="631"/>
      <c r="CG194" s="629"/>
      <c r="CH194" s="629"/>
      <c r="CI194" s="629"/>
      <c r="CJ194" s="630">
        <f>CE194</f>
        <v>-1.1500000000000002E-2</v>
      </c>
      <c r="CK194" s="632"/>
      <c r="CL194" s="633"/>
      <c r="CM194" s="1014"/>
      <c r="CN194" s="1015"/>
      <c r="CO194" s="1015"/>
      <c r="CP194" s="1015"/>
      <c r="CQ194" s="1015"/>
      <c r="CR194" s="1015"/>
      <c r="CS194" s="1015"/>
      <c r="CT194" s="1015"/>
      <c r="CU194" s="1015"/>
      <c r="CV194" s="1015"/>
      <c r="CW194" s="633"/>
      <c r="CX194" s="632"/>
      <c r="CY194" s="632"/>
      <c r="CZ194"/>
      <c r="DA194"/>
      <c r="DB194"/>
      <c r="DC194"/>
      <c r="DD194"/>
    </row>
    <row r="195" spans="1:108" s="539" customFormat="1">
      <c r="A195" s="534" t="s">
        <v>199</v>
      </c>
      <c r="B195" s="107">
        <f t="shared" ref="B195:AG195" si="449">B198/B116</f>
        <v>9.5031128861740866E-2</v>
      </c>
      <c r="C195" s="107">
        <f t="shared" si="449"/>
        <v>0.10202869866402771</v>
      </c>
      <c r="D195" s="107">
        <f t="shared" si="449"/>
        <v>9.0757196020353911E-2</v>
      </c>
      <c r="E195" s="107">
        <f t="shared" si="449"/>
        <v>9.6625670135603914E-2</v>
      </c>
      <c r="F195" s="107">
        <f t="shared" si="449"/>
        <v>9.6340212062478628E-2</v>
      </c>
      <c r="G195" s="107">
        <f t="shared" si="449"/>
        <v>0.10166942397352985</v>
      </c>
      <c r="H195" s="108">
        <f t="shared" si="449"/>
        <v>0.10026892047637341</v>
      </c>
      <c r="I195" s="108">
        <f t="shared" si="449"/>
        <v>0.10626044956344045</v>
      </c>
      <c r="J195" s="108">
        <f t="shared" si="449"/>
        <v>0.10726580902337381</v>
      </c>
      <c r="K195" s="108">
        <f t="shared" si="449"/>
        <v>0.10755076142131979</v>
      </c>
      <c r="L195" s="107">
        <f t="shared" si="449"/>
        <v>0.10547920756737462</v>
      </c>
      <c r="M195" s="108">
        <f t="shared" si="449"/>
        <v>0.11194551170101293</v>
      </c>
      <c r="N195" s="108">
        <f t="shared" si="449"/>
        <v>0.11734181452962839</v>
      </c>
      <c r="O195" s="108">
        <f t="shared" si="449"/>
        <v>0.11650485436893204</v>
      </c>
      <c r="P195" s="108">
        <f t="shared" si="449"/>
        <v>0.10965189873417722</v>
      </c>
      <c r="Q195" s="107">
        <f t="shared" si="449"/>
        <v>0.11379687237262485</v>
      </c>
      <c r="R195" s="108">
        <f t="shared" si="449"/>
        <v>0.10735790865031576</v>
      </c>
      <c r="S195" s="108">
        <f t="shared" si="449"/>
        <v>0.11249065071054599</v>
      </c>
      <c r="T195" s="108">
        <f t="shared" si="449"/>
        <v>0.11622973177754205</v>
      </c>
      <c r="U195" s="108">
        <f t="shared" si="449"/>
        <v>0.11984516897424445</v>
      </c>
      <c r="V195" s="107">
        <f t="shared" si="449"/>
        <v>0.11395001864975755</v>
      </c>
      <c r="W195" s="108">
        <f t="shared" si="449"/>
        <v>0.11262318160488034</v>
      </c>
      <c r="X195" s="108">
        <f t="shared" si="449"/>
        <v>0.11516143431037049</v>
      </c>
      <c r="Y195" s="108">
        <f t="shared" si="449"/>
        <v>0.11696428571428572</v>
      </c>
      <c r="Z195" s="108">
        <f t="shared" si="449"/>
        <v>0.1210964134733397</v>
      </c>
      <c r="AA195" s="107">
        <f t="shared" si="449"/>
        <v>0.11661206610961829</v>
      </c>
      <c r="AB195" s="108">
        <f t="shared" si="449"/>
        <v>0.11171450737005431</v>
      </c>
      <c r="AC195" s="108">
        <f t="shared" si="449"/>
        <v>0.11671536214055052</v>
      </c>
      <c r="AD195" s="108">
        <f t="shared" si="449"/>
        <v>0.12451482689023444</v>
      </c>
      <c r="AE195" s="108">
        <f t="shared" si="449"/>
        <v>0.12249657064471879</v>
      </c>
      <c r="AF195" s="107">
        <f t="shared" si="449"/>
        <v>0.11896997638592151</v>
      </c>
      <c r="AG195" s="108">
        <f t="shared" si="449"/>
        <v>0.10174613834788448</v>
      </c>
      <c r="AH195" s="108">
        <f t="shared" ref="AH195:BI195" si="450">AH198/AH116</f>
        <v>0.11548183254344392</v>
      </c>
      <c r="AI195" s="108">
        <f t="shared" si="450"/>
        <v>0.10839619547392587</v>
      </c>
      <c r="AJ195" s="108">
        <f t="shared" si="450"/>
        <v>9.5383625542866335E-2</v>
      </c>
      <c r="AK195" s="107">
        <f t="shared" si="450"/>
        <v>0.10532092191374334</v>
      </c>
      <c r="AL195" s="108">
        <f t="shared" si="450"/>
        <v>9.9360113757554214E-2</v>
      </c>
      <c r="AM195" s="108">
        <f t="shared" si="450"/>
        <v>0.10139979515192898</v>
      </c>
      <c r="AN195" s="108">
        <f t="shared" si="450"/>
        <v>0.10807937632884479</v>
      </c>
      <c r="AO195" s="108">
        <f t="shared" si="450"/>
        <v>0.10661505981703026</v>
      </c>
      <c r="AP195" s="107">
        <f t="shared" si="450"/>
        <v>0.10384885148167632</v>
      </c>
      <c r="AQ195" s="108">
        <f t="shared" si="450"/>
        <v>9.3287170609732642E-2</v>
      </c>
      <c r="AR195" s="108">
        <f t="shared" si="450"/>
        <v>0.1062237634604855</v>
      </c>
      <c r="AS195" s="108">
        <f t="shared" si="450"/>
        <v>0.11058220432076163</v>
      </c>
      <c r="AT195" s="108">
        <f t="shared" si="450"/>
        <v>0.11149595909615702</v>
      </c>
      <c r="AU195" s="107">
        <f t="shared" si="450"/>
        <v>0.10584155294329595</v>
      </c>
      <c r="AV195" s="108">
        <f t="shared" si="450"/>
        <v>0.10729386892177589</v>
      </c>
      <c r="AW195" s="108">
        <f t="shared" si="450"/>
        <v>0.11557610241820768</v>
      </c>
      <c r="AX195" s="108">
        <f t="shared" si="450"/>
        <v>0.10936117501327199</v>
      </c>
      <c r="AY195" s="108">
        <f t="shared" si="450"/>
        <v>0.11222869242985707</v>
      </c>
      <c r="AZ195" s="107">
        <f t="shared" si="450"/>
        <v>0.11110619860288266</v>
      </c>
      <c r="BA195" s="107">
        <f t="shared" si="450"/>
        <v>0.11188285259246152</v>
      </c>
      <c r="BB195" s="108">
        <f t="shared" si="450"/>
        <v>0.11451978385915984</v>
      </c>
      <c r="BC195" s="108">
        <f t="shared" si="450"/>
        <v>0.11643464111372265</v>
      </c>
      <c r="BD195" s="108">
        <f t="shared" si="450"/>
        <v>0.11218060903045152</v>
      </c>
      <c r="BE195" s="108">
        <f t="shared" si="450"/>
        <v>0.11466134132135131</v>
      </c>
      <c r="BF195" s="107">
        <f t="shared" si="450"/>
        <v>0.11443608368492018</v>
      </c>
      <c r="BG195" s="108">
        <f t="shared" si="450"/>
        <v>0.1067603160667252</v>
      </c>
      <c r="BH195" s="108">
        <f t="shared" si="450"/>
        <v>0.11129326047358834</v>
      </c>
      <c r="BI195" s="108">
        <f t="shared" si="450"/>
        <v>0.11252616887648291</v>
      </c>
      <c r="BJ195" s="108"/>
      <c r="BK195" s="107">
        <f t="shared" ref="BK195:BN195" si="451">BK198/BK116</f>
        <v>0.10406225270377209</v>
      </c>
      <c r="BL195" s="108">
        <f t="shared" si="451"/>
        <v>0.11216694615241289</v>
      </c>
      <c r="BM195" s="108">
        <f t="shared" si="451"/>
        <v>0.11488297302126139</v>
      </c>
      <c r="BN195" s="108">
        <f t="shared" si="451"/>
        <v>0.1215756490599821</v>
      </c>
      <c r="BO195" s="108">
        <f t="shared" ref="BO195:BP195" si="452">BO198/BO116</f>
        <v>0.11262907069102462</v>
      </c>
      <c r="BP195" s="107">
        <f t="shared" si="452"/>
        <v>0.1152600245140956</v>
      </c>
      <c r="BQ195" s="109">
        <f t="shared" ref="BQ195:BU195" si="453">BQ198/BQ116</f>
        <v>0.11280441146448196</v>
      </c>
      <c r="BR195" s="108">
        <f t="shared" si="453"/>
        <v>0.10193376066576258</v>
      </c>
      <c r="BS195" s="108">
        <f t="shared" si="453"/>
        <v>0.10653211837541804</v>
      </c>
      <c r="BT195" s="535">
        <f t="shared" si="453"/>
        <v>0.10800153763319047</v>
      </c>
      <c r="BU195" s="1053">
        <f t="shared" si="453"/>
        <v>0.10704148029780544</v>
      </c>
      <c r="BV195" s="109"/>
      <c r="BW195" s="108"/>
      <c r="BX195" s="108"/>
      <c r="BY195" s="535"/>
      <c r="BZ195" s="107">
        <f>BZ198/BZ116</f>
        <v>0.11121984109359234</v>
      </c>
      <c r="CA195" s="109"/>
      <c r="CB195" s="108"/>
      <c r="CC195" s="108"/>
      <c r="CD195" s="535"/>
      <c r="CE195" s="107">
        <f>CE198/CE116</f>
        <v>0.11261472313703932</v>
      </c>
      <c r="CF195" s="109"/>
      <c r="CG195" s="108"/>
      <c r="CH195" s="108"/>
      <c r="CI195" s="535"/>
      <c r="CJ195" s="107">
        <f>CJ198/CJ116</f>
        <v>0.11226951851899718</v>
      </c>
      <c r="CK195" s="536"/>
      <c r="CL195" s="537"/>
      <c r="CM195" s="439"/>
      <c r="CN195" s="439"/>
      <c r="CO195" s="439"/>
      <c r="CP195" s="439"/>
      <c r="CQ195" s="439"/>
      <c r="CR195" s="439"/>
      <c r="CS195" s="439"/>
      <c r="CT195" s="439"/>
      <c r="CU195" s="439"/>
      <c r="CV195" s="439"/>
      <c r="CW195" s="537"/>
      <c r="CX195" s="538"/>
      <c r="CY195" s="538"/>
      <c r="CZ195"/>
      <c r="DA195"/>
      <c r="DB195"/>
      <c r="DC195"/>
      <c r="DD195"/>
    </row>
    <row r="196" spans="1:108" s="544" customFormat="1">
      <c r="A196" s="540" t="s">
        <v>24</v>
      </c>
      <c r="B196" s="199"/>
      <c r="C196" s="199">
        <f>(C195-B195)*100</f>
        <v>0.69975698022868427</v>
      </c>
      <c r="D196" s="199">
        <f>(D195-C195)*100</f>
        <v>-1.1271502643673799</v>
      </c>
      <c r="E196" s="199">
        <f>(E195-D195)*100</f>
        <v>0.5868474115250002</v>
      </c>
      <c r="F196" s="199">
        <f>(F195-E195)*100</f>
        <v>-2.8545807312528593E-2</v>
      </c>
      <c r="G196" s="199">
        <f>(G195-F195)*100</f>
        <v>0.53292119110512215</v>
      </c>
      <c r="H196" s="200"/>
      <c r="I196" s="200"/>
      <c r="J196" s="200"/>
      <c r="K196" s="200"/>
      <c r="L196" s="199">
        <f t="shared" ref="L196:AS196" si="454">(L195-G195)*100</f>
        <v>0.38097835938447761</v>
      </c>
      <c r="M196" s="200">
        <f t="shared" si="454"/>
        <v>1.1676591224639514</v>
      </c>
      <c r="N196" s="200">
        <f t="shared" si="454"/>
        <v>1.1081364966187932</v>
      </c>
      <c r="O196" s="200">
        <f t="shared" si="454"/>
        <v>0.92390453455582366</v>
      </c>
      <c r="P196" s="200">
        <f t="shared" si="454"/>
        <v>0.21011373128574234</v>
      </c>
      <c r="Q196" s="199">
        <f t="shared" si="454"/>
        <v>0.831766480525023</v>
      </c>
      <c r="R196" s="200">
        <f t="shared" si="454"/>
        <v>-0.45876030506971643</v>
      </c>
      <c r="S196" s="200">
        <f t="shared" si="454"/>
        <v>-0.48511638190823908</v>
      </c>
      <c r="T196" s="200">
        <f t="shared" si="454"/>
        <v>-2.7512259138999517E-2</v>
      </c>
      <c r="U196" s="200">
        <f t="shared" si="454"/>
        <v>1.0193270240067234</v>
      </c>
      <c r="V196" s="199">
        <f t="shared" si="454"/>
        <v>1.5314627713269857E-2</v>
      </c>
      <c r="W196" s="200">
        <f t="shared" si="454"/>
        <v>0.52652729545645816</v>
      </c>
      <c r="X196" s="200">
        <f t="shared" si="454"/>
        <v>0.26707835998244916</v>
      </c>
      <c r="Y196" s="200">
        <f t="shared" si="454"/>
        <v>7.3455393674366765E-2</v>
      </c>
      <c r="Z196" s="200">
        <f t="shared" si="454"/>
        <v>0.12512444990952498</v>
      </c>
      <c r="AA196" s="199">
        <f t="shared" si="454"/>
        <v>0.26620474598607335</v>
      </c>
      <c r="AB196" s="200">
        <f t="shared" si="454"/>
        <v>-9.0867423482603182E-2</v>
      </c>
      <c r="AC196" s="200">
        <f t="shared" si="454"/>
        <v>0.15539278301800324</v>
      </c>
      <c r="AD196" s="200">
        <f t="shared" si="454"/>
        <v>0.75505411759487218</v>
      </c>
      <c r="AE196" s="200">
        <f t="shared" si="454"/>
        <v>0.14001571713790906</v>
      </c>
      <c r="AF196" s="199">
        <f t="shared" si="454"/>
        <v>0.23579102763032211</v>
      </c>
      <c r="AG196" s="200">
        <f t="shared" si="454"/>
        <v>-0.99683690221698262</v>
      </c>
      <c r="AH196" s="200">
        <f t="shared" si="454"/>
        <v>-0.12335295971065974</v>
      </c>
      <c r="AI196" s="200">
        <f t="shared" si="454"/>
        <v>-1.6118631416308564</v>
      </c>
      <c r="AJ196" s="200">
        <f t="shared" si="454"/>
        <v>-2.7112945101852457</v>
      </c>
      <c r="AK196" s="199">
        <f t="shared" si="454"/>
        <v>-1.3649054472178166</v>
      </c>
      <c r="AL196" s="200">
        <f t="shared" si="454"/>
        <v>-0.23860245903302713</v>
      </c>
      <c r="AM196" s="200">
        <f t="shared" si="454"/>
        <v>-1.4082037391514937</v>
      </c>
      <c r="AN196" s="200">
        <f t="shared" si="454"/>
        <v>-3.16819145081082E-2</v>
      </c>
      <c r="AO196" s="200">
        <f t="shared" si="454"/>
        <v>1.1231434274163927</v>
      </c>
      <c r="AP196" s="199">
        <f t="shared" si="454"/>
        <v>-0.14720704320670269</v>
      </c>
      <c r="AQ196" s="200">
        <f>(AQ195-AL195)*100</f>
        <v>-0.60729431478215723</v>
      </c>
      <c r="AR196" s="200">
        <f t="shared" si="454"/>
        <v>0.48239683085565116</v>
      </c>
      <c r="AS196" s="200">
        <f t="shared" si="454"/>
        <v>0.25028279919168395</v>
      </c>
      <c r="AT196" s="200">
        <f t="shared" ref="AT196:AZ196" si="455">(AT195-AO195)*100</f>
        <v>0.48808992791267575</v>
      </c>
      <c r="AU196" s="199">
        <f t="shared" si="455"/>
        <v>0.19927014616196309</v>
      </c>
      <c r="AV196" s="200">
        <f t="shared" si="455"/>
        <v>1.4006698312043251</v>
      </c>
      <c r="AW196" s="200">
        <f t="shared" si="455"/>
        <v>0.93523389577221816</v>
      </c>
      <c r="AX196" s="200">
        <f t="shared" si="455"/>
        <v>-0.12210293074896433</v>
      </c>
      <c r="AY196" s="200">
        <f t="shared" si="455"/>
        <v>7.32733333700053E-2</v>
      </c>
      <c r="AZ196" s="199">
        <f t="shared" si="455"/>
        <v>0.52646456595867175</v>
      </c>
      <c r="BA196" s="199"/>
      <c r="BB196" s="200">
        <f>(BB195-AV195)*100</f>
        <v>0.72259149373839482</v>
      </c>
      <c r="BC196" s="200">
        <f>(BC195-AW195)*100</f>
        <v>8.5853869551497097E-2</v>
      </c>
      <c r="BD196" s="200">
        <f>(BD195-AX195)*100</f>
        <v>0.28194340171795312</v>
      </c>
      <c r="BE196" s="200">
        <f>(BE195-AY195)*100</f>
        <v>0.24326488914942351</v>
      </c>
      <c r="BF196" s="199">
        <f>(BF195-AZ195)*100</f>
        <v>0.33298850820375203</v>
      </c>
      <c r="BG196" s="200"/>
      <c r="BH196" s="200"/>
      <c r="BI196" s="200"/>
      <c r="BJ196" s="200"/>
      <c r="BK196" s="199">
        <f>(BK195-BA195)*100</f>
        <v>-0.78205998886894257</v>
      </c>
      <c r="BL196" s="200">
        <f>IFERROR((BL195-BG195)*100,"")</f>
        <v>0.54066300856876892</v>
      </c>
      <c r="BM196" s="200">
        <f>IF(BH195=0,"",(BM195-BH195)*100)</f>
        <v>0.35897125476730546</v>
      </c>
      <c r="BN196" s="200">
        <f>(BN195-BI195)*100</f>
        <v>0.90494801834991867</v>
      </c>
      <c r="BO196" s="200">
        <f>(BO195-BJ195)*100</f>
        <v>11.262907069102463</v>
      </c>
      <c r="BP196" s="199">
        <f>(BP195-BK195)*100</f>
        <v>1.1197771810323511</v>
      </c>
      <c r="BQ196" s="223">
        <f t="shared" ref="BQ196" si="456">IF(BL195=0,"",(BQ195-BL195)*100)</f>
        <v>6.3746531206906876E-2</v>
      </c>
      <c r="BR196" s="200">
        <f t="shared" ref="BR196" si="457">IF(BM195=0,"",(BR195-BM195)*100)</f>
        <v>-1.2949212355498814</v>
      </c>
      <c r="BS196" s="200">
        <f t="shared" ref="BS196" si="458">IF(BN195=0,"",(BS195-BN195)*100)</f>
        <v>-1.5043530684564057</v>
      </c>
      <c r="BT196" s="541">
        <f t="shared" ref="BT196" si="459">IF(BO195=0,"",(BT195-BO195)*100)</f>
        <v>-0.46275330578341572</v>
      </c>
      <c r="BU196" s="1054">
        <f>(BU195-BP195)*100</f>
        <v>-0.82185442162901601</v>
      </c>
      <c r="BV196" s="223"/>
      <c r="BW196" s="200"/>
      <c r="BX196" s="200"/>
      <c r="BY196" s="541"/>
      <c r="BZ196" s="199">
        <f>(BZ195-BU195)*100</f>
        <v>0.41783607957869007</v>
      </c>
      <c r="CA196" s="223"/>
      <c r="CB196" s="200"/>
      <c r="CC196" s="200"/>
      <c r="CD196" s="541"/>
      <c r="CE196" s="199">
        <f>(CE195-BZ195)*100</f>
        <v>0.13948820434469822</v>
      </c>
      <c r="CF196" s="223"/>
      <c r="CG196" s="200"/>
      <c r="CH196" s="200"/>
      <c r="CI196" s="541"/>
      <c r="CJ196" s="199">
        <f>(CJ195-CE195)*100</f>
        <v>-3.4520461804214697E-2</v>
      </c>
      <c r="CK196" s="542"/>
      <c r="CL196" s="543"/>
      <c r="CM196" s="698"/>
      <c r="CN196" s="1016"/>
      <c r="CO196" s="1016"/>
      <c r="CP196" s="1017"/>
      <c r="CQ196" s="1017"/>
      <c r="CR196" s="1016"/>
      <c r="CS196" s="1016"/>
      <c r="CT196" s="1016"/>
      <c r="CU196" s="1016"/>
      <c r="CV196" s="1016"/>
      <c r="CW196" s="543"/>
      <c r="CX196" s="200"/>
      <c r="CY196" s="200"/>
      <c r="CZ196"/>
      <c r="DA196"/>
      <c r="DB196"/>
      <c r="DC196"/>
      <c r="DD196"/>
    </row>
    <row r="197" spans="1:108" s="205" customFormat="1">
      <c r="A197" s="117" t="s">
        <v>25</v>
      </c>
      <c r="B197" s="201"/>
      <c r="C197" s="201">
        <f>(C198-B198)/(C116-B116)</f>
        <v>0.13944723618090452</v>
      </c>
      <c r="D197" s="201">
        <f>(D198-C198)/(D116-C116)</f>
        <v>5.3559764859568912E-2</v>
      </c>
      <c r="E197" s="201">
        <f>(E198-D198)/(E116-D116)</f>
        <v>0.12537202380952381</v>
      </c>
      <c r="F197" s="201">
        <f>(F198-E198)/(F116-E116)</f>
        <v>9.3657379964433907E-2</v>
      </c>
      <c r="G197" s="201">
        <f>(G198-F198)/(G116-F116)</f>
        <v>0.14054054054054055</v>
      </c>
      <c r="H197" s="202"/>
      <c r="I197" s="202"/>
      <c r="J197" s="202"/>
      <c r="K197" s="202"/>
      <c r="L197" s="201">
        <f t="shared" ref="L197:AY197" si="460">(L198-G198)/(L116-G116)</f>
        <v>0.13630831643002028</v>
      </c>
      <c r="M197" s="202">
        <f t="shared" si="460"/>
        <v>0.22884615384615384</v>
      </c>
      <c r="N197" s="202">
        <f t="shared" si="460"/>
        <v>0.21827411167512689</v>
      </c>
      <c r="O197" s="202">
        <f t="shared" si="460"/>
        <v>0.32128514056224899</v>
      </c>
      <c r="P197" s="202">
        <f t="shared" si="460"/>
        <v>0.9375</v>
      </c>
      <c r="Q197" s="201">
        <f t="shared" si="460"/>
        <v>0.24927325581395349</v>
      </c>
      <c r="R197" s="202">
        <f t="shared" si="460"/>
        <v>8.3102493074792241E-2</v>
      </c>
      <c r="S197" s="202">
        <f t="shared" si="460"/>
        <v>7.1729957805907171E-2</v>
      </c>
      <c r="T197" s="202">
        <f t="shared" si="460"/>
        <v>0.11432009626955475</v>
      </c>
      <c r="U197" s="202">
        <f t="shared" si="460"/>
        <v>0.28211586901763225</v>
      </c>
      <c r="V197" s="201">
        <f t="shared" si="460"/>
        <v>0.11515552614162806</v>
      </c>
      <c r="W197" s="202">
        <f t="shared" si="460"/>
        <v>2.6442307692307692E-2</v>
      </c>
      <c r="X197" s="202">
        <f t="shared" si="460"/>
        <v>0.61111111111111116</v>
      </c>
      <c r="Y197" s="202">
        <f t="shared" si="460"/>
        <v>0.15702479338842976</v>
      </c>
      <c r="Z197" s="202">
        <f t="shared" si="460"/>
        <v>0.13474025974025974</v>
      </c>
      <c r="AA197" s="201">
        <f t="shared" si="460"/>
        <v>0.31652661064425769</v>
      </c>
      <c r="AB197" s="202">
        <f t="shared" si="460"/>
        <v>0</v>
      </c>
      <c r="AC197" s="202">
        <f t="shared" si="460"/>
        <v>6.8807339449541288E-2</v>
      </c>
      <c r="AD197" s="202">
        <f t="shared" si="460"/>
        <v>-5.7347670250896057E-2</v>
      </c>
      <c r="AE197" s="202">
        <f t="shared" si="460"/>
        <v>-0.11627906976744186</v>
      </c>
      <c r="AF197" s="201">
        <f t="shared" si="460"/>
        <v>-1.2295081967213115E-2</v>
      </c>
      <c r="AG197" s="202">
        <f t="shared" si="460"/>
        <v>0.23312883435582821</v>
      </c>
      <c r="AH197" s="202">
        <f t="shared" si="460"/>
        <v>0.16184971098265896</v>
      </c>
      <c r="AI197" s="202">
        <f t="shared" si="460"/>
        <v>0.41107871720116618</v>
      </c>
      <c r="AJ197" s="202">
        <f t="shared" si="460"/>
        <v>0.27958993476234856</v>
      </c>
      <c r="AK197" s="201">
        <f t="shared" si="460"/>
        <v>0.28055822906641004</v>
      </c>
      <c r="AL197" s="202">
        <f t="shared" si="460"/>
        <v>0.14242424242424243</v>
      </c>
      <c r="AM197" s="202">
        <f t="shared" si="460"/>
        <v>0.2902542372881356</v>
      </c>
      <c r="AN197" s="202">
        <f t="shared" si="460"/>
        <v>0.11233480176211454</v>
      </c>
      <c r="AO197" s="202">
        <f t="shared" si="460"/>
        <v>-2.4390243902439025E-2</v>
      </c>
      <c r="AP197" s="201">
        <f t="shared" si="460"/>
        <v>0.12409167132476244</v>
      </c>
      <c r="AQ197" s="202">
        <f t="shared" si="460"/>
        <v>0.17330210772833723</v>
      </c>
      <c r="AR197" s="202">
        <f t="shared" si="460"/>
        <v>3.1662269129287601E-2</v>
      </c>
      <c r="AS197" s="202">
        <f t="shared" si="460"/>
        <v>3.2967032967032968E-2</v>
      </c>
      <c r="AT197" s="202">
        <f t="shared" si="460"/>
        <v>0.18469656992084432</v>
      </c>
      <c r="AU197" s="201">
        <f t="shared" si="460"/>
        <v>3.1198686371100164E-2</v>
      </c>
      <c r="AV197" s="202">
        <f t="shared" si="460"/>
        <v>0.25995807127882598</v>
      </c>
      <c r="AW197" s="202">
        <f t="shared" si="460"/>
        <v>0.4689655172413793</v>
      </c>
      <c r="AX197" s="202">
        <f t="shared" si="460"/>
        <v>7.407407407407407E-2</v>
      </c>
      <c r="AY197" s="202">
        <f t="shared" si="460"/>
        <v>0.10101010101010101</v>
      </c>
      <c r="AZ197" s="201">
        <f>(AZ198-AU198)/(AZ116-AU116)</f>
        <v>0.39277108433734942</v>
      </c>
      <c r="BA197" s="201"/>
      <c r="BB197" s="202">
        <f>(BB198-AV198)/(BB116-AV116)</f>
        <v>0.78688524590163933</v>
      </c>
      <c r="BC197" s="202">
        <f>(BC198-AW198)/(BC116-AW116)</f>
        <v>6.4516129032258063E-2</v>
      </c>
      <c r="BD197" s="202">
        <f>(BD198-AX198)/(BD116-AX116)</f>
        <v>0.36507936507936506</v>
      </c>
      <c r="BE197" s="202">
        <f>(BE198-AY198)/(BE116-AY116)</f>
        <v>0.15497076023391812</v>
      </c>
      <c r="BF197" s="201">
        <f>(BF198-AZ198)/(BF116-AZ116)</f>
        <v>0.3163538873994638</v>
      </c>
      <c r="BG197" s="202"/>
      <c r="BH197" s="202"/>
      <c r="BI197" s="202"/>
      <c r="BJ197" s="202"/>
      <c r="BK197" s="201">
        <f>(BK198-BA198)/(BK116-BA116)</f>
        <v>-1.1408450704225352</v>
      </c>
      <c r="BL197" s="202">
        <f>(BL198-BB198)/(BL116-BB116)</f>
        <v>0.14864864864864866</v>
      </c>
      <c r="BM197" s="202">
        <f>(BM198-BC198)/(BM116-BC116)</f>
        <v>-1.5151515151515152E-2</v>
      </c>
      <c r="BN197" s="202">
        <f t="shared" ref="BN197:BU197" si="461">(BN198-BI198)/(BN116-BI116)</f>
        <v>-0.23129251700680273</v>
      </c>
      <c r="BO197" s="202">
        <f t="shared" si="461"/>
        <v>0.44206008583690987</v>
      </c>
      <c r="BP197" s="201">
        <f t="shared" si="461"/>
        <v>2.7142857142857144</v>
      </c>
      <c r="BQ197" s="203">
        <f t="shared" si="461"/>
        <v>0.12566393535049852</v>
      </c>
      <c r="BR197" s="202">
        <f t="shared" si="461"/>
        <v>5.4447263244794465E-2</v>
      </c>
      <c r="BS197" s="687">
        <f t="shared" si="461"/>
        <v>5.1447661382321687E-2</v>
      </c>
      <c r="BT197" s="1125">
        <f t="shared" si="461"/>
        <v>8.934296676338524E-2</v>
      </c>
      <c r="BU197" s="1055">
        <f t="shared" si="461"/>
        <v>6.8559799540870811E-2</v>
      </c>
      <c r="BV197" s="203"/>
      <c r="BW197" s="202"/>
      <c r="BX197" s="202"/>
      <c r="BY197" s="202"/>
      <c r="BZ197" s="201">
        <f>(BZ198-BU198)/(BZ116-BU116)</f>
        <v>0.1505234997385656</v>
      </c>
      <c r="CA197" s="203"/>
      <c r="CB197" s="202"/>
      <c r="CC197" s="202"/>
      <c r="CD197" s="202"/>
      <c r="CE197" s="201">
        <f>(CE198-BZ198)/(CE116-BZ116)</f>
        <v>0.13713941677105365</v>
      </c>
      <c r="CF197" s="203"/>
      <c r="CG197" s="202"/>
      <c r="CH197" s="202"/>
      <c r="CI197" s="202"/>
      <c r="CJ197" s="201">
        <f>(CJ198-CE198)/(CJ116-CE116)</f>
        <v>0.10598864964784749</v>
      </c>
      <c r="CK197" s="204"/>
      <c r="CL197" s="239"/>
      <c r="CM197" s="661"/>
      <c r="CN197" s="661"/>
      <c r="CO197" s="1012"/>
      <c r="CP197" s="1012"/>
      <c r="CQ197" s="1012"/>
      <c r="CR197" s="1012"/>
      <c r="CS197" s="1012"/>
      <c r="CT197" s="1012"/>
      <c r="CU197" s="1012"/>
      <c r="CV197" s="1012"/>
      <c r="CW197" s="239"/>
      <c r="CX197" s="204"/>
      <c r="CY197" s="204"/>
      <c r="CZ197"/>
      <c r="DA197"/>
      <c r="DB197"/>
      <c r="DC197"/>
      <c r="DD197"/>
    </row>
    <row r="198" spans="1:108" s="539" customFormat="1">
      <c r="A198" s="545" t="s">
        <v>99</v>
      </c>
      <c r="B198" s="146">
        <f t="shared" ref="B198:BM198" si="462">SUM(B164,B189,B171,B180)</f>
        <v>809</v>
      </c>
      <c r="C198" s="146">
        <f t="shared" si="462"/>
        <v>1031</v>
      </c>
      <c r="D198" s="146">
        <f t="shared" si="462"/>
        <v>1195</v>
      </c>
      <c r="E198" s="146">
        <f t="shared" si="462"/>
        <v>1532</v>
      </c>
      <c r="F198" s="146">
        <f t="shared" si="462"/>
        <v>1690</v>
      </c>
      <c r="G198" s="146">
        <f t="shared" si="462"/>
        <v>2028</v>
      </c>
      <c r="H198" s="148">
        <f t="shared" si="462"/>
        <v>522</v>
      </c>
      <c r="I198" s="148">
        <f t="shared" si="462"/>
        <v>572</v>
      </c>
      <c r="J198" s="148">
        <f t="shared" si="462"/>
        <v>592</v>
      </c>
      <c r="K198" s="148">
        <f t="shared" si="462"/>
        <v>678</v>
      </c>
      <c r="L198" s="146">
        <f t="shared" si="462"/>
        <v>2364</v>
      </c>
      <c r="M198" s="148">
        <f t="shared" si="462"/>
        <v>641</v>
      </c>
      <c r="N198" s="148">
        <f t="shared" si="462"/>
        <v>701</v>
      </c>
      <c r="O198" s="148">
        <f t="shared" si="462"/>
        <v>672</v>
      </c>
      <c r="P198" s="148">
        <f t="shared" si="462"/>
        <v>693</v>
      </c>
      <c r="Q198" s="146">
        <f t="shared" si="462"/>
        <v>2707</v>
      </c>
      <c r="R198" s="148">
        <f t="shared" si="462"/>
        <v>731</v>
      </c>
      <c r="S198" s="148">
        <f t="shared" si="462"/>
        <v>752</v>
      </c>
      <c r="T198" s="148">
        <f t="shared" si="462"/>
        <v>767</v>
      </c>
      <c r="U198" s="148">
        <f t="shared" si="462"/>
        <v>805</v>
      </c>
      <c r="V198" s="146">
        <f t="shared" si="462"/>
        <v>3055</v>
      </c>
      <c r="W198" s="148">
        <f t="shared" si="462"/>
        <v>720</v>
      </c>
      <c r="X198" s="148">
        <f t="shared" si="462"/>
        <v>774</v>
      </c>
      <c r="Y198" s="148">
        <f t="shared" si="462"/>
        <v>786</v>
      </c>
      <c r="Z198" s="148">
        <f t="shared" si="462"/>
        <v>888</v>
      </c>
      <c r="AA198" s="146">
        <f t="shared" si="462"/>
        <v>3168</v>
      </c>
      <c r="AB198" s="148">
        <f t="shared" si="462"/>
        <v>720</v>
      </c>
      <c r="AC198" s="148">
        <f t="shared" si="462"/>
        <v>759</v>
      </c>
      <c r="AD198" s="148">
        <f t="shared" si="462"/>
        <v>802</v>
      </c>
      <c r="AE198" s="148">
        <f t="shared" si="462"/>
        <v>893</v>
      </c>
      <c r="AF198" s="146">
        <f t="shared" si="462"/>
        <v>3174</v>
      </c>
      <c r="AG198" s="148">
        <f t="shared" si="462"/>
        <v>606</v>
      </c>
      <c r="AH198" s="148">
        <f t="shared" si="462"/>
        <v>731</v>
      </c>
      <c r="AI198" s="148">
        <f t="shared" si="462"/>
        <v>661</v>
      </c>
      <c r="AJ198" s="148">
        <f t="shared" si="462"/>
        <v>593</v>
      </c>
      <c r="AK198" s="146">
        <f t="shared" si="462"/>
        <v>2591</v>
      </c>
      <c r="AL198" s="149">
        <f t="shared" si="462"/>
        <v>559</v>
      </c>
      <c r="AM198" s="148">
        <f t="shared" si="462"/>
        <v>594</v>
      </c>
      <c r="AN198" s="148">
        <f t="shared" si="462"/>
        <v>610</v>
      </c>
      <c r="AO198" s="546">
        <f t="shared" si="462"/>
        <v>606</v>
      </c>
      <c r="AP198" s="146">
        <f t="shared" si="462"/>
        <v>2369</v>
      </c>
      <c r="AQ198" s="148">
        <f t="shared" si="462"/>
        <v>485</v>
      </c>
      <c r="AR198" s="148">
        <f t="shared" si="462"/>
        <v>582</v>
      </c>
      <c r="AS198" s="148">
        <f t="shared" si="462"/>
        <v>604</v>
      </c>
      <c r="AT198" s="546">
        <f t="shared" si="462"/>
        <v>676</v>
      </c>
      <c r="AU198" s="146">
        <f t="shared" si="462"/>
        <v>2350</v>
      </c>
      <c r="AV198" s="148">
        <f t="shared" si="462"/>
        <v>609</v>
      </c>
      <c r="AW198" s="148">
        <f t="shared" si="462"/>
        <v>650</v>
      </c>
      <c r="AX198" s="148">
        <f t="shared" si="462"/>
        <v>618</v>
      </c>
      <c r="AY198" s="546">
        <f t="shared" si="462"/>
        <v>636</v>
      </c>
      <c r="AZ198" s="146">
        <f t="shared" si="462"/>
        <v>2513</v>
      </c>
      <c r="BA198" s="146">
        <f t="shared" si="462"/>
        <v>2529</v>
      </c>
      <c r="BB198" s="148">
        <f t="shared" si="462"/>
        <v>657</v>
      </c>
      <c r="BC198" s="148">
        <f t="shared" si="462"/>
        <v>644</v>
      </c>
      <c r="BD198" s="148">
        <f t="shared" si="462"/>
        <v>641</v>
      </c>
      <c r="BE198" s="546">
        <f t="shared" si="462"/>
        <v>689</v>
      </c>
      <c r="BF198" s="146">
        <f t="shared" si="462"/>
        <v>2631</v>
      </c>
      <c r="BG198" s="148">
        <f t="shared" si="462"/>
        <v>608</v>
      </c>
      <c r="BH198" s="148">
        <f t="shared" si="462"/>
        <v>611</v>
      </c>
      <c r="BI198" s="148">
        <f t="shared" si="462"/>
        <v>645</v>
      </c>
      <c r="BJ198" s="546">
        <f t="shared" si="462"/>
        <v>503</v>
      </c>
      <c r="BK198" s="146">
        <f t="shared" si="462"/>
        <v>2367</v>
      </c>
      <c r="BL198" s="148">
        <f t="shared" si="462"/>
        <v>602</v>
      </c>
      <c r="BM198" s="148">
        <f t="shared" si="462"/>
        <v>643</v>
      </c>
      <c r="BN198" s="148">
        <f t="shared" ref="BN198:BR198" si="463">SUM(BN164,BN189,BN171,BN180)</f>
        <v>679</v>
      </c>
      <c r="BO198" s="148">
        <f t="shared" si="463"/>
        <v>709</v>
      </c>
      <c r="BP198" s="146">
        <f t="shared" si="463"/>
        <v>2633</v>
      </c>
      <c r="BQ198" s="149">
        <f t="shared" si="463"/>
        <v>635.43289000000004</v>
      </c>
      <c r="BR198" s="148">
        <f t="shared" si="463"/>
        <v>726.10068000000001</v>
      </c>
      <c r="BS198" s="742">
        <f>SUM(BS164,BS189,BS171,BS180)</f>
        <v>757.47106000000008</v>
      </c>
      <c r="BT198" s="546">
        <f t="shared" ref="BT198:BU198" si="464">SUM(BT164,BT189,BT171,BT180)</f>
        <v>848.48491999999999</v>
      </c>
      <c r="BU198" s="1059">
        <f t="shared" si="464"/>
        <v>2967.4895500000002</v>
      </c>
      <c r="BV198" s="149"/>
      <c r="BW198" s="148"/>
      <c r="BX198" s="148"/>
      <c r="BY198" s="546"/>
      <c r="BZ198" s="1059">
        <f>SUM(BZ164,BZ189,BZ171,BZ180)</f>
        <v>3411.1128600000002</v>
      </c>
      <c r="CA198" s="149"/>
      <c r="CB198" s="148"/>
      <c r="CC198" s="148"/>
      <c r="CD198" s="546"/>
      <c r="CE198" s="1059">
        <f>SUM(CE164,CE189,CE171,CE180)</f>
        <v>3650.3397582500006</v>
      </c>
      <c r="CF198" s="149"/>
      <c r="CG198" s="148"/>
      <c r="CH198" s="148"/>
      <c r="CI198" s="546"/>
      <c r="CJ198" s="1314">
        <f>SUM(CJ164,CJ189,CJ171,CJ180)</f>
        <v>3839.1625196760006</v>
      </c>
      <c r="CK198" s="574"/>
      <c r="CL198" s="537"/>
      <c r="CM198" s="439"/>
      <c r="CN198" s="439"/>
      <c r="CO198" s="439"/>
      <c r="CP198" s="439"/>
      <c r="CQ198" s="439"/>
      <c r="CR198" s="439"/>
      <c r="CS198" s="439"/>
      <c r="CT198" s="439"/>
      <c r="CU198" s="439"/>
      <c r="CV198" s="439"/>
      <c r="CW198" s="537"/>
      <c r="CX198" s="538"/>
      <c r="CY198" s="538"/>
      <c r="CZ198"/>
      <c r="DA198"/>
      <c r="DB198"/>
      <c r="DC198"/>
      <c r="DD198"/>
    </row>
    <row r="199" spans="1:108" s="539" customFormat="1">
      <c r="A199" s="171" t="s">
        <v>21</v>
      </c>
      <c r="B199" s="193"/>
      <c r="C199" s="193">
        <f>C198/B198-1</f>
        <v>0.27441285537700866</v>
      </c>
      <c r="D199" s="193">
        <f>D198/C198-1</f>
        <v>0.15906886517943741</v>
      </c>
      <c r="E199" s="193">
        <f>E198/D198-1</f>
        <v>0.28200836820083675</v>
      </c>
      <c r="F199" s="193">
        <f>F198/E198-1</f>
        <v>0.10313315926892952</v>
      </c>
      <c r="G199" s="193">
        <f>G198/F198-1</f>
        <v>0.19999999999999996</v>
      </c>
      <c r="H199" s="547"/>
      <c r="I199" s="194"/>
      <c r="J199" s="194"/>
      <c r="K199" s="194"/>
      <c r="L199" s="193">
        <f t="shared" ref="L199:AS199" si="465">L198/G198-1</f>
        <v>0.16568047337278102</v>
      </c>
      <c r="M199" s="194">
        <f t="shared" si="465"/>
        <v>0.22796934865900376</v>
      </c>
      <c r="N199" s="194">
        <f t="shared" si="465"/>
        <v>0.22552447552447563</v>
      </c>
      <c r="O199" s="194">
        <f t="shared" si="465"/>
        <v>0.13513513513513509</v>
      </c>
      <c r="P199" s="194">
        <f t="shared" si="465"/>
        <v>2.2123893805309658E-2</v>
      </c>
      <c r="Q199" s="193">
        <f t="shared" si="465"/>
        <v>0.14509306260575294</v>
      </c>
      <c r="R199" s="194">
        <f t="shared" si="465"/>
        <v>0.14040561622464898</v>
      </c>
      <c r="S199" s="194">
        <f t="shared" si="465"/>
        <v>7.2753209700427979E-2</v>
      </c>
      <c r="T199" s="194">
        <f t="shared" si="465"/>
        <v>0.14136904761904767</v>
      </c>
      <c r="U199" s="194">
        <f t="shared" si="465"/>
        <v>0.16161616161616155</v>
      </c>
      <c r="V199" s="193">
        <f t="shared" si="465"/>
        <v>0.12855559660140381</v>
      </c>
      <c r="W199" s="194">
        <f t="shared" si="465"/>
        <v>-1.5047879616963078E-2</v>
      </c>
      <c r="X199" s="194">
        <f t="shared" si="465"/>
        <v>2.9255319148936199E-2</v>
      </c>
      <c r="Y199" s="194">
        <f t="shared" si="465"/>
        <v>2.4771838331160367E-2</v>
      </c>
      <c r="Z199" s="194">
        <f t="shared" si="465"/>
        <v>0.10310559006211184</v>
      </c>
      <c r="AA199" s="193">
        <f t="shared" si="465"/>
        <v>3.698854337152202E-2</v>
      </c>
      <c r="AB199" s="194">
        <f t="shared" si="465"/>
        <v>0</v>
      </c>
      <c r="AC199" s="194">
        <f t="shared" si="465"/>
        <v>-1.9379844961240345E-2</v>
      </c>
      <c r="AD199" s="194">
        <f t="shared" si="465"/>
        <v>2.0356234096692072E-2</v>
      </c>
      <c r="AE199" s="194">
        <f t="shared" si="465"/>
        <v>5.6306306306306286E-3</v>
      </c>
      <c r="AF199" s="193">
        <f t="shared" si="465"/>
        <v>1.8939393939394478E-3</v>
      </c>
      <c r="AG199" s="194">
        <f t="shared" si="465"/>
        <v>-0.15833333333333333</v>
      </c>
      <c r="AH199" s="194">
        <f t="shared" si="465"/>
        <v>-3.6890645586297732E-2</v>
      </c>
      <c r="AI199" s="194">
        <f t="shared" si="465"/>
        <v>-0.17581047381546133</v>
      </c>
      <c r="AJ199" s="194">
        <f t="shared" si="465"/>
        <v>-0.33594624860022393</v>
      </c>
      <c r="AK199" s="193">
        <f t="shared" si="465"/>
        <v>-0.18367989918084437</v>
      </c>
      <c r="AL199" s="194">
        <f t="shared" si="465"/>
        <v>-7.7557755775577553E-2</v>
      </c>
      <c r="AM199" s="194">
        <f t="shared" si="465"/>
        <v>-0.18741450068399457</v>
      </c>
      <c r="AN199" s="194">
        <f t="shared" si="465"/>
        <v>-7.7155824508320703E-2</v>
      </c>
      <c r="AO199" s="194">
        <f t="shared" si="465"/>
        <v>2.1922428330522825E-2</v>
      </c>
      <c r="AP199" s="193">
        <f t="shared" si="465"/>
        <v>-8.5681204168274849E-2</v>
      </c>
      <c r="AQ199" s="194">
        <f>AQ198/AL198-1</f>
        <v>-0.1323792486583184</v>
      </c>
      <c r="AR199" s="194">
        <f t="shared" si="465"/>
        <v>-2.0202020202020221E-2</v>
      </c>
      <c r="AS199" s="194">
        <f t="shared" si="465"/>
        <v>-9.8360655737704805E-3</v>
      </c>
      <c r="AT199" s="194">
        <f t="shared" ref="AT199:AZ199" si="466">AT198/AO198-1</f>
        <v>0.11551155115511547</v>
      </c>
      <c r="AU199" s="193">
        <f t="shared" si="466"/>
        <v>-8.0202617138033228E-3</v>
      </c>
      <c r="AV199" s="194">
        <f t="shared" si="466"/>
        <v>0.25567010309278349</v>
      </c>
      <c r="AW199" s="194">
        <f t="shared" si="466"/>
        <v>0.11683848797250862</v>
      </c>
      <c r="AX199" s="194">
        <f t="shared" si="466"/>
        <v>2.3178807947019875E-2</v>
      </c>
      <c r="AY199" s="194">
        <f t="shared" si="466"/>
        <v>-5.9171597633136064E-2</v>
      </c>
      <c r="AZ199" s="193">
        <f t="shared" si="466"/>
        <v>6.9361702127659575E-2</v>
      </c>
      <c r="BA199" s="193"/>
      <c r="BB199" s="194">
        <f>BB198/AV198-1</f>
        <v>7.8817733990147687E-2</v>
      </c>
      <c r="BC199" s="194">
        <f>BC198/AW198-1</f>
        <v>-9.2307692307692646E-3</v>
      </c>
      <c r="BD199" s="194">
        <f>BD198/AX198-1</f>
        <v>3.7216828478964459E-2</v>
      </c>
      <c r="BE199" s="194">
        <f>BE198/AY198-1</f>
        <v>8.3333333333333259E-2</v>
      </c>
      <c r="BF199" s="193">
        <f>BF198/AZ198-1</f>
        <v>4.695582968563472E-2</v>
      </c>
      <c r="BG199" s="194"/>
      <c r="BH199" s="194"/>
      <c r="BI199" s="194"/>
      <c r="BJ199" s="194"/>
      <c r="BK199" s="29">
        <f>BK198/BA198-1</f>
        <v>-6.4056939501779375E-2</v>
      </c>
      <c r="BL199" s="194">
        <f>BL198/BB198-1</f>
        <v>-8.3713850837138559E-2</v>
      </c>
      <c r="BM199" s="194">
        <f>BM198/BC198-1</f>
        <v>-1.5527950310558758E-3</v>
      </c>
      <c r="BN199" s="194">
        <f>BN198/BI198-1</f>
        <v>5.2713178294573559E-2</v>
      </c>
      <c r="BO199" s="194">
        <f>BO198/BJ198-1</f>
        <v>0.4095427435387673</v>
      </c>
      <c r="BP199" s="193">
        <f>BP198/BK198-1</f>
        <v>0.11237853823405164</v>
      </c>
      <c r="BQ199" s="195">
        <f t="shared" ref="BQ199:BU199" si="467">BQ198/BL198-1</f>
        <v>5.5536362126245908E-2</v>
      </c>
      <c r="BR199" s="194">
        <f t="shared" si="467"/>
        <v>0.12923900466562999</v>
      </c>
      <c r="BS199" s="527">
        <f t="shared" si="467"/>
        <v>0.11556857142857146</v>
      </c>
      <c r="BT199" s="548">
        <f t="shared" si="467"/>
        <v>0.19673472496473909</v>
      </c>
      <c r="BU199" s="1041">
        <f t="shared" si="467"/>
        <v>0.12703742878845437</v>
      </c>
      <c r="BV199" s="195"/>
      <c r="BW199" s="194"/>
      <c r="BX199" s="194"/>
      <c r="BY199" s="548"/>
      <c r="BZ199" s="193">
        <f>BZ198/BU198-1</f>
        <v>0.14949448094939366</v>
      </c>
      <c r="CA199" s="195"/>
      <c r="CB199" s="194"/>
      <c r="CC199" s="194"/>
      <c r="CD199" s="548"/>
      <c r="CE199" s="193">
        <f>CE198/BZ198-1</f>
        <v>7.0131628025347892E-2</v>
      </c>
      <c r="CF199" s="195"/>
      <c r="CG199" s="194"/>
      <c r="CH199" s="194"/>
      <c r="CI199" s="548"/>
      <c r="CJ199" s="193">
        <f>CJ198/CE198-1</f>
        <v>5.1727448383194652E-2</v>
      </c>
      <c r="CK199" s="202"/>
      <c r="CL199" s="537"/>
      <c r="CM199" s="549"/>
      <c r="CN199" s="439"/>
      <c r="CO199" s="439"/>
      <c r="CP199" s="439"/>
      <c r="CQ199" s="439"/>
      <c r="CR199" s="439"/>
      <c r="CS199" s="439"/>
      <c r="CT199" s="439"/>
      <c r="CU199" s="439"/>
      <c r="CV199" s="439"/>
      <c r="CW199" s="537"/>
      <c r="CX199" s="538"/>
      <c r="CY199" s="538"/>
      <c r="CZ199"/>
      <c r="DA199"/>
      <c r="DB199"/>
      <c r="DC199"/>
      <c r="DD199"/>
    </row>
    <row r="200" spans="1:108" s="552" customFormat="1">
      <c r="A200" s="147" t="s">
        <v>200</v>
      </c>
      <c r="B200" s="146">
        <f t="shared" ref="B200:BM200" si="468">SUM(B166,B191,B173,B184)</f>
        <v>7704</v>
      </c>
      <c r="C200" s="146">
        <f t="shared" si="468"/>
        <v>9074</v>
      </c>
      <c r="D200" s="146">
        <f t="shared" si="468"/>
        <v>11972</v>
      </c>
      <c r="E200" s="146">
        <f t="shared" si="468"/>
        <v>14323</v>
      </c>
      <c r="F200" s="146">
        <f t="shared" si="468"/>
        <v>15852</v>
      </c>
      <c r="G200" s="146">
        <f t="shared" si="468"/>
        <v>17919</v>
      </c>
      <c r="H200" s="148">
        <f t="shared" si="468"/>
        <v>4684</v>
      </c>
      <c r="I200" s="148">
        <f t="shared" si="468"/>
        <v>4811</v>
      </c>
      <c r="J200" s="148">
        <f t="shared" si="468"/>
        <v>4927</v>
      </c>
      <c r="K200" s="148">
        <f t="shared" si="468"/>
        <v>5626</v>
      </c>
      <c r="L200" s="146">
        <f t="shared" si="468"/>
        <v>20048</v>
      </c>
      <c r="M200" s="148">
        <f t="shared" si="468"/>
        <v>5085</v>
      </c>
      <c r="N200" s="148">
        <f t="shared" si="468"/>
        <v>5273</v>
      </c>
      <c r="O200" s="148">
        <f t="shared" si="468"/>
        <v>5096</v>
      </c>
      <c r="P200" s="148">
        <f t="shared" si="468"/>
        <v>5627</v>
      </c>
      <c r="Q200" s="146">
        <f t="shared" si="468"/>
        <v>21081</v>
      </c>
      <c r="R200" s="148">
        <f t="shared" si="468"/>
        <v>6078</v>
      </c>
      <c r="S200" s="148">
        <f t="shared" si="468"/>
        <v>5933</v>
      </c>
      <c r="T200" s="148">
        <f t="shared" si="468"/>
        <v>5832</v>
      </c>
      <c r="U200" s="148">
        <f t="shared" si="468"/>
        <v>5912</v>
      </c>
      <c r="V200" s="146">
        <f t="shared" si="468"/>
        <v>23755</v>
      </c>
      <c r="W200" s="148">
        <f t="shared" si="468"/>
        <v>5673</v>
      </c>
      <c r="X200" s="148">
        <f t="shared" si="468"/>
        <v>5947</v>
      </c>
      <c r="Y200" s="148">
        <f t="shared" si="468"/>
        <v>5934</v>
      </c>
      <c r="Z200" s="148">
        <f t="shared" si="468"/>
        <v>6445</v>
      </c>
      <c r="AA200" s="146">
        <f t="shared" si="468"/>
        <v>23999</v>
      </c>
      <c r="AB200" s="148">
        <f t="shared" si="468"/>
        <v>5725</v>
      </c>
      <c r="AC200" s="148">
        <f t="shared" si="468"/>
        <v>5744</v>
      </c>
      <c r="AD200" s="148">
        <f t="shared" si="468"/>
        <v>5639</v>
      </c>
      <c r="AE200" s="148">
        <f t="shared" si="468"/>
        <v>6397</v>
      </c>
      <c r="AF200" s="146">
        <f t="shared" si="468"/>
        <v>23505</v>
      </c>
      <c r="AG200" s="148">
        <f t="shared" si="468"/>
        <v>5350</v>
      </c>
      <c r="AH200" s="148">
        <f t="shared" si="468"/>
        <v>5599</v>
      </c>
      <c r="AI200" s="148">
        <f t="shared" si="468"/>
        <v>5437</v>
      </c>
      <c r="AJ200" s="148">
        <f t="shared" si="468"/>
        <v>5624</v>
      </c>
      <c r="AK200" s="146">
        <f t="shared" si="468"/>
        <v>22010</v>
      </c>
      <c r="AL200" s="148">
        <f t="shared" si="468"/>
        <v>5067</v>
      </c>
      <c r="AM200" s="148">
        <f t="shared" si="468"/>
        <v>5264</v>
      </c>
      <c r="AN200" s="148">
        <f t="shared" si="468"/>
        <v>5034</v>
      </c>
      <c r="AO200" s="148">
        <f t="shared" si="468"/>
        <v>5078</v>
      </c>
      <c r="AP200" s="146">
        <f t="shared" si="468"/>
        <v>20443</v>
      </c>
      <c r="AQ200" s="148">
        <f t="shared" si="468"/>
        <v>4714</v>
      </c>
      <c r="AR200" s="148">
        <f t="shared" si="468"/>
        <v>4897</v>
      </c>
      <c r="AS200" s="148">
        <f t="shared" si="468"/>
        <v>4858</v>
      </c>
      <c r="AT200" s="148">
        <f t="shared" si="468"/>
        <v>5387</v>
      </c>
      <c r="AU200" s="146">
        <f t="shared" si="468"/>
        <v>19853</v>
      </c>
      <c r="AV200" s="148">
        <f t="shared" si="468"/>
        <v>5067</v>
      </c>
      <c r="AW200" s="148">
        <f t="shared" si="468"/>
        <v>4974</v>
      </c>
      <c r="AX200" s="148">
        <f t="shared" si="468"/>
        <v>5033</v>
      </c>
      <c r="AY200" s="148">
        <f t="shared" si="468"/>
        <v>5031</v>
      </c>
      <c r="AZ200" s="146">
        <f t="shared" si="468"/>
        <v>20105</v>
      </c>
      <c r="BA200" s="146">
        <f t="shared" si="468"/>
        <v>20075</v>
      </c>
      <c r="BB200" s="148">
        <f t="shared" si="468"/>
        <v>5080</v>
      </c>
      <c r="BC200" s="148">
        <f t="shared" si="468"/>
        <v>4887</v>
      </c>
      <c r="BD200" s="148">
        <f t="shared" si="468"/>
        <v>5073</v>
      </c>
      <c r="BE200" s="148">
        <f t="shared" si="468"/>
        <v>5320</v>
      </c>
      <c r="BF200" s="146">
        <f t="shared" si="468"/>
        <v>20360</v>
      </c>
      <c r="BG200" s="148">
        <f t="shared" si="468"/>
        <v>5087</v>
      </c>
      <c r="BH200" s="148">
        <f t="shared" si="468"/>
        <v>4879</v>
      </c>
      <c r="BI200" s="148">
        <f t="shared" si="468"/>
        <v>5087</v>
      </c>
      <c r="BJ200" s="148">
        <f t="shared" si="468"/>
        <v>5326</v>
      </c>
      <c r="BK200" s="146">
        <f t="shared" si="468"/>
        <v>20379</v>
      </c>
      <c r="BL200" s="148">
        <f t="shared" si="468"/>
        <v>4765</v>
      </c>
      <c r="BM200" s="148">
        <f t="shared" si="468"/>
        <v>4954</v>
      </c>
      <c r="BN200" s="148">
        <f t="shared" ref="BN200:BU200" si="469">SUM(BN166,BN191,BN173,BN184)</f>
        <v>4906</v>
      </c>
      <c r="BO200" s="148">
        <f t="shared" si="469"/>
        <v>5586</v>
      </c>
      <c r="BP200" s="146">
        <f t="shared" si="469"/>
        <v>20211</v>
      </c>
      <c r="BQ200" s="149">
        <f t="shared" si="469"/>
        <v>4997.6171100000001</v>
      </c>
      <c r="BR200" s="148">
        <f t="shared" si="469"/>
        <v>6397.1593200000007</v>
      </c>
      <c r="BS200" s="742">
        <f>SUM(BS166,BS191,BS173,BS184)</f>
        <v>6352.7889400000004</v>
      </c>
      <c r="BT200" s="546">
        <f t="shared" si="469"/>
        <v>7007.7450800000006</v>
      </c>
      <c r="BU200" s="1059">
        <f t="shared" si="469"/>
        <v>24755.310450000001</v>
      </c>
      <c r="BV200" s="149"/>
      <c r="BW200" s="148"/>
      <c r="BX200" s="148"/>
      <c r="BY200" s="546"/>
      <c r="BZ200" s="146">
        <f>SUM(BZ166,BZ191,BZ173,BZ184)</f>
        <v>27258.890140000003</v>
      </c>
      <c r="CA200" s="149"/>
      <c r="CB200" s="148"/>
      <c r="CC200" s="148"/>
      <c r="CD200" s="546"/>
      <c r="CE200" s="146">
        <f>SUM(CE166,CE191,CE173,CE184)</f>
        <v>28764.069801750004</v>
      </c>
      <c r="CF200" s="149"/>
      <c r="CG200" s="148"/>
      <c r="CH200" s="148"/>
      <c r="CI200" s="546"/>
      <c r="CJ200" s="146">
        <f>SUM(CJ166,CJ191,CJ173,CJ184)</f>
        <v>30356.784611124003</v>
      </c>
      <c r="CK200" s="550"/>
      <c r="CL200" s="551"/>
      <c r="CM200" s="549"/>
      <c r="CN200" s="549"/>
      <c r="CO200" s="549"/>
      <c r="CP200" s="549"/>
      <c r="CQ200" s="549"/>
      <c r="CR200" s="549"/>
      <c r="CS200" s="549"/>
      <c r="CT200" s="549"/>
      <c r="CU200" s="549"/>
      <c r="CV200" s="549"/>
      <c r="CW200" s="551"/>
      <c r="CX200" s="514"/>
      <c r="CY200" s="514"/>
      <c r="CZ200"/>
      <c r="DA200"/>
      <c r="DB200"/>
      <c r="DC200"/>
      <c r="DD200"/>
    </row>
    <row r="201" spans="1:108" s="539" customFormat="1">
      <c r="A201" s="28" t="s">
        <v>21</v>
      </c>
      <c r="B201" s="193"/>
      <c r="C201" s="193">
        <f t="shared" ref="C201:K201" si="470">C200/B200-1</f>
        <v>0.17782969885773614</v>
      </c>
      <c r="D201" s="193">
        <f t="shared" si="470"/>
        <v>0.31937403570641387</v>
      </c>
      <c r="E201" s="193">
        <f t="shared" si="470"/>
        <v>0.19637487470765125</v>
      </c>
      <c r="F201" s="193">
        <f t="shared" si="470"/>
        <v>0.10675137890106812</v>
      </c>
      <c r="G201" s="193">
        <f t="shared" si="470"/>
        <v>0.13039364118092345</v>
      </c>
      <c r="H201" s="547">
        <f t="shared" si="470"/>
        <v>-0.73860148445783813</v>
      </c>
      <c r="I201" s="194">
        <f t="shared" si="470"/>
        <v>2.7113578138343364E-2</v>
      </c>
      <c r="J201" s="194">
        <f t="shared" si="470"/>
        <v>2.4111411348991973E-2</v>
      </c>
      <c r="K201" s="194">
        <f t="shared" si="470"/>
        <v>0.14187132129084645</v>
      </c>
      <c r="L201" s="29">
        <f t="shared" ref="L201:AS201" si="471">L200/G200-1</f>
        <v>0.11881243372956085</v>
      </c>
      <c r="M201" s="30">
        <f t="shared" si="471"/>
        <v>8.5610589239965895E-2</v>
      </c>
      <c r="N201" s="30">
        <f t="shared" si="471"/>
        <v>9.602993140719196E-2</v>
      </c>
      <c r="O201" s="30">
        <f t="shared" si="471"/>
        <v>3.4300791556728161E-2</v>
      </c>
      <c r="P201" s="30">
        <f t="shared" si="471"/>
        <v>1.777461784571166E-4</v>
      </c>
      <c r="Q201" s="29">
        <f t="shared" si="471"/>
        <v>5.1526336791699823E-2</v>
      </c>
      <c r="R201" s="30">
        <f t="shared" si="471"/>
        <v>0.19528023598820066</v>
      </c>
      <c r="S201" s="30">
        <f t="shared" si="471"/>
        <v>0.12516593969277445</v>
      </c>
      <c r="T201" s="30">
        <f t="shared" si="471"/>
        <v>0.14442700156985877</v>
      </c>
      <c r="U201" s="30">
        <f t="shared" si="471"/>
        <v>5.064865825484266E-2</v>
      </c>
      <c r="V201" s="29">
        <f t="shared" si="471"/>
        <v>0.12684407760542671</v>
      </c>
      <c r="W201" s="30">
        <f t="shared" si="471"/>
        <v>-6.6633761105626799E-2</v>
      </c>
      <c r="X201" s="30">
        <f t="shared" si="471"/>
        <v>2.3596831282657327E-3</v>
      </c>
      <c r="Y201" s="30">
        <f t="shared" si="471"/>
        <v>1.7489711934156382E-2</v>
      </c>
      <c r="Z201" s="30">
        <f t="shared" si="471"/>
        <v>9.0155615696887681E-2</v>
      </c>
      <c r="AA201" s="29">
        <f t="shared" si="471"/>
        <v>1.0271521784887438E-2</v>
      </c>
      <c r="AB201" s="30">
        <f t="shared" si="471"/>
        <v>9.1662259827252068E-3</v>
      </c>
      <c r="AC201" s="30">
        <f t="shared" si="471"/>
        <v>-3.4134857911552019E-2</v>
      </c>
      <c r="AD201" s="30">
        <f t="shared" si="471"/>
        <v>-4.9713515335355618E-2</v>
      </c>
      <c r="AE201" s="30">
        <f t="shared" si="471"/>
        <v>-7.4476338246702856E-3</v>
      </c>
      <c r="AF201" s="29">
        <f t="shared" si="471"/>
        <v>-2.0584191007958719E-2</v>
      </c>
      <c r="AG201" s="30">
        <f t="shared" si="471"/>
        <v>-6.5502183406113579E-2</v>
      </c>
      <c r="AH201" s="30">
        <f t="shared" si="471"/>
        <v>-2.5243732590529255E-2</v>
      </c>
      <c r="AI201" s="30">
        <f t="shared" si="471"/>
        <v>-3.5821954247206911E-2</v>
      </c>
      <c r="AJ201" s="30">
        <f t="shared" si="471"/>
        <v>-0.12083789276223234</v>
      </c>
      <c r="AK201" s="29">
        <f t="shared" si="471"/>
        <v>-6.360348861944265E-2</v>
      </c>
      <c r="AL201" s="30">
        <f t="shared" si="471"/>
        <v>-5.2897196261682211E-2</v>
      </c>
      <c r="AM201" s="30">
        <f t="shared" si="471"/>
        <v>-5.9832112877299504E-2</v>
      </c>
      <c r="AN201" s="30">
        <f t="shared" si="471"/>
        <v>-7.412175832260437E-2</v>
      </c>
      <c r="AO201" s="30">
        <f t="shared" si="471"/>
        <v>-9.7083926031294454E-2</v>
      </c>
      <c r="AP201" s="29">
        <f t="shared" si="471"/>
        <v>-7.1194911403907324E-2</v>
      </c>
      <c r="AQ201" s="30">
        <f>AQ200/AL200-1</f>
        <v>-6.9666469311229551E-2</v>
      </c>
      <c r="AR201" s="30">
        <f t="shared" si="471"/>
        <v>-6.9718844984802408E-2</v>
      </c>
      <c r="AS201" s="30">
        <f t="shared" si="471"/>
        <v>-3.4962256654747725E-2</v>
      </c>
      <c r="AT201" s="30">
        <f t="shared" ref="AT201:AZ201" si="472">AT200/AO200-1</f>
        <v>6.0850728633320195E-2</v>
      </c>
      <c r="AU201" s="29">
        <f t="shared" si="472"/>
        <v>-2.8860734725823067E-2</v>
      </c>
      <c r="AV201" s="30">
        <f t="shared" si="472"/>
        <v>7.4883326262197736E-2</v>
      </c>
      <c r="AW201" s="30">
        <f t="shared" si="472"/>
        <v>1.5723912599550749E-2</v>
      </c>
      <c r="AX201" s="30">
        <f t="shared" si="472"/>
        <v>3.6023054755043304E-2</v>
      </c>
      <c r="AY201" s="30">
        <f t="shared" si="472"/>
        <v>-6.6085019491368135E-2</v>
      </c>
      <c r="AZ201" s="29">
        <f t="shared" si="472"/>
        <v>1.2693295723568143E-2</v>
      </c>
      <c r="BA201" s="29"/>
      <c r="BB201" s="30">
        <f>BB200/AV200-1</f>
        <v>2.5656206828497119E-3</v>
      </c>
      <c r="BC201" s="30">
        <f>BC200/AW200-1</f>
        <v>-1.7490952955367955E-2</v>
      </c>
      <c r="BD201" s="30">
        <f>BD200/AX200-1</f>
        <v>7.9475461951121762E-3</v>
      </c>
      <c r="BE201" s="30">
        <f>BE200/AY200-1</f>
        <v>5.744384814152248E-2</v>
      </c>
      <c r="BF201" s="29">
        <f>BF200/AZ200-1</f>
        <v>1.2683412086545554E-2</v>
      </c>
      <c r="BG201" s="30"/>
      <c r="BH201" s="30"/>
      <c r="BI201" s="30"/>
      <c r="BJ201" s="30"/>
      <c r="BK201" s="29">
        <f>BK200/BA200-1</f>
        <v>1.5143212951432172E-2</v>
      </c>
      <c r="BL201" s="194">
        <f>BL200/BB200-1</f>
        <v>-6.2007874015748032E-2</v>
      </c>
      <c r="BM201" s="194">
        <f>BM200/BC200-1</f>
        <v>1.3709842439124209E-2</v>
      </c>
      <c r="BN201" s="194">
        <f>BN200/BI200-1</f>
        <v>-3.5580892471004488E-2</v>
      </c>
      <c r="BO201" s="194">
        <f>BO200/BJ200-1</f>
        <v>4.8817123544874219E-2</v>
      </c>
      <c r="BP201" s="29">
        <f>BP200/BK200-1</f>
        <v>-8.243780362137465E-3</v>
      </c>
      <c r="BQ201" s="31">
        <f t="shared" ref="BQ201:BT201" si="473">BQ200/BL200-1</f>
        <v>4.8817861490031422E-2</v>
      </c>
      <c r="BR201" s="30">
        <f t="shared" si="473"/>
        <v>0.29131193379087628</v>
      </c>
      <c r="BS201" s="30">
        <f t="shared" si="473"/>
        <v>0.29490194455768459</v>
      </c>
      <c r="BT201" s="1106">
        <f t="shared" si="473"/>
        <v>0.25451934837092738</v>
      </c>
      <c r="BU201" s="1041">
        <f>BU200/BP200-1</f>
        <v>0.22484342437286631</v>
      </c>
      <c r="BV201" s="31"/>
      <c r="BW201" s="30"/>
      <c r="BX201" s="30"/>
      <c r="BY201" s="30"/>
      <c r="BZ201" s="29">
        <f>BZ200/BU200-1</f>
        <v>0.10113303547764652</v>
      </c>
      <c r="CA201" s="31"/>
      <c r="CB201" s="30"/>
      <c r="CC201" s="30"/>
      <c r="CD201" s="30"/>
      <c r="CE201" s="29">
        <f>CE200/BZ200-1</f>
        <v>5.5217936387706557E-2</v>
      </c>
      <c r="CF201" s="31"/>
      <c r="CG201" s="30"/>
      <c r="CH201" s="30"/>
      <c r="CI201" s="30"/>
      <c r="CJ201" s="29">
        <f>CJ200/CE200-1</f>
        <v>5.5371677942357866E-2</v>
      </c>
      <c r="CK201" s="202"/>
      <c r="CL201" s="537"/>
      <c r="CM201" s="549"/>
      <c r="CN201" s="439"/>
      <c r="CO201" s="439"/>
      <c r="CP201" s="439"/>
      <c r="CQ201" s="439"/>
      <c r="CR201" s="439"/>
      <c r="CS201" s="439"/>
      <c r="CT201" s="439"/>
      <c r="CU201" s="439"/>
      <c r="CV201" s="439"/>
      <c r="CW201" s="537"/>
      <c r="CX201" s="538"/>
      <c r="CY201" s="538"/>
      <c r="CZ201"/>
      <c r="DA201"/>
      <c r="DB201"/>
      <c r="DC201"/>
      <c r="DD201"/>
    </row>
    <row r="202" spans="1:108" s="539" customFormat="1" hidden="1" outlineLevel="1">
      <c r="A202" s="534" t="s">
        <v>137</v>
      </c>
      <c r="B202" s="107"/>
      <c r="C202" s="107"/>
      <c r="D202" s="107"/>
      <c r="E202" s="107"/>
      <c r="F202" s="107"/>
      <c r="G202" s="107"/>
      <c r="H202" s="108"/>
      <c r="I202" s="108"/>
      <c r="J202" s="108"/>
      <c r="K202" s="108"/>
      <c r="L202" s="107"/>
      <c r="M202" s="108"/>
      <c r="N202" s="108"/>
      <c r="O202" s="108"/>
      <c r="P202" s="108"/>
      <c r="Q202" s="107"/>
      <c r="R202" s="108"/>
      <c r="S202" s="108"/>
      <c r="T202" s="108"/>
      <c r="U202" s="108"/>
      <c r="V202" s="107"/>
      <c r="W202" s="108"/>
      <c r="X202" s="108"/>
      <c r="Y202" s="108"/>
      <c r="Z202" s="108"/>
      <c r="AA202" s="107">
        <f t="shared" ref="AA202:BI202" si="474">AA208/AA128</f>
        <v>0.11073122651389146</v>
      </c>
      <c r="AB202" s="108">
        <f t="shared" si="474"/>
        <v>0.10759169017696846</v>
      </c>
      <c r="AC202" s="108">
        <f t="shared" si="474"/>
        <v>0.10788171087701486</v>
      </c>
      <c r="AD202" s="108">
        <f t="shared" si="474"/>
        <v>0.11269578505029924</v>
      </c>
      <c r="AE202" s="108">
        <f t="shared" si="474"/>
        <v>9.7955613862468566E-2</v>
      </c>
      <c r="AF202" s="107">
        <f t="shared" si="474"/>
        <v>0.10619089879731922</v>
      </c>
      <c r="AG202" s="108">
        <f t="shared" si="474"/>
        <v>0.10449927431059507</v>
      </c>
      <c r="AH202" s="108">
        <f t="shared" si="474"/>
        <v>0.11108305983337541</v>
      </c>
      <c r="AI202" s="108">
        <f t="shared" si="474"/>
        <v>0.10839425258381649</v>
      </c>
      <c r="AJ202" s="108">
        <f t="shared" si="474"/>
        <v>0.10633820252537757</v>
      </c>
      <c r="AK202" s="107">
        <f t="shared" si="474"/>
        <v>0.10760638466664552</v>
      </c>
      <c r="AL202" s="108">
        <f t="shared" si="474"/>
        <v>9.9810913019989192E-2</v>
      </c>
      <c r="AM202" s="108">
        <f t="shared" si="474"/>
        <v>0.11085829857160916</v>
      </c>
      <c r="AN202" s="108">
        <f t="shared" si="474"/>
        <v>0.10928681375064135</v>
      </c>
      <c r="AO202" s="108">
        <f t="shared" si="474"/>
        <v>0.11126742550198235</v>
      </c>
      <c r="AP202" s="107">
        <f t="shared" si="474"/>
        <v>0.10792111218881345</v>
      </c>
      <c r="AQ202" s="108">
        <f t="shared" si="474"/>
        <v>0.11373566357181868</v>
      </c>
      <c r="AR202" s="108">
        <f t="shared" si="474"/>
        <v>0.11867808402461867</v>
      </c>
      <c r="AS202" s="108">
        <f t="shared" si="474"/>
        <v>0.12720939233647272</v>
      </c>
      <c r="AT202" s="108">
        <f t="shared" si="474"/>
        <v>0.11995664217752619</v>
      </c>
      <c r="AU202" s="107">
        <f t="shared" si="474"/>
        <v>0.12008945935433683</v>
      </c>
      <c r="AV202" s="108">
        <f t="shared" si="474"/>
        <v>0.12384378211716342</v>
      </c>
      <c r="AW202" s="108">
        <f t="shared" si="474"/>
        <v>0.13143872113676733</v>
      </c>
      <c r="AX202" s="108">
        <f t="shared" si="474"/>
        <v>0.12384288216162122</v>
      </c>
      <c r="AY202" s="108">
        <f t="shared" si="474"/>
        <v>0.12370341913177103</v>
      </c>
      <c r="AZ202" s="107">
        <f t="shared" si="474"/>
        <v>0.12571101719152181</v>
      </c>
      <c r="BA202" s="107">
        <f t="shared" si="474"/>
        <v>0.12815833359554452</v>
      </c>
      <c r="BB202" s="108">
        <f t="shared" si="474"/>
        <v>0.12286380113930606</v>
      </c>
      <c r="BC202" s="108">
        <f t="shared" si="474"/>
        <v>0.12876712328767123</v>
      </c>
      <c r="BD202" s="108">
        <f t="shared" si="474"/>
        <v>0.13258310697193118</v>
      </c>
      <c r="BE202" s="108">
        <f t="shared" si="474"/>
        <v>0.13385157293817562</v>
      </c>
      <c r="BF202" s="107">
        <f t="shared" si="474"/>
        <v>0.12958887506777661</v>
      </c>
      <c r="BG202" s="108">
        <f t="shared" si="474"/>
        <v>0.10968432316746923</v>
      </c>
      <c r="BH202" s="108">
        <f t="shared" si="474"/>
        <v>0</v>
      </c>
      <c r="BI202" s="108">
        <f t="shared" si="474"/>
        <v>0</v>
      </c>
      <c r="BJ202" s="108"/>
      <c r="BK202" s="107">
        <f>BK208/BK128</f>
        <v>0.11413239095579333</v>
      </c>
      <c r="BL202" s="109"/>
      <c r="BM202" s="108"/>
      <c r="BN202" s="108"/>
      <c r="BO202" s="108"/>
      <c r="BP202" s="107"/>
      <c r="BQ202" s="109"/>
      <c r="BR202" s="108"/>
      <c r="BS202" s="108"/>
      <c r="BT202" s="535"/>
      <c r="BU202" s="1053"/>
      <c r="BV202" s="109"/>
      <c r="BW202" s="108"/>
      <c r="BX202" s="108"/>
      <c r="BY202" s="535"/>
      <c r="BZ202" s="107"/>
      <c r="CA202" s="109"/>
      <c r="CB202" s="108"/>
      <c r="CC202" s="108"/>
      <c r="CD202" s="535"/>
      <c r="CE202" s="107"/>
      <c r="CF202" s="109"/>
      <c r="CG202" s="108"/>
      <c r="CH202" s="108"/>
      <c r="CI202" s="535"/>
      <c r="CJ202" s="107"/>
      <c r="CK202" s="202"/>
      <c r="CL202" s="537"/>
      <c r="CM202" s="549"/>
      <c r="CN202" s="439"/>
      <c r="CO202" s="439"/>
      <c r="CP202" s="439"/>
      <c r="CQ202" s="439"/>
      <c r="CR202" s="439"/>
      <c r="CS202" s="439"/>
      <c r="CT202" s="439"/>
      <c r="CU202" s="439"/>
      <c r="CV202" s="439"/>
      <c r="CW202" s="537"/>
      <c r="CX202" s="538"/>
      <c r="CY202" s="538"/>
      <c r="CZ202"/>
      <c r="DA202"/>
      <c r="DB202"/>
      <c r="DC202"/>
      <c r="DD202"/>
    </row>
    <row r="203" spans="1:108" s="3" customFormat="1" hidden="1" outlineLevel="1">
      <c r="A203" s="540" t="s">
        <v>24</v>
      </c>
      <c r="B203" s="199"/>
      <c r="C203" s="199"/>
      <c r="D203" s="199"/>
      <c r="E203" s="199"/>
      <c r="F203" s="199"/>
      <c r="G203" s="199"/>
      <c r="H203" s="200"/>
      <c r="I203" s="200"/>
      <c r="J203" s="200"/>
      <c r="K203" s="200"/>
      <c r="L203" s="199"/>
      <c r="M203" s="200"/>
      <c r="N203" s="200"/>
      <c r="O203" s="200"/>
      <c r="P203" s="200"/>
      <c r="Q203" s="199"/>
      <c r="R203" s="200"/>
      <c r="S203" s="200"/>
      <c r="T203" s="200"/>
      <c r="U203" s="200"/>
      <c r="V203" s="199"/>
      <c r="W203" s="200"/>
      <c r="X203" s="200"/>
      <c r="Y203" s="200"/>
      <c r="Z203" s="200"/>
      <c r="AA203" s="199">
        <f t="shared" ref="AA203:AS203" si="475">(AA202-V202)*100</f>
        <v>11.073122651389147</v>
      </c>
      <c r="AB203" s="200">
        <f t="shared" si="475"/>
        <v>10.759169017696845</v>
      </c>
      <c r="AC203" s="200">
        <f t="shared" si="475"/>
        <v>10.788171087701485</v>
      </c>
      <c r="AD203" s="200">
        <f t="shared" si="475"/>
        <v>11.269578505029925</v>
      </c>
      <c r="AE203" s="200">
        <f t="shared" si="475"/>
        <v>9.795561386246856</v>
      </c>
      <c r="AF203" s="199">
        <f t="shared" si="475"/>
        <v>-0.45403277165722428</v>
      </c>
      <c r="AG203" s="200">
        <f t="shared" si="475"/>
        <v>-0.30924158663733908</v>
      </c>
      <c r="AH203" s="200">
        <f t="shared" si="475"/>
        <v>0.32013489563605529</v>
      </c>
      <c r="AI203" s="200">
        <f t="shared" si="475"/>
        <v>-0.4301532466482752</v>
      </c>
      <c r="AJ203" s="200">
        <f t="shared" si="475"/>
        <v>0.83825886629090018</v>
      </c>
      <c r="AK203" s="199">
        <f>(AK202-AF202)*100</f>
        <v>0.14154858693262995</v>
      </c>
      <c r="AL203" s="200">
        <f t="shared" si="475"/>
        <v>-0.46883612906058747</v>
      </c>
      <c r="AM203" s="200">
        <f t="shared" si="475"/>
        <v>-2.2476126176625144E-2</v>
      </c>
      <c r="AN203" s="200">
        <f t="shared" si="475"/>
        <v>8.9256116682485953E-2</v>
      </c>
      <c r="AO203" s="200">
        <f t="shared" si="475"/>
        <v>0.49292229766047801</v>
      </c>
      <c r="AP203" s="199">
        <f t="shared" si="475"/>
        <v>3.1472752216793465E-2</v>
      </c>
      <c r="AQ203" s="200">
        <f t="shared" si="475"/>
        <v>1.3924750551829486</v>
      </c>
      <c r="AR203" s="200">
        <f>(AR202-AM202)*100</f>
        <v>0.78197854530095146</v>
      </c>
      <c r="AS203" s="200">
        <f t="shared" si="475"/>
        <v>1.7922578585831364</v>
      </c>
      <c r="AT203" s="200">
        <f t="shared" ref="AT203:AZ203" si="476">(AT202-AO202)*100</f>
        <v>0.86892166755438427</v>
      </c>
      <c r="AU203" s="199">
        <f t="shared" si="476"/>
        <v>1.2168347165523383</v>
      </c>
      <c r="AV203" s="200">
        <f t="shared" si="476"/>
        <v>1.0108118545344742</v>
      </c>
      <c r="AW203" s="200">
        <f t="shared" si="476"/>
        <v>1.2760637112148656</v>
      </c>
      <c r="AX203" s="200">
        <f t="shared" si="476"/>
        <v>-0.33665101748514975</v>
      </c>
      <c r="AY203" s="200">
        <f t="shared" si="476"/>
        <v>0.37467769542448431</v>
      </c>
      <c r="AZ203" s="199">
        <f t="shared" si="476"/>
        <v>0.56215578371849739</v>
      </c>
      <c r="BA203" s="199"/>
      <c r="BB203" s="200">
        <f>(BB202-AV202)*100</f>
        <v>-9.7998097785735594E-2</v>
      </c>
      <c r="BC203" s="200">
        <f>(BC202-AW202)*100</f>
        <v>-0.26715978490960968</v>
      </c>
      <c r="BD203" s="200">
        <f>(BD202-AX202)*100</f>
        <v>0.87402248103099622</v>
      </c>
      <c r="BE203" s="200">
        <f>(BE202-AY202)*100</f>
        <v>1.014815380640459</v>
      </c>
      <c r="BF203" s="199">
        <f>(BF202-AZ202)*100</f>
        <v>0.38778578762548033</v>
      </c>
      <c r="BG203" s="200"/>
      <c r="BH203" s="200"/>
      <c r="BI203" s="200"/>
      <c r="BJ203" s="200"/>
      <c r="BK203" s="199">
        <f>(BK202-BA202)*100</f>
        <v>-1.4025942639751183</v>
      </c>
      <c r="BL203" s="223"/>
      <c r="BM203" s="200"/>
      <c r="BN203" s="200"/>
      <c r="BO203" s="200"/>
      <c r="BP203" s="199"/>
      <c r="BQ203" s="223"/>
      <c r="BR203" s="200"/>
      <c r="BS203" s="200"/>
      <c r="BT203" s="541"/>
      <c r="BU203" s="199"/>
      <c r="BV203" s="223"/>
      <c r="BW203" s="200"/>
      <c r="BX203" s="200"/>
      <c r="BY203" s="541"/>
      <c r="BZ203" s="199"/>
      <c r="CA203" s="223"/>
      <c r="CB203" s="200"/>
      <c r="CC203" s="200"/>
      <c r="CD203" s="541"/>
      <c r="CE203" s="199"/>
      <c r="CF203" s="223"/>
      <c r="CG203" s="200"/>
      <c r="CH203" s="200"/>
      <c r="CI203" s="541"/>
      <c r="CJ203" s="199"/>
      <c r="CK203" s="687"/>
      <c r="CL203" s="537"/>
      <c r="CM203" s="549"/>
      <c r="CN203" s="439"/>
      <c r="CO203" s="439"/>
      <c r="CP203" s="439"/>
      <c r="CQ203" s="439"/>
      <c r="CR203" s="439"/>
      <c r="CS203" s="439"/>
      <c r="CT203" s="439"/>
      <c r="CU203" s="439"/>
      <c r="CV203" s="439"/>
      <c r="CW203" s="537"/>
      <c r="CX203" s="538"/>
      <c r="CY203" s="688"/>
      <c r="CZ203"/>
      <c r="DA203"/>
      <c r="DB203"/>
      <c r="DC203"/>
      <c r="DD203"/>
    </row>
    <row r="204" spans="1:108" s="702" customFormat="1" hidden="1" outlineLevel="1">
      <c r="A204" s="117" t="s">
        <v>25</v>
      </c>
      <c r="B204" s="689"/>
      <c r="C204" s="689"/>
      <c r="D204" s="689"/>
      <c r="E204" s="689"/>
      <c r="F204" s="689"/>
      <c r="G204" s="689"/>
      <c r="H204" s="690"/>
      <c r="I204" s="690"/>
      <c r="J204" s="690"/>
      <c r="K204" s="690"/>
      <c r="L204" s="689"/>
      <c r="M204" s="691"/>
      <c r="N204" s="691"/>
      <c r="O204" s="691"/>
      <c r="P204" s="692"/>
      <c r="Q204" s="689"/>
      <c r="R204" s="691"/>
      <c r="S204" s="691"/>
      <c r="T204" s="691"/>
      <c r="U204" s="690"/>
      <c r="V204" s="689"/>
      <c r="W204" s="690"/>
      <c r="X204" s="691"/>
      <c r="Y204" s="690"/>
      <c r="Z204" s="690"/>
      <c r="AA204" s="693"/>
      <c r="AB204" s="690"/>
      <c r="AC204" s="691"/>
      <c r="AD204" s="691"/>
      <c r="AE204" s="691"/>
      <c r="AF204" s="693">
        <f t="shared" ref="AF204:AZ204" si="477">(AF205-AA205)/(AF62-AA62)</f>
        <v>-1.5345268542199489E-2</v>
      </c>
      <c r="AG204" s="691">
        <f t="shared" si="477"/>
        <v>5.8823529411764705E-2</v>
      </c>
      <c r="AH204" s="692">
        <f t="shared" si="477"/>
        <v>3.237410071942446E-2</v>
      </c>
      <c r="AI204" s="692">
        <f t="shared" si="477"/>
        <v>0.32692307692307693</v>
      </c>
      <c r="AJ204" s="691">
        <f t="shared" si="477"/>
        <v>0.22383720930232559</v>
      </c>
      <c r="AK204" s="693">
        <f t="shared" si="477"/>
        <v>0.1461794019933555</v>
      </c>
      <c r="AL204" s="690">
        <f t="shared" si="477"/>
        <v>5.7142857142857144</v>
      </c>
      <c r="AM204" s="690">
        <f t="shared" si="477"/>
        <v>-0.31818181818181818</v>
      </c>
      <c r="AN204" s="690">
        <f t="shared" si="477"/>
        <v>0.55555555555555558</v>
      </c>
      <c r="AO204" s="690">
        <f t="shared" si="477"/>
        <v>0.68421052631578949</v>
      </c>
      <c r="AP204" s="693">
        <f t="shared" si="477"/>
        <v>0.68127490039840632</v>
      </c>
      <c r="AQ204" s="690">
        <f t="shared" si="477"/>
        <v>0.42168674698795183</v>
      </c>
      <c r="AR204" s="690">
        <f t="shared" si="477"/>
        <v>5.4263565891472867E-2</v>
      </c>
      <c r="AS204" s="690">
        <f t="shared" si="477"/>
        <v>0.27627627627627627</v>
      </c>
      <c r="AT204" s="690">
        <f t="shared" si="477"/>
        <v>-7.1748878923766815E-2</v>
      </c>
      <c r="AU204" s="693">
        <f t="shared" si="477"/>
        <v>0.15058611361587015</v>
      </c>
      <c r="AV204" s="690">
        <f t="shared" si="477"/>
        <v>0.2808988764044944</v>
      </c>
      <c r="AW204" s="690">
        <f t="shared" si="477"/>
        <v>-0.32692307692307693</v>
      </c>
      <c r="AX204" s="690">
        <f t="shared" si="477"/>
        <v>-1.1071428571428572</v>
      </c>
      <c r="AY204" s="690">
        <f t="shared" si="477"/>
        <v>3.2573289902280132E-3</v>
      </c>
      <c r="AZ204" s="693">
        <f t="shared" si="477"/>
        <v>-0.19587628865979381</v>
      </c>
      <c r="BA204" s="693"/>
      <c r="BB204" s="690">
        <f>(BB205-AV205)/(BB62-AV62)</f>
        <v>-1.1081081081081081</v>
      </c>
      <c r="BC204" s="690">
        <f>(BC205-AW205)/(BC62-AW62)</f>
        <v>2.7142857142857144</v>
      </c>
      <c r="BD204" s="690">
        <f>(BD205-AX205)/(BD62-AX62)</f>
        <v>0</v>
      </c>
      <c r="BE204" s="690">
        <f>(BE205-AY205)/(BE62-AY62)</f>
        <v>-0.44715447154471544</v>
      </c>
      <c r="BF204" s="693">
        <f>(BF205-AZ205)/(BF62-AZ62)</f>
        <v>0.10810810810810811</v>
      </c>
      <c r="BG204" s="690"/>
      <c r="BH204" s="690"/>
      <c r="BI204" s="690"/>
      <c r="BJ204" s="690"/>
      <c r="BK204" s="693">
        <f>(BK205-BA205)/(BK62-BA62)</f>
        <v>0.11162790697674418</v>
      </c>
      <c r="BL204" s="694"/>
      <c r="BM204" s="694"/>
      <c r="BN204" s="694"/>
      <c r="BO204" s="694"/>
      <c r="BP204" s="693"/>
      <c r="BQ204" s="1128"/>
      <c r="BR204" s="694"/>
      <c r="BS204" s="694"/>
      <c r="BT204" s="695"/>
      <c r="BU204" s="693"/>
      <c r="BV204" s="694"/>
      <c r="BW204" s="694"/>
      <c r="BX204" s="694"/>
      <c r="BY204" s="695"/>
      <c r="BZ204" s="693"/>
      <c r="CA204" s="694"/>
      <c r="CB204" s="694"/>
      <c r="CC204" s="694"/>
      <c r="CD204" s="695"/>
      <c r="CE204" s="693"/>
      <c r="CF204" s="694"/>
      <c r="CG204" s="694"/>
      <c r="CH204" s="694"/>
      <c r="CI204" s="695"/>
      <c r="CJ204" s="693"/>
      <c r="CK204" s="696"/>
      <c r="CL204" s="697"/>
      <c r="CM204" s="698"/>
      <c r="CN204" s="698"/>
      <c r="CO204" s="698"/>
      <c r="CP204" s="699"/>
      <c r="CQ204" s="698"/>
      <c r="CR204" s="698"/>
      <c r="CS204" s="698"/>
      <c r="CT204" s="698"/>
      <c r="CU204" s="698"/>
      <c r="CV204" s="698"/>
      <c r="CW204" s="700"/>
      <c r="CX204" s="701"/>
      <c r="CY204" s="701"/>
      <c r="CZ204"/>
      <c r="DA204"/>
      <c r="DB204"/>
      <c r="DC204"/>
      <c r="DD204"/>
    </row>
    <row r="205" spans="1:108" s="40" customFormat="1" hidden="1" outlineLevel="1">
      <c r="A205" s="681" t="s">
        <v>192</v>
      </c>
      <c r="B205" s="437"/>
      <c r="C205" s="437"/>
      <c r="D205" s="437"/>
      <c r="E205" s="437"/>
      <c r="F205" s="437"/>
      <c r="G205" s="437"/>
      <c r="H205" s="438"/>
      <c r="I205" s="438"/>
      <c r="J205" s="438"/>
      <c r="K205" s="438"/>
      <c r="L205" s="437"/>
      <c r="M205" s="438"/>
      <c r="N205" s="438"/>
      <c r="O205" s="438"/>
      <c r="P205" s="438"/>
      <c r="Q205" s="437"/>
      <c r="R205" s="438"/>
      <c r="S205" s="438"/>
      <c r="T205" s="438"/>
      <c r="U205" s="438"/>
      <c r="V205" s="437"/>
      <c r="W205" s="438"/>
      <c r="X205" s="438"/>
      <c r="Y205" s="438"/>
      <c r="Z205" s="438"/>
      <c r="AA205" s="139">
        <v>350</v>
      </c>
      <c r="AB205" s="140">
        <v>90</v>
      </c>
      <c r="AC205" s="140">
        <v>99</v>
      </c>
      <c r="AD205" s="140">
        <v>113</v>
      </c>
      <c r="AE205" s="140">
        <f>356-AB205-AC205-AD205</f>
        <v>54</v>
      </c>
      <c r="AF205" s="139">
        <f>SUM(AB205:AE205)</f>
        <v>356</v>
      </c>
      <c r="AG205" s="140">
        <v>68</v>
      </c>
      <c r="AH205" s="140">
        <v>90</v>
      </c>
      <c r="AI205" s="140">
        <v>45</v>
      </c>
      <c r="AJ205" s="140">
        <f>180-AG205-AH205-AI205</f>
        <v>-23</v>
      </c>
      <c r="AK205" s="139">
        <f>SUM(AG205:AJ205)</f>
        <v>180</v>
      </c>
      <c r="AL205" s="140">
        <v>108</v>
      </c>
      <c r="AM205" s="140">
        <v>83</v>
      </c>
      <c r="AN205" s="148">
        <v>105</v>
      </c>
      <c r="AO205" s="148">
        <f>AP205-SUM(AL205:AN205)</f>
        <v>55</v>
      </c>
      <c r="AP205" s="146">
        <v>351</v>
      </c>
      <c r="AQ205" s="149">
        <v>38</v>
      </c>
      <c r="AR205" s="727">
        <v>62</v>
      </c>
      <c r="AS205" s="742">
        <v>13</v>
      </c>
      <c r="AT205" s="148">
        <v>71</v>
      </c>
      <c r="AU205" s="769">
        <f>SUM(AQ205:AT205)</f>
        <v>184</v>
      </c>
      <c r="AV205" s="777">
        <v>63</v>
      </c>
      <c r="AW205" s="786">
        <v>45</v>
      </c>
      <c r="AX205" s="906">
        <v>44</v>
      </c>
      <c r="AY205" s="906">
        <f>222-AX205-AW205-AV205</f>
        <v>70</v>
      </c>
      <c r="AZ205" s="769">
        <f>SUM(AV205:AY205)</f>
        <v>222</v>
      </c>
      <c r="BA205" s="769">
        <f>+AZ205</f>
        <v>222</v>
      </c>
      <c r="BB205" s="777">
        <v>104</v>
      </c>
      <c r="BC205" s="786">
        <v>83</v>
      </c>
      <c r="BD205" s="786">
        <v>44</v>
      </c>
      <c r="BE205" s="786">
        <f>246-BD205-BC205-BB205</f>
        <v>15</v>
      </c>
      <c r="BF205" s="769">
        <f>SUM(BB205:BE205)</f>
        <v>246</v>
      </c>
      <c r="BG205" s="777">
        <v>104</v>
      </c>
      <c r="BH205" s="786"/>
      <c r="BI205" s="786"/>
      <c r="BJ205" s="786"/>
      <c r="BK205" s="769">
        <f>+BF205</f>
        <v>246</v>
      </c>
      <c r="BL205" s="483"/>
      <c r="BM205" s="94"/>
      <c r="BN205" s="94"/>
      <c r="BO205" s="94"/>
      <c r="BP205" s="769"/>
      <c r="BQ205" s="483"/>
      <c r="BR205" s="94"/>
      <c r="BS205" s="94"/>
      <c r="BT205" s="1129"/>
      <c r="BU205" s="482"/>
      <c r="BV205" s="483"/>
      <c r="BW205" s="94"/>
      <c r="BX205" s="94"/>
      <c r="BY205" s="94"/>
      <c r="BZ205" s="482"/>
      <c r="CA205" s="483"/>
      <c r="CB205" s="94"/>
      <c r="CC205" s="94"/>
      <c r="CD205" s="94"/>
      <c r="CE205" s="482"/>
      <c r="CF205" s="483"/>
      <c r="CG205" s="94"/>
      <c r="CH205" s="94"/>
      <c r="CI205" s="94"/>
      <c r="CJ205" s="482"/>
      <c r="CK205" s="39"/>
      <c r="CL205" s="7"/>
      <c r="CM205" s="733"/>
      <c r="CN205" s="734"/>
      <c r="CO205" s="734"/>
      <c r="CP205" s="734"/>
      <c r="CQ205" s="734"/>
      <c r="CR205" s="734"/>
      <c r="CS205" s="734"/>
      <c r="CT205" s="734"/>
      <c r="CU205" s="734"/>
      <c r="CV205" s="734"/>
      <c r="CW205" s="75"/>
      <c r="CX205" s="38"/>
      <c r="CY205" s="38"/>
      <c r="CZ205"/>
      <c r="DA205"/>
      <c r="DB205"/>
      <c r="DC205"/>
      <c r="DD205"/>
    </row>
    <row r="206" spans="1:108" s="40" customFormat="1" hidden="1" outlineLevel="1">
      <c r="A206" s="678" t="s">
        <v>193</v>
      </c>
      <c r="B206" s="437"/>
      <c r="C206" s="437"/>
      <c r="D206" s="437"/>
      <c r="E206" s="437"/>
      <c r="F206" s="437"/>
      <c r="G206" s="437"/>
      <c r="H206" s="438"/>
      <c r="I206" s="438"/>
      <c r="J206" s="438"/>
      <c r="K206" s="438"/>
      <c r="L206" s="437"/>
      <c r="M206" s="438"/>
      <c r="N206" s="438"/>
      <c r="O206" s="438"/>
      <c r="P206" s="438"/>
      <c r="Q206" s="437"/>
      <c r="R206" s="438"/>
      <c r="S206" s="438"/>
      <c r="T206" s="438"/>
      <c r="U206" s="438"/>
      <c r="V206" s="437"/>
      <c r="W206" s="438"/>
      <c r="X206" s="438"/>
      <c r="Y206" s="438"/>
      <c r="Z206" s="438"/>
      <c r="AA206" s="679">
        <f t="shared" ref="AA206:AR206" si="478">AA205/AA213</f>
        <v>8.8719898605830169E-2</v>
      </c>
      <c r="AB206" s="680">
        <f t="shared" si="478"/>
        <v>9.6878363832077499E-2</v>
      </c>
      <c r="AC206" s="680">
        <f t="shared" si="478"/>
        <v>0.10432033719704953</v>
      </c>
      <c r="AD206" s="680">
        <f t="shared" si="478"/>
        <v>0.11322645290581163</v>
      </c>
      <c r="AE206" s="680">
        <f t="shared" si="478"/>
        <v>5.6842105263157895E-2</v>
      </c>
      <c r="AF206" s="679">
        <f t="shared" si="478"/>
        <v>9.3047569262937793E-2</v>
      </c>
      <c r="AG206" s="680">
        <f t="shared" si="478"/>
        <v>7.9069767441860464E-2</v>
      </c>
      <c r="AH206" s="680">
        <f t="shared" si="478"/>
        <v>9.2783505154639179E-2</v>
      </c>
      <c r="AI206" s="680">
        <f t="shared" si="478"/>
        <v>4.9723756906077346E-2</v>
      </c>
      <c r="AJ206" s="680">
        <f t="shared" si="478"/>
        <v>-2.751196172248804E-2</v>
      </c>
      <c r="AK206" s="679">
        <f t="shared" si="478"/>
        <v>5.04060487258471E-2</v>
      </c>
      <c r="AL206" s="680">
        <f t="shared" si="478"/>
        <v>0.12750885478158205</v>
      </c>
      <c r="AM206" s="680">
        <f t="shared" si="478"/>
        <v>8.6458333333333331E-2</v>
      </c>
      <c r="AN206" s="317">
        <f t="shared" si="478"/>
        <v>0.109717868338558</v>
      </c>
      <c r="AO206" s="317">
        <f t="shared" si="478"/>
        <v>5.9459459459459463E-2</v>
      </c>
      <c r="AP206" s="316">
        <f t="shared" si="478"/>
        <v>9.5147736513960426E-2</v>
      </c>
      <c r="AQ206" s="680">
        <f t="shared" si="478"/>
        <v>4.3628013777267508E-2</v>
      </c>
      <c r="AR206" s="680">
        <f t="shared" si="478"/>
        <v>6.5331928345626969E-2</v>
      </c>
      <c r="AS206" s="317">
        <f t="shared" ref="AS206:AX206" si="479">AS205/AS213</f>
        <v>1.3013013013013013E-2</v>
      </c>
      <c r="AT206" s="317">
        <f t="shared" si="479"/>
        <v>6.6541705716963453E-2</v>
      </c>
      <c r="AU206" s="316">
        <f t="shared" si="479"/>
        <v>4.7312933916173826E-2</v>
      </c>
      <c r="AV206" s="680">
        <f t="shared" si="479"/>
        <v>6.1343719571567673E-2</v>
      </c>
      <c r="AW206" s="680">
        <f t="shared" si="479"/>
        <v>4.1628122109158186E-2</v>
      </c>
      <c r="AX206" s="317">
        <f t="shared" si="479"/>
        <v>4.2553191489361701E-2</v>
      </c>
      <c r="AY206" s="317">
        <f>AY205/AY213</f>
        <v>6.7567567567567571E-2</v>
      </c>
      <c r="AZ206" s="316">
        <f>AZ205/AZ213</f>
        <v>5.3135471517472478E-2</v>
      </c>
      <c r="BA206" s="316">
        <f>BA205/BA213</f>
        <v>5.1688009313154828E-2</v>
      </c>
      <c r="BB206" s="680">
        <f t="shared" ref="BB206:BC206" si="480">BB205/BB213</f>
        <v>9.8765432098765427E-2</v>
      </c>
      <c r="BC206" s="680">
        <f t="shared" si="480"/>
        <v>7.7570093457943926E-2</v>
      </c>
      <c r="BD206" s="680">
        <f t="shared" ref="BD206:BE206" si="481">BD205/BD213</f>
        <v>4.11599625818522E-2</v>
      </c>
      <c r="BE206" s="680">
        <f t="shared" si="481"/>
        <v>1.342882721575649E-2</v>
      </c>
      <c r="BF206" s="316">
        <f>BF205/BF213</f>
        <v>5.7089812021350661E-2</v>
      </c>
      <c r="BG206" s="680">
        <f t="shared" ref="BG206" si="482">BG205/BG213</f>
        <v>0.11255411255411256</v>
      </c>
      <c r="BH206" s="680">
        <f t="shared" ref="BH206:BI206" si="483">BH205/BH213</f>
        <v>0</v>
      </c>
      <c r="BI206" s="680">
        <f t="shared" si="483"/>
        <v>0</v>
      </c>
      <c r="BJ206" s="680">
        <f t="shared" ref="BJ206" si="484">BJ205/BJ213</f>
        <v>0</v>
      </c>
      <c r="BK206" s="316">
        <f>BK205/BK213</f>
        <v>6.5881092662024632E-2</v>
      </c>
      <c r="BL206" s="483"/>
      <c r="BM206" s="94"/>
      <c r="BN206" s="94"/>
      <c r="BO206" s="94"/>
      <c r="BP206" s="316"/>
      <c r="BQ206" s="483"/>
      <c r="BR206" s="94"/>
      <c r="BS206" s="94"/>
      <c r="BT206" s="1129"/>
      <c r="BU206" s="482"/>
      <c r="BV206" s="483"/>
      <c r="BW206" s="94"/>
      <c r="BX206" s="94"/>
      <c r="BY206" s="94"/>
      <c r="BZ206" s="482"/>
      <c r="CA206" s="483"/>
      <c r="CB206" s="94"/>
      <c r="CC206" s="94"/>
      <c r="CD206" s="94"/>
      <c r="CE206" s="482"/>
      <c r="CF206" s="483"/>
      <c r="CG206" s="94"/>
      <c r="CH206" s="94"/>
      <c r="CI206" s="94"/>
      <c r="CJ206" s="482"/>
      <c r="CK206" s="39"/>
      <c r="CL206" s="7"/>
      <c r="CM206" s="733"/>
      <c r="CN206" s="734"/>
      <c r="CO206" s="734"/>
      <c r="CP206" s="734"/>
      <c r="CQ206" s="734"/>
      <c r="CR206" s="734"/>
      <c r="CS206" s="734"/>
      <c r="CT206" s="734"/>
      <c r="CU206" s="734"/>
      <c r="CV206" s="734"/>
      <c r="CW206" s="75"/>
      <c r="CX206" s="38"/>
      <c r="CY206" s="38"/>
      <c r="CZ206"/>
      <c r="DA206"/>
      <c r="DB206"/>
      <c r="DC206"/>
      <c r="DD206"/>
    </row>
    <row r="207" spans="1:108" s="40" customFormat="1" hidden="1" outlineLevel="1">
      <c r="A207" s="443" t="s">
        <v>250</v>
      </c>
      <c r="B207" s="29"/>
      <c r="C207" s="29"/>
      <c r="D207" s="29"/>
      <c r="E207" s="29"/>
      <c r="F207" s="29"/>
      <c r="G207" s="29"/>
      <c r="H207" s="30"/>
      <c r="I207" s="30"/>
      <c r="J207" s="30"/>
      <c r="K207" s="30"/>
      <c r="L207" s="29"/>
      <c r="M207" s="30"/>
      <c r="N207" s="30"/>
      <c r="O207" s="30"/>
      <c r="P207" s="30"/>
      <c r="Q207" s="29"/>
      <c r="R207" s="30"/>
      <c r="S207" s="30"/>
      <c r="T207" s="30"/>
      <c r="U207" s="30"/>
      <c r="V207" s="29"/>
      <c r="W207" s="30"/>
      <c r="X207" s="30"/>
      <c r="Y207" s="30"/>
      <c r="Z207" s="30"/>
      <c r="AA207" s="29">
        <f t="shared" ref="AA207:AP207" si="485">AA205/AA215</f>
        <v>1.078050884001725E-2</v>
      </c>
      <c r="AB207" s="30">
        <f t="shared" si="485"/>
        <v>1.1541420877147986E-2</v>
      </c>
      <c r="AC207" s="30">
        <f t="shared" si="485"/>
        <v>1.2565046325675847E-2</v>
      </c>
      <c r="AD207" s="30">
        <f t="shared" si="485"/>
        <v>1.4389405322806571E-2</v>
      </c>
      <c r="AE207" s="30">
        <f t="shared" si="485"/>
        <v>5.9035749426041327E-3</v>
      </c>
      <c r="AF207" s="29">
        <f t="shared" si="485"/>
        <v>1.0894512960186063E-2</v>
      </c>
      <c r="AG207" s="30">
        <f t="shared" si="485"/>
        <v>8.9721599155561417E-3</v>
      </c>
      <c r="AH207" s="30">
        <f t="shared" si="485"/>
        <v>1.1360767482958849E-2</v>
      </c>
      <c r="AI207" s="30">
        <f t="shared" si="485"/>
        <v>5.6717922863624903E-3</v>
      </c>
      <c r="AJ207" s="30">
        <f t="shared" si="485"/>
        <v>-2.8472394156969548E-3</v>
      </c>
      <c r="AK207" s="29">
        <f t="shared" si="485"/>
        <v>5.7119284104972549E-3</v>
      </c>
      <c r="AL207" s="30">
        <f t="shared" si="485"/>
        <v>1.4586709886547812E-2</v>
      </c>
      <c r="AM207" s="30">
        <f t="shared" si="485"/>
        <v>1.0491720389331311E-2</v>
      </c>
      <c r="AN207" s="30">
        <f t="shared" si="485"/>
        <v>1.3468445356593124E-2</v>
      </c>
      <c r="AO207" s="30">
        <f t="shared" si="485"/>
        <v>7.0341475892057807E-3</v>
      </c>
      <c r="AP207" s="31">
        <f t="shared" si="485"/>
        <v>1.1348205625606208E-2</v>
      </c>
      <c r="AQ207" s="31">
        <f t="shared" ref="AQ207:AV207" si="486">AQ205/AQ215</f>
        <v>5.1884216275259422E-3</v>
      </c>
      <c r="AR207" s="30">
        <f t="shared" si="486"/>
        <v>8.2954241370082962E-3</v>
      </c>
      <c r="AS207" s="30">
        <f t="shared" si="486"/>
        <v>1.6772029415559283E-3</v>
      </c>
      <c r="AT207" s="30">
        <f t="shared" si="486"/>
        <v>8.5511260990003609E-3</v>
      </c>
      <c r="AU207" s="31">
        <f t="shared" si="486"/>
        <v>5.9639569557889275E-3</v>
      </c>
      <c r="AV207" s="31">
        <f t="shared" si="486"/>
        <v>8.0935251798561151E-3</v>
      </c>
      <c r="AW207" s="30">
        <f>AW205/AW215</f>
        <v>5.7092108601877693E-3</v>
      </c>
      <c r="AX207" s="30">
        <f>AX205/AX215</f>
        <v>5.5041280960720545E-3</v>
      </c>
      <c r="AY207" s="30">
        <f>AY205/AY215</f>
        <v>8.964015879113843E-3</v>
      </c>
      <c r="AZ207" s="31">
        <f>AZ205/AZ215</f>
        <v>7.0545616320823665E-3</v>
      </c>
      <c r="BA207" s="31">
        <f>BA205/BA215</f>
        <v>6.9853056857871057E-3</v>
      </c>
      <c r="BB207" s="31">
        <f t="shared" ref="BB207" si="487">BB205/BB215</f>
        <v>1.3464526152252718E-2</v>
      </c>
      <c r="BC207" s="30">
        <f>BC205/BC215</f>
        <v>1.0828440965427268E-2</v>
      </c>
      <c r="BD207" s="30">
        <f>BD205/BD215</f>
        <v>5.6913723968438756E-3</v>
      </c>
      <c r="BE207" s="30">
        <f>BE205/BE215</f>
        <v>1.8219361107737156E-3</v>
      </c>
      <c r="BF207" s="31">
        <f>BF205/BF215</f>
        <v>7.846139125442542E-3</v>
      </c>
      <c r="BG207" s="31">
        <f t="shared" ref="BG207" si="488">BG205/BG215</f>
        <v>1.3911182450508293E-2</v>
      </c>
      <c r="BH207" s="30">
        <f t="shared" ref="BH207:BI207" si="489">BH205/BH215</f>
        <v>0</v>
      </c>
      <c r="BI207" s="30">
        <f t="shared" si="489"/>
        <v>0</v>
      </c>
      <c r="BJ207" s="30">
        <f t="shared" ref="BJ207" si="490">BJ205/BJ215</f>
        <v>0</v>
      </c>
      <c r="BK207" s="31">
        <f>BK205/BK215</f>
        <v>8.0494748208501023E-3</v>
      </c>
      <c r="BL207" s="31"/>
      <c r="BM207" s="30"/>
      <c r="BN207" s="30"/>
      <c r="BO207" s="30"/>
      <c r="BP207" s="31"/>
      <c r="BQ207" s="31"/>
      <c r="BR207" s="30"/>
      <c r="BS207" s="30"/>
      <c r="BT207" s="1106"/>
      <c r="BU207" s="29"/>
      <c r="BV207" s="31"/>
      <c r="BW207" s="30"/>
      <c r="BX207" s="30"/>
      <c r="BY207" s="30"/>
      <c r="BZ207" s="29"/>
      <c r="CA207" s="31"/>
      <c r="CB207" s="30"/>
      <c r="CC207" s="30"/>
      <c r="CD207" s="30"/>
      <c r="CE207" s="29"/>
      <c r="CF207" s="31"/>
      <c r="CG207" s="30"/>
      <c r="CH207" s="30"/>
      <c r="CI207" s="30"/>
      <c r="CJ207" s="29"/>
      <c r="CK207" s="39"/>
      <c r="CL207" s="7"/>
      <c r="CM207" s="733"/>
      <c r="CN207" s="734"/>
      <c r="CO207" s="734"/>
      <c r="CP207" s="734"/>
      <c r="CQ207" s="734"/>
      <c r="CR207" s="734"/>
      <c r="CS207" s="734"/>
      <c r="CT207" s="734"/>
      <c r="CU207" s="734"/>
      <c r="CV207" s="734"/>
      <c r="CW207" s="75"/>
      <c r="CX207" s="38"/>
      <c r="CY207" s="38"/>
      <c r="CZ207"/>
      <c r="DA207"/>
      <c r="DB207"/>
      <c r="DC207"/>
      <c r="DD207"/>
    </row>
    <row r="208" spans="1:108" s="686" customFormat="1" hidden="1" outlineLevel="1">
      <c r="A208" s="682" t="s">
        <v>194</v>
      </c>
      <c r="B208" s="146"/>
      <c r="C208" s="146"/>
      <c r="D208" s="146"/>
      <c r="E208" s="146"/>
      <c r="F208" s="146"/>
      <c r="G208" s="146"/>
      <c r="H208" s="148"/>
      <c r="I208" s="148"/>
      <c r="J208" s="148"/>
      <c r="K208" s="148"/>
      <c r="L208" s="146"/>
      <c r="M208" s="148"/>
      <c r="N208" s="148"/>
      <c r="O208" s="148"/>
      <c r="P208" s="148"/>
      <c r="Q208" s="146"/>
      <c r="R208" s="148"/>
      <c r="S208" s="148"/>
      <c r="T208" s="148"/>
      <c r="U208" s="148"/>
      <c r="V208" s="146"/>
      <c r="W208" s="148"/>
      <c r="X208" s="148"/>
      <c r="Y208" s="148"/>
      <c r="Z208" s="148"/>
      <c r="AA208" s="146">
        <f>AA213-AA205</f>
        <v>3595</v>
      </c>
      <c r="AB208" s="148">
        <f t="shared" ref="AB208:AO208" si="491">AB213-AB205</f>
        <v>839</v>
      </c>
      <c r="AC208" s="148">
        <f t="shared" si="491"/>
        <v>850</v>
      </c>
      <c r="AD208" s="148">
        <f t="shared" si="491"/>
        <v>885</v>
      </c>
      <c r="AE208" s="148">
        <f t="shared" si="491"/>
        <v>896</v>
      </c>
      <c r="AF208" s="146">
        <f>AF213-AF205</f>
        <v>3470</v>
      </c>
      <c r="AG208" s="148">
        <f t="shared" si="491"/>
        <v>792</v>
      </c>
      <c r="AH208" s="148">
        <f t="shared" si="491"/>
        <v>880</v>
      </c>
      <c r="AI208" s="148">
        <f t="shared" si="491"/>
        <v>860</v>
      </c>
      <c r="AJ208" s="148">
        <f t="shared" si="491"/>
        <v>859</v>
      </c>
      <c r="AK208" s="146">
        <f>AK213-AK205</f>
        <v>3391</v>
      </c>
      <c r="AL208" s="148">
        <f t="shared" si="491"/>
        <v>739</v>
      </c>
      <c r="AM208" s="148">
        <f t="shared" si="491"/>
        <v>877</v>
      </c>
      <c r="AN208" s="148">
        <f t="shared" si="491"/>
        <v>852</v>
      </c>
      <c r="AO208" s="148">
        <f t="shared" si="491"/>
        <v>870</v>
      </c>
      <c r="AP208" s="149">
        <f t="shared" ref="AP208:AU208" si="492">AP213-AP205</f>
        <v>3338</v>
      </c>
      <c r="AQ208" s="149">
        <f t="shared" si="492"/>
        <v>833</v>
      </c>
      <c r="AR208" s="148">
        <f t="shared" si="492"/>
        <v>887</v>
      </c>
      <c r="AS208" s="148">
        <f t="shared" si="492"/>
        <v>986</v>
      </c>
      <c r="AT208" s="148">
        <f t="shared" si="492"/>
        <v>996</v>
      </c>
      <c r="AU208" s="149">
        <f t="shared" si="492"/>
        <v>3705</v>
      </c>
      <c r="AV208" s="149">
        <f t="shared" ref="AV208:BG208" si="493">AV213-AV205</f>
        <v>964</v>
      </c>
      <c r="AW208" s="148">
        <f t="shared" si="493"/>
        <v>1036</v>
      </c>
      <c r="AX208" s="148">
        <f t="shared" si="493"/>
        <v>990</v>
      </c>
      <c r="AY208" s="148">
        <f t="shared" si="493"/>
        <v>966</v>
      </c>
      <c r="AZ208" s="149">
        <f t="shared" si="493"/>
        <v>3956</v>
      </c>
      <c r="BA208" s="149">
        <f t="shared" si="493"/>
        <v>4073</v>
      </c>
      <c r="BB208" s="149">
        <f t="shared" si="493"/>
        <v>949</v>
      </c>
      <c r="BC208" s="148">
        <f t="shared" si="493"/>
        <v>987</v>
      </c>
      <c r="BD208" s="148">
        <f t="shared" si="493"/>
        <v>1025</v>
      </c>
      <c r="BE208" s="148">
        <f t="shared" si="493"/>
        <v>1102</v>
      </c>
      <c r="BF208" s="149">
        <f t="shared" si="493"/>
        <v>4063</v>
      </c>
      <c r="BG208" s="149">
        <f t="shared" si="493"/>
        <v>820</v>
      </c>
      <c r="BH208" s="148"/>
      <c r="BI208" s="148"/>
      <c r="BJ208" s="148"/>
      <c r="BK208" s="149">
        <f>BK213-BK205</f>
        <v>3488</v>
      </c>
      <c r="BL208" s="149"/>
      <c r="BM208" s="148"/>
      <c r="BN208" s="148"/>
      <c r="BO208" s="148"/>
      <c r="BP208" s="149"/>
      <c r="BQ208" s="149"/>
      <c r="BR208" s="148"/>
      <c r="BS208" s="148"/>
      <c r="BT208" s="546"/>
      <c r="BU208" s="146"/>
      <c r="BV208" s="149"/>
      <c r="BW208" s="148"/>
      <c r="BX208" s="148"/>
      <c r="BY208" s="148"/>
      <c r="BZ208" s="146"/>
      <c r="CA208" s="149"/>
      <c r="CB208" s="148"/>
      <c r="CC208" s="148"/>
      <c r="CD208" s="148"/>
      <c r="CE208" s="146"/>
      <c r="CF208" s="149"/>
      <c r="CG208" s="148"/>
      <c r="CH208" s="148"/>
      <c r="CI208" s="148"/>
      <c r="CJ208" s="146"/>
      <c r="CK208" s="683"/>
      <c r="CL208" s="684"/>
      <c r="CM208" s="1021"/>
      <c r="CN208" s="1022"/>
      <c r="CO208" s="1022"/>
      <c r="CP208" s="1022"/>
      <c r="CQ208" s="1022"/>
      <c r="CR208" s="1022"/>
      <c r="CS208" s="1022"/>
      <c r="CT208" s="1022"/>
      <c r="CU208" s="1022"/>
      <c r="CV208" s="1022"/>
      <c r="CW208" s="685"/>
      <c r="CX208" s="148"/>
      <c r="CY208" s="148"/>
      <c r="CZ208"/>
      <c r="DA208"/>
      <c r="DB208"/>
      <c r="DC208"/>
      <c r="DD208"/>
    </row>
    <row r="209" spans="1:108" s="40" customFormat="1" hidden="1" outlineLevel="1">
      <c r="A209" s="136" t="s">
        <v>21</v>
      </c>
      <c r="B209" s="29"/>
      <c r="C209" s="29"/>
      <c r="D209" s="29"/>
      <c r="E209" s="29"/>
      <c r="F209" s="29"/>
      <c r="G209" s="29"/>
      <c r="H209" s="30"/>
      <c r="I209" s="30"/>
      <c r="J209" s="30"/>
      <c r="K209" s="30"/>
      <c r="L209" s="29"/>
      <c r="M209" s="30"/>
      <c r="N209" s="30"/>
      <c r="O209" s="30"/>
      <c r="P209" s="30"/>
      <c r="Q209" s="29"/>
      <c r="R209" s="30"/>
      <c r="S209" s="30"/>
      <c r="T209" s="30"/>
      <c r="U209" s="30"/>
      <c r="V209" s="29"/>
      <c r="W209" s="30"/>
      <c r="X209" s="30"/>
      <c r="Y209" s="30"/>
      <c r="Z209" s="30"/>
      <c r="AA209" s="29"/>
      <c r="AB209" s="30"/>
      <c r="AC209" s="30"/>
      <c r="AD209" s="30"/>
      <c r="AE209" s="30"/>
      <c r="AF209" s="29">
        <f t="shared" ref="AF209:AS209" si="494">AF208/AA208-1</f>
        <v>-3.4770514603616132E-2</v>
      </c>
      <c r="AG209" s="30">
        <f t="shared" si="494"/>
        <v>-5.6019070321811637E-2</v>
      </c>
      <c r="AH209" s="30">
        <f t="shared" si="494"/>
        <v>3.529411764705892E-2</v>
      </c>
      <c r="AI209" s="30">
        <f t="shared" si="494"/>
        <v>-2.8248587570621431E-2</v>
      </c>
      <c r="AJ209" s="30">
        <f t="shared" si="494"/>
        <v>-4.1294642857142905E-2</v>
      </c>
      <c r="AK209" s="29">
        <f t="shared" si="494"/>
        <v>-2.2766570605187275E-2</v>
      </c>
      <c r="AL209" s="30">
        <f t="shared" si="494"/>
        <v>-6.6919191919191934E-2</v>
      </c>
      <c r="AM209" s="30">
        <f t="shared" si="494"/>
        <v>-3.4090909090909172E-3</v>
      </c>
      <c r="AN209" s="30">
        <f t="shared" si="494"/>
        <v>-9.302325581395321E-3</v>
      </c>
      <c r="AO209" s="30">
        <f t="shared" si="494"/>
        <v>1.2805587892898762E-2</v>
      </c>
      <c r="AP209" s="31">
        <f t="shared" si="494"/>
        <v>-1.5629607785314081E-2</v>
      </c>
      <c r="AQ209" s="31">
        <f t="shared" si="494"/>
        <v>0.12719891745602174</v>
      </c>
      <c r="AR209" s="30">
        <f t="shared" si="494"/>
        <v>1.1402508551881407E-2</v>
      </c>
      <c r="AS209" s="30">
        <f t="shared" si="494"/>
        <v>0.15727699530516426</v>
      </c>
      <c r="AT209" s="30">
        <f t="shared" ref="AT209:AZ209" si="495">AT208/AO208-1</f>
        <v>0.14482758620689662</v>
      </c>
      <c r="AU209" s="31">
        <f t="shared" si="495"/>
        <v>0.10994607549430802</v>
      </c>
      <c r="AV209" s="31">
        <f t="shared" si="495"/>
        <v>0.15726290516206487</v>
      </c>
      <c r="AW209" s="30">
        <f t="shared" si="495"/>
        <v>0.16798196166854562</v>
      </c>
      <c r="AX209" s="30">
        <f t="shared" si="495"/>
        <v>4.0567951318457585E-3</v>
      </c>
      <c r="AY209" s="30">
        <f t="shared" si="495"/>
        <v>-3.0120481927710885E-2</v>
      </c>
      <c r="AZ209" s="31">
        <f t="shared" si="495"/>
        <v>6.7746288798920418E-2</v>
      </c>
      <c r="BA209" s="31"/>
      <c r="BB209" s="31">
        <f>BB208/AV208-1</f>
        <v>-1.5560165975103679E-2</v>
      </c>
      <c r="BC209" s="30">
        <f>BC208/AW208-1</f>
        <v>-4.7297297297297258E-2</v>
      </c>
      <c r="BD209" s="30">
        <f>BD208/AX208-1</f>
        <v>3.5353535353535248E-2</v>
      </c>
      <c r="BE209" s="30">
        <f>BE208/AY208-1</f>
        <v>0.14078674948240155</v>
      </c>
      <c r="BF209" s="31">
        <f>BF208/AZ208-1</f>
        <v>2.7047522750252684E-2</v>
      </c>
      <c r="BG209" s="31"/>
      <c r="BH209" s="30"/>
      <c r="BI209" s="30"/>
      <c r="BJ209" s="30"/>
      <c r="BK209" s="31">
        <f>BK208/BA208-1</f>
        <v>-0.14362877485882641</v>
      </c>
      <c r="BL209" s="31"/>
      <c r="BM209" s="30"/>
      <c r="BN209" s="30"/>
      <c r="BO209" s="30"/>
      <c r="BP209" s="31"/>
      <c r="BQ209" s="31"/>
      <c r="BR209" s="30"/>
      <c r="BS209" s="30"/>
      <c r="BT209" s="1106"/>
      <c r="BU209" s="29"/>
      <c r="BV209" s="31"/>
      <c r="BW209" s="30"/>
      <c r="BX209" s="30"/>
      <c r="BY209" s="30"/>
      <c r="BZ209" s="29"/>
      <c r="CA209" s="31"/>
      <c r="CB209" s="30"/>
      <c r="CC209" s="30"/>
      <c r="CD209" s="30"/>
      <c r="CE209" s="29"/>
      <c r="CF209" s="31"/>
      <c r="CG209" s="30"/>
      <c r="CH209" s="30"/>
      <c r="CI209" s="30"/>
      <c r="CJ209" s="29"/>
      <c r="CK209" s="39"/>
      <c r="CL209" s="7"/>
      <c r="CM209" s="733"/>
      <c r="CN209" s="734"/>
      <c r="CO209" s="734"/>
      <c r="CP209" s="734"/>
      <c r="CQ209" s="734"/>
      <c r="CR209" s="734"/>
      <c r="CS209" s="734"/>
      <c r="CT209" s="734"/>
      <c r="CU209" s="734"/>
      <c r="CV209" s="734"/>
      <c r="CW209" s="75"/>
      <c r="CX209" s="38"/>
      <c r="CY209" s="38"/>
      <c r="CZ209"/>
      <c r="DA209"/>
      <c r="DB209"/>
      <c r="DC209"/>
      <c r="DD209"/>
    </row>
    <row r="210" spans="1:108" s="115" customFormat="1" collapsed="1">
      <c r="A210" s="106" t="s">
        <v>185</v>
      </c>
      <c r="B210" s="107">
        <f t="shared" ref="B210:AG210" si="496">B213/B128</f>
        <v>0.1261674308031924</v>
      </c>
      <c r="C210" s="107">
        <f t="shared" si="496"/>
        <v>0.11699268329102583</v>
      </c>
      <c r="D210" s="107">
        <f t="shared" si="496"/>
        <v>8.9679141066219825E-2</v>
      </c>
      <c r="E210" s="107">
        <f t="shared" si="496"/>
        <v>0.10234801505273758</v>
      </c>
      <c r="F210" s="107">
        <f t="shared" si="496"/>
        <v>0.10388557806912992</v>
      </c>
      <c r="G210" s="107">
        <f t="shared" si="496"/>
        <v>0.10908864231392594</v>
      </c>
      <c r="H210" s="108">
        <f t="shared" si="496"/>
        <v>0.10809523809523809</v>
      </c>
      <c r="I210" s="108">
        <f t="shared" si="496"/>
        <v>0.1153087543620088</v>
      </c>
      <c r="J210" s="108">
        <f t="shared" si="496"/>
        <v>0.11720807726075505</v>
      </c>
      <c r="K210" s="108">
        <f t="shared" si="496"/>
        <v>0.11590153027278775</v>
      </c>
      <c r="L210" s="107">
        <f t="shared" si="496"/>
        <v>0.11428046989720998</v>
      </c>
      <c r="M210" s="108">
        <f t="shared" si="496"/>
        <v>0.12291220556745182</v>
      </c>
      <c r="N210" s="108">
        <f t="shared" si="496"/>
        <v>0.12611255648363687</v>
      </c>
      <c r="O210" s="108">
        <f t="shared" si="496"/>
        <v>0.13067226890756303</v>
      </c>
      <c r="P210" s="108">
        <f t="shared" si="496"/>
        <v>0.11946001018848701</v>
      </c>
      <c r="Q210" s="107">
        <f t="shared" si="496"/>
        <v>0.12467576791808874</v>
      </c>
      <c r="R210" s="108">
        <f t="shared" si="496"/>
        <v>0.10951113262342692</v>
      </c>
      <c r="S210" s="108">
        <f t="shared" si="496"/>
        <v>0.11666666666666667</v>
      </c>
      <c r="T210" s="108">
        <f t="shared" si="496"/>
        <v>0.11322710195621194</v>
      </c>
      <c r="U210" s="108">
        <f t="shared" si="496"/>
        <v>0.12041023043808559</v>
      </c>
      <c r="V210" s="107">
        <f t="shared" si="496"/>
        <v>0.11491197898752384</v>
      </c>
      <c r="W210" s="108">
        <f t="shared" si="496"/>
        <v>0.11845161290322581</v>
      </c>
      <c r="X210" s="108">
        <f t="shared" si="496"/>
        <v>0.12154491609081935</v>
      </c>
      <c r="Y210" s="108">
        <f t="shared" si="496"/>
        <v>0.12058419672949694</v>
      </c>
      <c r="Z210" s="108">
        <f t="shared" si="496"/>
        <v>0.12510173235670272</v>
      </c>
      <c r="AA210" s="107">
        <f t="shared" si="496"/>
        <v>0.1215117353539087</v>
      </c>
      <c r="AB210" s="108">
        <f t="shared" si="496"/>
        <v>0.11913311105411643</v>
      </c>
      <c r="AC210" s="108">
        <f t="shared" si="496"/>
        <v>0.1204467572026907</v>
      </c>
      <c r="AD210" s="108">
        <f t="shared" si="496"/>
        <v>0.12708519037310581</v>
      </c>
      <c r="AE210" s="108">
        <f t="shared" si="496"/>
        <v>0.10385918880507271</v>
      </c>
      <c r="AF210" s="107">
        <f t="shared" si="496"/>
        <v>0.11708541175750528</v>
      </c>
      <c r="AG210" s="108">
        <f t="shared" si="496"/>
        <v>0.1134714342261512</v>
      </c>
      <c r="AH210" s="108">
        <f t="shared" ref="AH210:BJ210" si="497">AH213/AH128</f>
        <v>0.12244382731633426</v>
      </c>
      <c r="AI210" s="108">
        <f t="shared" si="497"/>
        <v>0.11406604487017898</v>
      </c>
      <c r="AJ210" s="108">
        <f t="shared" si="497"/>
        <v>0.10349096310968062</v>
      </c>
      <c r="AK210" s="107">
        <f t="shared" si="497"/>
        <v>0.11331831307714277</v>
      </c>
      <c r="AL210" s="108">
        <f t="shared" si="497"/>
        <v>0.114397622906537</v>
      </c>
      <c r="AM210" s="108">
        <f t="shared" si="497"/>
        <v>0.12135001896094046</v>
      </c>
      <c r="AN210" s="108">
        <f t="shared" si="497"/>
        <v>0.12275525910723448</v>
      </c>
      <c r="AO210" s="108">
        <f t="shared" si="497"/>
        <v>0.11830157309118813</v>
      </c>
      <c r="AP210" s="107">
        <f t="shared" si="497"/>
        <v>0.11926931781441966</v>
      </c>
      <c r="AQ210" s="108">
        <f t="shared" si="497"/>
        <v>0.11892408519934462</v>
      </c>
      <c r="AR210" s="108">
        <f t="shared" si="497"/>
        <v>0.12697350816162697</v>
      </c>
      <c r="AS210" s="108">
        <f t="shared" si="497"/>
        <v>0.12888659527802865</v>
      </c>
      <c r="AT210" s="108">
        <f t="shared" si="497"/>
        <v>0.12850776827652655</v>
      </c>
      <c r="AU210" s="107">
        <f t="shared" si="497"/>
        <v>0.12605341631012576</v>
      </c>
      <c r="AV210" s="108">
        <f t="shared" si="497"/>
        <v>0.13193730729701952</v>
      </c>
      <c r="AW210" s="108">
        <f t="shared" si="497"/>
        <v>0.13714793199695507</v>
      </c>
      <c r="AX210" s="108">
        <f t="shared" si="497"/>
        <v>0.12934701025769327</v>
      </c>
      <c r="AY210" s="108">
        <f t="shared" si="497"/>
        <v>0.13266743501088488</v>
      </c>
      <c r="AZ210" s="107">
        <f t="shared" si="497"/>
        <v>0.13276557882360418</v>
      </c>
      <c r="BA210" s="107">
        <f t="shared" si="497"/>
        <v>0.13514363928133161</v>
      </c>
      <c r="BB210" s="108">
        <f t="shared" si="497"/>
        <v>0.13632832729155878</v>
      </c>
      <c r="BC210" s="108">
        <f t="shared" si="497"/>
        <v>0.13959556425309849</v>
      </c>
      <c r="BD210" s="108">
        <f t="shared" si="497"/>
        <v>0.13827447936877507</v>
      </c>
      <c r="BE210" s="108">
        <f t="shared" si="497"/>
        <v>0.13567350904894934</v>
      </c>
      <c r="BF210" s="107">
        <f t="shared" si="497"/>
        <v>0.13743501419321916</v>
      </c>
      <c r="BG210" s="108">
        <f t="shared" si="497"/>
        <v>0.12359550561797752</v>
      </c>
      <c r="BH210" s="108">
        <f t="shared" si="497"/>
        <v>0.13210702341137123</v>
      </c>
      <c r="BI210" s="108">
        <f t="shared" si="497"/>
        <v>0.13290559120073328</v>
      </c>
      <c r="BJ210" s="108">
        <f t="shared" si="497"/>
        <v>0.10007818608287725</v>
      </c>
      <c r="BK210" s="107">
        <f t="shared" ref="BK210:BN210" si="498">BK213/BK128</f>
        <v>0.12218186577664343</v>
      </c>
      <c r="BL210" s="108">
        <f t="shared" si="498"/>
        <v>0.13909420776777315</v>
      </c>
      <c r="BM210" s="108">
        <f t="shared" si="498"/>
        <v>0.13758957654723128</v>
      </c>
      <c r="BN210" s="108">
        <f t="shared" si="498"/>
        <v>0.13878627968337731</v>
      </c>
      <c r="BO210" s="108">
        <f t="shared" ref="BO210:BP210" si="499">BO213/BO128</f>
        <v>0.12492448954935363</v>
      </c>
      <c r="BP210" s="107">
        <f t="shared" si="499"/>
        <v>0.13485939366545055</v>
      </c>
      <c r="BQ210" s="109">
        <f t="shared" ref="BQ210:BT210" si="500">BQ213/BQ128</f>
        <v>0.12926638580071362</v>
      </c>
      <c r="BR210" s="108">
        <f t="shared" si="500"/>
        <v>0.11834456701097315</v>
      </c>
      <c r="BS210" s="108">
        <f t="shared" si="500"/>
        <v>0.12162422171986237</v>
      </c>
      <c r="BT210" s="535">
        <f t="shared" si="500"/>
        <v>0.12224097336555462</v>
      </c>
      <c r="BU210" s="107">
        <f>BU213/BU128</f>
        <v>0.12258668795157882</v>
      </c>
      <c r="BV210" s="109"/>
      <c r="BW210" s="108"/>
      <c r="BX210" s="108"/>
      <c r="BY210" s="108"/>
      <c r="BZ210" s="107">
        <f>BZ213/BZ128</f>
        <v>0.12415865733519243</v>
      </c>
      <c r="CA210" s="109"/>
      <c r="CB210" s="108"/>
      <c r="CC210" s="108"/>
      <c r="CD210" s="108"/>
      <c r="CE210" s="107">
        <f>CE213/CE128</f>
        <v>0.12430675408569662</v>
      </c>
      <c r="CF210" s="109"/>
      <c r="CG210" s="108"/>
      <c r="CH210" s="108"/>
      <c r="CI210" s="108"/>
      <c r="CJ210" s="107">
        <f>CJ213/CJ128</f>
        <v>0.12429018932712342</v>
      </c>
      <c r="CK210" s="114"/>
      <c r="CL210" s="231"/>
      <c r="CM210" s="661" t="s">
        <v>393</v>
      </c>
      <c r="CN210" s="661"/>
      <c r="CO210" s="661"/>
      <c r="CP210" s="661"/>
      <c r="CQ210" s="661"/>
      <c r="CR210" s="661"/>
      <c r="CS210" s="661"/>
      <c r="CT210" s="661"/>
      <c r="CU210" s="249"/>
      <c r="CV210" s="1011"/>
      <c r="CW210" s="231"/>
      <c r="CX210" s="114"/>
      <c r="CY210" s="114"/>
      <c r="CZ210"/>
      <c r="DA210"/>
      <c r="DB210"/>
      <c r="DC210"/>
      <c r="DD210"/>
    </row>
    <row r="211" spans="1:108" s="198" customFormat="1">
      <c r="A211" s="116" t="s">
        <v>24</v>
      </c>
      <c r="B211" s="193"/>
      <c r="C211" s="199">
        <f>(C210-B210)*100</f>
        <v>-0.917474751216657</v>
      </c>
      <c r="D211" s="199">
        <f>(D210-C210)*100</f>
        <v>-2.7313542224806002</v>
      </c>
      <c r="E211" s="199">
        <f>(E210-D210)*100</f>
        <v>1.2668873986517752</v>
      </c>
      <c r="F211" s="199">
        <f>(F210-E210)*100</f>
        <v>0.15375630163923376</v>
      </c>
      <c r="G211" s="199">
        <f>(G210-F210)*100</f>
        <v>0.5203064244796024</v>
      </c>
      <c r="H211" s="194"/>
      <c r="I211" s="194"/>
      <c r="J211" s="194"/>
      <c r="K211" s="194"/>
      <c r="L211" s="199">
        <f t="shared" ref="L211:AS211" si="501">(L210-G210)*100</f>
        <v>0.51918275832840421</v>
      </c>
      <c r="M211" s="200">
        <f t="shared" si="501"/>
        <v>1.4816967472213727</v>
      </c>
      <c r="N211" s="200">
        <f t="shared" si="501"/>
        <v>1.080380212162807</v>
      </c>
      <c r="O211" s="200">
        <f t="shared" si="501"/>
        <v>1.3464191646807984</v>
      </c>
      <c r="P211" s="200">
        <f t="shared" si="501"/>
        <v>0.35584799156992558</v>
      </c>
      <c r="Q211" s="199">
        <f t="shared" si="501"/>
        <v>1.0395298020878754</v>
      </c>
      <c r="R211" s="200">
        <f t="shared" si="501"/>
        <v>-1.3401072944024901</v>
      </c>
      <c r="S211" s="200">
        <f t="shared" si="501"/>
        <v>-0.94458898169701988</v>
      </c>
      <c r="T211" s="200">
        <f t="shared" si="501"/>
        <v>-1.7445166951351094</v>
      </c>
      <c r="U211" s="200">
        <f t="shared" si="501"/>
        <v>9.5022024959857954E-2</v>
      </c>
      <c r="V211" s="199">
        <f t="shared" si="501"/>
        <v>-0.97637889305648984</v>
      </c>
      <c r="W211" s="200">
        <f t="shared" si="501"/>
        <v>0.89404802797988925</v>
      </c>
      <c r="X211" s="200">
        <f t="shared" si="501"/>
        <v>0.48782494241526864</v>
      </c>
      <c r="Y211" s="200">
        <f t="shared" si="501"/>
        <v>0.73570947732850001</v>
      </c>
      <c r="Z211" s="200">
        <f t="shared" si="501"/>
        <v>0.46915019186171275</v>
      </c>
      <c r="AA211" s="199">
        <f t="shared" si="501"/>
        <v>0.65997563663848657</v>
      </c>
      <c r="AB211" s="200">
        <f t="shared" si="501"/>
        <v>6.8149815089062205E-2</v>
      </c>
      <c r="AC211" s="200">
        <f t="shared" si="501"/>
        <v>-0.10981588881286558</v>
      </c>
      <c r="AD211" s="200">
        <f t="shared" si="501"/>
        <v>0.65009936436088711</v>
      </c>
      <c r="AE211" s="200">
        <f t="shared" si="501"/>
        <v>-2.1242543551630009</v>
      </c>
      <c r="AF211" s="199">
        <f t="shared" si="501"/>
        <v>-0.44263235964034225</v>
      </c>
      <c r="AG211" s="200">
        <f t="shared" si="501"/>
        <v>-0.56616768279652285</v>
      </c>
      <c r="AH211" s="200">
        <f t="shared" si="501"/>
        <v>0.19970701136435565</v>
      </c>
      <c r="AI211" s="200">
        <f t="shared" si="501"/>
        <v>-1.3019145502926834</v>
      </c>
      <c r="AJ211" s="200">
        <f t="shared" si="501"/>
        <v>-3.6822569539209093E-2</v>
      </c>
      <c r="AK211" s="199">
        <f t="shared" si="501"/>
        <v>-0.37670986803625128</v>
      </c>
      <c r="AL211" s="200">
        <f t="shared" si="501"/>
        <v>9.2618868038579771E-2</v>
      </c>
      <c r="AM211" s="200">
        <f t="shared" si="501"/>
        <v>-0.10938083553937994</v>
      </c>
      <c r="AN211" s="200">
        <f t="shared" si="501"/>
        <v>0.86892142370555003</v>
      </c>
      <c r="AO211" s="200">
        <f t="shared" si="501"/>
        <v>1.4810609981507517</v>
      </c>
      <c r="AP211" s="199">
        <f t="shared" si="501"/>
        <v>0.59510047372768882</v>
      </c>
      <c r="AQ211" s="200">
        <f>(AQ210-AL210)*100</f>
        <v>0.45264622928076204</v>
      </c>
      <c r="AR211" s="200">
        <f t="shared" si="501"/>
        <v>0.56234892006865178</v>
      </c>
      <c r="AS211" s="200">
        <f t="shared" si="501"/>
        <v>0.61313361707941716</v>
      </c>
      <c r="AT211" s="200">
        <f t="shared" ref="AT211:AZ211" si="502">(AT210-AO210)*100</f>
        <v>1.0206195185338411</v>
      </c>
      <c r="AU211" s="199">
        <f t="shared" si="502"/>
        <v>0.67840984957061035</v>
      </c>
      <c r="AV211" s="200">
        <f t="shared" si="502"/>
        <v>1.3013222097674901</v>
      </c>
      <c r="AW211" s="200">
        <f t="shared" si="502"/>
        <v>1.0174423835328099</v>
      </c>
      <c r="AX211" s="200">
        <f t="shared" si="502"/>
        <v>4.6041497966461953E-2</v>
      </c>
      <c r="AY211" s="200">
        <f t="shared" si="502"/>
        <v>0.41596667343583305</v>
      </c>
      <c r="AZ211" s="199">
        <f t="shared" si="502"/>
        <v>0.67121625134784202</v>
      </c>
      <c r="BA211" s="199"/>
      <c r="BB211" s="200">
        <f>(BB210-AV210)*100</f>
        <v>0.43910199945392525</v>
      </c>
      <c r="BC211" s="200">
        <f>(BC210-AW210)*100</f>
        <v>0.24476322561434172</v>
      </c>
      <c r="BD211" s="200">
        <f>(BD210-AX210)*100</f>
        <v>0.89274691110818039</v>
      </c>
      <c r="BE211" s="200">
        <f>(BE210-AY210)*100</f>
        <v>0.30060740380644657</v>
      </c>
      <c r="BF211" s="199">
        <f>(BF210-AZ210)*100</f>
        <v>0.46694353696149771</v>
      </c>
      <c r="BG211" s="200"/>
      <c r="BH211" s="200"/>
      <c r="BI211" s="200"/>
      <c r="BJ211" s="200"/>
      <c r="BK211" s="199">
        <f>(BK210-BA210)*100</f>
        <v>-1.2961773504688177</v>
      </c>
      <c r="BL211" s="200">
        <f>IFERROR((BL210-BG210)*100,"")</f>
        <v>1.5498702149795625</v>
      </c>
      <c r="BM211" s="200">
        <f>IF(BH210=0,"",(BM210-BH210)*100)</f>
        <v>0.54825531358600466</v>
      </c>
      <c r="BN211" s="200">
        <f>(BN210-BI210)*100</f>
        <v>0.58806884826440309</v>
      </c>
      <c r="BO211" s="200">
        <f>(BO210-BJ210)*100</f>
        <v>2.4846303466476387</v>
      </c>
      <c r="BP211" s="199">
        <f>(BP210-BF210)*100</f>
        <v>-0.25756205277686073</v>
      </c>
      <c r="BQ211" s="195">
        <f t="shared" ref="BQ211" si="503">IF(BL210=0,"",(BQ210-BL210)*100)</f>
        <v>-0.98278219670595302</v>
      </c>
      <c r="BR211" s="194">
        <f t="shared" ref="BR211" si="504">IF(BM210=0,"",(BR210-BM210)*100)</f>
        <v>-1.9245009536258129</v>
      </c>
      <c r="BS211" s="194">
        <f t="shared" ref="BS211" si="505">IF(BN210=0,"",(BS210-BN210)*100)</f>
        <v>-1.7162057963514943</v>
      </c>
      <c r="BT211" s="548">
        <f t="shared" ref="BT211" si="506">IF(BO210=0,"",(BT210-BO210)*100)</f>
        <v>-0.26835161837990146</v>
      </c>
      <c r="BU211" s="199">
        <f>(BU210-BP210)*100</f>
        <v>-1.2272705713871734</v>
      </c>
      <c r="BV211" s="195"/>
      <c r="BW211" s="194"/>
      <c r="BX211" s="194"/>
      <c r="BY211" s="194"/>
      <c r="BZ211" s="199">
        <f>(BZ210-BU210)*100</f>
        <v>0.15719693836136195</v>
      </c>
      <c r="CA211" s="195"/>
      <c r="CB211" s="194"/>
      <c r="CC211" s="194"/>
      <c r="CD211" s="194"/>
      <c r="CE211" s="199">
        <f>(CE210-BZ210)*100</f>
        <v>1.4809675050418691E-2</v>
      </c>
      <c r="CF211" s="195"/>
      <c r="CG211" s="194"/>
      <c r="CH211" s="194"/>
      <c r="CI211" s="194"/>
      <c r="CJ211" s="199">
        <f>(CJ210-CE210)*100</f>
        <v>-1.6564758573200944E-3</v>
      </c>
      <c r="CK211" s="197"/>
      <c r="CL211" s="229"/>
      <c r="CM211" s="661"/>
      <c r="CN211" s="661"/>
      <c r="CO211" s="661"/>
      <c r="CP211" s="661"/>
      <c r="CQ211" s="661"/>
      <c r="CR211" s="661"/>
      <c r="CS211" s="661"/>
      <c r="CT211" s="661"/>
      <c r="CU211" s="1012"/>
      <c r="CV211" s="1012"/>
      <c r="CW211" s="229"/>
      <c r="CX211" s="197"/>
      <c r="CY211" s="197"/>
      <c r="CZ211"/>
      <c r="DA211"/>
      <c r="DB211"/>
      <c r="DC211"/>
      <c r="DD211"/>
    </row>
    <row r="212" spans="1:108" s="205" customFormat="1">
      <c r="A212" s="117" t="s">
        <v>25</v>
      </c>
      <c r="B212" s="201"/>
      <c r="C212" s="201">
        <f>(C213-B213)/(C128-B128)</f>
        <v>5.0123762376237627E-2</v>
      </c>
      <c r="D212" s="201">
        <f>(D213-C213)/(D128-C128)</f>
        <v>-4.4869437293122469E-2</v>
      </c>
      <c r="E212" s="201">
        <f>(E213-D213)/(E128-D128)</f>
        <v>0.17647058823529413</v>
      </c>
      <c r="F212" s="201">
        <f>(F213-E213)/(F128-E128)</f>
        <v>0.11764705882352941</v>
      </c>
      <c r="G212" s="201">
        <f>(G213-F213)/(G128-F128)</f>
        <v>0.14443005181347152</v>
      </c>
      <c r="H212" s="202"/>
      <c r="I212" s="202"/>
      <c r="J212" s="202"/>
      <c r="K212" s="202"/>
      <c r="L212" s="201">
        <f t="shared" ref="L212:AZ212" si="507">(L213-G213)/(L128-G128)</f>
        <v>0.1536040289581366</v>
      </c>
      <c r="M212" s="202">
        <f t="shared" si="507"/>
        <v>0.25531914893617019</v>
      </c>
      <c r="N212" s="202">
        <f t="shared" si="507"/>
        <v>0.22612359550561797</v>
      </c>
      <c r="O212" s="202">
        <f t="shared" si="507"/>
        <v>0.43137254901960786</v>
      </c>
      <c r="P212" s="202">
        <f t="shared" si="507"/>
        <v>0.19881305637982197</v>
      </c>
      <c r="Q212" s="201">
        <f t="shared" si="507"/>
        <v>0.26213592233009708</v>
      </c>
      <c r="R212" s="202">
        <f t="shared" si="507"/>
        <v>3.4948371723590152E-2</v>
      </c>
      <c r="S212" s="202">
        <f t="shared" si="507"/>
        <v>3.0112923462986198E-2</v>
      </c>
      <c r="T212" s="202">
        <f t="shared" si="507"/>
        <v>-0.10189982728842832</v>
      </c>
      <c r="U212" s="202">
        <f t="shared" si="507"/>
        <v>0.28260869565217389</v>
      </c>
      <c r="V212" s="201">
        <f t="shared" si="507"/>
        <v>8.2058933233867953E-3</v>
      </c>
      <c r="W212" s="202">
        <f t="shared" si="507"/>
        <v>-2.5291828793774319E-2</v>
      </c>
      <c r="X212" s="202">
        <f t="shared" si="507"/>
        <v>10</v>
      </c>
      <c r="Y212" s="202">
        <f t="shared" si="507"/>
        <v>0.31506849315068491</v>
      </c>
      <c r="Z212" s="202">
        <f t="shared" si="507"/>
        <v>0.17780938833570412</v>
      </c>
      <c r="AA212" s="201">
        <f t="shared" si="507"/>
        <v>0.55670103092783507</v>
      </c>
      <c r="AB212" s="202">
        <f t="shared" si="507"/>
        <v>0.22916666666666666</v>
      </c>
      <c r="AC212" s="202">
        <f t="shared" si="507"/>
        <v>0.16</v>
      </c>
      <c r="AD212" s="202">
        <f t="shared" si="507"/>
        <v>-0.20253164556962025</v>
      </c>
      <c r="AE212" s="202">
        <f t="shared" si="507"/>
        <v>-0.23076923076923078</v>
      </c>
      <c r="AF212" s="201">
        <f t="shared" si="507"/>
        <v>-0.56398104265402849</v>
      </c>
      <c r="AG212" s="202">
        <f t="shared" si="507"/>
        <v>0.31506849315068491</v>
      </c>
      <c r="AH212" s="202">
        <f t="shared" si="507"/>
        <v>0.48837209302325579</v>
      </c>
      <c r="AI212" s="202">
        <f t="shared" si="507"/>
        <v>-1.1481481481481481</v>
      </c>
      <c r="AJ212" s="202">
        <f t="shared" si="507"/>
        <v>0.10664172123479888</v>
      </c>
      <c r="AK212" s="201">
        <f t="shared" si="507"/>
        <v>0.21907216494845361</v>
      </c>
      <c r="AL212" s="202">
        <f t="shared" si="507"/>
        <v>7.4285714285714288E-2</v>
      </c>
      <c r="AM212" s="202">
        <f t="shared" si="507"/>
        <v>0.90909090909090906</v>
      </c>
      <c r="AN212" s="202">
        <f t="shared" si="507"/>
        <v>-0.37681159420289856</v>
      </c>
      <c r="AO212" s="202">
        <f t="shared" si="507"/>
        <v>-0.34362934362934361</v>
      </c>
      <c r="AP212" s="201">
        <f t="shared" si="507"/>
        <v>-0.20240137221269297</v>
      </c>
      <c r="AQ212" s="202">
        <f t="shared" si="507"/>
        <v>-0.3</v>
      </c>
      <c r="AR212" s="202">
        <f t="shared" si="507"/>
        <v>2.5171624713958809E-2</v>
      </c>
      <c r="AS212" s="202">
        <f t="shared" si="507"/>
        <v>-0.93333333333333335</v>
      </c>
      <c r="AT212" s="202">
        <f t="shared" si="507"/>
        <v>0.29338842975206614</v>
      </c>
      <c r="AU212" s="201">
        <f t="shared" si="507"/>
        <v>-2.5641025641025643</v>
      </c>
      <c r="AV212" s="202">
        <f t="shared" si="507"/>
        <v>0.33913043478260868</v>
      </c>
      <c r="AW212" s="202">
        <f t="shared" si="507"/>
        <v>0.3235294117647059</v>
      </c>
      <c r="AX212" s="202">
        <f t="shared" si="507"/>
        <v>0.1440329218106996</v>
      </c>
      <c r="AY212" s="202">
        <f t="shared" si="507"/>
        <v>6.2753036437246959E-2</v>
      </c>
      <c r="AZ212" s="201">
        <f t="shared" si="507"/>
        <v>0.46839546191247972</v>
      </c>
      <c r="BA212" s="201"/>
      <c r="BB212" s="202">
        <f>(BB213-AV213)/(BB128-AV128)</f>
        <v>-0.43333333333333335</v>
      </c>
      <c r="BC212" s="202">
        <f>(BC213-AW213)/(BC128-AW128)</f>
        <v>5.0691244239631339E-2</v>
      </c>
      <c r="BD212" s="202">
        <f>(BD213-AX213)/(BD128-AX128)</f>
        <v>-0.13307984790874525</v>
      </c>
      <c r="BE212" s="202">
        <f>(BE213-AY213)/(BE128-AY128)</f>
        <v>0.19103773584905662</v>
      </c>
      <c r="BF212" s="201">
        <f>(BF213-AZ213)/(BF128-AZ128)</f>
        <v>-1.1293103448275863</v>
      </c>
      <c r="BG212" s="202"/>
      <c r="BH212" s="202"/>
      <c r="BI212" s="202"/>
      <c r="BJ212" s="202"/>
      <c r="BK212" s="201">
        <f>(BK213-BA213)/(BK128-BA128)</f>
        <v>0.45983606557377049</v>
      </c>
      <c r="BL212" s="202">
        <f>(BL213-BB213)/(BL128-BB128)</f>
        <v>6.3604240282685506E-2</v>
      </c>
      <c r="BM212" s="202">
        <f>(BM213-BC213)/(BM128-BC128)</f>
        <v>-1.4</v>
      </c>
      <c r="BN212" s="202">
        <f>(BN213-BI213)/(BN128-BI128)</f>
        <v>-0.64912280701754388</v>
      </c>
      <c r="BO212" s="202">
        <f>(BO213-BJ213)/(BO128-BJ128)</f>
        <v>0.44112769485903813</v>
      </c>
      <c r="BP212" s="201">
        <f>(BP213-BF213)/(BP128-BJ128)</f>
        <v>-5.6654792051160996E-3</v>
      </c>
      <c r="BQ212" s="203">
        <f>(BQ213-BL213)/(BQ128-BL128)</f>
        <v>-0.16588559828467631</v>
      </c>
      <c r="BR212" s="202">
        <f t="shared" ref="BR212:BU212" si="508">(BR213-BM213)/(BR128-BM128)</f>
        <v>2.2330104795128841E-2</v>
      </c>
      <c r="BS212" s="687">
        <f t="shared" si="508"/>
        <v>3.8928477637525993E-2</v>
      </c>
      <c r="BT212" s="1125">
        <f t="shared" si="508"/>
        <v>0.10951496643672362</v>
      </c>
      <c r="BU212" s="201">
        <f t="shared" si="508"/>
        <v>4.8119881787763608E-2</v>
      </c>
      <c r="BV212" s="203"/>
      <c r="BW212" s="202"/>
      <c r="BX212" s="202"/>
      <c r="BY212" s="202"/>
      <c r="BZ212" s="201">
        <f>(BZ213-BU213)/(BZ128-BU128)</f>
        <v>0.14085107322599424</v>
      </c>
      <c r="CA212" s="203"/>
      <c r="CB212" s="202"/>
      <c r="CC212" s="202"/>
      <c r="CD212" s="202"/>
      <c r="CE212" s="201">
        <f>(CE213-BZ213)/(CE128-BZ128)</f>
        <v>0.12673786083453914</v>
      </c>
      <c r="CF212" s="203"/>
      <c r="CG212" s="202"/>
      <c r="CH212" s="202"/>
      <c r="CI212" s="202"/>
      <c r="CJ212" s="201">
        <f>(CJ213-CE213)/(CJ128-CE128)</f>
        <v>0.12401855880054385</v>
      </c>
      <c r="CK212" s="204"/>
      <c r="CL212" s="239"/>
      <c r="CM212" s="622"/>
      <c r="CN212" s="622"/>
      <c r="CO212" s="1012"/>
      <c r="CP212" s="1012"/>
      <c r="CQ212" s="1012"/>
      <c r="CR212" s="1012"/>
      <c r="CS212" s="1012"/>
      <c r="CT212" s="1012"/>
      <c r="CU212" s="1012"/>
      <c r="CV212" s="1012"/>
      <c r="CW212" s="239"/>
      <c r="CX212" s="204"/>
      <c r="CY212" s="204"/>
      <c r="CZ212"/>
      <c r="DA212"/>
      <c r="DB212"/>
      <c r="DC212"/>
      <c r="DD212"/>
    </row>
    <row r="213" spans="1:108" s="135" customFormat="1">
      <c r="A213" s="128" t="s">
        <v>43</v>
      </c>
      <c r="B213" s="129">
        <f t="shared" ref="B213:BM213" si="509">SUM(B157,B189,B164,B171,B180,B193)</f>
        <v>1486</v>
      </c>
      <c r="C213" s="129">
        <f t="shared" si="509"/>
        <v>1567</v>
      </c>
      <c r="D213" s="129">
        <f t="shared" si="509"/>
        <v>1445</v>
      </c>
      <c r="E213" s="129">
        <f t="shared" si="509"/>
        <v>1931</v>
      </c>
      <c r="F213" s="129">
        <f t="shared" si="509"/>
        <v>2179</v>
      </c>
      <c r="G213" s="129">
        <f t="shared" si="509"/>
        <v>2625</v>
      </c>
      <c r="H213" s="130">
        <f t="shared" si="509"/>
        <v>681</v>
      </c>
      <c r="I213" s="130">
        <f t="shared" si="509"/>
        <v>760</v>
      </c>
      <c r="J213" s="130">
        <f t="shared" si="509"/>
        <v>801</v>
      </c>
      <c r="K213" s="130">
        <f t="shared" si="509"/>
        <v>871</v>
      </c>
      <c r="L213" s="129">
        <f t="shared" si="509"/>
        <v>3113</v>
      </c>
      <c r="M213" s="130">
        <f t="shared" si="509"/>
        <v>861</v>
      </c>
      <c r="N213" s="130">
        <f t="shared" si="509"/>
        <v>921</v>
      </c>
      <c r="O213" s="130">
        <f t="shared" si="509"/>
        <v>933</v>
      </c>
      <c r="P213" s="130">
        <f t="shared" si="509"/>
        <v>938</v>
      </c>
      <c r="Q213" s="129">
        <f t="shared" si="509"/>
        <v>3653</v>
      </c>
      <c r="R213" s="130">
        <f t="shared" si="509"/>
        <v>905</v>
      </c>
      <c r="S213" s="130">
        <f t="shared" si="509"/>
        <v>945</v>
      </c>
      <c r="T213" s="130">
        <f t="shared" si="509"/>
        <v>874</v>
      </c>
      <c r="U213" s="130">
        <f t="shared" si="509"/>
        <v>951</v>
      </c>
      <c r="V213" s="129">
        <f t="shared" si="509"/>
        <v>3675</v>
      </c>
      <c r="W213" s="130">
        <f t="shared" si="509"/>
        <v>918</v>
      </c>
      <c r="X213" s="130">
        <f t="shared" si="509"/>
        <v>985</v>
      </c>
      <c r="Y213" s="130">
        <f t="shared" si="509"/>
        <v>966</v>
      </c>
      <c r="Z213" s="130">
        <f t="shared" si="509"/>
        <v>1076</v>
      </c>
      <c r="AA213" s="129">
        <f t="shared" si="509"/>
        <v>3945</v>
      </c>
      <c r="AB213" s="130">
        <f t="shared" si="509"/>
        <v>929</v>
      </c>
      <c r="AC213" s="130">
        <f t="shared" si="509"/>
        <v>949</v>
      </c>
      <c r="AD213" s="130">
        <f t="shared" si="509"/>
        <v>998</v>
      </c>
      <c r="AE213" s="130">
        <f t="shared" si="509"/>
        <v>950</v>
      </c>
      <c r="AF213" s="129">
        <f t="shared" si="509"/>
        <v>3826</v>
      </c>
      <c r="AG213" s="130">
        <f t="shared" si="509"/>
        <v>860</v>
      </c>
      <c r="AH213" s="130">
        <f t="shared" si="509"/>
        <v>970</v>
      </c>
      <c r="AI213" s="130">
        <f t="shared" si="509"/>
        <v>905</v>
      </c>
      <c r="AJ213" s="130">
        <f t="shared" si="509"/>
        <v>836</v>
      </c>
      <c r="AK213" s="129">
        <f t="shared" si="509"/>
        <v>3571</v>
      </c>
      <c r="AL213" s="130">
        <f t="shared" si="509"/>
        <v>847</v>
      </c>
      <c r="AM213" s="130">
        <f t="shared" si="509"/>
        <v>960</v>
      </c>
      <c r="AN213" s="130">
        <f t="shared" si="509"/>
        <v>957</v>
      </c>
      <c r="AO213" s="130">
        <f t="shared" si="509"/>
        <v>925</v>
      </c>
      <c r="AP213" s="131">
        <f t="shared" si="509"/>
        <v>3689</v>
      </c>
      <c r="AQ213" s="131">
        <f t="shared" si="509"/>
        <v>871</v>
      </c>
      <c r="AR213" s="130">
        <f t="shared" si="509"/>
        <v>949</v>
      </c>
      <c r="AS213" s="130">
        <f t="shared" si="509"/>
        <v>999</v>
      </c>
      <c r="AT213" s="130">
        <f t="shared" si="509"/>
        <v>1067</v>
      </c>
      <c r="AU213" s="131">
        <f t="shared" si="509"/>
        <v>3889</v>
      </c>
      <c r="AV213" s="131">
        <f t="shared" si="509"/>
        <v>1027</v>
      </c>
      <c r="AW213" s="130">
        <f t="shared" si="509"/>
        <v>1081</v>
      </c>
      <c r="AX213" s="130">
        <f t="shared" si="509"/>
        <v>1034</v>
      </c>
      <c r="AY213" s="130">
        <f t="shared" si="509"/>
        <v>1036</v>
      </c>
      <c r="AZ213" s="131">
        <f t="shared" si="509"/>
        <v>4178</v>
      </c>
      <c r="BA213" s="131">
        <f t="shared" si="509"/>
        <v>4295</v>
      </c>
      <c r="BB213" s="131">
        <f t="shared" si="509"/>
        <v>1053</v>
      </c>
      <c r="BC213" s="130">
        <f t="shared" si="509"/>
        <v>1070</v>
      </c>
      <c r="BD213" s="130">
        <f t="shared" si="509"/>
        <v>1069</v>
      </c>
      <c r="BE213" s="130">
        <f t="shared" si="509"/>
        <v>1117</v>
      </c>
      <c r="BF213" s="131">
        <f t="shared" si="509"/>
        <v>4309</v>
      </c>
      <c r="BG213" s="131">
        <f t="shared" si="509"/>
        <v>924</v>
      </c>
      <c r="BH213" s="130">
        <f t="shared" si="509"/>
        <v>1027</v>
      </c>
      <c r="BI213" s="130">
        <f t="shared" si="509"/>
        <v>1015</v>
      </c>
      <c r="BJ213" s="130">
        <f t="shared" si="509"/>
        <v>768</v>
      </c>
      <c r="BK213" s="129">
        <f t="shared" si="509"/>
        <v>3734</v>
      </c>
      <c r="BL213" s="130">
        <f t="shared" si="509"/>
        <v>1035</v>
      </c>
      <c r="BM213" s="130">
        <f t="shared" si="509"/>
        <v>1056</v>
      </c>
      <c r="BN213" s="130">
        <f t="shared" ref="BN213:BQ213" si="510">SUM(BN157,BN189,BN164,BN171,BN180,BN193)</f>
        <v>1052</v>
      </c>
      <c r="BO213" s="130">
        <f t="shared" si="510"/>
        <v>1034</v>
      </c>
      <c r="BP213" s="131">
        <f t="shared" si="510"/>
        <v>4177</v>
      </c>
      <c r="BQ213" s="131">
        <f t="shared" si="510"/>
        <v>993.89907826500007</v>
      </c>
      <c r="BR213" s="130">
        <f>SUM(BR157,BR189,BR164,BR171,BR180,BR193)</f>
        <v>1090.3518888799997</v>
      </c>
      <c r="BS213" s="1316">
        <f>SUM(BS157,BS189,BS164,BS171,BS180,BS193)</f>
        <v>1113.2382584100001</v>
      </c>
      <c r="BT213" s="662">
        <f t="shared" ref="BT213:BU213" si="511">SUM(BT157,BT189,BT164,BT171,BT180,BT193)</f>
        <v>1225.14304182</v>
      </c>
      <c r="BU213" s="129">
        <f t="shared" si="511"/>
        <v>4422.6322673750001</v>
      </c>
      <c r="BV213" s="131"/>
      <c r="BW213" s="130"/>
      <c r="BX213" s="130"/>
      <c r="BY213" s="130"/>
      <c r="BZ213" s="129">
        <f t="shared" ref="BZ213" si="512">SUM(BZ157,BZ189,BZ164,BZ171,BZ180,BZ193)</f>
        <v>4901.1770282349999</v>
      </c>
      <c r="CA213" s="131"/>
      <c r="CB213" s="130"/>
      <c r="CC213" s="130"/>
      <c r="CD213" s="130"/>
      <c r="CE213" s="129">
        <f t="shared" ref="CE213" si="513">SUM(CE157,CE189,CE164,CE171,CE180,CE193)</f>
        <v>5205.9463544723667</v>
      </c>
      <c r="CF213" s="131"/>
      <c r="CG213" s="130"/>
      <c r="CH213" s="130"/>
      <c r="CI213" s="130"/>
      <c r="CJ213" s="129">
        <f t="shared" ref="CJ213" si="514">SUM(CJ157,CJ189,CJ164,CJ171,CJ180,CJ193)</f>
        <v>5522.6829012093613</v>
      </c>
      <c r="CK213" s="132"/>
      <c r="CL213" s="240"/>
      <c r="CM213" s="661" t="s">
        <v>394</v>
      </c>
      <c r="CN213" s="622"/>
      <c r="CO213" s="622"/>
      <c r="CP213" s="622"/>
      <c r="CQ213" s="622"/>
      <c r="CR213" s="622"/>
      <c r="CS213" s="661" t="s">
        <v>390</v>
      </c>
      <c r="CT213" s="622"/>
      <c r="CU213" s="1229" t="s">
        <v>104</v>
      </c>
      <c r="CV213" s="1230">
        <f>+(CJ213/BP213)^(1/4)-1</f>
        <v>7.231259760189368E-2</v>
      </c>
      <c r="CW213" s="230"/>
      <c r="CX213" s="133"/>
      <c r="CY213" s="133"/>
      <c r="CZ213"/>
      <c r="DA213"/>
      <c r="DB213"/>
      <c r="DC213"/>
      <c r="DD213"/>
    </row>
    <row r="214" spans="1:108" s="40" customFormat="1">
      <c r="A214" s="136" t="s">
        <v>21</v>
      </c>
      <c r="B214" s="29"/>
      <c r="C214" s="29">
        <f>C213/B213-1</f>
        <v>5.4508748317631195E-2</v>
      </c>
      <c r="D214" s="29">
        <f>D213/C213-1</f>
        <v>-7.7855775366943214E-2</v>
      </c>
      <c r="E214" s="29">
        <f>E213/D213-1</f>
        <v>0.33633217993079589</v>
      </c>
      <c r="F214" s="29">
        <f>F213/E213-1</f>
        <v>0.12843086483687216</v>
      </c>
      <c r="G214" s="29">
        <f>G213/F213-1</f>
        <v>0.20468104635153739</v>
      </c>
      <c r="H214" s="30"/>
      <c r="I214" s="30"/>
      <c r="J214" s="30"/>
      <c r="K214" s="30"/>
      <c r="L214" s="29">
        <f t="shared" ref="L214:AS214" si="515">L213/G213-1</f>
        <v>0.18590476190476179</v>
      </c>
      <c r="M214" s="30">
        <f t="shared" si="515"/>
        <v>0.26431718061674014</v>
      </c>
      <c r="N214" s="30">
        <f t="shared" si="515"/>
        <v>0.21184210526315783</v>
      </c>
      <c r="O214" s="30">
        <f t="shared" si="515"/>
        <v>0.16479400749063666</v>
      </c>
      <c r="P214" s="30">
        <f t="shared" si="515"/>
        <v>7.6923076923076872E-2</v>
      </c>
      <c r="Q214" s="29">
        <f t="shared" si="515"/>
        <v>0.1734661098618695</v>
      </c>
      <c r="R214" s="30">
        <f t="shared" si="515"/>
        <v>5.1103368176538932E-2</v>
      </c>
      <c r="S214" s="30">
        <f t="shared" si="515"/>
        <v>2.6058631921824116E-2</v>
      </c>
      <c r="T214" s="30">
        <f t="shared" si="515"/>
        <v>-6.3236870310825255E-2</v>
      </c>
      <c r="U214" s="30">
        <f t="shared" si="515"/>
        <v>1.3859275053304865E-2</v>
      </c>
      <c r="V214" s="29">
        <f t="shared" si="515"/>
        <v>6.0224473035861426E-3</v>
      </c>
      <c r="W214" s="30">
        <f t="shared" si="515"/>
        <v>1.436464088397793E-2</v>
      </c>
      <c r="X214" s="30">
        <f t="shared" si="515"/>
        <v>4.2328042328042326E-2</v>
      </c>
      <c r="Y214" s="30">
        <f t="shared" si="515"/>
        <v>0.10526315789473695</v>
      </c>
      <c r="Z214" s="30">
        <f t="shared" si="515"/>
        <v>0.13144058885383814</v>
      </c>
      <c r="AA214" s="29">
        <f t="shared" si="515"/>
        <v>7.3469387755102034E-2</v>
      </c>
      <c r="AB214" s="30">
        <f t="shared" si="515"/>
        <v>1.1982570806100323E-2</v>
      </c>
      <c r="AC214" s="30">
        <f t="shared" si="515"/>
        <v>-3.6548223350253761E-2</v>
      </c>
      <c r="AD214" s="30">
        <f t="shared" si="515"/>
        <v>3.3126293995859202E-2</v>
      </c>
      <c r="AE214" s="30">
        <f t="shared" si="515"/>
        <v>-0.11710037174721188</v>
      </c>
      <c r="AF214" s="29">
        <f t="shared" si="515"/>
        <v>-3.016476552598224E-2</v>
      </c>
      <c r="AG214" s="30">
        <f t="shared" si="515"/>
        <v>-7.4273412271259387E-2</v>
      </c>
      <c r="AH214" s="30">
        <f t="shared" si="515"/>
        <v>2.2128556375131669E-2</v>
      </c>
      <c r="AI214" s="30">
        <f t="shared" si="515"/>
        <v>-9.318637274549102E-2</v>
      </c>
      <c r="AJ214" s="30">
        <f t="shared" si="515"/>
        <v>-0.12</v>
      </c>
      <c r="AK214" s="29">
        <f t="shared" si="515"/>
        <v>-6.6649242028227862E-2</v>
      </c>
      <c r="AL214" s="30">
        <f t="shared" si="515"/>
        <v>-1.5116279069767424E-2</v>
      </c>
      <c r="AM214" s="30">
        <f t="shared" si="515"/>
        <v>-1.0309278350515427E-2</v>
      </c>
      <c r="AN214" s="30">
        <f t="shared" si="515"/>
        <v>5.74585635359115E-2</v>
      </c>
      <c r="AO214" s="30">
        <f t="shared" si="515"/>
        <v>0.10645933014354059</v>
      </c>
      <c r="AP214" s="31">
        <f t="shared" si="515"/>
        <v>3.3043965275833198E-2</v>
      </c>
      <c r="AQ214" s="31">
        <f>AQ213/AL213-1</f>
        <v>2.8335301062573759E-2</v>
      </c>
      <c r="AR214" s="30">
        <f t="shared" si="515"/>
        <v>-1.1458333333333348E-2</v>
      </c>
      <c r="AS214" s="30">
        <f t="shared" si="515"/>
        <v>4.3887147335423204E-2</v>
      </c>
      <c r="AT214" s="30">
        <f t="shared" ref="AT214:AZ214" si="516">AT213/AO213-1</f>
        <v>0.1535135135135135</v>
      </c>
      <c r="AU214" s="31">
        <f t="shared" si="516"/>
        <v>5.4215234480889052E-2</v>
      </c>
      <c r="AV214" s="31">
        <f t="shared" si="516"/>
        <v>0.17910447761194037</v>
      </c>
      <c r="AW214" s="30">
        <f t="shared" si="516"/>
        <v>0.13909378292939945</v>
      </c>
      <c r="AX214" s="30">
        <f t="shared" si="516"/>
        <v>3.5035035035035023E-2</v>
      </c>
      <c r="AY214" s="30">
        <f t="shared" si="516"/>
        <v>-2.9053420805998154E-2</v>
      </c>
      <c r="AZ214" s="31">
        <f t="shared" si="516"/>
        <v>7.4312162509642565E-2</v>
      </c>
      <c r="BA214" s="31"/>
      <c r="BB214" s="31">
        <f>BB213/AV213-1</f>
        <v>2.5316455696202445E-2</v>
      </c>
      <c r="BC214" s="30">
        <f>BC213/AW213-1</f>
        <v>-1.0175763182238673E-2</v>
      </c>
      <c r="BD214" s="30">
        <f>BD213/AX213-1</f>
        <v>3.3849129593810368E-2</v>
      </c>
      <c r="BE214" s="30">
        <f>BE213/AY213-1</f>
        <v>7.8185328185328196E-2</v>
      </c>
      <c r="BF214" s="31">
        <f>BF213/AZ213-1</f>
        <v>3.1354715174724657E-2</v>
      </c>
      <c r="BG214" s="31"/>
      <c r="BH214" s="30"/>
      <c r="BI214" s="30"/>
      <c r="BJ214" s="30"/>
      <c r="BK214" s="29">
        <f>+BK213/BA213-1</f>
        <v>-0.13061699650756697</v>
      </c>
      <c r="BL214" s="194">
        <f>BL213/BB213-1</f>
        <v>-1.7094017094017144E-2</v>
      </c>
      <c r="BM214" s="194">
        <f>BM213/BC213-1</f>
        <v>-1.3084112149532756E-2</v>
      </c>
      <c r="BN214" s="194">
        <f>BN213/BI213-1</f>
        <v>3.6453201970443327E-2</v>
      </c>
      <c r="BO214" s="194">
        <f>BO213/BJ213-1</f>
        <v>0.34635416666666674</v>
      </c>
      <c r="BP214" s="31">
        <f>BP213/BF213-1</f>
        <v>-3.0633557669992983E-2</v>
      </c>
      <c r="BQ214" s="31">
        <f t="shared" ref="BQ214:BT214" si="517">BQ213/BL213-1</f>
        <v>-3.9711035492753566E-2</v>
      </c>
      <c r="BR214" s="30">
        <f t="shared" si="517"/>
        <v>3.2530197803030125E-2</v>
      </c>
      <c r="BS214" s="1031">
        <f t="shared" si="517"/>
        <v>5.8211272252851831E-2</v>
      </c>
      <c r="BT214" s="1106">
        <f t="shared" si="517"/>
        <v>0.18485787410058019</v>
      </c>
      <c r="BU214" s="29">
        <f>BU213/BP213-1</f>
        <v>5.8805905524299762E-2</v>
      </c>
      <c r="BV214" s="31"/>
      <c r="BW214" s="30"/>
      <c r="BX214" s="30"/>
      <c r="BY214" s="30"/>
      <c r="BZ214" s="29">
        <f>BZ213/BU213-1</f>
        <v>0.1082036063432501</v>
      </c>
      <c r="CA214" s="31"/>
      <c r="CB214" s="30"/>
      <c r="CC214" s="30"/>
      <c r="CD214" s="30"/>
      <c r="CE214" s="29">
        <f>CE213/BZ213-1</f>
        <v>6.2182884740060063E-2</v>
      </c>
      <c r="CF214" s="31"/>
      <c r="CG214" s="30"/>
      <c r="CH214" s="30"/>
      <c r="CI214" s="30"/>
      <c r="CJ214" s="29">
        <f>CJ213/CE213-1</f>
        <v>6.0841300537968435E-2</v>
      </c>
      <c r="CK214" s="39"/>
      <c r="CL214" s="7"/>
      <c r="CM214" s="734"/>
      <c r="CN214" s="734"/>
      <c r="CO214" s="734"/>
      <c r="CP214" s="734"/>
      <c r="CQ214" s="734"/>
      <c r="CR214" s="734"/>
      <c r="CS214" s="734"/>
      <c r="CT214" s="734"/>
      <c r="CU214" s="734"/>
      <c r="CV214" s="734"/>
      <c r="CW214" s="75"/>
      <c r="CX214" s="38"/>
      <c r="CY214" s="38"/>
      <c r="CZ214"/>
      <c r="DA214"/>
      <c r="DB214"/>
      <c r="DC214"/>
      <c r="DD214"/>
    </row>
    <row r="215" spans="1:108" s="143" customFormat="1">
      <c r="A215" s="138" t="s">
        <v>44</v>
      </c>
      <c r="B215" s="139">
        <f t="shared" ref="B215:AG215" si="518">B128</f>
        <v>11778</v>
      </c>
      <c r="C215" s="139">
        <f t="shared" si="518"/>
        <v>13394</v>
      </c>
      <c r="D215" s="139">
        <f t="shared" si="518"/>
        <v>16113</v>
      </c>
      <c r="E215" s="139">
        <f t="shared" si="518"/>
        <v>18867</v>
      </c>
      <c r="F215" s="139">
        <f t="shared" si="518"/>
        <v>20975</v>
      </c>
      <c r="G215" s="139">
        <f t="shared" si="518"/>
        <v>24063</v>
      </c>
      <c r="H215" s="140">
        <f t="shared" si="518"/>
        <v>6300</v>
      </c>
      <c r="I215" s="140">
        <f t="shared" si="518"/>
        <v>6591</v>
      </c>
      <c r="J215" s="140">
        <f t="shared" si="518"/>
        <v>6834</v>
      </c>
      <c r="K215" s="140">
        <f t="shared" si="518"/>
        <v>7515</v>
      </c>
      <c r="L215" s="139">
        <f t="shared" si="518"/>
        <v>27240</v>
      </c>
      <c r="M215" s="140">
        <f t="shared" si="518"/>
        <v>7005</v>
      </c>
      <c r="N215" s="140">
        <f t="shared" si="518"/>
        <v>7303</v>
      </c>
      <c r="O215" s="140">
        <f t="shared" si="518"/>
        <v>7140</v>
      </c>
      <c r="P215" s="140">
        <f t="shared" si="518"/>
        <v>7852</v>
      </c>
      <c r="Q215" s="139">
        <f t="shared" si="518"/>
        <v>29300</v>
      </c>
      <c r="R215" s="140">
        <f t="shared" si="518"/>
        <v>8264</v>
      </c>
      <c r="S215" s="140">
        <f t="shared" si="518"/>
        <v>8100</v>
      </c>
      <c r="T215" s="140">
        <f t="shared" si="518"/>
        <v>7719</v>
      </c>
      <c r="U215" s="140">
        <f t="shared" si="518"/>
        <v>7898</v>
      </c>
      <c r="V215" s="139">
        <f t="shared" si="518"/>
        <v>31981</v>
      </c>
      <c r="W215" s="140">
        <f t="shared" si="518"/>
        <v>7750</v>
      </c>
      <c r="X215" s="140">
        <f t="shared" si="518"/>
        <v>8104</v>
      </c>
      <c r="Y215" s="140">
        <f t="shared" si="518"/>
        <v>8011</v>
      </c>
      <c r="Z215" s="140">
        <f t="shared" si="518"/>
        <v>8601</v>
      </c>
      <c r="AA215" s="139">
        <f t="shared" si="518"/>
        <v>32466</v>
      </c>
      <c r="AB215" s="140">
        <f t="shared" si="518"/>
        <v>7798</v>
      </c>
      <c r="AC215" s="140">
        <f t="shared" si="518"/>
        <v>7879</v>
      </c>
      <c r="AD215" s="140">
        <f t="shared" si="518"/>
        <v>7853</v>
      </c>
      <c r="AE215" s="140">
        <f t="shared" si="518"/>
        <v>9147</v>
      </c>
      <c r="AF215" s="139">
        <f t="shared" si="518"/>
        <v>32677</v>
      </c>
      <c r="AG215" s="140">
        <f t="shared" si="518"/>
        <v>7579</v>
      </c>
      <c r="AH215" s="140">
        <f t="shared" ref="AH215:BK215" si="519">AH128</f>
        <v>7922</v>
      </c>
      <c r="AI215" s="140">
        <f t="shared" si="519"/>
        <v>7934</v>
      </c>
      <c r="AJ215" s="140">
        <f t="shared" si="519"/>
        <v>8078</v>
      </c>
      <c r="AK215" s="139">
        <f t="shared" si="519"/>
        <v>31513</v>
      </c>
      <c r="AL215" s="140">
        <f t="shared" si="519"/>
        <v>7404</v>
      </c>
      <c r="AM215" s="140">
        <f t="shared" si="519"/>
        <v>7911</v>
      </c>
      <c r="AN215" s="140">
        <f t="shared" si="519"/>
        <v>7796</v>
      </c>
      <c r="AO215" s="140">
        <f t="shared" si="519"/>
        <v>7819</v>
      </c>
      <c r="AP215" s="141">
        <f t="shared" si="519"/>
        <v>30930</v>
      </c>
      <c r="AQ215" s="141">
        <f t="shared" si="519"/>
        <v>7324</v>
      </c>
      <c r="AR215" s="140">
        <f t="shared" si="519"/>
        <v>7474</v>
      </c>
      <c r="AS215" s="140">
        <f t="shared" si="519"/>
        <v>7751</v>
      </c>
      <c r="AT215" s="140">
        <f t="shared" si="519"/>
        <v>8303</v>
      </c>
      <c r="AU215" s="141">
        <f t="shared" si="519"/>
        <v>30852</v>
      </c>
      <c r="AV215" s="141">
        <f t="shared" si="519"/>
        <v>7784</v>
      </c>
      <c r="AW215" s="140">
        <f t="shared" si="519"/>
        <v>7882</v>
      </c>
      <c r="AX215" s="140">
        <f t="shared" si="519"/>
        <v>7994</v>
      </c>
      <c r="AY215" s="140">
        <f t="shared" si="519"/>
        <v>7809</v>
      </c>
      <c r="AZ215" s="141">
        <f t="shared" si="519"/>
        <v>31469</v>
      </c>
      <c r="BA215" s="141">
        <f t="shared" ref="BA215" si="520">BA128</f>
        <v>31781</v>
      </c>
      <c r="BB215" s="141">
        <f t="shared" si="519"/>
        <v>7724</v>
      </c>
      <c r="BC215" s="140">
        <f t="shared" si="519"/>
        <v>7665</v>
      </c>
      <c r="BD215" s="140">
        <f t="shared" si="519"/>
        <v>7731</v>
      </c>
      <c r="BE215" s="140">
        <f t="shared" si="519"/>
        <v>8233</v>
      </c>
      <c r="BF215" s="141">
        <f t="shared" si="519"/>
        <v>31353</v>
      </c>
      <c r="BG215" s="141">
        <f>BG128</f>
        <v>7476</v>
      </c>
      <c r="BH215" s="140">
        <f>BH128</f>
        <v>7774</v>
      </c>
      <c r="BI215" s="140">
        <f>BI128</f>
        <v>7637</v>
      </c>
      <c r="BJ215" s="140">
        <f>BJ128</f>
        <v>7674</v>
      </c>
      <c r="BK215" s="139">
        <f t="shared" si="519"/>
        <v>30561</v>
      </c>
      <c r="BL215" s="140">
        <f t="shared" ref="BL215:BN215" si="521">BL128</f>
        <v>7441</v>
      </c>
      <c r="BM215" s="140">
        <f t="shared" si="521"/>
        <v>7675</v>
      </c>
      <c r="BN215" s="140">
        <f t="shared" si="521"/>
        <v>7580</v>
      </c>
      <c r="BO215" s="140">
        <f t="shared" ref="BO215:BP215" si="522">BO128</f>
        <v>8277</v>
      </c>
      <c r="BP215" s="141">
        <f t="shared" si="522"/>
        <v>30973</v>
      </c>
      <c r="BQ215" s="141">
        <f t="shared" ref="BQ215:BT215" si="523">BQ128</f>
        <v>7688.7666666666664</v>
      </c>
      <c r="BR215" s="140">
        <f t="shared" si="523"/>
        <v>9213.3666666666668</v>
      </c>
      <c r="BS215" s="727">
        <f t="shared" si="523"/>
        <v>9153.0966666666682</v>
      </c>
      <c r="BT215" s="1120">
        <f t="shared" si="523"/>
        <v>10022.36</v>
      </c>
      <c r="BU215" s="139">
        <f>BU128</f>
        <v>36077.589999999997</v>
      </c>
      <c r="BV215" s="141"/>
      <c r="BW215" s="140"/>
      <c r="BX215" s="140"/>
      <c r="BY215" s="140"/>
      <c r="BZ215" s="139">
        <f>BZ128</f>
        <v>39475.112999999998</v>
      </c>
      <c r="CA215" s="141"/>
      <c r="CB215" s="140"/>
      <c r="CC215" s="140"/>
      <c r="CD215" s="140"/>
      <c r="CE215" s="139">
        <f>CE128</f>
        <v>41879.835032000003</v>
      </c>
      <c r="CF215" s="141"/>
      <c r="CG215" s="140"/>
      <c r="CH215" s="140"/>
      <c r="CI215" s="140"/>
      <c r="CJ215" s="139">
        <f>CJ128</f>
        <v>44433.779778660013</v>
      </c>
      <c r="CK215" s="142"/>
      <c r="CL215" s="241"/>
      <c r="CM215" s="703"/>
      <c r="CN215" s="703"/>
      <c r="CO215" s="703"/>
      <c r="CP215" s="703"/>
      <c r="CQ215" s="703"/>
      <c r="CR215" s="703"/>
      <c r="CS215" s="703"/>
      <c r="CT215" s="703"/>
      <c r="CU215" s="703"/>
      <c r="CV215" s="703"/>
      <c r="CW215" s="255"/>
      <c r="CX215" s="140"/>
      <c r="CY215" s="140"/>
      <c r="CZ215"/>
      <c r="DA215"/>
      <c r="DB215"/>
      <c r="DC215"/>
      <c r="DD215"/>
    </row>
    <row r="216" spans="1:108" s="40" customFormat="1">
      <c r="A216" s="137" t="s">
        <v>21</v>
      </c>
      <c r="B216" s="29"/>
      <c r="C216" s="29">
        <f>C215/B215-1</f>
        <v>0.13720495839701141</v>
      </c>
      <c r="D216" s="29">
        <f>D215/C215-1</f>
        <v>0.20300134388532176</v>
      </c>
      <c r="E216" s="29">
        <f>E215/D215-1</f>
        <v>0.17091789238503075</v>
      </c>
      <c r="F216" s="29">
        <f>F215/E215-1</f>
        <v>0.11172947474426254</v>
      </c>
      <c r="G216" s="29">
        <f>G215/F215-1</f>
        <v>0.14722288438617404</v>
      </c>
      <c r="H216" s="30"/>
      <c r="I216" s="30"/>
      <c r="J216" s="30"/>
      <c r="K216" s="30"/>
      <c r="L216" s="29">
        <f t="shared" ref="L216:AS216" si="524">L215/G215-1</f>
        <v>0.13202842538336856</v>
      </c>
      <c r="M216" s="30">
        <f t="shared" si="524"/>
        <v>0.11190476190476195</v>
      </c>
      <c r="N216" s="30">
        <f t="shared" si="524"/>
        <v>0.10802609619177672</v>
      </c>
      <c r="O216" s="30">
        <f t="shared" si="524"/>
        <v>4.4776119402984982E-2</v>
      </c>
      <c r="P216" s="30">
        <f t="shared" si="524"/>
        <v>4.4843646041250906E-2</v>
      </c>
      <c r="Q216" s="29">
        <f t="shared" si="524"/>
        <v>7.562408223201178E-2</v>
      </c>
      <c r="R216" s="30">
        <f t="shared" si="524"/>
        <v>0.17972876516773728</v>
      </c>
      <c r="S216" s="30">
        <f t="shared" si="524"/>
        <v>0.10913323291797883</v>
      </c>
      <c r="T216" s="30">
        <f t="shared" si="524"/>
        <v>8.109243697478985E-2</v>
      </c>
      <c r="U216" s="30">
        <f t="shared" si="524"/>
        <v>5.8583800305653799E-3</v>
      </c>
      <c r="V216" s="29">
        <f t="shared" si="524"/>
        <v>9.1501706484641732E-2</v>
      </c>
      <c r="W216" s="30">
        <f t="shared" si="524"/>
        <v>-6.2197483059051262E-2</v>
      </c>
      <c r="X216" s="30">
        <f t="shared" si="524"/>
        <v>4.9382716049373165E-4</v>
      </c>
      <c r="Y216" s="30">
        <f t="shared" si="524"/>
        <v>3.7828734292006727E-2</v>
      </c>
      <c r="Z216" s="30">
        <f t="shared" si="524"/>
        <v>8.900987591795384E-2</v>
      </c>
      <c r="AA216" s="29">
        <f t="shared" si="524"/>
        <v>1.5165254369782E-2</v>
      </c>
      <c r="AB216" s="30">
        <f t="shared" si="524"/>
        <v>6.1935483870967367E-3</v>
      </c>
      <c r="AC216" s="30">
        <f t="shared" si="524"/>
        <v>-2.7764067127344472E-2</v>
      </c>
      <c r="AD216" s="30">
        <f t="shared" si="524"/>
        <v>-1.9722881038572004E-2</v>
      </c>
      <c r="AE216" s="30">
        <f t="shared" si="524"/>
        <v>6.348099058249046E-2</v>
      </c>
      <c r="AF216" s="29">
        <f t="shared" si="524"/>
        <v>6.499106757839046E-3</v>
      </c>
      <c r="AG216" s="30">
        <f t="shared" si="524"/>
        <v>-2.8084124134393429E-2</v>
      </c>
      <c r="AH216" s="30">
        <f t="shared" si="524"/>
        <v>5.4575453737784052E-3</v>
      </c>
      <c r="AI216" s="30">
        <f t="shared" si="524"/>
        <v>1.031452947917999E-2</v>
      </c>
      <c r="AJ216" s="30">
        <f t="shared" si="524"/>
        <v>-0.11686891877118177</v>
      </c>
      <c r="AK216" s="29">
        <f t="shared" si="524"/>
        <v>-3.5621385072069023E-2</v>
      </c>
      <c r="AL216" s="30">
        <f t="shared" si="524"/>
        <v>-2.3090117429740098E-2</v>
      </c>
      <c r="AM216" s="30">
        <f t="shared" si="524"/>
        <v>-1.3885382479171815E-3</v>
      </c>
      <c r="AN216" s="30">
        <f t="shared" si="524"/>
        <v>-1.7393496344844994E-2</v>
      </c>
      <c r="AO216" s="30">
        <f t="shared" si="524"/>
        <v>-3.2062391681109137E-2</v>
      </c>
      <c r="AP216" s="31">
        <f t="shared" si="524"/>
        <v>-1.850030146288828E-2</v>
      </c>
      <c r="AQ216" s="31">
        <f>AQ215/AL215-1</f>
        <v>-1.0804970286331761E-2</v>
      </c>
      <c r="AR216" s="30">
        <f t="shared" si="524"/>
        <v>-5.5239539881178135E-2</v>
      </c>
      <c r="AS216" s="30">
        <f t="shared" si="524"/>
        <v>-5.7721908671113376E-3</v>
      </c>
      <c r="AT216" s="30">
        <f t="shared" ref="AT216:AZ216" si="525">AT215/AO215-1</f>
        <v>6.1900498785010916E-2</v>
      </c>
      <c r="AU216" s="31">
        <f t="shared" si="525"/>
        <v>-2.5218234723569655E-3</v>
      </c>
      <c r="AV216" s="31">
        <f t="shared" si="525"/>
        <v>6.2807209175314016E-2</v>
      </c>
      <c r="AW216" s="30">
        <f t="shared" si="525"/>
        <v>5.4589242708054542E-2</v>
      </c>
      <c r="AX216" s="30">
        <f t="shared" si="525"/>
        <v>3.1350793446006886E-2</v>
      </c>
      <c r="AY216" s="30">
        <f t="shared" si="525"/>
        <v>-5.9496567505720854E-2</v>
      </c>
      <c r="AZ216" s="31">
        <f t="shared" si="525"/>
        <v>1.9998703487618341E-2</v>
      </c>
      <c r="BA216" s="31"/>
      <c r="BB216" s="31">
        <f>BB215/AV215-1</f>
        <v>-7.7081192189105696E-3</v>
      </c>
      <c r="BC216" s="30">
        <f>BC215/AW215-1</f>
        <v>-2.7531083481349916E-2</v>
      </c>
      <c r="BD216" s="30">
        <f>BD215/AX215-1</f>
        <v>-3.2899674756067032E-2</v>
      </c>
      <c r="BE216" s="30">
        <f>BE215/AY215-1</f>
        <v>5.4296324753489555E-2</v>
      </c>
      <c r="BF216" s="31">
        <f>BF215/AZ215-1</f>
        <v>-3.6861673392862837E-3</v>
      </c>
      <c r="BG216" s="31"/>
      <c r="BH216" s="30"/>
      <c r="BI216" s="30"/>
      <c r="BJ216" s="30"/>
      <c r="BK216" s="29">
        <f>+BK215/BA215-1</f>
        <v>-3.8387715930902067E-2</v>
      </c>
      <c r="BL216" s="194">
        <f>BL215/BB215-1</f>
        <v>-3.663904712584154E-2</v>
      </c>
      <c r="BM216" s="194">
        <f>BM215/BC215-1</f>
        <v>1.3046314416178539E-3</v>
      </c>
      <c r="BN216" s="194">
        <f>BN215/BI215-1</f>
        <v>-7.463663742307225E-3</v>
      </c>
      <c r="BO216" s="194">
        <f>BO215/BJ215-1</f>
        <v>7.8577013291634135E-2</v>
      </c>
      <c r="BP216" s="31">
        <f>BP215/BF215-1</f>
        <v>-1.2120052307594165E-2</v>
      </c>
      <c r="BQ216" s="31">
        <f t="shared" ref="BQ216:BT216" si="526">BQ215/BL215-1</f>
        <v>3.3297495856291714E-2</v>
      </c>
      <c r="BR216" s="30">
        <f t="shared" si="526"/>
        <v>0.20043865363735081</v>
      </c>
      <c r="BS216" s="1031">
        <f t="shared" si="526"/>
        <v>0.20753254177660541</v>
      </c>
      <c r="BT216" s="1106">
        <f t="shared" si="526"/>
        <v>0.21086867222423589</v>
      </c>
      <c r="BU216" s="29">
        <f>BU215/BP215-1</f>
        <v>0.16480773576986407</v>
      </c>
      <c r="BV216" s="31"/>
      <c r="BW216" s="30"/>
      <c r="BX216" s="30"/>
      <c r="BY216" s="30"/>
      <c r="BZ216" s="29">
        <f>BZ215/BU215-1</f>
        <v>9.417267062461776E-2</v>
      </c>
      <c r="CA216" s="31"/>
      <c r="CB216" s="30"/>
      <c r="CC216" s="30"/>
      <c r="CD216" s="30"/>
      <c r="CE216" s="29">
        <f>CE215/BZ215-1</f>
        <v>6.0917419843738108E-2</v>
      </c>
      <c r="CF216" s="31"/>
      <c r="CG216" s="30"/>
      <c r="CH216" s="30"/>
      <c r="CI216" s="30"/>
      <c r="CJ216" s="29">
        <f>CJ215/CE215-1</f>
        <v>6.0982684022240496E-2</v>
      </c>
      <c r="CK216" s="39"/>
      <c r="CL216" s="7"/>
      <c r="CM216" s="734"/>
      <c r="CN216" s="734"/>
      <c r="CO216" s="734"/>
      <c r="CP216" s="734"/>
      <c r="CQ216" s="734"/>
      <c r="CR216" s="734"/>
      <c r="CS216" s="734"/>
      <c r="CT216" s="734"/>
      <c r="CU216" s="734"/>
      <c r="CV216" s="734"/>
      <c r="CW216" s="75"/>
      <c r="CX216" s="38"/>
      <c r="CY216" s="38"/>
      <c r="CZ216"/>
      <c r="DA216"/>
      <c r="DB216"/>
      <c r="DC216"/>
      <c r="DD216"/>
    </row>
    <row r="217" spans="1:108" s="143" customFormat="1">
      <c r="A217" s="138" t="s">
        <v>176</v>
      </c>
      <c r="B217" s="139">
        <f t="shared" ref="B217:AQ217" si="527">B215-B213</f>
        <v>10292</v>
      </c>
      <c r="C217" s="139">
        <f t="shared" si="527"/>
        <v>11827</v>
      </c>
      <c r="D217" s="139">
        <f t="shared" si="527"/>
        <v>14668</v>
      </c>
      <c r="E217" s="139">
        <f t="shared" si="527"/>
        <v>16936</v>
      </c>
      <c r="F217" s="139">
        <f t="shared" si="527"/>
        <v>18796</v>
      </c>
      <c r="G217" s="139">
        <f t="shared" si="527"/>
        <v>21438</v>
      </c>
      <c r="H217" s="140">
        <f t="shared" si="527"/>
        <v>5619</v>
      </c>
      <c r="I217" s="140">
        <f t="shared" si="527"/>
        <v>5831</v>
      </c>
      <c r="J217" s="140">
        <f t="shared" si="527"/>
        <v>6033</v>
      </c>
      <c r="K217" s="140">
        <f t="shared" si="527"/>
        <v>6644</v>
      </c>
      <c r="L217" s="139">
        <f t="shared" si="527"/>
        <v>24127</v>
      </c>
      <c r="M217" s="140">
        <f t="shared" si="527"/>
        <v>6144</v>
      </c>
      <c r="N217" s="140">
        <f t="shared" si="527"/>
        <v>6382</v>
      </c>
      <c r="O217" s="140">
        <f t="shared" si="527"/>
        <v>6207</v>
      </c>
      <c r="P217" s="140">
        <f t="shared" si="527"/>
        <v>6914</v>
      </c>
      <c r="Q217" s="139">
        <f t="shared" si="527"/>
        <v>25647</v>
      </c>
      <c r="R217" s="140">
        <f t="shared" si="527"/>
        <v>7359</v>
      </c>
      <c r="S217" s="140">
        <f t="shared" si="527"/>
        <v>7155</v>
      </c>
      <c r="T217" s="140">
        <f t="shared" si="527"/>
        <v>6845</v>
      </c>
      <c r="U217" s="140">
        <f t="shared" si="527"/>
        <v>6947</v>
      </c>
      <c r="V217" s="139">
        <f t="shared" si="527"/>
        <v>28306</v>
      </c>
      <c r="W217" s="140">
        <f t="shared" si="527"/>
        <v>6832</v>
      </c>
      <c r="X217" s="140">
        <f t="shared" si="527"/>
        <v>7119</v>
      </c>
      <c r="Y217" s="140">
        <f t="shared" si="527"/>
        <v>7045</v>
      </c>
      <c r="Z217" s="140">
        <f t="shared" si="527"/>
        <v>7525</v>
      </c>
      <c r="AA217" s="139">
        <f t="shared" si="527"/>
        <v>28521</v>
      </c>
      <c r="AB217" s="140">
        <f t="shared" si="527"/>
        <v>6869</v>
      </c>
      <c r="AC217" s="140">
        <f t="shared" si="527"/>
        <v>6930</v>
      </c>
      <c r="AD217" s="140">
        <f t="shared" si="527"/>
        <v>6855</v>
      </c>
      <c r="AE217" s="140">
        <f t="shared" si="527"/>
        <v>8197</v>
      </c>
      <c r="AF217" s="139">
        <f t="shared" si="527"/>
        <v>28851</v>
      </c>
      <c r="AG217" s="140">
        <f t="shared" si="527"/>
        <v>6719</v>
      </c>
      <c r="AH217" s="140">
        <f t="shared" si="527"/>
        <v>6952</v>
      </c>
      <c r="AI217" s="140">
        <f t="shared" si="527"/>
        <v>7029</v>
      </c>
      <c r="AJ217" s="140">
        <f t="shared" si="527"/>
        <v>7242</v>
      </c>
      <c r="AK217" s="139">
        <f t="shared" si="527"/>
        <v>27942</v>
      </c>
      <c r="AL217" s="140">
        <f t="shared" si="527"/>
        <v>6557</v>
      </c>
      <c r="AM217" s="140">
        <f t="shared" si="527"/>
        <v>6951</v>
      </c>
      <c r="AN217" s="140">
        <f t="shared" si="527"/>
        <v>6839</v>
      </c>
      <c r="AO217" s="140">
        <f t="shared" si="527"/>
        <v>6894</v>
      </c>
      <c r="AP217" s="141">
        <f t="shared" si="527"/>
        <v>27241</v>
      </c>
      <c r="AQ217" s="141">
        <f t="shared" si="527"/>
        <v>6453</v>
      </c>
      <c r="AR217" s="140">
        <f t="shared" ref="AR217:BK217" si="528">AR215-AR213</f>
        <v>6525</v>
      </c>
      <c r="AS217" s="140">
        <f t="shared" si="528"/>
        <v>6752</v>
      </c>
      <c r="AT217" s="140">
        <f t="shared" si="528"/>
        <v>7236</v>
      </c>
      <c r="AU217" s="141">
        <f t="shared" si="528"/>
        <v>26963</v>
      </c>
      <c r="AV217" s="141">
        <f t="shared" si="528"/>
        <v>6757</v>
      </c>
      <c r="AW217" s="140">
        <f t="shared" si="528"/>
        <v>6801</v>
      </c>
      <c r="AX217" s="140">
        <f t="shared" si="528"/>
        <v>6960</v>
      </c>
      <c r="AY217" s="140">
        <f t="shared" si="528"/>
        <v>6773</v>
      </c>
      <c r="AZ217" s="141">
        <f t="shared" si="528"/>
        <v>27291</v>
      </c>
      <c r="BA217" s="141">
        <f t="shared" ref="BA217" si="529">BA215-BA213</f>
        <v>27486</v>
      </c>
      <c r="BB217" s="141">
        <f t="shared" si="528"/>
        <v>6671</v>
      </c>
      <c r="BC217" s="140">
        <f t="shared" si="528"/>
        <v>6595</v>
      </c>
      <c r="BD217" s="140">
        <f t="shared" si="528"/>
        <v>6662</v>
      </c>
      <c r="BE217" s="140">
        <f t="shared" si="528"/>
        <v>7116</v>
      </c>
      <c r="BF217" s="141">
        <f t="shared" si="528"/>
        <v>27044</v>
      </c>
      <c r="BG217" s="141">
        <f t="shared" ref="BG217" si="530">BG215-BG213</f>
        <v>6552</v>
      </c>
      <c r="BH217" s="140">
        <f t="shared" ref="BH217:BI217" si="531">BH215-BH213</f>
        <v>6747</v>
      </c>
      <c r="BI217" s="140">
        <f t="shared" si="531"/>
        <v>6622</v>
      </c>
      <c r="BJ217" s="140">
        <f t="shared" ref="BJ217" si="532">BJ215-BJ213</f>
        <v>6906</v>
      </c>
      <c r="BK217" s="141">
        <f t="shared" si="528"/>
        <v>26827</v>
      </c>
      <c r="BL217" s="141">
        <f t="shared" ref="BL217:BN217" si="533">BL215-BL213</f>
        <v>6406</v>
      </c>
      <c r="BM217" s="140">
        <f t="shared" si="533"/>
        <v>6619</v>
      </c>
      <c r="BN217" s="140">
        <f t="shared" si="533"/>
        <v>6528</v>
      </c>
      <c r="BO217" s="140">
        <f t="shared" ref="BO217:BP217" si="534">BO215-BO213</f>
        <v>7243</v>
      </c>
      <c r="BP217" s="141">
        <f t="shared" si="534"/>
        <v>26796</v>
      </c>
      <c r="BQ217" s="141">
        <f t="shared" ref="BQ217:BT217" si="535">BQ215-BQ213</f>
        <v>6694.8675884016666</v>
      </c>
      <c r="BR217" s="140">
        <f t="shared" si="535"/>
        <v>8123.0147777866669</v>
      </c>
      <c r="BS217" s="727">
        <f t="shared" si="535"/>
        <v>8039.8584082566686</v>
      </c>
      <c r="BT217" s="1120">
        <f t="shared" si="535"/>
        <v>8797.2169581800008</v>
      </c>
      <c r="BU217" s="139">
        <f>BU215-BU213</f>
        <v>31654.957732624996</v>
      </c>
      <c r="BV217" s="141"/>
      <c r="BW217" s="140"/>
      <c r="BX217" s="140"/>
      <c r="BY217" s="140"/>
      <c r="BZ217" s="139">
        <f>BZ215-BZ213</f>
        <v>34573.935971765</v>
      </c>
      <c r="CA217" s="141"/>
      <c r="CB217" s="140"/>
      <c r="CC217" s="140"/>
      <c r="CD217" s="140"/>
      <c r="CE217" s="139">
        <f>CE215-CE213</f>
        <v>36673.888677527633</v>
      </c>
      <c r="CF217" s="141"/>
      <c r="CG217" s="140"/>
      <c r="CH217" s="140"/>
      <c r="CI217" s="140"/>
      <c r="CJ217" s="139">
        <f>CJ215-CJ213</f>
        <v>38911.096877450655</v>
      </c>
      <c r="CK217" s="142"/>
      <c r="CL217" s="241"/>
      <c r="CM217" s="1005"/>
      <c r="CN217" s="703"/>
      <c r="CO217" s="703"/>
      <c r="CP217" s="703"/>
      <c r="CQ217" s="703"/>
      <c r="CR217" s="703"/>
      <c r="CS217" s="703"/>
      <c r="CT217" s="703"/>
      <c r="CU217" s="703"/>
      <c r="CV217" s="703"/>
      <c r="CW217" s="255"/>
      <c r="CX217" s="140"/>
      <c r="CY217" s="140"/>
      <c r="CZ217"/>
      <c r="DA217"/>
      <c r="DB217"/>
      <c r="DC217"/>
      <c r="DD217"/>
    </row>
    <row r="218" spans="1:108" s="40" customFormat="1">
      <c r="A218" s="137" t="s">
        <v>21</v>
      </c>
      <c r="B218" s="29"/>
      <c r="C218" s="29">
        <f>C217/B217-1</f>
        <v>0.14914496696463275</v>
      </c>
      <c r="D218" s="29">
        <f>D217/C217-1</f>
        <v>0.24021307178489892</v>
      </c>
      <c r="E218" s="29">
        <f>E217/D217-1</f>
        <v>0.15462230706299418</v>
      </c>
      <c r="F218" s="29">
        <f>F217/E217-1</f>
        <v>0.10982522437411424</v>
      </c>
      <c r="G218" s="29">
        <f>G217/F217-1</f>
        <v>0.14056182166418396</v>
      </c>
      <c r="H218" s="30"/>
      <c r="I218" s="30"/>
      <c r="J218" s="30"/>
      <c r="K218" s="30"/>
      <c r="L218" s="29">
        <f t="shared" ref="L218:AS218" si="536">L217/G217-1</f>
        <v>0.12543147681686717</v>
      </c>
      <c r="M218" s="30">
        <f t="shared" si="536"/>
        <v>9.3432995194874469E-2</v>
      </c>
      <c r="N218" s="30">
        <f t="shared" si="536"/>
        <v>9.4494940833476315E-2</v>
      </c>
      <c r="O218" s="30">
        <f t="shared" si="536"/>
        <v>2.8841372451516634E-2</v>
      </c>
      <c r="P218" s="30">
        <f t="shared" si="536"/>
        <v>4.0638169777242661E-2</v>
      </c>
      <c r="Q218" s="29">
        <f t="shared" si="536"/>
        <v>6.299995855265883E-2</v>
      </c>
      <c r="R218" s="30">
        <f t="shared" si="536"/>
        <v>0.19775390625</v>
      </c>
      <c r="S218" s="30">
        <f t="shared" si="536"/>
        <v>0.12112190535882172</v>
      </c>
      <c r="T218" s="30">
        <f t="shared" si="536"/>
        <v>0.10278717576929264</v>
      </c>
      <c r="U218" s="30">
        <f t="shared" si="536"/>
        <v>4.7729245010124099E-3</v>
      </c>
      <c r="V218" s="29">
        <f t="shared" si="536"/>
        <v>0.10367684329551219</v>
      </c>
      <c r="W218" s="30">
        <f t="shared" si="536"/>
        <v>-7.1612990895502104E-2</v>
      </c>
      <c r="X218" s="30">
        <f t="shared" si="536"/>
        <v>-5.031446540880502E-3</v>
      </c>
      <c r="Y218" s="30">
        <f t="shared" si="536"/>
        <v>2.9218407596786067E-2</v>
      </c>
      <c r="Z218" s="30">
        <f t="shared" si="536"/>
        <v>8.3201381891463866E-2</v>
      </c>
      <c r="AA218" s="29">
        <f t="shared" si="536"/>
        <v>7.595562778209608E-3</v>
      </c>
      <c r="AB218" s="30">
        <f t="shared" si="536"/>
        <v>5.415690866510614E-3</v>
      </c>
      <c r="AC218" s="30">
        <f t="shared" si="536"/>
        <v>-2.6548672566371723E-2</v>
      </c>
      <c r="AD218" s="30">
        <f t="shared" si="536"/>
        <v>-2.6969481902058168E-2</v>
      </c>
      <c r="AE218" s="30">
        <f t="shared" si="536"/>
        <v>8.9302325581395392E-2</v>
      </c>
      <c r="AF218" s="29">
        <f t="shared" si="536"/>
        <v>1.1570421794467212E-2</v>
      </c>
      <c r="AG218" s="30">
        <f t="shared" si="536"/>
        <v>-2.1837239772892758E-2</v>
      </c>
      <c r="AH218" s="30">
        <f t="shared" si="536"/>
        <v>3.1746031746031633E-3</v>
      </c>
      <c r="AI218" s="30">
        <f t="shared" si="536"/>
        <v>2.5382932166301941E-2</v>
      </c>
      <c r="AJ218" s="30">
        <f t="shared" si="536"/>
        <v>-0.11650603879468102</v>
      </c>
      <c r="AK218" s="29">
        <f t="shared" si="536"/>
        <v>-3.1506706873245305E-2</v>
      </c>
      <c r="AL218" s="30">
        <f t="shared" si="536"/>
        <v>-2.4110730763506449E-2</v>
      </c>
      <c r="AM218" s="30">
        <f t="shared" si="536"/>
        <v>-1.4384349827389897E-4</v>
      </c>
      <c r="AN218" s="30">
        <f t="shared" si="536"/>
        <v>-2.7030872101294623E-2</v>
      </c>
      <c r="AO218" s="30">
        <f t="shared" si="536"/>
        <v>-4.8053024026512015E-2</v>
      </c>
      <c r="AP218" s="31">
        <f t="shared" si="536"/>
        <v>-2.5087681626225766E-2</v>
      </c>
      <c r="AQ218" s="31">
        <f>AQ217/AL217-1</f>
        <v>-1.5860912002440108E-2</v>
      </c>
      <c r="AR218" s="30">
        <f t="shared" si="536"/>
        <v>-6.1286145878290843E-2</v>
      </c>
      <c r="AS218" s="30">
        <f t="shared" si="536"/>
        <v>-1.2721158064044502E-2</v>
      </c>
      <c r="AT218" s="30">
        <f t="shared" ref="AT218:AZ218" si="537">AT217/AO217-1</f>
        <v>4.9608355091383727E-2</v>
      </c>
      <c r="AU218" s="31">
        <f t="shared" si="537"/>
        <v>-1.0205205388935767E-2</v>
      </c>
      <c r="AV218" s="31">
        <f t="shared" si="537"/>
        <v>4.7109871377653878E-2</v>
      </c>
      <c r="AW218" s="30">
        <f t="shared" si="537"/>
        <v>4.229885057471261E-2</v>
      </c>
      <c r="AX218" s="30">
        <f t="shared" si="537"/>
        <v>3.0805687203791399E-2</v>
      </c>
      <c r="AY218" s="30">
        <f t="shared" si="537"/>
        <v>-6.3985627418463253E-2</v>
      </c>
      <c r="AZ218" s="31">
        <f t="shared" si="537"/>
        <v>1.2164818454919679E-2</v>
      </c>
      <c r="BA218" s="31"/>
      <c r="BB218" s="31">
        <f>BB217/AV217-1</f>
        <v>-1.2727541808494891E-2</v>
      </c>
      <c r="BC218" s="30">
        <f>BC217/AW217-1</f>
        <v>-3.0289663284811086E-2</v>
      </c>
      <c r="BD218" s="30">
        <f>BD217/AX217-1</f>
        <v>-4.2816091954023028E-2</v>
      </c>
      <c r="BE218" s="30">
        <f>BE217/AY217-1</f>
        <v>5.0642256016536269E-2</v>
      </c>
      <c r="BF218" s="31">
        <f>BF217/AZ217-1</f>
        <v>-9.0506027628155516E-3</v>
      </c>
      <c r="BG218" s="31"/>
      <c r="BH218" s="30"/>
      <c r="BI218" s="30"/>
      <c r="BJ218" s="30"/>
      <c r="BK218" s="29">
        <f>BK217/BA217-1</f>
        <v>-2.3975842246962142E-2</v>
      </c>
      <c r="BL218" s="194">
        <f>BL217/BB217-1</f>
        <v>-3.9724179283465721E-2</v>
      </c>
      <c r="BM218" s="194">
        <f>BM217/BC217-1</f>
        <v>3.6391205458681242E-3</v>
      </c>
      <c r="BN218" s="194">
        <f>BN217/BI217-1</f>
        <v>-1.4195107218363034E-2</v>
      </c>
      <c r="BO218" s="194">
        <f>BO217/BJ217-1</f>
        <v>4.8798146539241305E-2</v>
      </c>
      <c r="BP218" s="31">
        <f>BP217/BF217-1</f>
        <v>-9.1702410885963204E-3</v>
      </c>
      <c r="BQ218" s="31">
        <f t="shared" ref="BQ218:BT218" si="538">BQ217/BL217-1</f>
        <v>4.5093285732386246E-2</v>
      </c>
      <c r="BR218" s="30">
        <f t="shared" si="538"/>
        <v>0.22722688892380516</v>
      </c>
      <c r="BS218" s="1031">
        <f t="shared" si="538"/>
        <v>0.2315959571471613</v>
      </c>
      <c r="BT218" s="1106">
        <f t="shared" si="538"/>
        <v>0.21458193541074144</v>
      </c>
      <c r="BU218" s="29">
        <f>BU217/BP217-1</f>
        <v>0.1813314574050231</v>
      </c>
      <c r="BV218" s="31"/>
      <c r="BW218" s="30"/>
      <c r="BX218" s="30"/>
      <c r="BY218" s="30"/>
      <c r="BZ218" s="29">
        <f>BZ217/BU217-1</f>
        <v>9.2212356238011273E-2</v>
      </c>
      <c r="CA218" s="31"/>
      <c r="CB218" s="30"/>
      <c r="CC218" s="30"/>
      <c r="CD218" s="30"/>
      <c r="CE218" s="29">
        <f>CE217/BZ217-1</f>
        <v>6.0738028423422019E-2</v>
      </c>
      <c r="CF218" s="31"/>
      <c r="CG218" s="30"/>
      <c r="CH218" s="30"/>
      <c r="CI218" s="30"/>
      <c r="CJ218" s="29">
        <f>CJ217/CE217-1</f>
        <v>6.1002753746534077E-2</v>
      </c>
      <c r="CK218" s="39"/>
      <c r="CL218" s="7"/>
      <c r="CM218" s="733"/>
      <c r="CN218" s="734"/>
      <c r="CO218" s="734"/>
      <c r="CP218" s="734"/>
      <c r="CQ218" s="734"/>
      <c r="CR218" s="734"/>
      <c r="CS218" s="734"/>
      <c r="CT218" s="734"/>
      <c r="CU218" s="734"/>
      <c r="CV218" s="734"/>
      <c r="CW218" s="75"/>
      <c r="CX218" s="38"/>
      <c r="CY218" s="38"/>
      <c r="CZ218"/>
      <c r="DA218"/>
      <c r="DB218"/>
      <c r="DC218"/>
      <c r="DD218"/>
    </row>
    <row r="219" spans="1:108" s="222" customFormat="1">
      <c r="A219" s="287" t="s">
        <v>107</v>
      </c>
      <c r="B219" s="219">
        <v>9760</v>
      </c>
      <c r="C219" s="219">
        <f>12113-C220</f>
        <v>11221</v>
      </c>
      <c r="D219" s="219">
        <v>14886</v>
      </c>
      <c r="E219" s="219">
        <f>11802+5135-E220</f>
        <v>15781</v>
      </c>
      <c r="F219" s="219">
        <f>13453+5343-F220</f>
        <v>17491</v>
      </c>
      <c r="G219" s="219">
        <f>15213+6225-G220</f>
        <v>19937</v>
      </c>
      <c r="H219" s="134">
        <f>3846+1773-H220</f>
        <v>5226</v>
      </c>
      <c r="I219" s="134">
        <f>3959+1872-I220</f>
        <v>5414</v>
      </c>
      <c r="J219" s="134">
        <f>4212+1821-J220</f>
        <v>5626</v>
      </c>
      <c r="K219" s="134">
        <f>15672+6812-H219-I219-J219</f>
        <v>6218</v>
      </c>
      <c r="L219" s="219">
        <f>SUM(H219:K219)</f>
        <v>22484</v>
      </c>
      <c r="M219" s="134">
        <f>4210+1934-M220</f>
        <v>5714</v>
      </c>
      <c r="N219" s="134">
        <f>4404+1978-N220</f>
        <v>5931</v>
      </c>
      <c r="O219" s="134">
        <f>4113+2094-O220</f>
        <v>5793</v>
      </c>
      <c r="P219" s="134">
        <f>16230+7698-M219-N219-O219</f>
        <v>6490</v>
      </c>
      <c r="Q219" s="219">
        <f>SUM(M219:P219)</f>
        <v>23928</v>
      </c>
      <c r="R219" s="134">
        <f>4690+2159</f>
        <v>6849</v>
      </c>
      <c r="S219" s="134">
        <f>4517+2129</f>
        <v>6646</v>
      </c>
      <c r="T219" s="134">
        <f>4220+2173</f>
        <v>6393</v>
      </c>
      <c r="U219" s="134">
        <f>17808+8544-R219-S219-T219</f>
        <v>6464</v>
      </c>
      <c r="V219" s="219">
        <f>SUM(R219:U219)</f>
        <v>26352</v>
      </c>
      <c r="W219" s="134">
        <f>4144+2202</f>
        <v>6346</v>
      </c>
      <c r="X219" s="134">
        <f>4328+2313</f>
        <v>6641</v>
      </c>
      <c r="Y219" s="134">
        <f>4217+2347</f>
        <v>6564</v>
      </c>
      <c r="Z219" s="134">
        <f>17359+9198-W219-X219-Y219</f>
        <v>7006</v>
      </c>
      <c r="AA219" s="219">
        <f>SUM(W219:Z219)</f>
        <v>26557</v>
      </c>
      <c r="AB219" s="134">
        <f>4009+2351</f>
        <v>6360</v>
      </c>
      <c r="AC219" s="134">
        <f>4005+2420</f>
        <v>6425</v>
      </c>
      <c r="AD219" s="134">
        <f>3991+2372</f>
        <v>6363</v>
      </c>
      <c r="AE219" s="134">
        <f>17230+9591-AB219-AC219-AD219</f>
        <v>7673</v>
      </c>
      <c r="AF219" s="219">
        <f>SUM(AB219:AE219)</f>
        <v>26821</v>
      </c>
      <c r="AG219" s="134">
        <f>3764+2420</f>
        <v>6184</v>
      </c>
      <c r="AH219" s="134">
        <f>3936+2491</f>
        <v>6427</v>
      </c>
      <c r="AI219" s="134">
        <f>4012+2507</f>
        <v>6519</v>
      </c>
      <c r="AJ219" s="134">
        <f>(16228+10182)-AG219-AH219-AI219-(405)</f>
        <v>6875</v>
      </c>
      <c r="AK219" s="219">
        <f>SUM(AG219:AJ219)</f>
        <v>26005</v>
      </c>
      <c r="AL219" s="134">
        <f>3529+2521</f>
        <v>6050</v>
      </c>
      <c r="AM219" s="134">
        <f>3837+2590</f>
        <v>6427</v>
      </c>
      <c r="AN219" s="134">
        <f>AN217-AN220</f>
        <v>6333</v>
      </c>
      <c r="AO219" s="134">
        <f>AO217-AO220</f>
        <v>6392</v>
      </c>
      <c r="AP219" s="219">
        <f>SUM(AL219:AO219)</f>
        <v>25202</v>
      </c>
      <c r="AQ219" s="134">
        <f>AQ217-AQ220</f>
        <v>5962</v>
      </c>
      <c r="AR219" s="134">
        <f>AR217-AR220</f>
        <v>6039</v>
      </c>
      <c r="AS219" s="134">
        <f>AS217-AS220</f>
        <v>6274</v>
      </c>
      <c r="AT219" s="134">
        <f>AT217-AT220</f>
        <v>6707</v>
      </c>
      <c r="AU219" s="219">
        <f>SUM(AQ219:AT219)</f>
        <v>24982</v>
      </c>
      <c r="AV219" s="134">
        <f>AV217-AV220</f>
        <v>6254</v>
      </c>
      <c r="AW219" s="134">
        <f>AW217-AW220</f>
        <v>6334</v>
      </c>
      <c r="AX219" s="134">
        <f>AX217-AX220</f>
        <v>6484</v>
      </c>
      <c r="AY219" s="134">
        <f>AY217-AY220</f>
        <v>6267</v>
      </c>
      <c r="AZ219" s="219">
        <f>SUM(AV219:AY219)</f>
        <v>25339</v>
      </c>
      <c r="BA219" s="219">
        <f>+AZ219</f>
        <v>25339</v>
      </c>
      <c r="BB219" s="134">
        <f>BB217-BB220</f>
        <v>6211</v>
      </c>
      <c r="BC219" s="134">
        <f>BC217-BC220</f>
        <v>6109</v>
      </c>
      <c r="BD219" s="134">
        <f>BD217-BD220</f>
        <v>6191</v>
      </c>
      <c r="BE219" s="134">
        <f>BE217-BE220</f>
        <v>6593</v>
      </c>
      <c r="BF219" s="219">
        <f>SUM(BB219:BE219)</f>
        <v>25104</v>
      </c>
      <c r="BG219" s="134">
        <f>BG217-BG220</f>
        <v>6091</v>
      </c>
      <c r="BH219" s="134">
        <f>BH217-BH220</f>
        <v>6262</v>
      </c>
      <c r="BI219" s="134">
        <f>BI217-BI220</f>
        <v>6151</v>
      </c>
      <c r="BJ219" s="134">
        <f>BJ217-BJ220</f>
        <v>6401</v>
      </c>
      <c r="BK219" s="219">
        <f>SUM(BC219:BF219)</f>
        <v>43997</v>
      </c>
      <c r="BL219" s="134">
        <f>BL217-BL220</f>
        <v>5925</v>
      </c>
      <c r="BM219" s="134">
        <f>BM217-BM220</f>
        <v>6114</v>
      </c>
      <c r="BN219" s="134">
        <f>BN217-BN220</f>
        <v>6018</v>
      </c>
      <c r="BO219" s="134">
        <f>BO217-BO220</f>
        <v>6729</v>
      </c>
      <c r="BP219" s="219">
        <f>SUM(BL219:BO219)</f>
        <v>24786</v>
      </c>
      <c r="BQ219" s="220">
        <f t="shared" ref="BQ219:BT219" si="539">BQ217-BQ220</f>
        <v>6195.0977550683328</v>
      </c>
      <c r="BR219" s="134">
        <f t="shared" si="539"/>
        <v>7524.1459444533339</v>
      </c>
      <c r="BS219" s="134">
        <f t="shared" si="539"/>
        <v>7444.9071249233348</v>
      </c>
      <c r="BT219" s="1130">
        <f t="shared" si="539"/>
        <v>8145.7635581800005</v>
      </c>
      <c r="BU219" s="219">
        <f>BU217-BU220</f>
        <v>29309.914382624997</v>
      </c>
      <c r="BV219" s="220"/>
      <c r="BW219" s="134"/>
      <c r="BX219" s="134"/>
      <c r="BY219" s="134"/>
      <c r="BZ219" s="219">
        <f>BZ217-BZ220</f>
        <v>32008.053626765002</v>
      </c>
      <c r="CA219" s="220"/>
      <c r="CB219" s="134"/>
      <c r="CC219" s="134"/>
      <c r="CD219" s="134"/>
      <c r="CE219" s="219">
        <f>CE217-CE220</f>
        <v>33951.699400447629</v>
      </c>
      <c r="CF219" s="220"/>
      <c r="CG219" s="134"/>
      <c r="CH219" s="134"/>
      <c r="CI219" s="134"/>
      <c r="CJ219" s="219">
        <f>CJ217-CJ220</f>
        <v>36022.901191837751</v>
      </c>
      <c r="CK219" s="221"/>
      <c r="CL219" s="242"/>
      <c r="CM219" s="1005"/>
      <c r="CN219" s="703"/>
      <c r="CO219" s="703"/>
      <c r="CP219" s="703"/>
      <c r="CQ219" s="703"/>
      <c r="CR219" s="703"/>
      <c r="CS219" s="703"/>
      <c r="CT219" s="703"/>
      <c r="CU219" s="703"/>
      <c r="CV219" s="703"/>
      <c r="CW219" s="233"/>
      <c r="CX219" s="134"/>
      <c r="CY219" s="134"/>
      <c r="CZ219"/>
      <c r="DA219"/>
      <c r="DB219"/>
      <c r="DC219"/>
      <c r="DD219"/>
    </row>
    <row r="220" spans="1:108" s="222" customFormat="1">
      <c r="A220" s="287" t="s">
        <v>45</v>
      </c>
      <c r="B220" s="219">
        <v>808</v>
      </c>
      <c r="C220" s="219">
        <v>892</v>
      </c>
      <c r="D220" s="219">
        <v>1070</v>
      </c>
      <c r="E220" s="219">
        <v>1156</v>
      </c>
      <c r="F220" s="219">
        <v>1305</v>
      </c>
      <c r="G220" s="219">
        <v>1501</v>
      </c>
      <c r="H220" s="134">
        <v>393</v>
      </c>
      <c r="I220" s="134">
        <v>417</v>
      </c>
      <c r="J220" s="134">
        <v>407</v>
      </c>
      <c r="K220" s="134">
        <f>1643-H220-I220-J220</f>
        <v>426</v>
      </c>
      <c r="L220" s="219">
        <f>SUM(H220:K220)</f>
        <v>1643</v>
      </c>
      <c r="M220" s="134">
        <v>430</v>
      </c>
      <c r="N220" s="134">
        <v>451</v>
      </c>
      <c r="O220" s="134">
        <v>414</v>
      </c>
      <c r="P220" s="134">
        <f>1719-M220-N220-O220</f>
        <v>424</v>
      </c>
      <c r="Q220" s="219">
        <f>SUM(M220:P220)</f>
        <v>1719</v>
      </c>
      <c r="R220" s="134">
        <v>510</v>
      </c>
      <c r="S220" s="134">
        <v>509</v>
      </c>
      <c r="T220" s="134">
        <v>452</v>
      </c>
      <c r="U220" s="134">
        <f>1954-R220-S220-T220</f>
        <v>483</v>
      </c>
      <c r="V220" s="219">
        <f>SUM(R220:U220)</f>
        <v>1954</v>
      </c>
      <c r="W220" s="134">
        <v>486</v>
      </c>
      <c r="X220" s="134">
        <v>478</v>
      </c>
      <c r="Y220" s="134">
        <v>481</v>
      </c>
      <c r="Z220" s="134">
        <f>1964-W220-X220-Y220</f>
        <v>519</v>
      </c>
      <c r="AA220" s="219">
        <f>SUM(W220:Z220)</f>
        <v>1964</v>
      </c>
      <c r="AB220" s="134">
        <v>509</v>
      </c>
      <c r="AC220" s="134">
        <v>505</v>
      </c>
      <c r="AD220" s="134">
        <v>492</v>
      </c>
      <c r="AE220" s="134">
        <f>2030-AB220-AC220-AD220</f>
        <v>524</v>
      </c>
      <c r="AF220" s="219">
        <f>SUM(AB220:AE220)</f>
        <v>2030</v>
      </c>
      <c r="AG220" s="134">
        <v>535</v>
      </c>
      <c r="AH220" s="134">
        <v>525</v>
      </c>
      <c r="AI220" s="134">
        <v>510</v>
      </c>
      <c r="AJ220" s="134">
        <f>AJ217-AJ219</f>
        <v>367</v>
      </c>
      <c r="AK220" s="219">
        <f>SUM(AG220:AJ220)</f>
        <v>1937</v>
      </c>
      <c r="AL220" s="134">
        <v>507</v>
      </c>
      <c r="AM220" s="134">
        <v>524</v>
      </c>
      <c r="AN220" s="134">
        <v>506</v>
      </c>
      <c r="AO220" s="134">
        <f>2039-AL220-AM220-AN220</f>
        <v>502</v>
      </c>
      <c r="AP220" s="219">
        <f>SUM(AL220:AO220)</f>
        <v>2039</v>
      </c>
      <c r="AQ220" s="176">
        <v>491</v>
      </c>
      <c r="AR220" s="176">
        <v>486</v>
      </c>
      <c r="AS220" s="176">
        <v>478</v>
      </c>
      <c r="AT220" s="770">
        <f>1984-AS220-AR220-AQ220</f>
        <v>529</v>
      </c>
      <c r="AU220" s="219">
        <f>SUM(AQ220:AT220)</f>
        <v>1984</v>
      </c>
      <c r="AV220" s="770">
        <v>503</v>
      </c>
      <c r="AW220" s="770">
        <v>467</v>
      </c>
      <c r="AX220" s="770">
        <v>476</v>
      </c>
      <c r="AY220" s="770">
        <f>1952-AX220-AW220-AV220</f>
        <v>506</v>
      </c>
      <c r="AZ220" s="219">
        <f>SUM(AV220:AY220)</f>
        <v>1952</v>
      </c>
      <c r="BA220" s="219">
        <f>+AZ220</f>
        <v>1952</v>
      </c>
      <c r="BB220" s="220">
        <v>460</v>
      </c>
      <c r="BC220" s="134">
        <v>486</v>
      </c>
      <c r="BD220" s="134">
        <v>471</v>
      </c>
      <c r="BE220" s="134">
        <f>1940-BD220-BC220-BB220</f>
        <v>523</v>
      </c>
      <c r="BF220" s="219">
        <f>SUM(BB220:BE220)</f>
        <v>1940</v>
      </c>
      <c r="BG220" s="220">
        <v>461</v>
      </c>
      <c r="BH220" s="134">
        <v>485</v>
      </c>
      <c r="BI220" s="134">
        <v>471</v>
      </c>
      <c r="BJ220" s="176">
        <f>1922-BI220-BH220-BG220</f>
        <v>505</v>
      </c>
      <c r="BK220" s="219">
        <f>SUM(BG220:BJ220)</f>
        <v>1922</v>
      </c>
      <c r="BL220" s="220">
        <v>481</v>
      </c>
      <c r="BM220" s="134">
        <v>505</v>
      </c>
      <c r="BN220" s="176">
        <v>510</v>
      </c>
      <c r="BO220" s="176">
        <f>2010-BN220-BM220-BL220</f>
        <v>514</v>
      </c>
      <c r="BP220" s="219">
        <f>SUM(BL220:BO220)</f>
        <v>2010</v>
      </c>
      <c r="BQ220" s="220">
        <f t="shared" ref="BQ220:BT220" si="540">+BQ222*BQ215</f>
        <v>499.76983333333334</v>
      </c>
      <c r="BR220" s="134">
        <f t="shared" si="540"/>
        <v>598.86883333333333</v>
      </c>
      <c r="BS220" s="134">
        <f t="shared" si="540"/>
        <v>594.95128333333344</v>
      </c>
      <c r="BT220" s="1130">
        <f t="shared" si="540"/>
        <v>651.4534000000001</v>
      </c>
      <c r="BU220" s="1061">
        <f>+SUM(BQ220:BT220)</f>
        <v>2345.0433499999999</v>
      </c>
      <c r="BV220" s="220"/>
      <c r="BW220" s="134"/>
      <c r="BX220" s="134"/>
      <c r="BY220" s="134"/>
      <c r="BZ220" s="219">
        <f>BZ215*BZ222</f>
        <v>2565.882345</v>
      </c>
      <c r="CA220" s="220"/>
      <c r="CB220" s="134"/>
      <c r="CC220" s="134"/>
      <c r="CD220" s="134"/>
      <c r="CE220" s="219">
        <f>CE215*CE222</f>
        <v>2722.1892770800005</v>
      </c>
      <c r="CF220" s="220"/>
      <c r="CG220" s="134"/>
      <c r="CH220" s="134"/>
      <c r="CI220" s="134"/>
      <c r="CJ220" s="219">
        <f>CJ215*CJ222</f>
        <v>2888.1956856129009</v>
      </c>
      <c r="CK220" s="221"/>
      <c r="CL220" s="242"/>
      <c r="CM220" s="661"/>
      <c r="CN220" s="703"/>
      <c r="CO220" s="703"/>
      <c r="CP220" s="703"/>
      <c r="CQ220" s="703"/>
      <c r="CR220" s="703"/>
      <c r="CS220" s="703"/>
      <c r="CT220" s="703"/>
      <c r="CU220" s="703"/>
      <c r="CV220" s="703"/>
      <c r="CW220" s="233"/>
      <c r="CX220" s="134"/>
      <c r="CY220" s="134"/>
      <c r="CZ220"/>
      <c r="DA220"/>
      <c r="DB220"/>
      <c r="DC220"/>
      <c r="DD220"/>
    </row>
    <row r="221" spans="1:108" s="40" customFormat="1">
      <c r="A221" s="144" t="s">
        <v>21</v>
      </c>
      <c r="B221" s="29"/>
      <c r="C221" s="29">
        <f>C220/B220-1</f>
        <v>0.10396039603960405</v>
      </c>
      <c r="D221" s="29">
        <f>D220/C220-1</f>
        <v>0.19955156950672648</v>
      </c>
      <c r="E221" s="29">
        <f>E220/D220-1</f>
        <v>8.037383177570101E-2</v>
      </c>
      <c r="F221" s="29">
        <f>F220/E220-1</f>
        <v>0.12889273356401376</v>
      </c>
      <c r="G221" s="29">
        <f>G220/F220-1</f>
        <v>0.15019157088122603</v>
      </c>
      <c r="H221" s="30"/>
      <c r="I221" s="30"/>
      <c r="J221" s="30"/>
      <c r="K221" s="30"/>
      <c r="L221" s="29">
        <f t="shared" ref="L221:AM221" si="541">L220/G220-1</f>
        <v>9.4603597601598866E-2</v>
      </c>
      <c r="M221" s="30">
        <f t="shared" si="541"/>
        <v>9.4147582697200916E-2</v>
      </c>
      <c r="N221" s="30">
        <f t="shared" si="541"/>
        <v>8.1534772182254134E-2</v>
      </c>
      <c r="O221" s="30">
        <f t="shared" si="541"/>
        <v>1.7199017199017286E-2</v>
      </c>
      <c r="P221" s="30">
        <f t="shared" si="541"/>
        <v>-4.6948356807511304E-3</v>
      </c>
      <c r="Q221" s="29">
        <f t="shared" si="541"/>
        <v>4.6256847230675691E-2</v>
      </c>
      <c r="R221" s="30">
        <f t="shared" si="541"/>
        <v>0.18604651162790709</v>
      </c>
      <c r="S221" s="30">
        <f t="shared" si="541"/>
        <v>0.12860310421286036</v>
      </c>
      <c r="T221" s="30">
        <f t="shared" si="541"/>
        <v>9.1787439613526534E-2</v>
      </c>
      <c r="U221" s="30">
        <f t="shared" si="541"/>
        <v>0.13915094339622636</v>
      </c>
      <c r="V221" s="29">
        <f t="shared" si="541"/>
        <v>0.13670738801628857</v>
      </c>
      <c r="W221" s="30">
        <f t="shared" si="541"/>
        <v>-4.705882352941182E-2</v>
      </c>
      <c r="X221" s="30">
        <f t="shared" si="541"/>
        <v>-6.0903732809430289E-2</v>
      </c>
      <c r="Y221" s="30">
        <f t="shared" si="541"/>
        <v>6.4159292035398163E-2</v>
      </c>
      <c r="Z221" s="30">
        <f t="shared" si="541"/>
        <v>7.4534161490683148E-2</v>
      </c>
      <c r="AA221" s="29">
        <f t="shared" si="541"/>
        <v>5.1177072671442225E-3</v>
      </c>
      <c r="AB221" s="30">
        <f t="shared" si="541"/>
        <v>4.7325102880658498E-2</v>
      </c>
      <c r="AC221" s="30">
        <f t="shared" si="541"/>
        <v>5.6485355648535629E-2</v>
      </c>
      <c r="AD221" s="30">
        <f t="shared" si="541"/>
        <v>2.2869022869022926E-2</v>
      </c>
      <c r="AE221" s="30">
        <f t="shared" si="541"/>
        <v>9.633911368015502E-3</v>
      </c>
      <c r="AF221" s="29">
        <f t="shared" si="541"/>
        <v>3.3604887983706755E-2</v>
      </c>
      <c r="AG221" s="30">
        <f t="shared" si="541"/>
        <v>5.1080550098231869E-2</v>
      </c>
      <c r="AH221" s="30">
        <f t="shared" si="541"/>
        <v>3.9603960396039639E-2</v>
      </c>
      <c r="AI221" s="30">
        <f t="shared" si="541"/>
        <v>3.6585365853658569E-2</v>
      </c>
      <c r="AJ221" s="30">
        <f>AJ220/AE220-1</f>
        <v>-0.29961832061068705</v>
      </c>
      <c r="AK221" s="29">
        <f>AK220/AF220-1</f>
        <v>-4.5812807881773443E-2</v>
      </c>
      <c r="AL221" s="30">
        <f t="shared" si="541"/>
        <v>-5.2336448598130803E-2</v>
      </c>
      <c r="AM221" s="30">
        <f t="shared" si="541"/>
        <v>-1.9047619047618536E-3</v>
      </c>
      <c r="AN221" s="30">
        <f t="shared" ref="AN221:AS221" si="542">AN220/AI220-1</f>
        <v>-7.8431372549019329E-3</v>
      </c>
      <c r="AO221" s="30">
        <f t="shared" si="542"/>
        <v>0.36784741144414168</v>
      </c>
      <c r="AP221" s="29">
        <f t="shared" si="542"/>
        <v>5.2658750645327768E-2</v>
      </c>
      <c r="AQ221" s="30">
        <f t="shared" si="542"/>
        <v>-3.1558185404339301E-2</v>
      </c>
      <c r="AR221" s="30">
        <f t="shared" si="542"/>
        <v>-7.2519083969465603E-2</v>
      </c>
      <c r="AS221" s="30">
        <f t="shared" si="542"/>
        <v>-5.5335968379446654E-2</v>
      </c>
      <c r="AT221" s="30">
        <f t="shared" ref="AT221:AZ221" si="543">AT220/AO220-1</f>
        <v>5.3784860557768877E-2</v>
      </c>
      <c r="AU221" s="29">
        <f t="shared" si="543"/>
        <v>-2.6974006866110845E-2</v>
      </c>
      <c r="AV221" s="30">
        <f t="shared" si="543"/>
        <v>2.4439918533604832E-2</v>
      </c>
      <c r="AW221" s="30">
        <f t="shared" si="543"/>
        <v>-3.9094650205761305E-2</v>
      </c>
      <c r="AX221" s="30">
        <f t="shared" si="543"/>
        <v>-4.1841004184099972E-3</v>
      </c>
      <c r="AY221" s="30">
        <f t="shared" si="543"/>
        <v>-4.3478260869565188E-2</v>
      </c>
      <c r="AZ221" s="29">
        <f t="shared" si="543"/>
        <v>-1.6129032258064502E-2</v>
      </c>
      <c r="BA221" s="29"/>
      <c r="BB221" s="30">
        <f>BB220/AV220-1</f>
        <v>-8.5487077534791234E-2</v>
      </c>
      <c r="BC221" s="30">
        <f>BC220/AW220-1</f>
        <v>4.0685224839400513E-2</v>
      </c>
      <c r="BD221" s="30">
        <f>BD220/AX220-1</f>
        <v>-1.0504201680672232E-2</v>
      </c>
      <c r="BE221" s="30">
        <f>BE220/AY220-1</f>
        <v>3.359683794466406E-2</v>
      </c>
      <c r="BF221" s="29">
        <f>BF220/AZ220-1</f>
        <v>-6.147540983606592E-3</v>
      </c>
      <c r="BG221" s="30"/>
      <c r="BH221" s="30"/>
      <c r="BI221" s="30"/>
      <c r="BJ221" s="30"/>
      <c r="BK221" s="29">
        <f>+BK220/BA220-1</f>
        <v>-1.5368852459016424E-2</v>
      </c>
      <c r="BL221" s="194">
        <f>BL220/BG220-1</f>
        <v>4.3383947939262368E-2</v>
      </c>
      <c r="BM221" s="194">
        <f>BM220/BH220-1</f>
        <v>4.1237113402061931E-2</v>
      </c>
      <c r="BN221" s="194">
        <f>BN220/BI220-1</f>
        <v>8.2802547770700619E-2</v>
      </c>
      <c r="BO221" s="194">
        <f>BO220/BJ220-1</f>
        <v>1.7821782178217838E-2</v>
      </c>
      <c r="BP221" s="29">
        <f>BP220/BF220-1</f>
        <v>3.6082474226804218E-2</v>
      </c>
      <c r="BQ221" s="195">
        <f t="shared" ref="BQ221:BT221" si="544">BQ220/BL220-1</f>
        <v>3.9022522522522474E-2</v>
      </c>
      <c r="BR221" s="194">
        <f t="shared" si="544"/>
        <v>0.18587887788778867</v>
      </c>
      <c r="BS221" s="194">
        <f t="shared" si="544"/>
        <v>0.16657114379084992</v>
      </c>
      <c r="BT221" s="548">
        <f t="shared" si="544"/>
        <v>0.26741906614786015</v>
      </c>
      <c r="BU221" s="193">
        <f>BU220/BP220-1</f>
        <v>0.16668823383084574</v>
      </c>
      <c r="BV221" s="159"/>
      <c r="BW221" s="160"/>
      <c r="BX221" s="160"/>
      <c r="BY221" s="160"/>
      <c r="BZ221" s="29">
        <f>BZ220/BU220-1</f>
        <v>9.417267062461776E-2</v>
      </c>
      <c r="CA221" s="159"/>
      <c r="CB221" s="160"/>
      <c r="CC221" s="160"/>
      <c r="CD221" s="160"/>
      <c r="CE221" s="29">
        <f>CE220/BZ220-1</f>
        <v>6.0917419843738108E-2</v>
      </c>
      <c r="CF221" s="159"/>
      <c r="CG221" s="160"/>
      <c r="CH221" s="160"/>
      <c r="CI221" s="160"/>
      <c r="CJ221" s="29">
        <f>CJ220/CE220-1</f>
        <v>6.0982684022240274E-2</v>
      </c>
      <c r="CK221" s="39"/>
      <c r="CL221" s="7"/>
      <c r="CM221" s="733"/>
      <c r="CN221" s="734"/>
      <c r="CO221" s="734"/>
      <c r="CP221" s="734"/>
      <c r="CQ221" s="734"/>
      <c r="CR221" s="734"/>
      <c r="CS221" s="734"/>
      <c r="CT221" s="734"/>
      <c r="CU221" s="734"/>
      <c r="CV221" s="734"/>
      <c r="CW221" s="75"/>
      <c r="CX221" s="38"/>
      <c r="CY221" s="38"/>
      <c r="CZ221"/>
      <c r="DA221"/>
      <c r="DB221"/>
      <c r="DC221"/>
      <c r="DD221"/>
    </row>
    <row r="222" spans="1:108" s="40" customFormat="1">
      <c r="A222" s="145" t="s">
        <v>250</v>
      </c>
      <c r="B222" s="29">
        <f t="shared" ref="B222:AQ222" si="545">B220/B215</f>
        <v>6.8602479198505692E-2</v>
      </c>
      <c r="C222" s="29">
        <f t="shared" si="545"/>
        <v>6.659698372405555E-2</v>
      </c>
      <c r="D222" s="29">
        <f t="shared" si="545"/>
        <v>6.6406007571526093E-2</v>
      </c>
      <c r="E222" s="29">
        <f t="shared" si="545"/>
        <v>6.1271002279111676E-2</v>
      </c>
      <c r="F222" s="29">
        <f t="shared" si="545"/>
        <v>6.2216924910607867E-2</v>
      </c>
      <c r="G222" s="29">
        <f t="shared" si="545"/>
        <v>6.2377924614553465E-2</v>
      </c>
      <c r="H222" s="30">
        <f t="shared" si="545"/>
        <v>6.2380952380952384E-2</v>
      </c>
      <c r="I222" s="30">
        <f t="shared" si="545"/>
        <v>6.3268092853891664E-2</v>
      </c>
      <c r="J222" s="30">
        <f t="shared" si="545"/>
        <v>5.9555165349721981E-2</v>
      </c>
      <c r="K222" s="30">
        <f t="shared" si="545"/>
        <v>5.6686626746506985E-2</v>
      </c>
      <c r="L222" s="29">
        <f t="shared" si="545"/>
        <v>6.0315712187958885E-2</v>
      </c>
      <c r="M222" s="30">
        <f t="shared" si="545"/>
        <v>6.1384725196288369E-2</v>
      </c>
      <c r="N222" s="30">
        <f t="shared" si="545"/>
        <v>6.1755442968643021E-2</v>
      </c>
      <c r="O222" s="30">
        <f t="shared" si="545"/>
        <v>5.7983193277310927E-2</v>
      </c>
      <c r="P222" s="30">
        <f t="shared" si="545"/>
        <v>5.399898115129903E-2</v>
      </c>
      <c r="Q222" s="29">
        <f t="shared" si="545"/>
        <v>5.8668941979522181E-2</v>
      </c>
      <c r="R222" s="30">
        <f t="shared" si="545"/>
        <v>6.1713455953533398E-2</v>
      </c>
      <c r="S222" s="30">
        <f t="shared" si="545"/>
        <v>6.283950617283951E-2</v>
      </c>
      <c r="T222" s="30">
        <f t="shared" si="545"/>
        <v>5.8556807876667963E-2</v>
      </c>
      <c r="U222" s="30">
        <f t="shared" si="545"/>
        <v>6.1154722714611295E-2</v>
      </c>
      <c r="V222" s="29">
        <f t="shared" si="545"/>
        <v>6.1098777399080706E-2</v>
      </c>
      <c r="W222" s="30">
        <f t="shared" si="545"/>
        <v>6.2709677419354834E-2</v>
      </c>
      <c r="X222" s="30">
        <f t="shared" si="545"/>
        <v>5.8983218163869693E-2</v>
      </c>
      <c r="Y222" s="30">
        <f t="shared" si="545"/>
        <v>6.004244164274123E-2</v>
      </c>
      <c r="Z222" s="30">
        <f t="shared" si="545"/>
        <v>6.0341820718521101E-2</v>
      </c>
      <c r="AA222" s="29">
        <f t="shared" si="545"/>
        <v>6.0494055319411079E-2</v>
      </c>
      <c r="AB222" s="30">
        <f t="shared" si="545"/>
        <v>6.5273146960759171E-2</v>
      </c>
      <c r="AC222" s="30">
        <f t="shared" si="545"/>
        <v>6.4094428226932357E-2</v>
      </c>
      <c r="AD222" s="30">
        <f t="shared" si="545"/>
        <v>6.2651216095759577E-2</v>
      </c>
      <c r="AE222" s="30">
        <f t="shared" si="545"/>
        <v>5.7286542035640098E-2</v>
      </c>
      <c r="AF222" s="29">
        <f t="shared" si="545"/>
        <v>6.2123205924656484E-2</v>
      </c>
      <c r="AG222" s="30">
        <f t="shared" si="545"/>
        <v>7.0589787570919646E-2</v>
      </c>
      <c r="AH222" s="30">
        <f t="shared" si="545"/>
        <v>6.6271143650593278E-2</v>
      </c>
      <c r="AI222" s="30">
        <f t="shared" si="545"/>
        <v>6.4280312578774895E-2</v>
      </c>
      <c r="AJ222" s="30">
        <f t="shared" si="545"/>
        <v>4.5432037633077495E-2</v>
      </c>
      <c r="AK222" s="29">
        <f t="shared" si="545"/>
        <v>6.1466696284073238E-2</v>
      </c>
      <c r="AL222" s="30">
        <f t="shared" si="545"/>
        <v>6.8476499189627227E-2</v>
      </c>
      <c r="AM222" s="30">
        <f t="shared" si="545"/>
        <v>6.623688534951333E-2</v>
      </c>
      <c r="AN222" s="30">
        <f t="shared" si="545"/>
        <v>6.4905079527963053E-2</v>
      </c>
      <c r="AO222" s="30">
        <f t="shared" si="545"/>
        <v>6.4202583450569131E-2</v>
      </c>
      <c r="AP222" s="29">
        <f t="shared" si="545"/>
        <v>6.5923052053022957E-2</v>
      </c>
      <c r="AQ222" s="30">
        <f t="shared" si="545"/>
        <v>6.70398689240852E-2</v>
      </c>
      <c r="AR222" s="30">
        <f t="shared" ref="AR222:AW222" si="546">AR220/AR215</f>
        <v>6.5025421461065019E-2</v>
      </c>
      <c r="AS222" s="30">
        <f t="shared" si="546"/>
        <v>6.1669462004902593E-2</v>
      </c>
      <c r="AT222" s="30">
        <f t="shared" si="546"/>
        <v>6.3711911357340723E-2</v>
      </c>
      <c r="AU222" s="29">
        <f t="shared" si="546"/>
        <v>6.430701413198496E-2</v>
      </c>
      <c r="AV222" s="30">
        <f t="shared" si="546"/>
        <v>6.4619732785200418E-2</v>
      </c>
      <c r="AW222" s="30">
        <f t="shared" si="546"/>
        <v>5.9248921593504186E-2</v>
      </c>
      <c r="AX222" s="30">
        <f>AX220/AX215</f>
        <v>5.9544658493870403E-2</v>
      </c>
      <c r="AY222" s="30">
        <f>AY220/AY215</f>
        <v>6.4797029069022918E-2</v>
      </c>
      <c r="AZ222" s="29">
        <f>AZ220/AZ215</f>
        <v>6.2029298674886393E-2</v>
      </c>
      <c r="BA222" s="29">
        <f>BA220/BA215</f>
        <v>6.1420345489443376E-2</v>
      </c>
      <c r="BB222" s="195">
        <f t="shared" ref="BB222:BE222" si="547">BB220/BB215</f>
        <v>5.9554634904194721E-2</v>
      </c>
      <c r="BC222" s="194">
        <f t="shared" si="547"/>
        <v>6.3405088062622308E-2</v>
      </c>
      <c r="BD222" s="194">
        <f t="shared" si="547"/>
        <v>6.0923554520760571E-2</v>
      </c>
      <c r="BE222" s="194">
        <f t="shared" si="547"/>
        <v>6.3524839062310212E-2</v>
      </c>
      <c r="BF222" s="29">
        <f>BF220/BF215</f>
        <v>6.1876056517717604E-2</v>
      </c>
      <c r="BG222" s="195">
        <f t="shared" ref="BG222:BJ222" si="548">BG220/BG215</f>
        <v>6.1663991439272335E-2</v>
      </c>
      <c r="BH222" s="194">
        <f t="shared" si="548"/>
        <v>6.2387445330589146E-2</v>
      </c>
      <c r="BI222" s="194">
        <f t="shared" si="548"/>
        <v>6.1673431975906773E-2</v>
      </c>
      <c r="BJ222" s="194">
        <f t="shared" si="548"/>
        <v>6.5806619755016935E-2</v>
      </c>
      <c r="BK222" s="29">
        <f>BK220/BK215</f>
        <v>6.2890612218186578E-2</v>
      </c>
      <c r="BL222" s="195">
        <f t="shared" ref="BL222:BN222" si="549">BL220/BL215</f>
        <v>6.4641849213815342E-2</v>
      </c>
      <c r="BM222" s="194">
        <f t="shared" si="549"/>
        <v>6.5798045602605867E-2</v>
      </c>
      <c r="BN222" s="194">
        <f t="shared" si="549"/>
        <v>6.7282321899736153E-2</v>
      </c>
      <c r="BO222" s="194">
        <f t="shared" ref="BO222" si="550">BO220/BO215</f>
        <v>6.2099794611574242E-2</v>
      </c>
      <c r="BP222" s="29">
        <f>BP220/BP215</f>
        <v>6.489523133051367E-2</v>
      </c>
      <c r="BQ222" s="159">
        <v>6.5000000000000002E-2</v>
      </c>
      <c r="BR222" s="160">
        <v>6.5000000000000002E-2</v>
      </c>
      <c r="BS222" s="160">
        <v>6.5000000000000002E-2</v>
      </c>
      <c r="BT222" s="1105">
        <v>6.5000000000000002E-2</v>
      </c>
      <c r="BU222" s="1036">
        <f>BU220/BU215</f>
        <v>6.5000000000000002E-2</v>
      </c>
      <c r="BV222" s="159"/>
      <c r="BW222" s="160"/>
      <c r="BX222" s="160"/>
      <c r="BY222" s="160"/>
      <c r="BZ222" s="158">
        <v>6.5000000000000002E-2</v>
      </c>
      <c r="CA222" s="159"/>
      <c r="CB222" s="160"/>
      <c r="CC222" s="160"/>
      <c r="CD222" s="160"/>
      <c r="CE222" s="158">
        <v>6.5000000000000002E-2</v>
      </c>
      <c r="CF222" s="159"/>
      <c r="CG222" s="160"/>
      <c r="CH222" s="160"/>
      <c r="CI222" s="160"/>
      <c r="CJ222" s="158">
        <v>6.5000000000000002E-2</v>
      </c>
      <c r="CK222" s="39"/>
      <c r="CL222" s="7"/>
      <c r="CM222" s="733"/>
      <c r="CN222" s="734"/>
      <c r="CO222" s="734"/>
      <c r="CP222" s="734"/>
      <c r="CQ222" s="734"/>
      <c r="CR222" s="734"/>
      <c r="CS222" s="734"/>
      <c r="CT222" s="734"/>
      <c r="CU222" s="734"/>
      <c r="CV222" s="734"/>
      <c r="CW222" s="75"/>
      <c r="CX222" s="38"/>
      <c r="CY222" s="38"/>
      <c r="CZ222"/>
      <c r="DA222"/>
      <c r="DB222"/>
      <c r="DC222"/>
      <c r="DD222"/>
    </row>
    <row r="223" spans="1:108" s="433" customFormat="1" ht="12.75" customHeight="1">
      <c r="A223" s="477" t="s">
        <v>191</v>
      </c>
      <c r="B223" s="434"/>
      <c r="C223" s="434"/>
      <c r="D223" s="434"/>
      <c r="E223" s="434"/>
      <c r="F223" s="434"/>
      <c r="G223" s="434"/>
      <c r="H223" s="435"/>
      <c r="I223" s="435"/>
      <c r="J223" s="435"/>
      <c r="K223" s="435"/>
      <c r="L223" s="434"/>
      <c r="M223" s="435"/>
      <c r="N223" s="435"/>
      <c r="O223" s="435"/>
      <c r="P223" s="435"/>
      <c r="Q223" s="434"/>
      <c r="R223" s="435"/>
      <c r="S223" s="435"/>
      <c r="T223" s="435"/>
      <c r="U223" s="435"/>
      <c r="V223" s="434"/>
      <c r="W223" s="435"/>
      <c r="X223" s="435"/>
      <c r="Y223" s="435"/>
      <c r="Z223" s="435"/>
      <c r="AA223" s="434"/>
      <c r="AB223" s="435"/>
      <c r="AC223" s="435"/>
      <c r="AD223" s="435"/>
      <c r="AE223" s="435"/>
      <c r="AF223" s="434">
        <v>372</v>
      </c>
      <c r="AG223" s="435"/>
      <c r="AH223" s="435"/>
      <c r="AI223" s="435"/>
      <c r="AJ223" s="435"/>
      <c r="AK223" s="434">
        <v>374</v>
      </c>
      <c r="AL223" s="435"/>
      <c r="AM223" s="435"/>
      <c r="AN223" s="435"/>
      <c r="AO223" s="435"/>
      <c r="AP223" s="642">
        <v>310</v>
      </c>
      <c r="AQ223" s="436"/>
      <c r="AR223" s="435"/>
      <c r="AS223" s="435"/>
      <c r="AT223" s="435"/>
      <c r="AU223" s="771">
        <v>358</v>
      </c>
      <c r="AV223" s="436"/>
      <c r="AW223" s="435"/>
      <c r="AX223" s="435"/>
      <c r="AY223" s="435"/>
      <c r="AZ223" s="771">
        <v>395</v>
      </c>
      <c r="BA223" s="771">
        <f>+AZ223</f>
        <v>395</v>
      </c>
      <c r="BB223" s="436"/>
      <c r="BC223" s="435"/>
      <c r="BD223" s="435"/>
      <c r="BE223" s="435"/>
      <c r="BF223" s="771">
        <v>395</v>
      </c>
      <c r="BG223" s="436"/>
      <c r="BH223" s="435"/>
      <c r="BI223" s="435"/>
      <c r="BJ223" s="435"/>
      <c r="BK223" s="771">
        <v>418</v>
      </c>
      <c r="BL223" s="436"/>
      <c r="BM223" s="435"/>
      <c r="BN223" s="435"/>
      <c r="BO223" s="435"/>
      <c r="BP223" s="771">
        <v>521</v>
      </c>
      <c r="BQ223" s="436"/>
      <c r="BR223" s="435"/>
      <c r="BS223" s="435"/>
      <c r="BT223" s="1131"/>
      <c r="BU223" s="434"/>
      <c r="BV223" s="436"/>
      <c r="BW223" s="435"/>
      <c r="BX223" s="435"/>
      <c r="BY223" s="435"/>
      <c r="BZ223" s="434"/>
      <c r="CA223" s="436"/>
      <c r="CB223" s="435"/>
      <c r="CC223" s="435"/>
      <c r="CD223" s="435"/>
      <c r="CE223" s="434"/>
      <c r="CF223" s="436"/>
      <c r="CG223" s="435"/>
      <c r="CH223" s="435"/>
      <c r="CI223" s="435"/>
      <c r="CJ223" s="434"/>
      <c r="CK223" s="431"/>
      <c r="CL223" s="432"/>
      <c r="CM223" s="733"/>
      <c r="CN223" s="734"/>
      <c r="CO223" s="622"/>
      <c r="CP223" s="622"/>
      <c r="CQ223" s="622"/>
      <c r="CR223" s="622"/>
      <c r="CS223" s="622"/>
      <c r="CT223" s="622"/>
      <c r="CU223" s="622"/>
      <c r="CV223" s="622"/>
      <c r="CW223" s="432"/>
      <c r="CX223" s="431"/>
      <c r="CY223" s="431"/>
      <c r="CZ223"/>
      <c r="DA223"/>
      <c r="DB223"/>
      <c r="DC223"/>
      <c r="DD223"/>
    </row>
    <row r="224" spans="1:108" s="40" customFormat="1">
      <c r="A224" s="144" t="s">
        <v>21</v>
      </c>
      <c r="B224" s="29"/>
      <c r="C224" s="29"/>
      <c r="D224" s="29"/>
      <c r="E224" s="29"/>
      <c r="F224" s="29"/>
      <c r="G224" s="29"/>
      <c r="H224" s="30"/>
      <c r="I224" s="30"/>
      <c r="J224" s="30"/>
      <c r="K224" s="30"/>
      <c r="L224" s="29"/>
      <c r="M224" s="30"/>
      <c r="N224" s="30"/>
      <c r="O224" s="30"/>
      <c r="P224" s="30"/>
      <c r="Q224" s="29"/>
      <c r="R224" s="30"/>
      <c r="S224" s="30"/>
      <c r="T224" s="30"/>
      <c r="U224" s="30"/>
      <c r="V224" s="29"/>
      <c r="W224" s="30"/>
      <c r="X224" s="30"/>
      <c r="Y224" s="30"/>
      <c r="Z224" s="30"/>
      <c r="AA224" s="29"/>
      <c r="AB224" s="30"/>
      <c r="AC224" s="30"/>
      <c r="AD224" s="30"/>
      <c r="AE224" s="30"/>
      <c r="AF224" s="29"/>
      <c r="AG224" s="30"/>
      <c r="AH224" s="30"/>
      <c r="AI224" s="30"/>
      <c r="AJ224" s="30"/>
      <c r="AK224" s="29">
        <f>AK223/AF223-1</f>
        <v>5.3763440860215006E-3</v>
      </c>
      <c r="AL224" s="30"/>
      <c r="AM224" s="30"/>
      <c r="AN224" s="30"/>
      <c r="AO224" s="30"/>
      <c r="AP224" s="29">
        <f>AP223/AK223-1</f>
        <v>-0.17112299465240643</v>
      </c>
      <c r="AQ224" s="31"/>
      <c r="AR224" s="30"/>
      <c r="AS224" s="30"/>
      <c r="AT224" s="30"/>
      <c r="AU224" s="29">
        <f>AU223/AP223-1</f>
        <v>0.15483870967741931</v>
      </c>
      <c r="AV224" s="31"/>
      <c r="AW224" s="30"/>
      <c r="AX224" s="30"/>
      <c r="AY224" s="30"/>
      <c r="AZ224" s="29">
        <f>AZ223/AU223-1</f>
        <v>0.1033519553072626</v>
      </c>
      <c r="BA224" s="29">
        <f>+AZ224</f>
        <v>0.1033519553072626</v>
      </c>
      <c r="BB224" s="159"/>
      <c r="BC224" s="160"/>
      <c r="BD224" s="160"/>
      <c r="BE224" s="160"/>
      <c r="BF224" s="29">
        <f>BF223/AZ223-1</f>
        <v>0</v>
      </c>
      <c r="BG224" s="159"/>
      <c r="BH224" s="160"/>
      <c r="BI224" s="160"/>
      <c r="BJ224" s="160"/>
      <c r="BK224" s="29">
        <f>+BK223/BA223-1</f>
        <v>5.8227848101265911E-2</v>
      </c>
      <c r="BL224" s="159"/>
      <c r="BM224" s="160"/>
      <c r="BN224" s="160"/>
      <c r="BO224" s="160"/>
      <c r="BP224" s="29">
        <f>+BP223/BK223-1</f>
        <v>0.24641148325358841</v>
      </c>
      <c r="BQ224" s="159"/>
      <c r="BR224" s="160"/>
      <c r="BS224" s="160"/>
      <c r="BT224" s="1105"/>
      <c r="BU224" s="29"/>
      <c r="BV224" s="159"/>
      <c r="BW224" s="160"/>
      <c r="BX224" s="160"/>
      <c r="BY224" s="160"/>
      <c r="BZ224" s="29"/>
      <c r="CA224" s="159"/>
      <c r="CB224" s="160"/>
      <c r="CC224" s="160"/>
      <c r="CD224" s="160"/>
      <c r="CE224" s="29"/>
      <c r="CF224" s="159"/>
      <c r="CG224" s="160"/>
      <c r="CH224" s="160"/>
      <c r="CI224" s="160"/>
      <c r="CJ224" s="29"/>
      <c r="CK224" s="39"/>
      <c r="CL224" s="7"/>
      <c r="CM224" s="733"/>
      <c r="CN224" s="734"/>
      <c r="CO224" s="734"/>
      <c r="CP224" s="734"/>
      <c r="CQ224" s="734"/>
      <c r="CR224" s="734"/>
      <c r="CS224" s="734"/>
      <c r="CT224" s="734"/>
      <c r="CU224" s="734"/>
      <c r="CV224" s="734"/>
      <c r="CW224" s="75"/>
      <c r="CX224" s="38"/>
      <c r="CY224" s="38"/>
      <c r="CZ224"/>
      <c r="DA224"/>
      <c r="DB224"/>
      <c r="DC224"/>
      <c r="DD224"/>
    </row>
    <row r="225" spans="1:108" s="115" customFormat="1">
      <c r="A225" s="124" t="s">
        <v>153</v>
      </c>
      <c r="B225" s="146">
        <f t="shared" ref="B225:AG225" si="551">B213+B268</f>
        <v>1750</v>
      </c>
      <c r="C225" s="146">
        <f t="shared" si="551"/>
        <v>1775</v>
      </c>
      <c r="D225" s="146">
        <f t="shared" si="551"/>
        <v>1715</v>
      </c>
      <c r="E225" s="146">
        <f t="shared" si="551"/>
        <v>2237</v>
      </c>
      <c r="F225" s="146">
        <f t="shared" si="551"/>
        <v>2506</v>
      </c>
      <c r="G225" s="146">
        <f t="shared" si="551"/>
        <v>3009</v>
      </c>
      <c r="H225" s="147">
        <f t="shared" si="551"/>
        <v>782</v>
      </c>
      <c r="I225" s="147">
        <f t="shared" si="551"/>
        <v>866</v>
      </c>
      <c r="J225" s="147">
        <f t="shared" si="551"/>
        <v>906</v>
      </c>
      <c r="K225" s="148">
        <f t="shared" si="551"/>
        <v>982</v>
      </c>
      <c r="L225" s="146">
        <f t="shared" si="551"/>
        <v>3536</v>
      </c>
      <c r="M225" s="148">
        <f t="shared" si="551"/>
        <v>963</v>
      </c>
      <c r="N225" s="148">
        <f t="shared" si="551"/>
        <v>1032</v>
      </c>
      <c r="O225" s="148">
        <f t="shared" si="551"/>
        <v>1046</v>
      </c>
      <c r="P225" s="148">
        <f t="shared" si="551"/>
        <v>1059</v>
      </c>
      <c r="Q225" s="146">
        <f t="shared" si="551"/>
        <v>4100</v>
      </c>
      <c r="R225" s="148">
        <f t="shared" si="551"/>
        <v>1044</v>
      </c>
      <c r="S225" s="148">
        <f t="shared" si="551"/>
        <v>1085</v>
      </c>
      <c r="T225" s="148">
        <f t="shared" si="551"/>
        <v>1013</v>
      </c>
      <c r="U225" s="148">
        <f t="shared" si="551"/>
        <v>1095</v>
      </c>
      <c r="V225" s="146">
        <f t="shared" si="551"/>
        <v>4237</v>
      </c>
      <c r="W225" s="148">
        <f t="shared" si="551"/>
        <v>1061</v>
      </c>
      <c r="X225" s="148">
        <f t="shared" si="551"/>
        <v>1125</v>
      </c>
      <c r="Y225" s="148">
        <f t="shared" si="551"/>
        <v>1107</v>
      </c>
      <c r="Z225" s="148">
        <f t="shared" si="551"/>
        <v>1221</v>
      </c>
      <c r="AA225" s="146">
        <f t="shared" si="551"/>
        <v>4514</v>
      </c>
      <c r="AB225" s="148">
        <f t="shared" si="551"/>
        <v>1072</v>
      </c>
      <c r="AC225" s="148">
        <f t="shared" si="551"/>
        <v>1094</v>
      </c>
      <c r="AD225" s="148">
        <f t="shared" si="551"/>
        <v>1145</v>
      </c>
      <c r="AE225" s="148">
        <f t="shared" si="551"/>
        <v>1218</v>
      </c>
      <c r="AF225" s="146">
        <f t="shared" si="551"/>
        <v>4529</v>
      </c>
      <c r="AG225" s="148">
        <f t="shared" si="551"/>
        <v>1014</v>
      </c>
      <c r="AH225" s="148">
        <f t="shared" ref="AH225:BK225" si="552">AH213+AH268</f>
        <v>1120</v>
      </c>
      <c r="AI225" s="148">
        <f t="shared" si="552"/>
        <v>1059</v>
      </c>
      <c r="AJ225" s="148">
        <f t="shared" si="552"/>
        <v>998</v>
      </c>
      <c r="AK225" s="146">
        <f t="shared" si="552"/>
        <v>4191</v>
      </c>
      <c r="AL225" s="148">
        <f t="shared" si="552"/>
        <v>989</v>
      </c>
      <c r="AM225" s="148">
        <f t="shared" si="552"/>
        <v>1098</v>
      </c>
      <c r="AN225" s="148">
        <f t="shared" si="552"/>
        <v>1092</v>
      </c>
      <c r="AO225" s="148">
        <f t="shared" si="552"/>
        <v>1066</v>
      </c>
      <c r="AP225" s="146">
        <f t="shared" si="552"/>
        <v>4245</v>
      </c>
      <c r="AQ225" s="148">
        <f t="shared" si="552"/>
        <v>1003</v>
      </c>
      <c r="AR225" s="148">
        <f t="shared" si="552"/>
        <v>1069</v>
      </c>
      <c r="AS225" s="148">
        <f t="shared" si="552"/>
        <v>1123</v>
      </c>
      <c r="AT225" s="148">
        <f t="shared" si="552"/>
        <v>1187</v>
      </c>
      <c r="AU225" s="146">
        <f t="shared" si="552"/>
        <v>4385</v>
      </c>
      <c r="AV225" s="148">
        <f t="shared" si="552"/>
        <v>1151</v>
      </c>
      <c r="AW225" s="148">
        <f t="shared" si="552"/>
        <v>1200</v>
      </c>
      <c r="AX225" s="148">
        <f t="shared" si="552"/>
        <v>1151</v>
      </c>
      <c r="AY225" s="148">
        <f t="shared" si="552"/>
        <v>1158</v>
      </c>
      <c r="AZ225" s="146">
        <f t="shared" si="552"/>
        <v>4660</v>
      </c>
      <c r="BA225" s="146">
        <f t="shared" ref="BA225" si="553">BA213+BA268</f>
        <v>4777</v>
      </c>
      <c r="BB225" s="148">
        <f t="shared" si="552"/>
        <v>1170</v>
      </c>
      <c r="BC225" s="148">
        <f t="shared" si="552"/>
        <v>1185</v>
      </c>
      <c r="BD225" s="148">
        <f t="shared" si="552"/>
        <v>1179</v>
      </c>
      <c r="BE225" s="148">
        <f t="shared" si="552"/>
        <v>1229</v>
      </c>
      <c r="BF225" s="146">
        <f t="shared" si="552"/>
        <v>4763</v>
      </c>
      <c r="BG225" s="148">
        <f t="shared" ref="BG225" si="554">BG213+BG268</f>
        <v>1040</v>
      </c>
      <c r="BH225" s="148">
        <f t="shared" ref="BH225:BJ225" si="555">BH213+BH268</f>
        <v>1142</v>
      </c>
      <c r="BI225" s="148">
        <f t="shared" si="555"/>
        <v>1015</v>
      </c>
      <c r="BJ225" s="148">
        <f t="shared" si="555"/>
        <v>768</v>
      </c>
      <c r="BK225" s="146">
        <f t="shared" si="552"/>
        <v>4099</v>
      </c>
      <c r="BL225" s="148">
        <f t="shared" ref="BL225:BN225" si="556">BL213+BL268</f>
        <v>1146</v>
      </c>
      <c r="BM225" s="148">
        <f t="shared" si="556"/>
        <v>1165</v>
      </c>
      <c r="BN225" s="148">
        <f t="shared" si="556"/>
        <v>1158</v>
      </c>
      <c r="BO225" s="148">
        <f t="shared" ref="BO225:BP225" si="557">BO213+BO268</f>
        <v>1070</v>
      </c>
      <c r="BP225" s="146">
        <f t="shared" si="557"/>
        <v>4539</v>
      </c>
      <c r="BQ225" s="149">
        <f t="shared" ref="BQ225:BT225" si="558">BQ213+BQ268</f>
        <v>1088.0190782650002</v>
      </c>
      <c r="BR225" s="148">
        <f t="shared" si="558"/>
        <v>1298.4718888799998</v>
      </c>
      <c r="BS225" s="148">
        <f t="shared" si="558"/>
        <v>1321.35825841</v>
      </c>
      <c r="BT225" s="546">
        <f t="shared" si="558"/>
        <v>1433.2630418200001</v>
      </c>
      <c r="BU225" s="146">
        <f>BU213+BU268</f>
        <v>5141.1122673749996</v>
      </c>
      <c r="BV225" s="149"/>
      <c r="BW225" s="148"/>
      <c r="BX225" s="148"/>
      <c r="BY225" s="148"/>
      <c r="BZ225" s="146">
        <f>BZ213+BZ268</f>
        <v>5758.3162282350004</v>
      </c>
      <c r="CA225" s="149"/>
      <c r="CB225" s="148"/>
      <c r="CC225" s="148"/>
      <c r="CD225" s="148"/>
      <c r="CE225" s="146">
        <f>CE213+CE268</f>
        <v>6088.7311224723671</v>
      </c>
      <c r="CF225" s="149"/>
      <c r="CG225" s="148"/>
      <c r="CH225" s="148"/>
      <c r="CI225" s="148"/>
      <c r="CJ225" s="146">
        <f>CJ213+CJ268</f>
        <v>6432.1390599293609</v>
      </c>
      <c r="CK225" s="150"/>
      <c r="CL225" s="243"/>
      <c r="CM225" s="661"/>
      <c r="CN225" s="661"/>
      <c r="CO225" s="661"/>
      <c r="CP225" s="661"/>
      <c r="CQ225" s="661"/>
      <c r="CR225" s="661"/>
      <c r="CS225" s="661"/>
      <c r="CT225" s="661"/>
      <c r="CU225" s="661"/>
      <c r="CV225" s="661"/>
      <c r="CW225" s="231"/>
      <c r="CX225" s="114"/>
      <c r="CY225" s="114"/>
      <c r="CZ225"/>
      <c r="DA225"/>
      <c r="DB225"/>
      <c r="DC225"/>
      <c r="DD225"/>
    </row>
    <row r="226" spans="1:108" s="40" customFormat="1">
      <c r="A226" s="136" t="s">
        <v>21</v>
      </c>
      <c r="B226" s="29"/>
      <c r="C226" s="29">
        <f>C225/B225-1</f>
        <v>1.4285714285714235E-2</v>
      </c>
      <c r="D226" s="29">
        <f>D225/C225-1</f>
        <v>-3.3802816901408406E-2</v>
      </c>
      <c r="E226" s="29">
        <f>E225/D225-1</f>
        <v>0.30437317784256557</v>
      </c>
      <c r="F226" s="29">
        <f>F225/E225-1</f>
        <v>0.12025033527045159</v>
      </c>
      <c r="G226" s="29">
        <f>G225/F225-1</f>
        <v>0.20071827613727056</v>
      </c>
      <c r="H226" s="30"/>
      <c r="I226" s="30"/>
      <c r="J226" s="30"/>
      <c r="K226" s="30"/>
      <c r="L226" s="29">
        <f t="shared" ref="L226:AS226" si="559">L225/G225-1</f>
        <v>0.17514124293785316</v>
      </c>
      <c r="M226" s="30">
        <f t="shared" si="559"/>
        <v>0.23145780051150888</v>
      </c>
      <c r="N226" s="30">
        <f t="shared" si="559"/>
        <v>0.19168591224018483</v>
      </c>
      <c r="O226" s="30">
        <f t="shared" si="559"/>
        <v>0.15452538631346568</v>
      </c>
      <c r="P226" s="30">
        <f t="shared" si="559"/>
        <v>7.8411405295315761E-2</v>
      </c>
      <c r="Q226" s="29">
        <f t="shared" si="559"/>
        <v>0.15950226244343901</v>
      </c>
      <c r="R226" s="30">
        <f t="shared" si="559"/>
        <v>8.4112149532710179E-2</v>
      </c>
      <c r="S226" s="30">
        <f t="shared" si="559"/>
        <v>5.1356589147286913E-2</v>
      </c>
      <c r="T226" s="30">
        <f t="shared" si="559"/>
        <v>-3.1548757170172137E-2</v>
      </c>
      <c r="U226" s="30">
        <f t="shared" si="559"/>
        <v>3.3994334277620331E-2</v>
      </c>
      <c r="V226" s="29">
        <f t="shared" si="559"/>
        <v>3.3414634146341493E-2</v>
      </c>
      <c r="W226" s="30">
        <f t="shared" si="559"/>
        <v>1.6283524904214586E-2</v>
      </c>
      <c r="X226" s="30">
        <f t="shared" si="559"/>
        <v>3.6866359447004671E-2</v>
      </c>
      <c r="Y226" s="30">
        <f t="shared" si="559"/>
        <v>9.2793682132280342E-2</v>
      </c>
      <c r="Z226" s="30">
        <f t="shared" si="559"/>
        <v>0.1150684931506849</v>
      </c>
      <c r="AA226" s="29">
        <f t="shared" si="559"/>
        <v>6.5376445598300581E-2</v>
      </c>
      <c r="AB226" s="30">
        <f t="shared" si="559"/>
        <v>1.0367577756833279E-2</v>
      </c>
      <c r="AC226" s="30">
        <f t="shared" si="559"/>
        <v>-2.7555555555555555E-2</v>
      </c>
      <c r="AD226" s="30">
        <f t="shared" si="559"/>
        <v>3.4327009936766073E-2</v>
      </c>
      <c r="AE226" s="30">
        <f t="shared" si="559"/>
        <v>-2.4570024570024218E-3</v>
      </c>
      <c r="AF226" s="29">
        <f t="shared" si="559"/>
        <v>3.3229951262738755E-3</v>
      </c>
      <c r="AG226" s="30">
        <f t="shared" si="559"/>
        <v>-5.410447761194026E-2</v>
      </c>
      <c r="AH226" s="30">
        <f t="shared" si="559"/>
        <v>2.3765996343692919E-2</v>
      </c>
      <c r="AI226" s="30">
        <f t="shared" si="559"/>
        <v>-7.5109170305676876E-2</v>
      </c>
      <c r="AJ226" s="30">
        <f t="shared" si="559"/>
        <v>-0.180623973727422</v>
      </c>
      <c r="AK226" s="29">
        <f>AK225/AF225-1</f>
        <v>-7.46301611834842E-2</v>
      </c>
      <c r="AL226" s="30">
        <f t="shared" si="559"/>
        <v>-2.4654832347140054E-2</v>
      </c>
      <c r="AM226" s="30">
        <f t="shared" si="559"/>
        <v>-1.9642857142857184E-2</v>
      </c>
      <c r="AN226" s="30">
        <f t="shared" si="559"/>
        <v>3.1161473087818692E-2</v>
      </c>
      <c r="AO226" s="30">
        <f t="shared" si="559"/>
        <v>6.8136272545090248E-2</v>
      </c>
      <c r="AP226" s="29">
        <f t="shared" si="559"/>
        <v>1.2884753042233354E-2</v>
      </c>
      <c r="AQ226" s="30">
        <f>AQ225/AL225-1</f>
        <v>1.415571284125372E-2</v>
      </c>
      <c r="AR226" s="30">
        <f t="shared" si="559"/>
        <v>-2.6411657559198498E-2</v>
      </c>
      <c r="AS226" s="30">
        <f t="shared" si="559"/>
        <v>2.8388278388278287E-2</v>
      </c>
      <c r="AT226" s="30">
        <f t="shared" ref="AT226:AZ226" si="560">AT225/AO225-1</f>
        <v>0.11350844277673544</v>
      </c>
      <c r="AU226" s="29">
        <f t="shared" si="560"/>
        <v>3.2979976442873982E-2</v>
      </c>
      <c r="AV226" s="30">
        <f t="shared" si="560"/>
        <v>0.14755732801595212</v>
      </c>
      <c r="AW226" s="30">
        <f t="shared" si="560"/>
        <v>0.12254443405051441</v>
      </c>
      <c r="AX226" s="30">
        <f t="shared" si="560"/>
        <v>2.4933214603739984E-2</v>
      </c>
      <c r="AY226" s="30">
        <f t="shared" si="560"/>
        <v>-2.4431339511373218E-2</v>
      </c>
      <c r="AZ226" s="29">
        <f t="shared" si="560"/>
        <v>6.271379703534774E-2</v>
      </c>
      <c r="BA226" s="29"/>
      <c r="BB226" s="30">
        <f>BB225/AV225-1</f>
        <v>1.6507384882710641E-2</v>
      </c>
      <c r="BC226" s="30">
        <f>BC225/AW225-1</f>
        <v>-1.2499999999999956E-2</v>
      </c>
      <c r="BD226" s="30">
        <f>BD225/AX225-1</f>
        <v>2.4326672458731435E-2</v>
      </c>
      <c r="BE226" s="30">
        <f>BE225/AY225-1</f>
        <v>6.1312607944732367E-2</v>
      </c>
      <c r="BF226" s="29">
        <f>BF225/AZ225-1</f>
        <v>2.2103004291845529E-2</v>
      </c>
      <c r="BG226" s="30"/>
      <c r="BH226" s="30"/>
      <c r="BI226" s="30"/>
      <c r="BJ226" s="30"/>
      <c r="BK226" s="29">
        <f>BK225/BA225-1</f>
        <v>-0.14193008164119736</v>
      </c>
      <c r="BL226" s="194">
        <f>BL225/BG225-1</f>
        <v>0.10192307692307701</v>
      </c>
      <c r="BM226" s="194">
        <f>BM225/BH225-1</f>
        <v>2.0140105078809034E-2</v>
      </c>
      <c r="BN226" s="194">
        <f>BN225/BI225-1</f>
        <v>0.14088669950738919</v>
      </c>
      <c r="BO226" s="194">
        <f>BO225/BJ225-1</f>
        <v>0.39322916666666674</v>
      </c>
      <c r="BP226" s="29">
        <f>BP225/BK225-1</f>
        <v>0.10734325445230541</v>
      </c>
      <c r="BQ226" s="31">
        <f t="shared" ref="BQ226:BU226" si="561">BQ225/BL225-1</f>
        <v>-5.0594172543629856E-2</v>
      </c>
      <c r="BR226" s="30">
        <f t="shared" si="561"/>
        <v>0.11456814496137313</v>
      </c>
      <c r="BS226" s="30">
        <f t="shared" si="561"/>
        <v>0.14106930778065618</v>
      </c>
      <c r="BT226" s="1106">
        <f t="shared" si="561"/>
        <v>0.33949816992523374</v>
      </c>
      <c r="BU226" s="29">
        <f t="shared" si="561"/>
        <v>0.13265306617647044</v>
      </c>
      <c r="BV226" s="31"/>
      <c r="BW226" s="30"/>
      <c r="BX226" s="30"/>
      <c r="BY226" s="30"/>
      <c r="BZ226" s="29">
        <f>BZ225/BU225-1</f>
        <v>0.12005261289015556</v>
      </c>
      <c r="CA226" s="31"/>
      <c r="CB226" s="30"/>
      <c r="CC226" s="30"/>
      <c r="CD226" s="30"/>
      <c r="CE226" s="29">
        <f>CE225/BZ225-1</f>
        <v>5.7380470460658195E-2</v>
      </c>
      <c r="CF226" s="31"/>
      <c r="CG226" s="30"/>
      <c r="CH226" s="30"/>
      <c r="CI226" s="30"/>
      <c r="CJ226" s="29">
        <f>CJ225/CE225-1</f>
        <v>5.6400575185450164E-2</v>
      </c>
      <c r="CK226" s="39"/>
      <c r="CL226" s="7"/>
      <c r="CM226" s="733"/>
      <c r="CN226" s="734"/>
      <c r="CO226" s="734"/>
      <c r="CP226" s="734"/>
      <c r="CQ226" s="734"/>
      <c r="CR226" s="734"/>
      <c r="CS226" s="734"/>
      <c r="CT226" s="734"/>
      <c r="CU226" s="734"/>
      <c r="CV226" s="734"/>
      <c r="CW226" s="75"/>
      <c r="CX226" s="38"/>
      <c r="CY226" s="38"/>
      <c r="CZ226"/>
      <c r="DA226"/>
      <c r="DB226"/>
      <c r="DC226"/>
      <c r="DD226"/>
    </row>
    <row r="227" spans="1:108">
      <c r="A227" s="151" t="s">
        <v>161</v>
      </c>
      <c r="B227" s="66">
        <f t="shared" ref="B227:AG227" si="562">B225/B128</f>
        <v>0.14858210222448634</v>
      </c>
      <c r="C227" s="66">
        <f t="shared" si="562"/>
        <v>0.13252202478721817</v>
      </c>
      <c r="D227" s="66">
        <f t="shared" si="562"/>
        <v>0.1064357971823993</v>
      </c>
      <c r="E227" s="66">
        <f t="shared" si="562"/>
        <v>0.11856680977367891</v>
      </c>
      <c r="F227" s="66">
        <f t="shared" si="562"/>
        <v>0.11947556615017878</v>
      </c>
      <c r="G227" s="66">
        <f t="shared" si="562"/>
        <v>0.1250467522752774</v>
      </c>
      <c r="H227" s="70">
        <f t="shared" si="562"/>
        <v>0.12412698412698413</v>
      </c>
      <c r="I227" s="70">
        <f t="shared" si="562"/>
        <v>0.13139129115460477</v>
      </c>
      <c r="J227" s="70">
        <f t="shared" si="562"/>
        <v>0.13257243195785778</v>
      </c>
      <c r="K227" s="67">
        <f t="shared" si="562"/>
        <v>0.1306719893546241</v>
      </c>
      <c r="L227" s="66">
        <f t="shared" si="562"/>
        <v>0.12980910425844347</v>
      </c>
      <c r="M227" s="70">
        <f t="shared" si="562"/>
        <v>0.13747323340471093</v>
      </c>
      <c r="N227" s="70">
        <f t="shared" si="562"/>
        <v>0.14131178967547584</v>
      </c>
      <c r="O227" s="70">
        <f t="shared" si="562"/>
        <v>0.14649859943977592</v>
      </c>
      <c r="P227" s="67">
        <f t="shared" si="562"/>
        <v>0.13487009679062659</v>
      </c>
      <c r="Q227" s="66">
        <f t="shared" si="562"/>
        <v>0.13993174061433447</v>
      </c>
      <c r="R227" s="70">
        <f t="shared" si="562"/>
        <v>0.12633107454017425</v>
      </c>
      <c r="S227" s="70">
        <f t="shared" si="562"/>
        <v>0.13395061728395061</v>
      </c>
      <c r="T227" s="70">
        <f t="shared" si="562"/>
        <v>0.13123461588288637</v>
      </c>
      <c r="U227" s="67">
        <f t="shared" si="562"/>
        <v>0.13864269435300075</v>
      </c>
      <c r="V227" s="66">
        <f t="shared" si="562"/>
        <v>0.13248491291704451</v>
      </c>
      <c r="W227" s="70">
        <f t="shared" si="562"/>
        <v>0.13690322580645162</v>
      </c>
      <c r="X227" s="70">
        <f t="shared" si="562"/>
        <v>0.13882033563672261</v>
      </c>
      <c r="Y227" s="70">
        <f t="shared" si="562"/>
        <v>0.13818499563100736</v>
      </c>
      <c r="Z227" s="67">
        <f t="shared" si="562"/>
        <v>0.14196023718172304</v>
      </c>
      <c r="AA227" s="66">
        <f t="shared" si="562"/>
        <v>0.13903776258239389</v>
      </c>
      <c r="AB227" s="70">
        <f t="shared" si="562"/>
        <v>0.13747114644780714</v>
      </c>
      <c r="AC227" s="70">
        <f t="shared" si="562"/>
        <v>0.13885010788171087</v>
      </c>
      <c r="AD227" s="70">
        <f t="shared" si="562"/>
        <v>0.1458041512797657</v>
      </c>
      <c r="AE227" s="67">
        <f t="shared" si="562"/>
        <v>0.1331584125942932</v>
      </c>
      <c r="AF227" s="66">
        <f t="shared" si="562"/>
        <v>0.13859901459742327</v>
      </c>
      <c r="AG227" s="70">
        <f t="shared" si="562"/>
        <v>0.13379073756432247</v>
      </c>
      <c r="AH227" s="70">
        <f t="shared" ref="AH227:BG227" si="563">AH225/AH128</f>
        <v>0.14137843978793235</v>
      </c>
      <c r="AI227" s="70">
        <f t="shared" si="563"/>
        <v>0.13347617847239729</v>
      </c>
      <c r="AJ227" s="67">
        <f t="shared" si="563"/>
        <v>0.12354543203763307</v>
      </c>
      <c r="AK227" s="66">
        <f t="shared" si="563"/>
        <v>0.13299273315774443</v>
      </c>
      <c r="AL227" s="70">
        <f t="shared" si="563"/>
        <v>0.13357644516477579</v>
      </c>
      <c r="AM227" s="70">
        <f t="shared" si="563"/>
        <v>0.13879408418657566</v>
      </c>
      <c r="AN227" s="70">
        <f t="shared" si="563"/>
        <v>0.14007183170856849</v>
      </c>
      <c r="AO227" s="67">
        <f t="shared" si="563"/>
        <v>0.13633456963806112</v>
      </c>
      <c r="AP227" s="66">
        <f t="shared" si="563"/>
        <v>0.13724539282250242</v>
      </c>
      <c r="AQ227" s="70">
        <f t="shared" si="563"/>
        <v>0.13694702348443474</v>
      </c>
      <c r="AR227" s="70">
        <f t="shared" si="563"/>
        <v>0.14302916778164304</v>
      </c>
      <c r="AS227" s="70">
        <f t="shared" si="563"/>
        <v>0.14488453102825441</v>
      </c>
      <c r="AT227" s="67">
        <f t="shared" si="563"/>
        <v>0.14296037576779477</v>
      </c>
      <c r="AU227" s="66">
        <f t="shared" si="563"/>
        <v>0.14213016984312199</v>
      </c>
      <c r="AV227" s="70">
        <f t="shared" si="563"/>
        <v>0.14786742034943473</v>
      </c>
      <c r="AW227" s="70">
        <f t="shared" si="563"/>
        <v>0.15224562293834051</v>
      </c>
      <c r="AX227" s="70">
        <f t="shared" si="563"/>
        <v>0.14398298724043032</v>
      </c>
      <c r="AY227" s="67">
        <f t="shared" si="563"/>
        <v>0.14829043411448328</v>
      </c>
      <c r="AZ227" s="66">
        <f t="shared" si="563"/>
        <v>0.14808223966443165</v>
      </c>
      <c r="BA227" s="66">
        <f t="shared" si="563"/>
        <v>0.15030993360813064</v>
      </c>
      <c r="BB227" s="70">
        <f t="shared" si="563"/>
        <v>0.15147591921284309</v>
      </c>
      <c r="BC227" s="70">
        <f t="shared" si="563"/>
        <v>0.15459882583170254</v>
      </c>
      <c r="BD227" s="70">
        <f t="shared" si="563"/>
        <v>0.15250291036088476</v>
      </c>
      <c r="BE227" s="67">
        <f t="shared" si="563"/>
        <v>0.14927729867605977</v>
      </c>
      <c r="BF227" s="66">
        <f t="shared" si="563"/>
        <v>0.15191528721334482</v>
      </c>
      <c r="BG227" s="70">
        <f t="shared" si="563"/>
        <v>0.13911182450508294</v>
      </c>
      <c r="BH227" s="70">
        <f t="shared" ref="BH227:BJ227" si="564">BH225/BH128</f>
        <v>0.14689992281965525</v>
      </c>
      <c r="BI227" s="70">
        <f t="shared" si="564"/>
        <v>0.13290559120073328</v>
      </c>
      <c r="BJ227" s="67">
        <f t="shared" si="564"/>
        <v>0.10007818608287725</v>
      </c>
      <c r="BK227" s="66">
        <f t="shared" ref="BK227:BN227" si="565">BK225/BK128</f>
        <v>0.13412519223847388</v>
      </c>
      <c r="BL227" s="70">
        <f t="shared" si="565"/>
        <v>0.15401155758634591</v>
      </c>
      <c r="BM227" s="70">
        <f t="shared" si="565"/>
        <v>0.15179153094462541</v>
      </c>
      <c r="BN227" s="70">
        <f t="shared" si="565"/>
        <v>0.15277044854881267</v>
      </c>
      <c r="BO227" s="70">
        <f t="shared" ref="BO227:BP227" si="566">BO225/BO128</f>
        <v>0.1292738915065845</v>
      </c>
      <c r="BP227" s="66">
        <f t="shared" si="566"/>
        <v>0.14654699254189132</v>
      </c>
      <c r="BQ227" s="72">
        <f t="shared" ref="BQ227:BT227" si="567">BQ225/BQ128</f>
        <v>0.14150762084924765</v>
      </c>
      <c r="BR227" s="67">
        <f t="shared" si="567"/>
        <v>0.14093348673268186</v>
      </c>
      <c r="BS227" s="67">
        <f t="shared" si="567"/>
        <v>0.14436188172490982</v>
      </c>
      <c r="BT227" s="1132">
        <f t="shared" si="567"/>
        <v>0.14300654155508283</v>
      </c>
      <c r="BU227" s="66">
        <f>BU225/BU128</f>
        <v>0.14250154368335025</v>
      </c>
      <c r="BV227" s="72"/>
      <c r="BW227" s="67"/>
      <c r="BX227" s="67"/>
      <c r="BY227" s="67"/>
      <c r="BZ227" s="66">
        <f>BZ225/BZ128</f>
        <v>0.1458720644633747</v>
      </c>
      <c r="CA227" s="72"/>
      <c r="CB227" s="67"/>
      <c r="CC227" s="67"/>
      <c r="CD227" s="67"/>
      <c r="CE227" s="66">
        <f>CE225/CE128</f>
        <v>0.14538574752789793</v>
      </c>
      <c r="CF227" s="72"/>
      <c r="CG227" s="67"/>
      <c r="CH227" s="67"/>
      <c r="CI227" s="67"/>
      <c r="CJ227" s="66">
        <f>CJ225/CJ128</f>
        <v>0.14475786421884576</v>
      </c>
      <c r="CK227" s="32"/>
      <c r="CL227" s="14"/>
      <c r="CM227" s="661"/>
      <c r="CN227" s="661"/>
      <c r="CO227" s="661"/>
      <c r="CP227" s="661"/>
      <c r="CQ227" s="661"/>
      <c r="CR227" s="661"/>
      <c r="CS227" s="661"/>
      <c r="CT227" s="661"/>
      <c r="CU227" s="661"/>
      <c r="CV227" s="661"/>
      <c r="CW227" s="74"/>
      <c r="CX227" s="33"/>
      <c r="CY227" s="33"/>
    </row>
    <row r="228" spans="1:108" s="40" customFormat="1">
      <c r="A228" s="270" t="s">
        <v>24</v>
      </c>
      <c r="B228" s="29"/>
      <c r="C228" s="199">
        <f>(C227-B227)*100</f>
        <v>-1.6060077437268172</v>
      </c>
      <c r="D228" s="199">
        <f>(D227-C227)*100</f>
        <v>-2.6086227604818863</v>
      </c>
      <c r="E228" s="199">
        <f>(E227-D227)*100</f>
        <v>1.2131012591279604</v>
      </c>
      <c r="F228" s="199">
        <f>(F227-E227)*100</f>
        <v>9.0875637649986962E-2</v>
      </c>
      <c r="G228" s="199">
        <f>(G227-F227)*100</f>
        <v>0.55711861250986172</v>
      </c>
      <c r="H228" s="194"/>
      <c r="I228" s="194"/>
      <c r="J228" s="194"/>
      <c r="K228" s="194"/>
      <c r="L228" s="199">
        <f t="shared" ref="L228:AS228" si="568">(L227-G227)*100</f>
        <v>0.47623519831660743</v>
      </c>
      <c r="M228" s="200">
        <f t="shared" si="568"/>
        <v>1.3346249277726805</v>
      </c>
      <c r="N228" s="200">
        <f t="shared" si="568"/>
        <v>0.99204985208710683</v>
      </c>
      <c r="O228" s="200">
        <f t="shared" si="568"/>
        <v>1.3926167481918132</v>
      </c>
      <c r="P228" s="200">
        <f t="shared" si="568"/>
        <v>0.41981074360024906</v>
      </c>
      <c r="Q228" s="199">
        <f t="shared" si="568"/>
        <v>1.0122636355891002</v>
      </c>
      <c r="R228" s="200">
        <f t="shared" si="568"/>
        <v>-1.1142158864536678</v>
      </c>
      <c r="S228" s="200">
        <f t="shared" si="568"/>
        <v>-0.73611723915252281</v>
      </c>
      <c r="T228" s="200">
        <f t="shared" si="568"/>
        <v>-1.5263983556889542</v>
      </c>
      <c r="U228" s="200">
        <f t="shared" si="568"/>
        <v>0.37725975623741637</v>
      </c>
      <c r="V228" s="199">
        <f t="shared" si="568"/>
        <v>-0.7446827697289965</v>
      </c>
      <c r="W228" s="200">
        <f t="shared" si="568"/>
        <v>1.0572151266277363</v>
      </c>
      <c r="X228" s="200">
        <f t="shared" si="568"/>
        <v>0.48697183527720012</v>
      </c>
      <c r="Y228" s="200">
        <f t="shared" si="568"/>
        <v>0.69503797481209884</v>
      </c>
      <c r="Z228" s="200">
        <f t="shared" si="568"/>
        <v>0.33175428287222919</v>
      </c>
      <c r="AA228" s="199">
        <f t="shared" si="568"/>
        <v>0.65528496653493862</v>
      </c>
      <c r="AB228" s="200">
        <f t="shared" si="568"/>
        <v>5.6792064135552378E-2</v>
      </c>
      <c r="AC228" s="200">
        <f t="shared" si="568"/>
        <v>2.9772244988263141E-3</v>
      </c>
      <c r="AD228" s="200">
        <f t="shared" si="568"/>
        <v>0.76191556487583412</v>
      </c>
      <c r="AE228" s="200">
        <f t="shared" si="568"/>
        <v>-0.88018245874298406</v>
      </c>
      <c r="AF228" s="199">
        <f t="shared" si="568"/>
        <v>-4.3874798497062217E-2</v>
      </c>
      <c r="AG228" s="200">
        <f t="shared" si="568"/>
        <v>-0.36804088834846704</v>
      </c>
      <c r="AH228" s="200">
        <f t="shared" si="568"/>
        <v>0.25283319062214815</v>
      </c>
      <c r="AI228" s="200">
        <f t="shared" si="568"/>
        <v>-1.2327972807368415</v>
      </c>
      <c r="AJ228" s="200">
        <f t="shared" si="568"/>
        <v>-0.96129805566601279</v>
      </c>
      <c r="AK228" s="199">
        <f>(AK227-AF227)*100</f>
        <v>-0.56062814396788396</v>
      </c>
      <c r="AL228" s="200">
        <f t="shared" si="568"/>
        <v>-2.1429239954667834E-2</v>
      </c>
      <c r="AM228" s="200">
        <f t="shared" si="568"/>
        <v>-0.25843556013566971</v>
      </c>
      <c r="AN228" s="200">
        <f t="shared" si="568"/>
        <v>0.65956532361712006</v>
      </c>
      <c r="AO228" s="200">
        <f t="shared" si="568"/>
        <v>1.2789137600428047</v>
      </c>
      <c r="AP228" s="199">
        <f t="shared" si="568"/>
        <v>0.42526596647579906</v>
      </c>
      <c r="AQ228" s="200">
        <f>(AQ227-AL227)*100</f>
        <v>0.33705783196589512</v>
      </c>
      <c r="AR228" s="200">
        <f t="shared" si="568"/>
        <v>0.42350835950673849</v>
      </c>
      <c r="AS228" s="200">
        <f t="shared" si="568"/>
        <v>0.48126993196859202</v>
      </c>
      <c r="AT228" s="200">
        <f t="shared" ref="AT228:AZ228" si="569">(AT227-AO227)*100</f>
        <v>0.66258061297336523</v>
      </c>
      <c r="AU228" s="199">
        <f t="shared" si="569"/>
        <v>0.48847770206195684</v>
      </c>
      <c r="AV228" s="200">
        <f t="shared" si="569"/>
        <v>1.0920396864999988</v>
      </c>
      <c r="AW228" s="200">
        <f t="shared" si="569"/>
        <v>0.92164551566974728</v>
      </c>
      <c r="AX228" s="200">
        <f t="shared" si="569"/>
        <v>-9.0154378782408839E-2</v>
      </c>
      <c r="AY228" s="200">
        <f t="shared" si="569"/>
        <v>0.53300583466885099</v>
      </c>
      <c r="AZ228" s="199">
        <f t="shared" si="569"/>
        <v>0.59520698213096634</v>
      </c>
      <c r="BA228" s="199"/>
      <c r="BB228" s="200">
        <f>(BB227-AV227)*100</f>
        <v>0.36084988634083603</v>
      </c>
      <c r="BC228" s="200">
        <f>(BC227-AW227)*100</f>
        <v>0.23532028933620219</v>
      </c>
      <c r="BD228" s="200">
        <f>(BD227-AX227)*100</f>
        <v>0.85199231204544368</v>
      </c>
      <c r="BE228" s="200">
        <f>(BE227-AY227)*100</f>
        <v>9.8686456157648372E-2</v>
      </c>
      <c r="BF228" s="199">
        <f>(BF227-AZ227)*100</f>
        <v>0.3833047548913171</v>
      </c>
      <c r="BG228" s="200"/>
      <c r="BH228" s="200"/>
      <c r="BI228" s="200"/>
      <c r="BJ228" s="200"/>
      <c r="BK228" s="199">
        <f>(BK227-BA227)*100</f>
        <v>-1.6184741369656752</v>
      </c>
      <c r="BL228" s="200">
        <f>IFERROR((BL227-BG227)*100,"")</f>
        <v>1.4899733081262967</v>
      </c>
      <c r="BM228" s="200">
        <f>IF(BH227=0,"",(BM227-BH227)*100)</f>
        <v>0.48916081249701648</v>
      </c>
      <c r="BN228" s="200">
        <f>(BN227-BI227)*100</f>
        <v>1.9864857348079386</v>
      </c>
      <c r="BO228" s="200">
        <f>(BO227-BJ227)*100</f>
        <v>2.9195705423707254</v>
      </c>
      <c r="BP228" s="199">
        <f>(BP227-BK227)*100</f>
        <v>1.2421800303417441</v>
      </c>
      <c r="BQ228" s="200">
        <f>IFERROR((BQ227-BL227)*100,"")</f>
        <v>-1.2503936737098265</v>
      </c>
      <c r="BR228" s="200">
        <f>IF(BM227=0,"",(BR227-BM227)*100)</f>
        <v>-1.0858044211943558</v>
      </c>
      <c r="BS228" s="200">
        <f>(BS227-BN227)*100</f>
        <v>-0.8408566823902841</v>
      </c>
      <c r="BT228" s="200">
        <f>(BT227-BO227)*100</f>
        <v>1.3732650048498329</v>
      </c>
      <c r="BU228" s="199">
        <f>(BU227-BP227)*100</f>
        <v>-0.40454488585410786</v>
      </c>
      <c r="BV228" s="195"/>
      <c r="BW228" s="194"/>
      <c r="BX228" s="194"/>
      <c r="BY228" s="194"/>
      <c r="BZ228" s="199">
        <f>(BZ227-BU227)*100</f>
        <v>0.33705207800244497</v>
      </c>
      <c r="CA228" s="195"/>
      <c r="CB228" s="194"/>
      <c r="CC228" s="194"/>
      <c r="CD228" s="194"/>
      <c r="CE228" s="199">
        <f>(CE227-BZ227)*100</f>
        <v>-4.8631693547676602E-2</v>
      </c>
      <c r="CF228" s="195"/>
      <c r="CG228" s="194"/>
      <c r="CH228" s="194"/>
      <c r="CI228" s="194"/>
      <c r="CJ228" s="199">
        <f>(CJ227-CE227)*100</f>
        <v>-6.2788330905216849E-2</v>
      </c>
      <c r="CK228" s="39"/>
      <c r="CL228" s="7"/>
      <c r="CM228" s="733"/>
      <c r="CN228" s="734"/>
      <c r="CO228" s="734"/>
      <c r="CP228" s="734"/>
      <c r="CQ228" s="734"/>
      <c r="CR228" s="734"/>
      <c r="CS228" s="734"/>
      <c r="CT228" s="734"/>
      <c r="CU228" s="734"/>
      <c r="CV228" s="734"/>
      <c r="CW228" s="75"/>
      <c r="CX228" s="38"/>
      <c r="CY228" s="38"/>
      <c r="CZ228"/>
      <c r="DA228"/>
      <c r="DB228"/>
      <c r="DC228"/>
      <c r="DD228"/>
    </row>
    <row r="229" spans="1:108" s="278" customFormat="1" ht="12.75" customHeight="1">
      <c r="A229" s="271" t="s">
        <v>46</v>
      </c>
      <c r="B229" s="272"/>
      <c r="C229" s="272"/>
      <c r="D229" s="272"/>
      <c r="E229" s="272"/>
      <c r="F229" s="272"/>
      <c r="G229" s="272"/>
      <c r="H229" s="268"/>
      <c r="I229" s="273"/>
      <c r="J229" s="273"/>
      <c r="K229" s="273"/>
      <c r="L229" s="272"/>
      <c r="M229" s="637"/>
      <c r="N229" s="273"/>
      <c r="O229" s="273"/>
      <c r="P229" s="273"/>
      <c r="Q229" s="272"/>
      <c r="R229" s="637"/>
      <c r="S229" s="273"/>
      <c r="T229" s="273"/>
      <c r="U229" s="273"/>
      <c r="V229" s="272"/>
      <c r="W229" s="637"/>
      <c r="X229" s="273"/>
      <c r="Y229" s="273"/>
      <c r="Z229" s="273"/>
      <c r="AA229" s="272"/>
      <c r="AB229" s="269"/>
      <c r="AC229" s="273"/>
      <c r="AD229" s="273"/>
      <c r="AE229" s="274"/>
      <c r="AF229" s="272"/>
      <c r="AG229" s="269"/>
      <c r="AH229" s="273"/>
      <c r="AI229" s="273"/>
      <c r="AJ229" s="274"/>
      <c r="AK229" s="272"/>
      <c r="AL229" s="275"/>
      <c r="AM229" s="274"/>
      <c r="AN229" s="274"/>
      <c r="AO229" s="274"/>
      <c r="AP229" s="272"/>
      <c r="AQ229" s="275"/>
      <c r="AR229" s="274"/>
      <c r="AS229" s="274"/>
      <c r="AT229" s="274"/>
      <c r="AU229" s="272"/>
      <c r="AV229" s="275"/>
      <c r="AW229" s="274"/>
      <c r="AX229" s="274"/>
      <c r="AY229" s="274"/>
      <c r="AZ229" s="272"/>
      <c r="BA229" s="272"/>
      <c r="BB229" s="275"/>
      <c r="BC229" s="277"/>
      <c r="BD229" s="277"/>
      <c r="BE229" s="277"/>
      <c r="BF229" s="276"/>
      <c r="BG229" s="275"/>
      <c r="BH229" s="277"/>
      <c r="BI229" s="277"/>
      <c r="BJ229" s="277"/>
      <c r="BK229" s="272"/>
      <c r="BL229" s="275"/>
      <c r="BM229" s="277"/>
      <c r="BN229" s="277"/>
      <c r="BO229" s="277"/>
      <c r="BP229" s="276"/>
      <c r="BQ229" s="275"/>
      <c r="BR229" s="277"/>
      <c r="BS229" s="277"/>
      <c r="BT229" s="1133"/>
      <c r="BU229" s="276"/>
      <c r="BV229" s="275"/>
      <c r="BW229" s="277"/>
      <c r="BX229" s="277"/>
      <c r="BY229" s="277"/>
      <c r="BZ229" s="276"/>
      <c r="CA229" s="275"/>
      <c r="CB229" s="277"/>
      <c r="CC229" s="277"/>
      <c r="CD229" s="277"/>
      <c r="CE229" s="276"/>
      <c r="CF229" s="275"/>
      <c r="CG229" s="277"/>
      <c r="CH229" s="277"/>
      <c r="CI229" s="277"/>
      <c r="CJ229" s="276"/>
      <c r="CK229" s="39"/>
      <c r="CL229" s="7"/>
      <c r="CM229" s="733"/>
      <c r="CN229" s="734"/>
      <c r="CO229" s="734"/>
      <c r="CP229" s="734"/>
      <c r="CQ229" s="734"/>
      <c r="CR229" s="734"/>
      <c r="CS229" s="734"/>
      <c r="CT229" s="734"/>
      <c r="CU229" s="734"/>
      <c r="CV229" s="734"/>
      <c r="CW229" s="75"/>
      <c r="CX229" s="38"/>
      <c r="CY229" s="38"/>
      <c r="CZ229"/>
      <c r="DA229"/>
      <c r="DB229"/>
      <c r="DC229"/>
      <c r="DD229"/>
    </row>
    <row r="230" spans="1:108" s="284" customFormat="1">
      <c r="A230" s="279" t="s">
        <v>121</v>
      </c>
      <c r="B230" s="280">
        <v>-56</v>
      </c>
      <c r="C230" s="280">
        <v>-45</v>
      </c>
      <c r="D230" s="280">
        <v>-98</v>
      </c>
      <c r="E230" s="280">
        <v>-148</v>
      </c>
      <c r="F230" s="280">
        <v>-118</v>
      </c>
      <c r="G230" s="280">
        <v>-101</v>
      </c>
      <c r="H230" s="281">
        <v>-26</v>
      </c>
      <c r="I230" s="282">
        <v>-21</v>
      </c>
      <c r="J230" s="281">
        <v>-12</v>
      </c>
      <c r="K230" s="282">
        <v>-11</v>
      </c>
      <c r="L230" s="280">
        <f>SUM(H230:K230)</f>
        <v>-70</v>
      </c>
      <c r="M230" s="282">
        <v>-19</v>
      </c>
      <c r="N230" s="282">
        <v>-12</v>
      </c>
      <c r="O230" s="282">
        <v>-11</v>
      </c>
      <c r="P230" s="282">
        <v>-24</v>
      </c>
      <c r="Q230" s="280">
        <f>SUM(M230:P230)</f>
        <v>-66</v>
      </c>
      <c r="R230" s="282">
        <v>-39</v>
      </c>
      <c r="S230" s="282">
        <v>-38</v>
      </c>
      <c r="T230" s="282">
        <v>-40</v>
      </c>
      <c r="U230" s="282">
        <v>-43</v>
      </c>
      <c r="V230" s="283">
        <f>SUM(R230:U230)</f>
        <v>-160</v>
      </c>
      <c r="W230" s="282">
        <v>-44</v>
      </c>
      <c r="X230" s="282">
        <v>-42</v>
      </c>
      <c r="Y230" s="282">
        <v>-38</v>
      </c>
      <c r="Z230" s="282">
        <v>-33</v>
      </c>
      <c r="AA230" s="283">
        <f>SUM(W230:Z230)</f>
        <v>-157</v>
      </c>
      <c r="AB230" s="282">
        <v>-34</v>
      </c>
      <c r="AC230" s="282">
        <v>-31</v>
      </c>
      <c r="AD230" s="282">
        <v>-38</v>
      </c>
      <c r="AE230" s="282">
        <v>-38</v>
      </c>
      <c r="AF230" s="283">
        <f>SUM(AB230:AE230)</f>
        <v>-141</v>
      </c>
      <c r="AG230" s="423">
        <v>-39</v>
      </c>
      <c r="AH230" s="423">
        <v>-37</v>
      </c>
      <c r="AI230" s="423">
        <v>-39</v>
      </c>
      <c r="AJ230" s="423">
        <v>-41</v>
      </c>
      <c r="AK230" s="424">
        <f>SUM(AG230:AJ230)</f>
        <v>-156</v>
      </c>
      <c r="AL230" s="282">
        <v>-23</v>
      </c>
      <c r="AM230" s="282">
        <v>-18</v>
      </c>
      <c r="AN230" s="282">
        <v>-22</v>
      </c>
      <c r="AO230" s="282">
        <v>-23</v>
      </c>
      <c r="AP230" s="283">
        <f>SUM(AL230:AO230)</f>
        <v>-86</v>
      </c>
      <c r="AQ230" s="282">
        <v>-22</v>
      </c>
      <c r="AR230" s="282">
        <v>-24</v>
      </c>
      <c r="AS230" s="282">
        <v>-22</v>
      </c>
      <c r="AT230" s="282">
        <v>-18</v>
      </c>
      <c r="AU230" s="283">
        <f>SUM(AQ230:AT230)</f>
        <v>-86</v>
      </c>
      <c r="AV230" s="282">
        <v>-21</v>
      </c>
      <c r="AW230" s="282">
        <v>-20</v>
      </c>
      <c r="AX230" s="282">
        <v>-23</v>
      </c>
      <c r="AY230" s="282">
        <v>-19</v>
      </c>
      <c r="AZ230" s="283">
        <f>SUM(AV230:AY230)</f>
        <v>-83</v>
      </c>
      <c r="BA230" s="283">
        <f>+AZ230</f>
        <v>-83</v>
      </c>
      <c r="BB230" s="798">
        <v>-22</v>
      </c>
      <c r="BC230" s="800">
        <v>-23</v>
      </c>
      <c r="BD230" s="800">
        <v>-23</v>
      </c>
      <c r="BE230" s="800">
        <v>-23</v>
      </c>
      <c r="BF230" s="283">
        <f>SUM(BB230:BE230)</f>
        <v>-91</v>
      </c>
      <c r="BG230" s="798">
        <v>-22</v>
      </c>
      <c r="BH230" s="800">
        <v>-23</v>
      </c>
      <c r="BI230" s="800">
        <v>-23</v>
      </c>
      <c r="BJ230" s="800">
        <v>-23</v>
      </c>
      <c r="BK230" s="283">
        <f>SUM(BG230:BJ230)</f>
        <v>-91</v>
      </c>
      <c r="BL230" s="798">
        <v>-25</v>
      </c>
      <c r="BM230" s="800">
        <v>-24</v>
      </c>
      <c r="BN230" s="800">
        <v>-27</v>
      </c>
      <c r="BO230" s="800">
        <v>-27</v>
      </c>
      <c r="BP230" s="283">
        <f>SUM(BL230:BO230)</f>
        <v>-103</v>
      </c>
      <c r="BQ230" s="798">
        <f>BU230/4</f>
        <v>-50.5</v>
      </c>
      <c r="BR230" s="800">
        <f>(BU230-BQ230)/3</f>
        <v>-50.5</v>
      </c>
      <c r="BS230" s="800">
        <f>(BU230-BR230-BQ230)/2</f>
        <v>-50.5</v>
      </c>
      <c r="BT230" s="1306">
        <f>BU230-BS230-BR230-BQ230</f>
        <v>-50.5</v>
      </c>
      <c r="BU230" s="1305">
        <v>-202</v>
      </c>
      <c r="BV230" s="372"/>
      <c r="BW230" s="370"/>
      <c r="BX230" s="370"/>
      <c r="BY230" s="370"/>
      <c r="BZ230" s="371">
        <v>-268</v>
      </c>
      <c r="CA230" s="372"/>
      <c r="CB230" s="370"/>
      <c r="CC230" s="370"/>
      <c r="CD230" s="370"/>
      <c r="CE230" s="371">
        <v>-202</v>
      </c>
      <c r="CF230" s="372"/>
      <c r="CG230" s="370"/>
      <c r="CH230" s="370"/>
      <c r="CI230" s="370"/>
      <c r="CJ230" s="371">
        <v>-157</v>
      </c>
      <c r="CK230" s="39"/>
      <c r="CL230" s="7"/>
      <c r="CM230" s="661" t="s">
        <v>397</v>
      </c>
      <c r="CN230" s="734"/>
      <c r="CO230" s="734"/>
      <c r="CP230" s="734"/>
      <c r="CQ230" s="734"/>
      <c r="CR230" s="734" t="s">
        <v>406</v>
      </c>
      <c r="CS230" s="734"/>
      <c r="CT230" s="734"/>
      <c r="CU230" s="734"/>
      <c r="CV230" s="734"/>
      <c r="CW230" s="75"/>
      <c r="CX230" s="38"/>
      <c r="CY230" s="38"/>
      <c r="CZ230"/>
      <c r="DA230"/>
      <c r="DB230"/>
      <c r="DC230"/>
      <c r="DD230"/>
    </row>
    <row r="231" spans="1:108">
      <c r="A231" s="153" t="s">
        <v>47</v>
      </c>
      <c r="B231" s="42"/>
      <c r="C231" s="42"/>
      <c r="D231" s="42"/>
      <c r="E231" s="42"/>
      <c r="F231" s="42"/>
      <c r="G231" s="42"/>
      <c r="H231" s="68"/>
      <c r="I231" s="61"/>
      <c r="J231" s="68"/>
      <c r="K231" s="44"/>
      <c r="L231" s="42"/>
      <c r="M231" s="61"/>
      <c r="N231" s="61"/>
      <c r="O231" s="61"/>
      <c r="P231" s="44"/>
      <c r="Q231" s="42"/>
      <c r="R231" s="61"/>
      <c r="S231" s="61"/>
      <c r="T231" s="61"/>
      <c r="U231" s="44"/>
      <c r="V231" s="45"/>
      <c r="W231" s="61"/>
      <c r="X231" s="61"/>
      <c r="Y231" s="61"/>
      <c r="Z231" s="44"/>
      <c r="AA231" s="45"/>
      <c r="AB231" s="61"/>
      <c r="AC231" s="61"/>
      <c r="AD231" s="61"/>
      <c r="AE231" s="43"/>
      <c r="AF231" s="71">
        <f>(AF315+AA315+AF323+AA323)/2</f>
        <v>3566.5</v>
      </c>
      <c r="AG231" s="61"/>
      <c r="AH231" s="61"/>
      <c r="AI231" s="61"/>
      <c r="AJ231" s="44"/>
      <c r="AK231" s="71">
        <f>(AK315+AF315+AK323+AF323)/2</f>
        <v>3919</v>
      </c>
      <c r="AL231" s="81">
        <f>(AL315+AK315+AL323+AK323)/2</f>
        <v>3908.5</v>
      </c>
      <c r="AM231" s="81">
        <f>(AM315+AL315+AM323+AL323)/2</f>
        <v>3908</v>
      </c>
      <c r="AN231" s="81">
        <f>(AN315+AM315+AN323+AM323)/2</f>
        <v>3907.5</v>
      </c>
      <c r="AO231" s="81">
        <f>(AO315+AN315+AO323+AN323)/2</f>
        <v>3908</v>
      </c>
      <c r="AP231" s="71">
        <f>(AP315+AK315+AP323+AK323)/2</f>
        <v>3908</v>
      </c>
      <c r="AQ231" s="81">
        <f>(AQ315+AP315+AQ323+AP323)/2</f>
        <v>4159</v>
      </c>
      <c r="AR231" s="81">
        <f>(AR315+AQ315+AR323+AQ323)/2</f>
        <v>4160</v>
      </c>
      <c r="AS231" s="81">
        <f>(AS315+AR315+AS323+AR323)/2</f>
        <v>3910.5</v>
      </c>
      <c r="AT231" s="81">
        <f>(AT315+AS315+AT323+AS323)/2</f>
        <v>3911</v>
      </c>
      <c r="AU231" s="71">
        <f>(AU315+AP315+AU323+AP323)/2</f>
        <v>3909.5</v>
      </c>
      <c r="AV231" s="81">
        <f>(AV315+AU315+AV323+AU323)/2</f>
        <v>3661</v>
      </c>
      <c r="AW231" s="81">
        <f>(AW315+AV315+AW323+AV323)/2</f>
        <v>3412</v>
      </c>
      <c r="AX231" s="81">
        <f>(AX315+AW315+AX323+AW323)/2</f>
        <v>3413</v>
      </c>
      <c r="AY231" s="81">
        <f>(AY315+AX315+AY323+AX323)/2</f>
        <v>3406</v>
      </c>
      <c r="AZ231" s="71">
        <f>(AZ315+AU315+AZ323+AU323)/2</f>
        <v>3655</v>
      </c>
      <c r="BA231" s="71">
        <f>(BA315+AV315+BA323+AV323)/2</f>
        <v>3405</v>
      </c>
      <c r="BB231" s="81">
        <f>(BB315+AZ315+BB323+AZ323)/2</f>
        <v>3399.5</v>
      </c>
      <c r="BC231" s="81">
        <f>(BC315+BB315+BC323+BB323)/2</f>
        <v>3418</v>
      </c>
      <c r="BD231" s="81">
        <f>(BD315+BC315+BD323+BC323)/2</f>
        <v>3661</v>
      </c>
      <c r="BE231" s="81">
        <f>(BE315+BD315+BE323+BD323)/2</f>
        <v>3887</v>
      </c>
      <c r="BF231" s="71">
        <f>(BF315+AZ315+BF323+AZ323)/2</f>
        <v>3643.5</v>
      </c>
      <c r="BG231" s="81">
        <f>(BG315+BE315+BG323+BE323)/2</f>
        <v>1944</v>
      </c>
      <c r="BH231" s="81"/>
      <c r="BI231" s="81"/>
      <c r="BJ231" s="81"/>
      <c r="BK231" s="71">
        <f>(BK315+BB315+BK323+BB323)/2</f>
        <v>3644</v>
      </c>
      <c r="BL231" s="81">
        <f>(BL315+BF315+BL323+BF323)/2</f>
        <v>3888.5</v>
      </c>
      <c r="BM231" s="81">
        <f>(BM315+BL315+BM323+BL323)/2</f>
        <v>3933.5</v>
      </c>
      <c r="BN231" s="81">
        <f>(BN315+BM315+BN323+BM323)/2</f>
        <v>4430</v>
      </c>
      <c r="BO231" s="81">
        <f>(BO315+BN315+BO323+BN323)/2</f>
        <v>4432</v>
      </c>
      <c r="BP231" s="71">
        <f>(BP315+BK315+BP323+BK323)/2</f>
        <v>3935</v>
      </c>
      <c r="BQ231" s="65"/>
      <c r="BR231" s="43"/>
      <c r="BS231" s="43"/>
      <c r="BT231" s="1135"/>
      <c r="BU231" s="71">
        <f>(BU315+BP315+BU323+BP323)/2</f>
        <v>7732</v>
      </c>
      <c r="BV231" s="65"/>
      <c r="BW231" s="43"/>
      <c r="BX231" s="43"/>
      <c r="BY231" s="43"/>
      <c r="BZ231" s="71">
        <f>(BZ315+BU315+BZ323+BU323)/2</f>
        <v>10232</v>
      </c>
      <c r="CA231" s="65"/>
      <c r="CB231" s="43"/>
      <c r="CC231" s="43"/>
      <c r="CD231" s="43"/>
      <c r="CE231" s="71">
        <f>(CE315+BZ315+CE323+BZ323)/2</f>
        <v>7732</v>
      </c>
      <c r="CF231" s="65"/>
      <c r="CG231" s="43"/>
      <c r="CH231" s="43"/>
      <c r="CI231" s="43"/>
      <c r="CJ231" s="71">
        <f>(CJ315+CE315+CJ323+CE323)/2</f>
        <v>5982</v>
      </c>
      <c r="CK231" s="39"/>
      <c r="CL231" s="7"/>
      <c r="CM231" s="733"/>
      <c r="CN231" s="734"/>
      <c r="CO231" s="734"/>
      <c r="CP231" s="734"/>
      <c r="CQ231" s="734"/>
      <c r="CR231" s="734"/>
      <c r="CS231" s="734"/>
      <c r="CT231" s="734"/>
      <c r="CU231" s="734"/>
      <c r="CV231" s="734"/>
      <c r="CW231" s="75"/>
      <c r="CX231" s="38"/>
      <c r="CY231" s="38"/>
    </row>
    <row r="232" spans="1:108">
      <c r="A232" s="152" t="s">
        <v>48</v>
      </c>
      <c r="B232" s="42"/>
      <c r="C232" s="42"/>
      <c r="D232" s="42"/>
      <c r="E232" s="42"/>
      <c r="F232" s="42"/>
      <c r="G232" s="42"/>
      <c r="H232" s="68"/>
      <c r="I232" s="61"/>
      <c r="J232" s="68"/>
      <c r="K232" s="44"/>
      <c r="L232" s="42"/>
      <c r="M232" s="61"/>
      <c r="N232" s="61"/>
      <c r="O232" s="61"/>
      <c r="P232" s="44"/>
      <c r="Q232" s="42"/>
      <c r="R232" s="61"/>
      <c r="S232" s="61"/>
      <c r="T232" s="61"/>
      <c r="U232" s="44"/>
      <c r="V232" s="45"/>
      <c r="W232" s="61"/>
      <c r="X232" s="61"/>
      <c r="Y232" s="61"/>
      <c r="Z232" s="44"/>
      <c r="AA232" s="45"/>
      <c r="AB232" s="61"/>
      <c r="AC232" s="61"/>
      <c r="AD232" s="61"/>
      <c r="AE232" s="43"/>
      <c r="AF232" s="4">
        <f>-AF230/AF231</f>
        <v>3.9534557689611664E-2</v>
      </c>
      <c r="AG232" s="61"/>
      <c r="AH232" s="61"/>
      <c r="AI232" s="61"/>
      <c r="AJ232" s="44"/>
      <c r="AK232" s="4">
        <f>-AK230/AK231</f>
        <v>3.9806072977800457E-2</v>
      </c>
      <c r="AL232" s="373">
        <f>-AL230*4/AL231</f>
        <v>2.3538441857490086E-2</v>
      </c>
      <c r="AM232" s="373">
        <f>-AM230*4/AM231</f>
        <v>1.8423746161719549E-2</v>
      </c>
      <c r="AN232" s="373">
        <f>-AN230*4/AN231</f>
        <v>2.2520793346129237E-2</v>
      </c>
      <c r="AO232" s="373">
        <f>AN232</f>
        <v>2.2520793346129237E-2</v>
      </c>
      <c r="AP232" s="4">
        <f>-AP230/AP231</f>
        <v>2.2006141248720572E-2</v>
      </c>
      <c r="AQ232" s="373">
        <f>-AQ230*4/AQ231</f>
        <v>2.1158932435681656E-2</v>
      </c>
      <c r="AR232" s="373">
        <f>-AR230*4/AR231</f>
        <v>2.3076923076923078E-2</v>
      </c>
      <c r="AS232" s="373">
        <f>-AS230*4/AS231</f>
        <v>2.2503516174402251E-2</v>
      </c>
      <c r="AT232" s="373">
        <f>AS232</f>
        <v>2.2503516174402251E-2</v>
      </c>
      <c r="AU232" s="4">
        <f>-AU230/AU231</f>
        <v>2.199769791533444E-2</v>
      </c>
      <c r="AV232" s="373">
        <f>-AV230*4/AV231</f>
        <v>2.2944550669216062E-2</v>
      </c>
      <c r="AW232" s="373">
        <f>-AW230*4/AW231</f>
        <v>2.3446658851113716E-2</v>
      </c>
      <c r="AX232" s="373">
        <f>-AX230*4/AX231</f>
        <v>2.6955757398183417E-2</v>
      </c>
      <c r="AY232" s="373">
        <f>AX232</f>
        <v>2.6955757398183417E-2</v>
      </c>
      <c r="AZ232" s="4">
        <f>-AZ230/AZ231</f>
        <v>2.2708618331053351E-2</v>
      </c>
      <c r="BA232" s="4">
        <f>-BA230/BA231</f>
        <v>2.4375917767988253E-2</v>
      </c>
      <c r="BB232" s="373">
        <f>-BB230*4/BB231</f>
        <v>2.5886159729371968E-2</v>
      </c>
      <c r="BC232" s="373">
        <f>-BC230*4/BC231</f>
        <v>2.6916325336454067E-2</v>
      </c>
      <c r="BD232" s="373">
        <f>-BD230*4/BD231</f>
        <v>2.5129745971046162E-2</v>
      </c>
      <c r="BE232" s="373">
        <f>BD232</f>
        <v>2.5129745971046162E-2</v>
      </c>
      <c r="BF232" s="4">
        <f>-BF230/BF231</f>
        <v>2.4975984630163303E-2</v>
      </c>
      <c r="BG232" s="373">
        <f>-BG230*4/BG231</f>
        <v>4.5267489711934158E-2</v>
      </c>
      <c r="BH232" s="373"/>
      <c r="BI232" s="373"/>
      <c r="BJ232" s="373"/>
      <c r="BK232" s="4">
        <f>-BK230/BK231</f>
        <v>2.4972557628979142E-2</v>
      </c>
      <c r="BL232" s="373">
        <f>-BL230*4/BL231</f>
        <v>2.5716857400025717E-2</v>
      </c>
      <c r="BM232" s="373">
        <f>-BM230*4/BM231</f>
        <v>2.4405745519257657E-2</v>
      </c>
      <c r="BN232" s="373">
        <f>-BN230*4/BN231</f>
        <v>2.437923250564334E-2</v>
      </c>
      <c r="BO232" s="373">
        <f>-BO230*4/BO231</f>
        <v>2.4368231046931407E-2</v>
      </c>
      <c r="BP232" s="4">
        <f>-BP230/BP231</f>
        <v>2.6175349428208386E-2</v>
      </c>
      <c r="BQ232" s="643"/>
      <c r="BR232" s="95"/>
      <c r="BS232" s="95"/>
      <c r="BT232" s="1136"/>
      <c r="BU232" s="644">
        <f>BP232</f>
        <v>2.6175349428208386E-2</v>
      </c>
      <c r="BV232" s="643"/>
      <c r="BW232" s="95"/>
      <c r="BX232" s="95"/>
      <c r="BY232" s="95"/>
      <c r="BZ232" s="644">
        <f>BU232</f>
        <v>2.6175349428208386E-2</v>
      </c>
      <c r="CA232" s="643"/>
      <c r="CB232" s="95"/>
      <c r="CC232" s="95"/>
      <c r="CD232" s="95"/>
      <c r="CE232" s="644">
        <f>BZ232</f>
        <v>2.6175349428208386E-2</v>
      </c>
      <c r="CF232" s="643"/>
      <c r="CG232" s="95"/>
      <c r="CH232" s="95"/>
      <c r="CI232" s="95"/>
      <c r="CJ232" s="644">
        <f>CE232</f>
        <v>2.6175349428208386E-2</v>
      </c>
      <c r="CK232" s="39"/>
      <c r="CL232" s="7"/>
      <c r="CM232" s="733"/>
      <c r="CN232" s="734"/>
      <c r="CO232" s="734"/>
      <c r="CP232" s="734"/>
      <c r="CQ232" s="734"/>
      <c r="CR232" s="734"/>
      <c r="CS232" s="734"/>
      <c r="CT232" s="734"/>
      <c r="CU232" s="734"/>
      <c r="CV232" s="734"/>
      <c r="CW232" s="75"/>
      <c r="CX232" s="38"/>
      <c r="CY232" s="38"/>
    </row>
    <row r="233" spans="1:108" s="384" customFormat="1">
      <c r="A233" s="375" t="s">
        <v>49</v>
      </c>
      <c r="B233" s="376"/>
      <c r="C233" s="376"/>
      <c r="D233" s="376"/>
      <c r="E233" s="376"/>
      <c r="F233" s="376"/>
      <c r="G233" s="376"/>
      <c r="H233" s="377"/>
      <c r="I233" s="378"/>
      <c r="J233" s="377"/>
      <c r="K233" s="379"/>
      <c r="L233" s="376"/>
      <c r="M233" s="378"/>
      <c r="N233" s="378"/>
      <c r="O233" s="378"/>
      <c r="P233" s="379"/>
      <c r="Q233" s="376"/>
      <c r="R233" s="378"/>
      <c r="S233" s="378"/>
      <c r="T233" s="378"/>
      <c r="U233" s="379"/>
      <c r="V233" s="380"/>
      <c r="W233" s="378"/>
      <c r="X233" s="378"/>
      <c r="Y233" s="378"/>
      <c r="Z233" s="379"/>
      <c r="AA233" s="380"/>
      <c r="AB233" s="378"/>
      <c r="AC233" s="378"/>
      <c r="AD233" s="378"/>
      <c r="AE233" s="379"/>
      <c r="AF233" s="380">
        <f>-AF231*AF232</f>
        <v>-141</v>
      </c>
      <c r="AG233" s="378"/>
      <c r="AH233" s="378"/>
      <c r="AI233" s="378"/>
      <c r="AJ233" s="379"/>
      <c r="AK233" s="380">
        <f>-AK231*AK232</f>
        <v>-156</v>
      </c>
      <c r="AL233" s="378"/>
      <c r="AM233" s="378"/>
      <c r="AN233" s="378"/>
      <c r="AO233" s="553"/>
      <c r="AP233" s="380">
        <f>-AP231*AP232</f>
        <v>-86</v>
      </c>
      <c r="AQ233" s="378"/>
      <c r="AR233" s="378"/>
      <c r="AS233" s="378"/>
      <c r="AT233" s="553"/>
      <c r="AU233" s="380"/>
      <c r="AV233" s="378"/>
      <c r="AW233" s="378"/>
      <c r="AX233" s="378"/>
      <c r="AY233" s="553"/>
      <c r="AZ233" s="380"/>
      <c r="BA233" s="380"/>
      <c r="BB233" s="381"/>
      <c r="BC233" s="379"/>
      <c r="BD233" s="379"/>
      <c r="BE233" s="379"/>
      <c r="BF233" s="380"/>
      <c r="BG233" s="381"/>
      <c r="BH233" s="379"/>
      <c r="BI233" s="379"/>
      <c r="BJ233" s="379"/>
      <c r="BK233" s="380"/>
      <c r="BL233" s="381"/>
      <c r="BM233" s="379"/>
      <c r="BN233" s="379"/>
      <c r="BO233" s="379"/>
      <c r="BP233" s="380"/>
      <c r="BQ233" s="381"/>
      <c r="BR233" s="379"/>
      <c r="BS233" s="379"/>
      <c r="BT233" s="1137"/>
      <c r="BU233" s="380">
        <f>-BU231*BU232</f>
        <v>-202.38780177890723</v>
      </c>
      <c r="BV233" s="381"/>
      <c r="BW233" s="379"/>
      <c r="BX233" s="379"/>
      <c r="BY233" s="379"/>
      <c r="BZ233" s="380">
        <f>-BZ231*BZ232</f>
        <v>-267.82617534942818</v>
      </c>
      <c r="CA233" s="381"/>
      <c r="CB233" s="379"/>
      <c r="CC233" s="379"/>
      <c r="CD233" s="379"/>
      <c r="CE233" s="380">
        <f>-CE231*CE232</f>
        <v>-202.38780177890723</v>
      </c>
      <c r="CF233" s="381"/>
      <c r="CG233" s="379"/>
      <c r="CH233" s="379"/>
      <c r="CI233" s="379"/>
      <c r="CJ233" s="380">
        <f>-CJ231*CJ232</f>
        <v>-156.58094027954257</v>
      </c>
      <c r="CK233" s="382"/>
      <c r="CL233" s="383"/>
      <c r="CM233" s="1018"/>
      <c r="CN233" s="1019"/>
      <c r="CO233" s="1019"/>
      <c r="CP233" s="1019"/>
      <c r="CQ233" s="1019"/>
      <c r="CR233" s="1019"/>
      <c r="CS233" s="1019"/>
      <c r="CT233" s="1019"/>
      <c r="CU233" s="1019"/>
      <c r="CV233" s="1019"/>
      <c r="CW233" s="383"/>
      <c r="CX233" s="382"/>
      <c r="CY233" s="382"/>
      <c r="CZ233"/>
      <c r="DA233"/>
      <c r="DB233"/>
      <c r="DC233"/>
      <c r="DD233"/>
    </row>
    <row r="234" spans="1:108" s="284" customFormat="1">
      <c r="A234" s="285" t="s">
        <v>122</v>
      </c>
      <c r="B234" s="283">
        <v>-5</v>
      </c>
      <c r="C234" s="283">
        <v>47</v>
      </c>
      <c r="D234" s="283">
        <v>3</v>
      </c>
      <c r="E234" s="283">
        <v>-9</v>
      </c>
      <c r="F234" s="283">
        <v>8</v>
      </c>
      <c r="G234" s="283">
        <v>3</v>
      </c>
      <c r="H234" s="282">
        <v>1</v>
      </c>
      <c r="I234" s="282">
        <v>1</v>
      </c>
      <c r="J234" s="282">
        <v>2</v>
      </c>
      <c r="K234" s="282">
        <v>0</v>
      </c>
      <c r="L234" s="280">
        <f>SUM(H234:K234)</f>
        <v>4</v>
      </c>
      <c r="M234" s="282">
        <v>3</v>
      </c>
      <c r="N234" s="282">
        <v>0</v>
      </c>
      <c r="O234" s="282">
        <v>0</v>
      </c>
      <c r="P234" s="282">
        <v>14</v>
      </c>
      <c r="Q234" s="280">
        <f>SUM(M234:P234)</f>
        <v>17</v>
      </c>
      <c r="R234" s="282">
        <v>3</v>
      </c>
      <c r="S234" s="282">
        <v>0</v>
      </c>
      <c r="T234" s="282">
        <v>-6</v>
      </c>
      <c r="U234" s="282">
        <v>1</v>
      </c>
      <c r="V234" s="283">
        <f>SUM(R234:U234)</f>
        <v>-2</v>
      </c>
      <c r="W234" s="282">
        <v>0</v>
      </c>
      <c r="X234" s="282">
        <v>2</v>
      </c>
      <c r="Y234" s="282">
        <v>0</v>
      </c>
      <c r="Z234" s="282">
        <v>0</v>
      </c>
      <c r="AA234" s="283">
        <f>SUM(W234:Z234)</f>
        <v>2</v>
      </c>
      <c r="AB234" s="282">
        <v>1</v>
      </c>
      <c r="AC234" s="282">
        <v>41</v>
      </c>
      <c r="AD234" s="282">
        <v>-8</v>
      </c>
      <c r="AE234" s="282">
        <v>-1</v>
      </c>
      <c r="AF234" s="283">
        <f>SUM(AB234:AE234)</f>
        <v>33</v>
      </c>
      <c r="AG234" s="423">
        <v>0</v>
      </c>
      <c r="AH234" s="423">
        <v>-5</v>
      </c>
      <c r="AI234" s="423">
        <v>-3</v>
      </c>
      <c r="AJ234" s="423">
        <f>-128+123</f>
        <v>-5</v>
      </c>
      <c r="AK234" s="424">
        <f>SUM(AG234:AJ234)</f>
        <v>-13</v>
      </c>
      <c r="AL234" s="282">
        <v>0</v>
      </c>
      <c r="AM234" s="282">
        <v>1</v>
      </c>
      <c r="AN234" s="282">
        <v>5</v>
      </c>
      <c r="AO234" s="282">
        <v>2</v>
      </c>
      <c r="AP234" s="283">
        <f>SUM(AL234:AO234)</f>
        <v>8</v>
      </c>
      <c r="AQ234" s="282">
        <v>2</v>
      </c>
      <c r="AR234" s="282">
        <v>0</v>
      </c>
      <c r="AS234" s="282">
        <v>4</v>
      </c>
      <c r="AT234" s="282">
        <v>-7</v>
      </c>
      <c r="AU234" s="283">
        <f>SUM(AQ234:AT234)</f>
        <v>-1</v>
      </c>
      <c r="AV234" s="282">
        <v>3</v>
      </c>
      <c r="AW234" s="282">
        <v>0</v>
      </c>
      <c r="AX234" s="282">
        <v>2</v>
      </c>
      <c r="AY234" s="282">
        <v>2</v>
      </c>
      <c r="AZ234" s="283">
        <f>SUM(AV234:AY234)</f>
        <v>7</v>
      </c>
      <c r="BA234" s="283">
        <f>+AZ234</f>
        <v>7</v>
      </c>
      <c r="BB234" s="798">
        <v>10</v>
      </c>
      <c r="BC234" s="800">
        <v>1</v>
      </c>
      <c r="BD234" s="800">
        <v>2</v>
      </c>
      <c r="BE234" s="800">
        <v>0</v>
      </c>
      <c r="BF234" s="283">
        <f>SUM(BB234:BE234)</f>
        <v>13</v>
      </c>
      <c r="BG234" s="798">
        <v>10</v>
      </c>
      <c r="BH234" s="800">
        <v>1</v>
      </c>
      <c r="BI234" s="800">
        <v>2</v>
      </c>
      <c r="BJ234" s="800">
        <v>0</v>
      </c>
      <c r="BK234" s="283">
        <f>SUM(BG234:BJ234)</f>
        <v>13</v>
      </c>
      <c r="BL234" s="798">
        <v>0</v>
      </c>
      <c r="BM234" s="800">
        <v>0</v>
      </c>
      <c r="BN234" s="800">
        <v>2</v>
      </c>
      <c r="BO234" s="800">
        <v>1</v>
      </c>
      <c r="BP234" s="283">
        <f>SUM(BL234:BO234)</f>
        <v>3</v>
      </c>
      <c r="BQ234" s="372">
        <v>0</v>
      </c>
      <c r="BR234" s="370">
        <v>0</v>
      </c>
      <c r="BS234" s="370">
        <v>0</v>
      </c>
      <c r="BT234" s="1134">
        <v>0</v>
      </c>
      <c r="BU234" s="798">
        <f>+SUM(BQ234:BT234)</f>
        <v>0</v>
      </c>
      <c r="BV234" s="372"/>
      <c r="BW234" s="370"/>
      <c r="BX234" s="370"/>
      <c r="BY234" s="370"/>
      <c r="BZ234" s="371">
        <v>0</v>
      </c>
      <c r="CA234" s="372"/>
      <c r="CB234" s="370"/>
      <c r="CC234" s="370"/>
      <c r="CD234" s="370"/>
      <c r="CE234" s="371">
        <v>0</v>
      </c>
      <c r="CF234" s="372"/>
      <c r="CG234" s="370"/>
      <c r="CH234" s="370"/>
      <c r="CI234" s="370"/>
      <c r="CJ234" s="371">
        <v>0</v>
      </c>
      <c r="CK234" s="39"/>
      <c r="CL234" s="7"/>
      <c r="CM234" s="733"/>
      <c r="CN234" s="734"/>
      <c r="CO234" s="734"/>
      <c r="CP234" s="734"/>
      <c r="CQ234" s="734"/>
      <c r="CR234" s="734"/>
      <c r="CS234" s="1199"/>
      <c r="CT234" s="622"/>
      <c r="CU234" s="622"/>
      <c r="CV234" s="734"/>
      <c r="CW234" s="75"/>
      <c r="CX234" s="38"/>
      <c r="CY234" s="38"/>
      <c r="CZ234"/>
      <c r="DA234"/>
      <c r="DB234"/>
      <c r="DC234"/>
      <c r="DD234"/>
    </row>
    <row r="235" spans="1:108">
      <c r="A235" s="154" t="s">
        <v>50</v>
      </c>
      <c r="B235" s="125">
        <f t="shared" ref="B235:AG235" si="570">SUM(B213,B230,B234)</f>
        <v>1425</v>
      </c>
      <c r="C235" s="125">
        <f t="shared" si="570"/>
        <v>1569</v>
      </c>
      <c r="D235" s="125">
        <f t="shared" si="570"/>
        <v>1350</v>
      </c>
      <c r="E235" s="125">
        <f t="shared" si="570"/>
        <v>1774</v>
      </c>
      <c r="F235" s="125">
        <f t="shared" si="570"/>
        <v>2069</v>
      </c>
      <c r="G235" s="125">
        <f t="shared" si="570"/>
        <v>2527</v>
      </c>
      <c r="H235" s="126">
        <f t="shared" si="570"/>
        <v>656</v>
      </c>
      <c r="I235" s="126">
        <f t="shared" si="570"/>
        <v>740</v>
      </c>
      <c r="J235" s="126">
        <f t="shared" si="570"/>
        <v>791</v>
      </c>
      <c r="K235" s="126">
        <f t="shared" si="570"/>
        <v>860</v>
      </c>
      <c r="L235" s="125">
        <f t="shared" si="570"/>
        <v>3047</v>
      </c>
      <c r="M235" s="126">
        <f t="shared" si="570"/>
        <v>845</v>
      </c>
      <c r="N235" s="126">
        <f t="shared" si="570"/>
        <v>909</v>
      </c>
      <c r="O235" s="126">
        <f t="shared" si="570"/>
        <v>922</v>
      </c>
      <c r="P235" s="126">
        <f t="shared" si="570"/>
        <v>928</v>
      </c>
      <c r="Q235" s="125">
        <f t="shared" si="570"/>
        <v>3604</v>
      </c>
      <c r="R235" s="126">
        <f t="shared" si="570"/>
        <v>869</v>
      </c>
      <c r="S235" s="126">
        <f t="shared" si="570"/>
        <v>907</v>
      </c>
      <c r="T235" s="155">
        <f t="shared" si="570"/>
        <v>828</v>
      </c>
      <c r="U235" s="126">
        <f t="shared" si="570"/>
        <v>909</v>
      </c>
      <c r="V235" s="125">
        <f t="shared" si="570"/>
        <v>3513</v>
      </c>
      <c r="W235" s="126">
        <f t="shared" si="570"/>
        <v>874</v>
      </c>
      <c r="X235" s="126">
        <f t="shared" si="570"/>
        <v>945</v>
      </c>
      <c r="Y235" s="155">
        <f t="shared" si="570"/>
        <v>928</v>
      </c>
      <c r="Z235" s="126">
        <f t="shared" si="570"/>
        <v>1043</v>
      </c>
      <c r="AA235" s="125">
        <f t="shared" si="570"/>
        <v>3790</v>
      </c>
      <c r="AB235" s="126">
        <f t="shared" si="570"/>
        <v>896</v>
      </c>
      <c r="AC235" s="126">
        <f t="shared" si="570"/>
        <v>959</v>
      </c>
      <c r="AD235" s="155">
        <f t="shared" si="570"/>
        <v>952</v>
      </c>
      <c r="AE235" s="126">
        <f t="shared" si="570"/>
        <v>911</v>
      </c>
      <c r="AF235" s="156">
        <f t="shared" si="570"/>
        <v>3718</v>
      </c>
      <c r="AG235" s="126">
        <f t="shared" si="570"/>
        <v>821</v>
      </c>
      <c r="AH235" s="126">
        <f t="shared" ref="AH235:BK235" si="571">SUM(AH213,AH230,AH234)</f>
        <v>928</v>
      </c>
      <c r="AI235" s="155">
        <f t="shared" si="571"/>
        <v>863</v>
      </c>
      <c r="AJ235" s="126">
        <f t="shared" si="571"/>
        <v>790</v>
      </c>
      <c r="AK235" s="156">
        <f t="shared" si="571"/>
        <v>3402</v>
      </c>
      <c r="AL235" s="126">
        <f t="shared" si="571"/>
        <v>824</v>
      </c>
      <c r="AM235" s="126">
        <f t="shared" si="571"/>
        <v>943</v>
      </c>
      <c r="AN235" s="126">
        <f t="shared" si="571"/>
        <v>940</v>
      </c>
      <c r="AO235" s="126">
        <f>SUM(AO213,AO230,AO234)</f>
        <v>904</v>
      </c>
      <c r="AP235" s="156">
        <f t="shared" si="571"/>
        <v>3611</v>
      </c>
      <c r="AQ235" s="126">
        <f t="shared" si="571"/>
        <v>851</v>
      </c>
      <c r="AR235" s="126">
        <f t="shared" si="571"/>
        <v>925</v>
      </c>
      <c r="AS235" s="126">
        <f t="shared" si="571"/>
        <v>981</v>
      </c>
      <c r="AT235" s="126">
        <f t="shared" si="571"/>
        <v>1042</v>
      </c>
      <c r="AU235" s="156">
        <f t="shared" si="571"/>
        <v>3802</v>
      </c>
      <c r="AV235" s="126">
        <f t="shared" si="571"/>
        <v>1009</v>
      </c>
      <c r="AW235" s="126">
        <f t="shared" si="571"/>
        <v>1061</v>
      </c>
      <c r="AX235" s="126">
        <f t="shared" si="571"/>
        <v>1013</v>
      </c>
      <c r="AY235" s="126">
        <f t="shared" si="571"/>
        <v>1019</v>
      </c>
      <c r="AZ235" s="156">
        <f t="shared" si="571"/>
        <v>4102</v>
      </c>
      <c r="BA235" s="156">
        <f t="shared" si="571"/>
        <v>4219</v>
      </c>
      <c r="BB235" s="126">
        <f t="shared" si="571"/>
        <v>1041</v>
      </c>
      <c r="BC235" s="126">
        <f t="shared" si="571"/>
        <v>1048</v>
      </c>
      <c r="BD235" s="126">
        <f t="shared" si="571"/>
        <v>1048</v>
      </c>
      <c r="BE235" s="126">
        <f t="shared" si="571"/>
        <v>1094</v>
      </c>
      <c r="BF235" s="156">
        <f t="shared" si="571"/>
        <v>4231</v>
      </c>
      <c r="BG235" s="1232">
        <f t="shared" ref="BG235" si="572">SUM(BG213,BG230,BG234)</f>
        <v>912</v>
      </c>
      <c r="BH235" s="1232">
        <f t="shared" ref="BH235:BI235" si="573">SUM(BH213,BH230,BH234)</f>
        <v>1005</v>
      </c>
      <c r="BI235" s="1232">
        <f t="shared" si="573"/>
        <v>994</v>
      </c>
      <c r="BJ235" s="1232">
        <f>SUM(BJ213,BJ230,BJ234)</f>
        <v>745</v>
      </c>
      <c r="BK235" s="156">
        <f t="shared" si="571"/>
        <v>3656</v>
      </c>
      <c r="BL235" s="126">
        <f t="shared" ref="BL235" si="574">SUM(BL213,BL230,BL234)</f>
        <v>1010</v>
      </c>
      <c r="BM235" s="126">
        <f t="shared" ref="BM235:BN235" si="575">SUM(BM213,BM230,BM234)</f>
        <v>1032</v>
      </c>
      <c r="BN235" s="126">
        <f t="shared" si="575"/>
        <v>1027</v>
      </c>
      <c r="BO235" s="126">
        <f t="shared" ref="BO235:BP235" si="576">SUM(BO213,BO230,BO234)</f>
        <v>1008</v>
      </c>
      <c r="BP235" s="156">
        <f t="shared" si="576"/>
        <v>4077</v>
      </c>
      <c r="BQ235" s="157">
        <f t="shared" ref="BQ235:BU235" si="577">SUM(BQ213,BQ230,BQ234)</f>
        <v>943.39907826500007</v>
      </c>
      <c r="BR235" s="155">
        <f t="shared" si="577"/>
        <v>1039.8518888799997</v>
      </c>
      <c r="BS235" s="155">
        <f t="shared" si="577"/>
        <v>1062.7382584100001</v>
      </c>
      <c r="BT235" s="1138">
        <f t="shared" si="577"/>
        <v>1174.64304182</v>
      </c>
      <c r="BU235" s="156">
        <f t="shared" si="577"/>
        <v>4220.6322673750001</v>
      </c>
      <c r="BV235" s="157"/>
      <c r="BW235" s="155"/>
      <c r="BX235" s="155"/>
      <c r="BY235" s="155"/>
      <c r="BZ235" s="156">
        <f>SUM(BZ213,BZ230,BZ234)</f>
        <v>4633.1770282349999</v>
      </c>
      <c r="CA235" s="157"/>
      <c r="CB235" s="155"/>
      <c r="CC235" s="155"/>
      <c r="CD235" s="155"/>
      <c r="CE235" s="156">
        <f>SUM(CE213,CE230,CE234)</f>
        <v>5003.9463544723667</v>
      </c>
      <c r="CF235" s="157"/>
      <c r="CG235" s="155"/>
      <c r="CH235" s="155"/>
      <c r="CI235" s="155"/>
      <c r="CJ235" s="156">
        <f>SUM(CJ213,CJ230,CJ234)</f>
        <v>5365.6829012093613</v>
      </c>
      <c r="CK235" s="32"/>
      <c r="CL235" s="14"/>
      <c r="CM235" s="654"/>
      <c r="CN235" s="661"/>
      <c r="CO235" s="661"/>
      <c r="CP235" s="661"/>
      <c r="CQ235" s="661"/>
      <c r="CR235" s="734"/>
      <c r="CS235" s="661"/>
      <c r="CT235" s="661"/>
      <c r="CU235" s="1011"/>
      <c r="CV235" s="661"/>
      <c r="CW235" s="74"/>
      <c r="CX235" s="33"/>
      <c r="CY235" s="33"/>
    </row>
    <row r="236" spans="1:108" s="499" customFormat="1">
      <c r="A236" s="658" t="s">
        <v>248</v>
      </c>
      <c r="B236" s="490">
        <f>B237/B235</f>
        <v>0.33824561403508774</v>
      </c>
      <c r="C236" s="490">
        <f t="shared" ref="C236:AK236" si="578">C237/C235</f>
        <v>0.33715742511153601</v>
      </c>
      <c r="D236" s="490">
        <f t="shared" si="578"/>
        <v>0.27259259259259261</v>
      </c>
      <c r="E236" s="490">
        <f t="shared" si="578"/>
        <v>0.32694475760992109</v>
      </c>
      <c r="F236" s="490">
        <f t="shared" si="578"/>
        <v>0.3001449975833736</v>
      </c>
      <c r="G236" s="490">
        <f t="shared" si="578"/>
        <v>0.32330827067669171</v>
      </c>
      <c r="H236" s="498">
        <f t="shared" si="578"/>
        <v>0.32926829268292684</v>
      </c>
      <c r="I236" s="498">
        <f t="shared" si="578"/>
        <v>0.3</v>
      </c>
      <c r="J236" s="498">
        <f t="shared" si="578"/>
        <v>0.31226295828065742</v>
      </c>
      <c r="K236" s="362">
        <f t="shared" si="578"/>
        <v>0.32790697674418606</v>
      </c>
      <c r="L236" s="490">
        <f t="shared" si="578"/>
        <v>0.31736133902198882</v>
      </c>
      <c r="M236" s="498">
        <f t="shared" si="578"/>
        <v>0.32189349112426036</v>
      </c>
      <c r="N236" s="498">
        <f t="shared" si="578"/>
        <v>0.29482948294829481</v>
      </c>
      <c r="O236" s="498">
        <f t="shared" si="578"/>
        <v>0.31236442516268981</v>
      </c>
      <c r="P236" s="362">
        <f t="shared" si="578"/>
        <v>0.32112068965517243</v>
      </c>
      <c r="Q236" s="490">
        <f t="shared" si="578"/>
        <v>0.31243063263041065</v>
      </c>
      <c r="R236" s="498">
        <f t="shared" si="578"/>
        <v>0.31760644418872269</v>
      </c>
      <c r="S236" s="498">
        <f t="shared" si="578"/>
        <v>0.31532524807056228</v>
      </c>
      <c r="T236" s="498">
        <f t="shared" si="578"/>
        <v>0.30555555555555558</v>
      </c>
      <c r="U236" s="362">
        <f t="shared" si="578"/>
        <v>0.32013201320132012</v>
      </c>
      <c r="V236" s="490">
        <f t="shared" si="578"/>
        <v>0.3148306290919442</v>
      </c>
      <c r="W236" s="498">
        <f t="shared" si="578"/>
        <v>0.31464530892448511</v>
      </c>
      <c r="X236" s="498">
        <f t="shared" si="578"/>
        <v>0.31111111111111112</v>
      </c>
      <c r="Y236" s="498">
        <f t="shared" si="578"/>
        <v>0.30064655172413796</v>
      </c>
      <c r="Z236" s="659">
        <f t="shared" si="578"/>
        <v>0.30105465004793863</v>
      </c>
      <c r="AA236" s="490">
        <f t="shared" si="578"/>
        <v>0.30659630606860161</v>
      </c>
      <c r="AB236" s="568">
        <f t="shared" si="578"/>
        <v>0.31026785714285715</v>
      </c>
      <c r="AC236" s="498">
        <f t="shared" si="578"/>
        <v>0.30552659019812306</v>
      </c>
      <c r="AD236" s="498">
        <f t="shared" si="578"/>
        <v>0.3014705882352941</v>
      </c>
      <c r="AE236" s="659">
        <f t="shared" si="578"/>
        <v>0.33809001097694841</v>
      </c>
      <c r="AF236" s="660">
        <f>AF237/AF235</f>
        <v>0.31360946745562129</v>
      </c>
      <c r="AG236" s="568">
        <f t="shared" si="578"/>
        <v>0.31303288672350793</v>
      </c>
      <c r="AH236" s="568">
        <f t="shared" si="578"/>
        <v>0.31681034482758619</v>
      </c>
      <c r="AI236" s="568">
        <f t="shared" si="578"/>
        <v>0.30475086906141369</v>
      </c>
      <c r="AJ236" s="362">
        <f t="shared" si="578"/>
        <v>0.37848101265822787</v>
      </c>
      <c r="AK236" s="490">
        <f t="shared" si="578"/>
        <v>0.3271604938271605</v>
      </c>
      <c r="AL236" s="498">
        <f t="shared" ref="AL236:AR236" si="579">AL237/AL235</f>
        <v>0.30703883495145629</v>
      </c>
      <c r="AM236" s="498">
        <f t="shared" si="579"/>
        <v>0.3213149522799576</v>
      </c>
      <c r="AN236" s="498">
        <f t="shared" si="579"/>
        <v>0.30744680851063833</v>
      </c>
      <c r="AO236" s="498">
        <f t="shared" si="579"/>
        <v>0.30973451327433627</v>
      </c>
      <c r="AP236" s="490">
        <f t="shared" si="579"/>
        <v>0.31154804763223481</v>
      </c>
      <c r="AQ236" s="498">
        <f t="shared" si="579"/>
        <v>0.3008225616921269</v>
      </c>
      <c r="AR236" s="498">
        <f t="shared" si="579"/>
        <v>0.30162162162162159</v>
      </c>
      <c r="AS236" s="498">
        <f t="shared" ref="AS236:AX236" si="580">AS237/AS235</f>
        <v>0.29051987767584098</v>
      </c>
      <c r="AT236" s="498">
        <f t="shared" si="580"/>
        <v>0.29654510556621883</v>
      </c>
      <c r="AU236" s="490">
        <f t="shared" si="580"/>
        <v>0.29694897422409261</v>
      </c>
      <c r="AV236" s="498">
        <f t="shared" si="580"/>
        <v>0.29038652130822595</v>
      </c>
      <c r="AW236" s="498">
        <f t="shared" si="580"/>
        <v>0.29123468426013194</v>
      </c>
      <c r="AX236" s="498">
        <f t="shared" si="580"/>
        <v>0.27640671273445211</v>
      </c>
      <c r="AY236" s="498">
        <f t="shared" ref="AY236:BK236" si="581">AY237/AY235</f>
        <v>0.25024533856722275</v>
      </c>
      <c r="AZ236" s="490">
        <f t="shared" si="581"/>
        <v>0.27718186250609461</v>
      </c>
      <c r="BA236" s="490">
        <f t="shared" ref="BA236" si="582">BA237/BA235</f>
        <v>0.26949514102867977</v>
      </c>
      <c r="BB236" s="498">
        <f t="shared" si="581"/>
        <v>0.29875120076849182</v>
      </c>
      <c r="BC236" s="498">
        <f t="shared" si="581"/>
        <v>0.27671755725190839</v>
      </c>
      <c r="BD236" s="498">
        <f t="shared" si="581"/>
        <v>0.2681297709923664</v>
      </c>
      <c r="BE236" s="498">
        <f t="shared" si="581"/>
        <v>0.26234003656307131</v>
      </c>
      <c r="BF236" s="490">
        <f t="shared" si="581"/>
        <v>0.27629402032616401</v>
      </c>
      <c r="BG236" s="1233">
        <f t="shared" ref="BG236" si="583">BG237/BG235</f>
        <v>0.28289473684210525</v>
      </c>
      <c r="BH236" s="1233">
        <f t="shared" ref="BH236:BJ236" si="584">BH237/BH235</f>
        <v>0.28955223880597014</v>
      </c>
      <c r="BI236" s="1233">
        <f t="shared" si="584"/>
        <v>0.26458752515090544</v>
      </c>
      <c r="BJ236" s="1233">
        <f t="shared" si="584"/>
        <v>0.22147651006711411</v>
      </c>
      <c r="BK236" s="356">
        <f t="shared" si="581"/>
        <v>0.26723194748358864</v>
      </c>
      <c r="BL236" s="1233">
        <f t="shared" ref="BL236:BN236" si="585">BL237/BL235</f>
        <v>0.24455445544554455</v>
      </c>
      <c r="BM236" s="1237">
        <f t="shared" si="585"/>
        <v>0.27422480620155038</v>
      </c>
      <c r="BN236" s="1237">
        <f t="shared" si="585"/>
        <v>0.25608568646543328</v>
      </c>
      <c r="BO236" s="1237">
        <f t="shared" ref="BO236:BP236" si="586">BO237/BO235</f>
        <v>0.25099206349206349</v>
      </c>
      <c r="BP236" s="356">
        <f t="shared" si="586"/>
        <v>0.25656119695854795</v>
      </c>
      <c r="BQ236" s="530">
        <v>0.19</v>
      </c>
      <c r="BR236" s="1195">
        <v>0.19</v>
      </c>
      <c r="BS236" s="529">
        <v>0.19</v>
      </c>
      <c r="BT236" s="1109">
        <v>0.19</v>
      </c>
      <c r="BU236" s="1047">
        <f t="shared" ref="BU236" si="587">BU237/BU235</f>
        <v>0.19</v>
      </c>
      <c r="BV236" s="530"/>
      <c r="BW236" s="529"/>
      <c r="BX236" s="529"/>
      <c r="BY236" s="529"/>
      <c r="BZ236" s="528">
        <v>0.19</v>
      </c>
      <c r="CA236" s="530"/>
      <c r="CB236" s="529"/>
      <c r="CC236" s="529"/>
      <c r="CD236" s="529"/>
      <c r="CE236" s="528">
        <v>0.19</v>
      </c>
      <c r="CF236" s="530"/>
      <c r="CG236" s="529"/>
      <c r="CH236" s="529"/>
      <c r="CI236" s="529"/>
      <c r="CJ236" s="528">
        <v>0.19</v>
      </c>
      <c r="CK236" s="495"/>
      <c r="CL236" s="496"/>
      <c r="CM236" s="661" t="s">
        <v>395</v>
      </c>
      <c r="CN236" s="731"/>
      <c r="CO236" s="731"/>
      <c r="CP236" s="731"/>
      <c r="CQ236" s="731"/>
      <c r="CR236" s="734"/>
      <c r="CS236" s="661"/>
      <c r="CT236" s="1196"/>
      <c r="CU236" s="1011"/>
      <c r="CV236" s="731"/>
      <c r="CW236" s="497"/>
      <c r="CX236" s="498"/>
      <c r="CY236" s="498"/>
      <c r="CZ236"/>
      <c r="DA236"/>
      <c r="DB236"/>
      <c r="DC236"/>
      <c r="DD236"/>
    </row>
    <row r="237" spans="1:108" s="135" customFormat="1">
      <c r="A237" s="286" t="s">
        <v>8</v>
      </c>
      <c r="B237" s="263">
        <v>482</v>
      </c>
      <c r="C237" s="263">
        <v>529</v>
      </c>
      <c r="D237" s="263">
        <v>368</v>
      </c>
      <c r="E237" s="263">
        <v>580</v>
      </c>
      <c r="F237" s="263">
        <v>621</v>
      </c>
      <c r="G237" s="263">
        <v>817</v>
      </c>
      <c r="H237" s="261">
        <v>216</v>
      </c>
      <c r="I237" s="261">
        <v>222</v>
      </c>
      <c r="J237" s="261">
        <v>247</v>
      </c>
      <c r="K237" s="262">
        <v>282</v>
      </c>
      <c r="L237" s="263">
        <f>SUM(H237:K237)</f>
        <v>967</v>
      </c>
      <c r="M237" s="261">
        <v>272</v>
      </c>
      <c r="N237" s="261">
        <v>268</v>
      </c>
      <c r="O237" s="261">
        <v>288</v>
      </c>
      <c r="P237" s="262">
        <v>298</v>
      </c>
      <c r="Q237" s="263">
        <f>SUM(M237:P237)</f>
        <v>1126</v>
      </c>
      <c r="R237" s="261">
        <v>276</v>
      </c>
      <c r="S237" s="261">
        <v>286</v>
      </c>
      <c r="T237" s="261">
        <v>253</v>
      </c>
      <c r="U237" s="262">
        <v>291</v>
      </c>
      <c r="V237" s="263">
        <f>SUM(R237:U237)</f>
        <v>1106</v>
      </c>
      <c r="W237" s="261">
        <v>275</v>
      </c>
      <c r="X237" s="261">
        <v>294</v>
      </c>
      <c r="Y237" s="261">
        <v>279</v>
      </c>
      <c r="Z237" s="262">
        <v>314</v>
      </c>
      <c r="AA237" s="263">
        <f>SUM(W237:Z237)</f>
        <v>1162</v>
      </c>
      <c r="AB237" s="261">
        <v>278</v>
      </c>
      <c r="AC237" s="261">
        <v>293</v>
      </c>
      <c r="AD237" s="261">
        <v>287</v>
      </c>
      <c r="AE237" s="262">
        <v>308</v>
      </c>
      <c r="AF237" s="263">
        <f>SUM(AB237:AE237)</f>
        <v>1166</v>
      </c>
      <c r="AG237" s="261">
        <v>257</v>
      </c>
      <c r="AH237" s="261">
        <v>294</v>
      </c>
      <c r="AI237" s="261">
        <v>263</v>
      </c>
      <c r="AJ237" s="262">
        <f>59+240</f>
        <v>299</v>
      </c>
      <c r="AK237" s="263">
        <f>SUM(AG237:AJ237)</f>
        <v>1113</v>
      </c>
      <c r="AL237" s="261">
        <v>253</v>
      </c>
      <c r="AM237" s="261">
        <v>303</v>
      </c>
      <c r="AN237" s="261">
        <v>289</v>
      </c>
      <c r="AO237" s="261">
        <f>1125-AN237-AM237-AL237</f>
        <v>280</v>
      </c>
      <c r="AP237" s="263">
        <f>SUM(AL237:AO237)</f>
        <v>1125</v>
      </c>
      <c r="AQ237" s="261">
        <v>256</v>
      </c>
      <c r="AR237" s="261">
        <v>279</v>
      </c>
      <c r="AS237" s="261">
        <v>285</v>
      </c>
      <c r="AT237" s="261">
        <v>309</v>
      </c>
      <c r="AU237" s="263">
        <f>SUM(AQ237:AT237)</f>
        <v>1129</v>
      </c>
      <c r="AV237" s="261">
        <v>293</v>
      </c>
      <c r="AW237" s="261">
        <v>309</v>
      </c>
      <c r="AX237" s="261">
        <v>280</v>
      </c>
      <c r="AY237" s="261">
        <v>255</v>
      </c>
      <c r="AZ237" s="263">
        <f>SUM(AV237:AY237)</f>
        <v>1137</v>
      </c>
      <c r="BA237" s="263">
        <f>+AZ237</f>
        <v>1137</v>
      </c>
      <c r="BB237" s="264">
        <v>311</v>
      </c>
      <c r="BC237" s="262">
        <v>290</v>
      </c>
      <c r="BD237" s="262">
        <v>281</v>
      </c>
      <c r="BE237" s="262">
        <v>287</v>
      </c>
      <c r="BF237" s="263">
        <f>SUM(BB237:BE237)</f>
        <v>1169</v>
      </c>
      <c r="BG237" s="182">
        <v>258</v>
      </c>
      <c r="BH237" s="183">
        <v>291</v>
      </c>
      <c r="BI237" s="183">
        <v>263</v>
      </c>
      <c r="BJ237" s="183">
        <v>165</v>
      </c>
      <c r="BK237" s="180">
        <f>SUM(BG237:BJ237)</f>
        <v>977</v>
      </c>
      <c r="BL237" s="182">
        <v>247</v>
      </c>
      <c r="BM237" s="183">
        <v>283</v>
      </c>
      <c r="BN237" s="183">
        <v>263</v>
      </c>
      <c r="BO237" s="183">
        <f>372-119</f>
        <v>253</v>
      </c>
      <c r="BP237" s="180">
        <f>SUM(BL237:BO237)</f>
        <v>1046</v>
      </c>
      <c r="BQ237" s="264">
        <f t="shared" ref="BQ237:BT237" si="588">+BQ236*BQ235</f>
        <v>179.24582487035002</v>
      </c>
      <c r="BR237" s="262">
        <f t="shared" si="588"/>
        <v>197.57185888719994</v>
      </c>
      <c r="BS237" s="262">
        <f t="shared" si="588"/>
        <v>201.92026909790002</v>
      </c>
      <c r="BT237" s="1139">
        <f t="shared" si="588"/>
        <v>223.18217794579999</v>
      </c>
      <c r="BU237" s="1064">
        <f>+SUM(BQ237:BT237)</f>
        <v>801.92013080125002</v>
      </c>
      <c r="BV237" s="264"/>
      <c r="BW237" s="262"/>
      <c r="BX237" s="262"/>
      <c r="BY237" s="262"/>
      <c r="BZ237" s="263">
        <f>BZ235*BZ236</f>
        <v>880.30363536464995</v>
      </c>
      <c r="CA237" s="264"/>
      <c r="CB237" s="262"/>
      <c r="CC237" s="262"/>
      <c r="CD237" s="262"/>
      <c r="CE237" s="263">
        <f>CE235*CE236</f>
        <v>950.74980734974963</v>
      </c>
      <c r="CF237" s="264"/>
      <c r="CG237" s="262"/>
      <c r="CH237" s="262"/>
      <c r="CI237" s="262"/>
      <c r="CJ237" s="263">
        <f>CJ235*CJ236</f>
        <v>1019.4797512297787</v>
      </c>
      <c r="CK237" s="133"/>
      <c r="CL237" s="230"/>
      <c r="CM237" s="661"/>
      <c r="CN237" s="731"/>
      <c r="CO237" s="622"/>
      <c r="CP237" s="622"/>
      <c r="CQ237" s="622"/>
      <c r="CR237" s="622"/>
      <c r="CS237" s="734"/>
      <c r="CT237" s="734"/>
      <c r="CU237" s="1197"/>
      <c r="CV237" s="622"/>
      <c r="CW237" s="230"/>
      <c r="CX237" s="133"/>
      <c r="CY237" s="133"/>
      <c r="CZ237"/>
      <c r="DA237"/>
      <c r="DB237"/>
      <c r="DC237"/>
      <c r="DD237"/>
    </row>
    <row r="238" spans="1:108">
      <c r="A238" s="161" t="s">
        <v>105</v>
      </c>
      <c r="B238" s="125">
        <f t="shared" ref="B238:AM238" si="589">B235-B237</f>
        <v>943</v>
      </c>
      <c r="C238" s="125">
        <f t="shared" si="589"/>
        <v>1040</v>
      </c>
      <c r="D238" s="125">
        <f t="shared" si="589"/>
        <v>982</v>
      </c>
      <c r="E238" s="125">
        <f t="shared" si="589"/>
        <v>1194</v>
      </c>
      <c r="F238" s="125">
        <f t="shared" si="589"/>
        <v>1448</v>
      </c>
      <c r="G238" s="125">
        <f t="shared" si="589"/>
        <v>1710</v>
      </c>
      <c r="H238" s="126">
        <f t="shared" si="589"/>
        <v>440</v>
      </c>
      <c r="I238" s="126">
        <f t="shared" si="589"/>
        <v>518</v>
      </c>
      <c r="J238" s="126">
        <f t="shared" si="589"/>
        <v>544</v>
      </c>
      <c r="K238" s="126">
        <f t="shared" si="589"/>
        <v>578</v>
      </c>
      <c r="L238" s="125">
        <f t="shared" si="589"/>
        <v>2080</v>
      </c>
      <c r="M238" s="126">
        <f t="shared" si="589"/>
        <v>573</v>
      </c>
      <c r="N238" s="126">
        <f t="shared" si="589"/>
        <v>641</v>
      </c>
      <c r="O238" s="126">
        <f t="shared" si="589"/>
        <v>634</v>
      </c>
      <c r="P238" s="126">
        <f t="shared" si="589"/>
        <v>630</v>
      </c>
      <c r="Q238" s="125">
        <f t="shared" si="589"/>
        <v>2478</v>
      </c>
      <c r="R238" s="126">
        <f>R235-R237+0.49</f>
        <v>593.49</v>
      </c>
      <c r="S238" s="126">
        <f>S235-S237+0.49</f>
        <v>621.49</v>
      </c>
      <c r="T238" s="126">
        <f t="shared" si="589"/>
        <v>575</v>
      </c>
      <c r="U238" s="126">
        <f t="shared" si="589"/>
        <v>618</v>
      </c>
      <c r="V238" s="125">
        <f>V235-V237-0.49</f>
        <v>2406.5100000000002</v>
      </c>
      <c r="W238" s="126">
        <f t="shared" si="589"/>
        <v>599</v>
      </c>
      <c r="X238" s="126">
        <f t="shared" si="589"/>
        <v>651</v>
      </c>
      <c r="Y238" s="126">
        <f t="shared" si="589"/>
        <v>649</v>
      </c>
      <c r="Z238" s="126">
        <f t="shared" si="589"/>
        <v>729</v>
      </c>
      <c r="AA238" s="125">
        <f t="shared" si="589"/>
        <v>2628</v>
      </c>
      <c r="AB238" s="126">
        <f t="shared" si="589"/>
        <v>618</v>
      </c>
      <c r="AC238" s="126">
        <f t="shared" si="589"/>
        <v>666</v>
      </c>
      <c r="AD238" s="126">
        <f t="shared" si="589"/>
        <v>665</v>
      </c>
      <c r="AE238" s="126">
        <f>AE235-AE237</f>
        <v>603</v>
      </c>
      <c r="AF238" s="125">
        <f>AF235-AF237</f>
        <v>2552</v>
      </c>
      <c r="AG238" s="126">
        <f t="shared" si="589"/>
        <v>564</v>
      </c>
      <c r="AH238" s="126">
        <f t="shared" si="589"/>
        <v>634</v>
      </c>
      <c r="AI238" s="126">
        <f t="shared" si="589"/>
        <v>600</v>
      </c>
      <c r="AJ238" s="126">
        <f t="shared" si="589"/>
        <v>491</v>
      </c>
      <c r="AK238" s="125">
        <f>AK235-AK237-0.49</f>
        <v>2288.5100000000002</v>
      </c>
      <c r="AL238" s="126">
        <f t="shared" si="589"/>
        <v>571</v>
      </c>
      <c r="AM238" s="126">
        <f t="shared" si="589"/>
        <v>640</v>
      </c>
      <c r="AN238" s="126">
        <f t="shared" ref="AN238:AU238" si="590">AN235-AN237</f>
        <v>651</v>
      </c>
      <c r="AO238" s="126">
        <f t="shared" si="590"/>
        <v>624</v>
      </c>
      <c r="AP238" s="125">
        <f t="shared" si="590"/>
        <v>2486</v>
      </c>
      <c r="AQ238" s="126">
        <f t="shared" si="590"/>
        <v>595</v>
      </c>
      <c r="AR238" s="126">
        <f t="shared" si="590"/>
        <v>646</v>
      </c>
      <c r="AS238" s="126">
        <f t="shared" si="590"/>
        <v>696</v>
      </c>
      <c r="AT238" s="126">
        <f t="shared" si="590"/>
        <v>733</v>
      </c>
      <c r="AU238" s="125">
        <f t="shared" si="590"/>
        <v>2673</v>
      </c>
      <c r="AV238" s="126">
        <f t="shared" ref="AV238:BK238" si="591">AV235-AV237</f>
        <v>716</v>
      </c>
      <c r="AW238" s="126">
        <f t="shared" si="591"/>
        <v>752</v>
      </c>
      <c r="AX238" s="126">
        <f t="shared" si="591"/>
        <v>733</v>
      </c>
      <c r="AY238" s="126">
        <f t="shared" si="591"/>
        <v>764</v>
      </c>
      <c r="AZ238" s="125">
        <f t="shared" si="591"/>
        <v>2965</v>
      </c>
      <c r="BA238" s="125">
        <f t="shared" ref="BA238" si="592">BA235-BA237</f>
        <v>3082</v>
      </c>
      <c r="BB238" s="126">
        <f t="shared" si="591"/>
        <v>730</v>
      </c>
      <c r="BC238" s="126">
        <f t="shared" si="591"/>
        <v>758</v>
      </c>
      <c r="BD238" s="126">
        <f t="shared" si="591"/>
        <v>767</v>
      </c>
      <c r="BE238" s="126">
        <f t="shared" si="591"/>
        <v>807</v>
      </c>
      <c r="BF238" s="125">
        <f t="shared" si="591"/>
        <v>3062</v>
      </c>
      <c r="BG238" s="1232">
        <f t="shared" ref="BG238" si="593">BG235-BG237</f>
        <v>654</v>
      </c>
      <c r="BH238" s="1232">
        <f t="shared" ref="BH238:BJ238" si="594">BH235-BH237</f>
        <v>714</v>
      </c>
      <c r="BI238" s="1232">
        <f t="shared" si="594"/>
        <v>731</v>
      </c>
      <c r="BJ238" s="1232">
        <f t="shared" si="594"/>
        <v>580</v>
      </c>
      <c r="BK238" s="1238">
        <f t="shared" si="591"/>
        <v>2679</v>
      </c>
      <c r="BL238" s="1232">
        <f t="shared" ref="BL238:BT238" si="595">BL235-BL237</f>
        <v>763</v>
      </c>
      <c r="BM238" s="1232">
        <f t="shared" si="595"/>
        <v>749</v>
      </c>
      <c r="BN238" s="1232">
        <f t="shared" si="595"/>
        <v>764</v>
      </c>
      <c r="BO238" s="1232">
        <f t="shared" ref="BO238:BP238" si="596">BO235-BO237</f>
        <v>755</v>
      </c>
      <c r="BP238" s="1238">
        <f t="shared" si="596"/>
        <v>3031</v>
      </c>
      <c r="BQ238" s="127">
        <f t="shared" si="595"/>
        <v>764.15325339465005</v>
      </c>
      <c r="BR238" s="126">
        <f t="shared" si="595"/>
        <v>842.28002999279977</v>
      </c>
      <c r="BS238" s="126">
        <f t="shared" si="595"/>
        <v>860.81798931210005</v>
      </c>
      <c r="BT238" s="1140">
        <f t="shared" si="595"/>
        <v>951.46086387419996</v>
      </c>
      <c r="BU238" s="1065">
        <f>BU235-BU237</f>
        <v>3418.7121365737503</v>
      </c>
      <c r="BV238" s="127"/>
      <c r="BW238" s="126"/>
      <c r="BX238" s="126"/>
      <c r="BY238" s="126"/>
      <c r="BZ238" s="125">
        <f>BZ235-BZ237</f>
        <v>3752.87339287035</v>
      </c>
      <c r="CA238" s="127"/>
      <c r="CB238" s="126"/>
      <c r="CC238" s="126"/>
      <c r="CD238" s="126"/>
      <c r="CE238" s="125">
        <f>CE235-CE237</f>
        <v>4053.1965471226172</v>
      </c>
      <c r="CF238" s="127"/>
      <c r="CG238" s="126"/>
      <c r="CH238" s="126"/>
      <c r="CI238" s="126"/>
      <c r="CJ238" s="125">
        <f>CJ235-CJ237</f>
        <v>4346.203149979583</v>
      </c>
      <c r="CK238" s="32"/>
      <c r="CL238" s="14"/>
      <c r="CM238" s="654"/>
      <c r="CN238" s="622"/>
      <c r="CO238" s="661"/>
      <c r="CP238" s="661"/>
      <c r="CQ238" s="661"/>
      <c r="CR238" s="1003"/>
      <c r="CS238" s="661"/>
      <c r="CT238" s="661"/>
      <c r="CU238" s="1011"/>
      <c r="CV238" s="661"/>
      <c r="CW238" s="74"/>
      <c r="CX238" s="33"/>
      <c r="CY238" s="33"/>
    </row>
    <row r="239" spans="1:108" s="557" customFormat="1" ht="12.75" customHeight="1">
      <c r="A239" s="1242" t="s">
        <v>164</v>
      </c>
      <c r="B239" s="1239">
        <f t="shared" ref="B239:AM239" si="597">B238/B257</f>
        <v>2.323724662037288</v>
      </c>
      <c r="C239" s="1239">
        <f t="shared" si="597"/>
        <v>2.5634705447374908</v>
      </c>
      <c r="D239" s="1239">
        <f t="shared" si="597"/>
        <v>2.4654782827014814</v>
      </c>
      <c r="E239" s="1239">
        <f t="shared" si="597"/>
        <v>2.9635145197319437</v>
      </c>
      <c r="F239" s="1239">
        <f t="shared" si="597"/>
        <v>3.577075098814229</v>
      </c>
      <c r="G239" s="1239">
        <f t="shared" si="597"/>
        <v>4.2035398230088497</v>
      </c>
      <c r="H239" s="1234">
        <f t="shared" si="597"/>
        <v>1.0746516541087108</v>
      </c>
      <c r="I239" s="1234">
        <f t="shared" si="597"/>
        <v>1.2659836546357486</v>
      </c>
      <c r="J239" s="1234">
        <f t="shared" si="597"/>
        <v>1.3355559865560576</v>
      </c>
      <c r="K239" s="1234">
        <f t="shared" si="597"/>
        <v>1.4204964364708774</v>
      </c>
      <c r="L239" s="1239">
        <f t="shared" si="597"/>
        <v>5.0967900024503798</v>
      </c>
      <c r="M239" s="1234">
        <f t="shared" si="597"/>
        <v>1.418815524268431</v>
      </c>
      <c r="N239" s="1234">
        <f t="shared" si="597"/>
        <v>1.5954362061970624</v>
      </c>
      <c r="O239" s="1234">
        <f t="shared" si="597"/>
        <v>1.5858841304026996</v>
      </c>
      <c r="P239" s="1234">
        <f t="shared" si="597"/>
        <v>1.6170431211498972</v>
      </c>
      <c r="Q239" s="1239">
        <f t="shared" si="597"/>
        <v>6.2151993980436417</v>
      </c>
      <c r="R239" s="1234">
        <f t="shared" si="597"/>
        <v>1.5353869317873137</v>
      </c>
      <c r="S239" s="1234">
        <f t="shared" si="597"/>
        <v>1.6058633689307595</v>
      </c>
      <c r="T239" s="1234">
        <f t="shared" si="597"/>
        <v>1.4816227247428417</v>
      </c>
      <c r="U239" s="1234">
        <f t="shared" si="597"/>
        <v>1.5842091771340681</v>
      </c>
      <c r="V239" s="1239">
        <f>V238/V257</f>
        <v>6.2039443155452449</v>
      </c>
      <c r="W239" s="1234">
        <f t="shared" si="597"/>
        <v>1.5399090965181088</v>
      </c>
      <c r="X239" s="1234">
        <f t="shared" si="597"/>
        <v>1.6756756756756757</v>
      </c>
      <c r="Y239" s="1234">
        <f t="shared" si="597"/>
        <v>1.6967320261437908</v>
      </c>
      <c r="Z239" s="1234">
        <f t="shared" si="597"/>
        <v>1.9138881596219481</v>
      </c>
      <c r="AA239" s="1239">
        <f t="shared" si="597"/>
        <v>6.8224299065420562</v>
      </c>
      <c r="AB239" s="1234">
        <f t="shared" si="597"/>
        <v>1.6418703506907546</v>
      </c>
      <c r="AC239" s="1234">
        <f t="shared" si="597"/>
        <v>1.7932148626817448</v>
      </c>
      <c r="AD239" s="1234">
        <f t="shared" si="597"/>
        <v>1.8324607329842932</v>
      </c>
      <c r="AE239" s="1234">
        <f t="shared" si="597"/>
        <v>1.6777963272120202</v>
      </c>
      <c r="AF239" s="1239">
        <f t="shared" si="597"/>
        <v>6.94421768707483</v>
      </c>
      <c r="AG239" s="1234">
        <f t="shared" si="597"/>
        <v>1.5692821368948249</v>
      </c>
      <c r="AH239" s="1234">
        <f t="shared" si="597"/>
        <v>1.773922775601567</v>
      </c>
      <c r="AI239" s="1234">
        <f t="shared" si="597"/>
        <v>1.7006802721088434</v>
      </c>
      <c r="AJ239" s="1234">
        <f>AJ238/AJ257</f>
        <v>1.3901472253680636</v>
      </c>
      <c r="AK239" s="1239">
        <f>AK238/AK257</f>
        <v>6.4338206353668834</v>
      </c>
      <c r="AL239" s="1234">
        <f t="shared" si="597"/>
        <v>1.6151981375718849</v>
      </c>
      <c r="AM239" s="1234">
        <f t="shared" si="597"/>
        <v>1.8135449135732504</v>
      </c>
      <c r="AN239" s="1234">
        <f t="shared" ref="AN239:AU239" si="598">AN238/AN257</f>
        <v>1.8446211301208779</v>
      </c>
      <c r="AO239" s="1234">
        <f t="shared" si="598"/>
        <v>1.7597292724196276</v>
      </c>
      <c r="AP239" s="1239">
        <f t="shared" si="598"/>
        <v>7.0328551171022715</v>
      </c>
      <c r="AQ239" s="1234">
        <f t="shared" si="598"/>
        <v>1.7134727917799384</v>
      </c>
      <c r="AR239" s="1234">
        <f t="shared" si="598"/>
        <v>1.8845632101754743</v>
      </c>
      <c r="AS239" s="1234">
        <f>AS238/AS257</f>
        <v>2.0580694953294243</v>
      </c>
      <c r="AT239" s="1234">
        <f t="shared" si="598"/>
        <v>2.1828469326980344</v>
      </c>
      <c r="AU239" s="1239">
        <f t="shared" si="598"/>
        <v>7.8386292222807104</v>
      </c>
      <c r="AV239" s="1234">
        <f t="shared" ref="AV239:BF239" si="599">AV238/AV257</f>
        <v>2.1393442133129357</v>
      </c>
      <c r="AW239" s="1234">
        <f t="shared" si="599"/>
        <v>2.2689831214207699</v>
      </c>
      <c r="AX239" s="1234">
        <f t="shared" si="599"/>
        <v>2.2768359125048923</v>
      </c>
      <c r="AY239" s="1234">
        <f t="shared" si="599"/>
        <v>2.4002513352183472</v>
      </c>
      <c r="AZ239" s="1239">
        <f t="shared" si="599"/>
        <v>9.0769381482433911</v>
      </c>
      <c r="BA239" s="1239">
        <f t="shared" ref="BA239" si="600">BA238/BA257</f>
        <v>9.4351174950712071</v>
      </c>
      <c r="BB239" s="1234">
        <f t="shared" si="599"/>
        <v>2.3371517483816024</v>
      </c>
      <c r="BC239" s="1234">
        <f t="shared" si="599"/>
        <v>2.4435217660408499</v>
      </c>
      <c r="BD239" s="1234">
        <f t="shared" si="599"/>
        <v>2.4763663601611734</v>
      </c>
      <c r="BE239" s="1234">
        <f t="shared" si="599"/>
        <v>2.6158833063209075</v>
      </c>
      <c r="BF239" s="1239">
        <f t="shared" si="599"/>
        <v>9.8651038864385434</v>
      </c>
      <c r="BG239" s="1234">
        <f>BG238/BG257-0.01</f>
        <v>2.0761244019138756</v>
      </c>
      <c r="BH239" s="1234">
        <f>BH238/BH257</f>
        <v>2.3016814524448108</v>
      </c>
      <c r="BI239" s="1234">
        <f>BI238/BI257</f>
        <v>2.3603487245721668</v>
      </c>
      <c r="BJ239" s="1234">
        <f>BJ238/BJ257+0.01</f>
        <v>1.8903695898849084</v>
      </c>
      <c r="BK239" s="1239">
        <f>BK238/BK257+0.01</f>
        <v>8.641160454529345</v>
      </c>
      <c r="BL239" s="1234">
        <f t="shared" ref="BL239:BU239" si="601">BL238/BL257</f>
        <v>2.4830611620596068</v>
      </c>
      <c r="BM239" s="1234">
        <f t="shared" si="601"/>
        <v>2.4529228753888979</v>
      </c>
      <c r="BN239" s="1234">
        <f t="shared" si="601"/>
        <v>2.5152180568952862</v>
      </c>
      <c r="BO239" s="1234">
        <f t="shared" ref="BO239:BP239" si="602">BO238/BO257</f>
        <v>2.4966931216931219</v>
      </c>
      <c r="BP239" s="1239">
        <f t="shared" si="602"/>
        <v>9.9495465094522331</v>
      </c>
      <c r="BQ239" s="1243">
        <f t="shared" si="601"/>
        <v>2.5269618167812502</v>
      </c>
      <c r="BR239" s="1234">
        <f t="shared" si="601"/>
        <v>2.7853175594999993</v>
      </c>
      <c r="BS239" s="1234">
        <f t="shared" si="601"/>
        <v>2.846620335026786</v>
      </c>
      <c r="BT239" s="1244">
        <f t="shared" si="601"/>
        <v>3.1463652905892858</v>
      </c>
      <c r="BU239" s="1239">
        <f t="shared" si="601"/>
        <v>11.305265001897324</v>
      </c>
      <c r="BV239" s="1234"/>
      <c r="BW239" s="1234"/>
      <c r="BX239" s="1234"/>
      <c r="BY239" s="1234"/>
      <c r="BZ239" s="1239">
        <f>BZ238/BZ257</f>
        <v>12.41029561134375</v>
      </c>
      <c r="CA239" s="1243"/>
      <c r="CB239" s="1234"/>
      <c r="CC239" s="1234"/>
      <c r="CD239" s="1234"/>
      <c r="CE239" s="1239">
        <f>CE238/CE257</f>
        <v>13.403427735193841</v>
      </c>
      <c r="CF239" s="1243"/>
      <c r="CG239" s="1234"/>
      <c r="CH239" s="1234"/>
      <c r="CI239" s="1234"/>
      <c r="CJ239" s="1239">
        <f>CJ238/CJ257</f>
        <v>14.665678483626172</v>
      </c>
      <c r="CK239" s="166"/>
      <c r="CL239" s="244"/>
      <c r="CM239" s="661" t="s">
        <v>417</v>
      </c>
      <c r="CN239" s="554"/>
      <c r="CO239" s="554"/>
      <c r="CP239" s="1020"/>
      <c r="CQ239" s="554"/>
      <c r="CR239" s="554"/>
      <c r="CS239" s="734"/>
      <c r="CT239" s="734"/>
      <c r="CU239" s="1197"/>
      <c r="CV239" s="554"/>
      <c r="CW239" s="555"/>
      <c r="CX239" s="556"/>
      <c r="CY239" s="556"/>
      <c r="CZ239"/>
      <c r="DA239"/>
      <c r="DB239"/>
      <c r="DC239"/>
      <c r="DD239"/>
    </row>
    <row r="240" spans="1:108" s="40" customFormat="1">
      <c r="A240" s="171" t="s">
        <v>21</v>
      </c>
      <c r="B240" s="29"/>
      <c r="C240" s="29">
        <f>C239/B239-1</f>
        <v>0.10317310248366929</v>
      </c>
      <c r="D240" s="29">
        <f>D239/C239-1</f>
        <v>-3.8226404526931712E-2</v>
      </c>
      <c r="E240" s="29">
        <f>E239/D239-1</f>
        <v>0.20200390347172426</v>
      </c>
      <c r="F240" s="29">
        <f>F239/E239-1</f>
        <v>0.2070381552028917</v>
      </c>
      <c r="G240" s="29">
        <f>G239/F239-1</f>
        <v>0.17513323228866184</v>
      </c>
      <c r="H240" s="30"/>
      <c r="I240" s="30"/>
      <c r="J240" s="30"/>
      <c r="K240" s="30"/>
      <c r="L240" s="29">
        <f t="shared" ref="L240:AS240" si="603">L239/G239-1</f>
        <v>0.21249951637240616</v>
      </c>
      <c r="M240" s="30">
        <f t="shared" si="603"/>
        <v>0.32025621404282978</v>
      </c>
      <c r="N240" s="30">
        <f t="shared" si="603"/>
        <v>0.26023444327652445</v>
      </c>
      <c r="O240" s="30">
        <f t="shared" si="603"/>
        <v>0.18743365786720245</v>
      </c>
      <c r="P240" s="30">
        <f t="shared" si="603"/>
        <v>0.13836478546002273</v>
      </c>
      <c r="Q240" s="29">
        <f t="shared" si="603"/>
        <v>0.21943407420269723</v>
      </c>
      <c r="R240" s="30">
        <f t="shared" si="603"/>
        <v>8.2161074167121928E-2</v>
      </c>
      <c r="S240" s="30">
        <f t="shared" si="603"/>
        <v>6.5356187186900172E-3</v>
      </c>
      <c r="T240" s="30">
        <f t="shared" si="603"/>
        <v>-6.574339427520659E-2</v>
      </c>
      <c r="U240" s="30">
        <f t="shared" si="603"/>
        <v>-2.030492791836036E-2</v>
      </c>
      <c r="V240" s="29">
        <f t="shared" si="603"/>
        <v>-1.8108964455653132E-3</v>
      </c>
      <c r="W240" s="30">
        <f t="shared" si="603"/>
        <v>2.9452932268552168E-3</v>
      </c>
      <c r="X240" s="30">
        <f t="shared" si="603"/>
        <v>4.3473378928494677E-2</v>
      </c>
      <c r="Y240" s="30">
        <f t="shared" si="603"/>
        <v>0.14518493662972443</v>
      </c>
      <c r="Z240" s="30">
        <f t="shared" si="603"/>
        <v>0.20810318943126549</v>
      </c>
      <c r="AA240" s="29">
        <f t="shared" si="603"/>
        <v>9.9692318231656252E-2</v>
      </c>
      <c r="AB240" s="30">
        <f t="shared" si="603"/>
        <v>6.6212515013509998E-2</v>
      </c>
      <c r="AC240" s="30">
        <f t="shared" si="603"/>
        <v>7.0144353535879889E-2</v>
      </c>
      <c r="AD240" s="30">
        <f t="shared" si="603"/>
        <v>7.999419162787702E-2</v>
      </c>
      <c r="AE240" s="30">
        <f t="shared" si="603"/>
        <v>-0.123357172791415</v>
      </c>
      <c r="AF240" s="29">
        <f t="shared" si="603"/>
        <v>1.7851085639735365E-2</v>
      </c>
      <c r="AG240" s="30">
        <f t="shared" si="603"/>
        <v>-4.4210685554673002E-2</v>
      </c>
      <c r="AH240" s="30">
        <f t="shared" si="603"/>
        <v>-1.0758380092459552E-2</v>
      </c>
      <c r="AI240" s="30">
        <f t="shared" si="603"/>
        <v>-7.191448007774548E-2</v>
      </c>
      <c r="AJ240" s="30">
        <f t="shared" si="603"/>
        <v>-0.17144458905923388</v>
      </c>
      <c r="AK240" s="29">
        <f t="shared" si="603"/>
        <v>-7.3499575432080855E-2</v>
      </c>
      <c r="AL240" s="30">
        <f t="shared" si="603"/>
        <v>2.9259238729318016E-2</v>
      </c>
      <c r="AM240" s="30">
        <f t="shared" si="603"/>
        <v>2.2335886610535649E-2</v>
      </c>
      <c r="AN240" s="30">
        <f t="shared" si="603"/>
        <v>8.4637224511076248E-2</v>
      </c>
      <c r="AO240" s="30">
        <f t="shared" si="603"/>
        <v>0.26585820574055474</v>
      </c>
      <c r="AP240" s="29">
        <f t="shared" si="603"/>
        <v>9.3107115613773717E-2</v>
      </c>
      <c r="AQ240" s="30">
        <f t="shared" si="603"/>
        <v>6.0843714416231931E-2</v>
      </c>
      <c r="AR240" s="30">
        <f t="shared" si="603"/>
        <v>3.915993261082007E-2</v>
      </c>
      <c r="AS240" s="30">
        <f t="shared" si="603"/>
        <v>0.11571393264619023</v>
      </c>
      <c r="AT240" s="30">
        <f t="shared" ref="AT240:AZ240" si="604">AT239/AO239-1</f>
        <v>0.24044474733128696</v>
      </c>
      <c r="AU240" s="29">
        <f t="shared" si="604"/>
        <v>0.11457282878172514</v>
      </c>
      <c r="AV240" s="30">
        <f t="shared" si="604"/>
        <v>0.24854285610838689</v>
      </c>
      <c r="AW240" s="30">
        <f t="shared" si="604"/>
        <v>0.20398355925111233</v>
      </c>
      <c r="AX240" s="30">
        <f t="shared" si="604"/>
        <v>0.10629690477990938</v>
      </c>
      <c r="AY240" s="30">
        <f t="shared" si="604"/>
        <v>9.959672355569027E-2</v>
      </c>
      <c r="AZ240" s="29">
        <f t="shared" si="604"/>
        <v>0.15797518811616729</v>
      </c>
      <c r="BA240" s="29"/>
      <c r="BB240" s="30">
        <f t="shared" ref="BB240:BJ240" si="605">BB239/AV239-1</f>
        <v>9.2461761804262022E-2</v>
      </c>
      <c r="BC240" s="30">
        <f t="shared" si="605"/>
        <v>7.6923729829593945E-2</v>
      </c>
      <c r="BD240" s="30">
        <f t="shared" si="605"/>
        <v>8.7634970337745921E-2</v>
      </c>
      <c r="BE240" s="30">
        <f t="shared" si="605"/>
        <v>8.9837246599404397E-2</v>
      </c>
      <c r="BF240" s="29">
        <f t="shared" si="605"/>
        <v>8.6831674439434403E-2</v>
      </c>
      <c r="BG240" s="1031">
        <f t="shared" si="605"/>
        <v>-0.77995775855484384</v>
      </c>
      <c r="BH240" s="1031">
        <f t="shared" si="605"/>
        <v>-1.5176719252976922E-2</v>
      </c>
      <c r="BI240" s="1031">
        <f t="shared" si="605"/>
        <v>-3.4038183176671843E-2</v>
      </c>
      <c r="BJ240" s="1031">
        <f t="shared" si="605"/>
        <v>-0.23663573359077839</v>
      </c>
      <c r="BK240" s="1240">
        <f t="shared" ref="BK240" si="606">BK239/BA239-1</f>
        <v>-8.4149141858235077E-2</v>
      </c>
      <c r="BL240" s="1031">
        <f>BL239/BG239-1</f>
        <v>0.1960078884341403</v>
      </c>
      <c r="BM240" s="527">
        <f>BM239/BH239-1</f>
        <v>6.5709102701175581E-2</v>
      </c>
      <c r="BN240" s="527">
        <f>BN239/BI239-1</f>
        <v>6.5612903174377735E-2</v>
      </c>
      <c r="BO240" s="527">
        <f>BO239/BJ239-1</f>
        <v>0.32074338005253678</v>
      </c>
      <c r="BP240" s="1240">
        <f>BP239/BK239-1</f>
        <v>0.15141323457743283</v>
      </c>
      <c r="BQ240" s="31">
        <f t="shared" ref="BQ240:BU240" si="607">BQ239/BL239-1</f>
        <v>1.7680053714516308E-2</v>
      </c>
      <c r="BR240" s="30">
        <f t="shared" si="607"/>
        <v>0.13550963523808379</v>
      </c>
      <c r="BS240" s="30">
        <f t="shared" si="607"/>
        <v>0.13175886568680784</v>
      </c>
      <c r="BT240" s="1106">
        <f t="shared" si="607"/>
        <v>0.26021306473403971</v>
      </c>
      <c r="BU240" s="1284">
        <f t="shared" si="607"/>
        <v>0.13625932510161509</v>
      </c>
      <c r="BV240" s="30"/>
      <c r="BW240" s="30"/>
      <c r="BX240" s="30"/>
      <c r="BY240" s="30"/>
      <c r="BZ240" s="29">
        <f>BZ239/BU239-1</f>
        <v>9.7744777257408266E-2</v>
      </c>
      <c r="CA240" s="31"/>
      <c r="CB240" s="30"/>
      <c r="CC240" s="30"/>
      <c r="CD240" s="30"/>
      <c r="CE240" s="29">
        <f>CE239/BZ239-1</f>
        <v>8.0024856373470232E-2</v>
      </c>
      <c r="CF240" s="31"/>
      <c r="CG240" s="30"/>
      <c r="CH240" s="30"/>
      <c r="CI240" s="30"/>
      <c r="CJ240" s="29">
        <f>CJ239/CE239-1</f>
        <v>9.4173727300964627E-2</v>
      </c>
      <c r="CK240" s="39"/>
      <c r="CL240" s="7"/>
      <c r="CM240" s="661"/>
      <c r="CN240" s="734"/>
      <c r="CO240" s="734"/>
      <c r="CP240" s="734"/>
      <c r="CQ240" s="734"/>
      <c r="CR240" s="734"/>
      <c r="CS240" s="941"/>
      <c r="CT240" s="571"/>
      <c r="CU240" s="1198"/>
      <c r="CV240" s="734"/>
      <c r="CW240" s="75"/>
      <c r="CX240" s="38"/>
      <c r="CY240" s="38"/>
      <c r="CZ240"/>
      <c r="DA240"/>
      <c r="DB240"/>
      <c r="DC240"/>
      <c r="DD240"/>
    </row>
    <row r="241" spans="1:108">
      <c r="A241" s="162" t="s">
        <v>165</v>
      </c>
      <c r="B241" s="163">
        <f t="shared" ref="B241:AP241" si="608">B238/B255</f>
        <v>4.6892093485827946</v>
      </c>
      <c r="C241" s="163">
        <f t="shared" si="608"/>
        <v>2.5825676682393843</v>
      </c>
      <c r="D241" s="163">
        <f t="shared" si="608"/>
        <v>2.4823053589484325</v>
      </c>
      <c r="E241" s="163">
        <f t="shared" si="608"/>
        <v>2.9917313956401901</v>
      </c>
      <c r="F241" s="163">
        <f t="shared" si="608"/>
        <v>3.6055776892430278</v>
      </c>
      <c r="G241" s="163">
        <f t="shared" si="608"/>
        <v>4.2389687654933068</v>
      </c>
      <c r="H241" s="164">
        <f t="shared" si="608"/>
        <v>1.0848233217290111</v>
      </c>
      <c r="I241" s="164">
        <f t="shared" si="608"/>
        <v>1.2785388127853883</v>
      </c>
      <c r="J241" s="164">
        <f t="shared" si="608"/>
        <v>1.3476387832605428</v>
      </c>
      <c r="K241" s="164">
        <f t="shared" si="608"/>
        <v>1.4331762955616165</v>
      </c>
      <c r="L241" s="163">
        <f t="shared" si="608"/>
        <v>5.1434223541048469</v>
      </c>
      <c r="M241" s="164">
        <f t="shared" si="608"/>
        <v>1.4297869792069549</v>
      </c>
      <c r="N241" s="164">
        <f t="shared" si="608"/>
        <v>1.6085683240022988</v>
      </c>
      <c r="O241" s="164">
        <f t="shared" si="608"/>
        <v>1.5979916722957646</v>
      </c>
      <c r="P241" s="164">
        <f t="shared" si="608"/>
        <v>1.6203620351747166</v>
      </c>
      <c r="Q241" s="163">
        <f t="shared" si="608"/>
        <v>6.2544169611307421</v>
      </c>
      <c r="R241" s="164">
        <f t="shared" si="608"/>
        <v>1.5381565136259379</v>
      </c>
      <c r="S241" s="164">
        <f t="shared" si="608"/>
        <v>1.6141130027140389</v>
      </c>
      <c r="T241" s="164">
        <f t="shared" si="608"/>
        <v>1.4925644333576471</v>
      </c>
      <c r="U241" s="164">
        <f t="shared" si="608"/>
        <v>1.6031128404669261</v>
      </c>
      <c r="V241" s="163">
        <f t="shared" si="608"/>
        <v>6.2425680933852146</v>
      </c>
      <c r="W241" s="164">
        <f t="shared" si="608"/>
        <v>1.5565597690366741</v>
      </c>
      <c r="X241" s="164">
        <f t="shared" si="608"/>
        <v>1.6939714392772389</v>
      </c>
      <c r="Y241" s="164">
        <f t="shared" si="608"/>
        <v>1.6967320261437908</v>
      </c>
      <c r="Z241" s="164">
        <f t="shared" si="608"/>
        <v>1.9352269710645076</v>
      </c>
      <c r="AA241" s="163">
        <f t="shared" si="608"/>
        <v>6.8932955618508025</v>
      </c>
      <c r="AB241" s="164">
        <f t="shared" si="608"/>
        <v>1.6582590962756252</v>
      </c>
      <c r="AC241" s="164">
        <f t="shared" si="608"/>
        <v>1.8097826086956521</v>
      </c>
      <c r="AD241" s="164">
        <f t="shared" si="608"/>
        <v>1.84876285793717</v>
      </c>
      <c r="AE241" s="164">
        <f t="shared" si="608"/>
        <v>1.6928691746209994</v>
      </c>
      <c r="AF241" s="163">
        <f>AF238/AF255</f>
        <v>7.0081972840489373</v>
      </c>
      <c r="AG241" s="164">
        <f t="shared" si="608"/>
        <v>1.5798319327731092</v>
      </c>
      <c r="AH241" s="164">
        <f t="shared" si="608"/>
        <v>1.7856740497059553</v>
      </c>
      <c r="AI241" s="164">
        <f t="shared" si="608"/>
        <v>1.7119867606357175</v>
      </c>
      <c r="AJ241" s="164">
        <f t="shared" si="608"/>
        <v>1.3992590481618696</v>
      </c>
      <c r="AK241" s="163">
        <f>AK238/AK255</f>
        <v>6.4775261817152563</v>
      </c>
      <c r="AL241" s="164">
        <f>AL238/AL255</f>
        <v>1.6227445697737537</v>
      </c>
      <c r="AM241" s="164">
        <f t="shared" si="608"/>
        <v>1.822842495015665</v>
      </c>
      <c r="AN241" s="164">
        <f t="shared" si="608"/>
        <v>1.8633167037326441</v>
      </c>
      <c r="AO241" s="164">
        <f t="shared" si="608"/>
        <v>1.7803138373751783</v>
      </c>
      <c r="AP241" s="163">
        <f t="shared" si="608"/>
        <v>7.0884271304843711</v>
      </c>
      <c r="AQ241" s="164">
        <f t="shared" ref="AQ241:BK241" si="609">AQ238/AQ255</f>
        <v>1.7385866897309425</v>
      </c>
      <c r="AR241" s="164">
        <f t="shared" si="609"/>
        <v>1.9186675062074536</v>
      </c>
      <c r="AS241" s="164">
        <f t="shared" si="609"/>
        <v>2.0975796462443985</v>
      </c>
      <c r="AT241" s="164">
        <f t="shared" si="609"/>
        <v>2.1868063676937397</v>
      </c>
      <c r="AU241" s="163">
        <f t="shared" si="609"/>
        <v>7.9439672433943302</v>
      </c>
      <c r="AV241" s="164">
        <f t="shared" si="609"/>
        <v>2.1752735801478944</v>
      </c>
      <c r="AW241" s="164">
        <f t="shared" si="609"/>
        <v>2.3056663590400821</v>
      </c>
      <c r="AX241" s="164">
        <f t="shared" si="609"/>
        <v>2.3146393836049008</v>
      </c>
      <c r="AY241" s="164">
        <f t="shared" si="609"/>
        <v>2.4385572933290773</v>
      </c>
      <c r="AZ241" s="163">
        <f t="shared" si="609"/>
        <v>9.2277623376582962</v>
      </c>
      <c r="BA241" s="163">
        <f t="shared" ref="BA241" si="610">BA238/BA255</f>
        <v>9.5918932629554359</v>
      </c>
      <c r="BB241" s="164">
        <f t="shared" si="609"/>
        <v>2.370684056013094</v>
      </c>
      <c r="BC241" s="164">
        <f t="shared" si="609"/>
        <v>2.4895720432226489</v>
      </c>
      <c r="BD241" s="164">
        <f t="shared" si="609"/>
        <v>2.5235409853325352</v>
      </c>
      <c r="BE241" s="164">
        <f t="shared" si="609"/>
        <v>2.6677685950413221</v>
      </c>
      <c r="BF241" s="163">
        <f t="shared" si="609"/>
        <v>10.04899788977608</v>
      </c>
      <c r="BG241" s="1235">
        <f t="shared" ref="BG241" si="611">BG238/BG255</f>
        <v>2.1238731131952924</v>
      </c>
      <c r="BH241" s="1235">
        <f>BH238/BH255+0.01</f>
        <v>2.3548275862068961</v>
      </c>
      <c r="BI241" s="1235">
        <f>BI238/BI255-0.01</f>
        <v>2.3953965120105303</v>
      </c>
      <c r="BJ241" s="1235">
        <f t="shared" ref="BJ241" si="612">BJ238/BJ255</f>
        <v>1.9173553719008265</v>
      </c>
      <c r="BK241" s="640">
        <f t="shared" si="609"/>
        <v>8.7920526932430167</v>
      </c>
      <c r="BL241" s="1235">
        <f t="shared" ref="BL241:BN241" si="613">BL238/BL255</f>
        <v>2.52840730222586</v>
      </c>
      <c r="BM241" s="1235">
        <f t="shared" si="613"/>
        <v>2.4984155575569562</v>
      </c>
      <c r="BN241" s="1235">
        <f t="shared" si="613"/>
        <v>2.5625115296248473</v>
      </c>
      <c r="BO241" s="1235">
        <f t="shared" ref="BO241:BP241" si="614">BO238/BO255</f>
        <v>2.5236318906849569</v>
      </c>
      <c r="BP241" s="640">
        <f t="shared" si="614"/>
        <v>10.131295709491528</v>
      </c>
      <c r="BQ241" s="165">
        <f t="shared" ref="BQ241:BU241" si="615">BQ238/BQ255</f>
        <v>2.5781148899954456</v>
      </c>
      <c r="BR241" s="164">
        <f t="shared" si="615"/>
        <v>2.8417005060485825</v>
      </c>
      <c r="BS241" s="164">
        <f t="shared" si="615"/>
        <v>2.9042442284483809</v>
      </c>
      <c r="BT241" s="1141">
        <f t="shared" si="615"/>
        <v>3.2100568956619435</v>
      </c>
      <c r="BU241" s="163">
        <f t="shared" si="615"/>
        <v>11.534116520154354</v>
      </c>
      <c r="BV241" s="164"/>
      <c r="BW241" s="164"/>
      <c r="BX241" s="164"/>
      <c r="BY241" s="164"/>
      <c r="BZ241" s="163">
        <f>BZ238/BZ255</f>
        <v>12.640193307074268</v>
      </c>
      <c r="CA241" s="165"/>
      <c r="CB241" s="164"/>
      <c r="CC241" s="164"/>
      <c r="CD241" s="164"/>
      <c r="CE241" s="163">
        <f>CE238/CE255</f>
        <v>13.651722961005785</v>
      </c>
      <c r="CF241" s="165"/>
      <c r="CG241" s="164"/>
      <c r="CH241" s="164"/>
      <c r="CI241" s="164"/>
      <c r="CJ241" s="163">
        <f>CJ238/CJ255</f>
        <v>14.943005892961311</v>
      </c>
      <c r="CK241" s="32"/>
      <c r="CL241" s="14"/>
      <c r="CM241" s="661"/>
      <c r="CN241" s="661"/>
      <c r="CO241" s="661"/>
      <c r="CP241" s="661"/>
      <c r="CQ241" s="661"/>
      <c r="CR241" s="569"/>
      <c r="CS241" s="440"/>
      <c r="CT241" s="440"/>
      <c r="CU241" s="440"/>
      <c r="CV241" s="569"/>
      <c r="CW241" s="74"/>
      <c r="CX241" s="33"/>
      <c r="CY241" s="33"/>
    </row>
    <row r="242" spans="1:108" s="40" customFormat="1">
      <c r="A242" s="171" t="s">
        <v>21</v>
      </c>
      <c r="B242" s="29"/>
      <c r="C242" s="29">
        <f>C241/B241-1</f>
        <v>-0.44925306672010579</v>
      </c>
      <c r="D242" s="29">
        <f>D241/C241-1</f>
        <v>-3.8822723030256023E-2</v>
      </c>
      <c r="E242" s="29">
        <f>E241/D241-1</f>
        <v>0.20522295327419493</v>
      </c>
      <c r="F242" s="29">
        <f>F241/E241-1</f>
        <v>0.20518095123692848</v>
      </c>
      <c r="G242" s="29">
        <f>G241/F241-1</f>
        <v>0.17566979020864082</v>
      </c>
      <c r="H242" s="30"/>
      <c r="I242" s="30"/>
      <c r="J242" s="30"/>
      <c r="K242" s="30"/>
      <c r="L242" s="29">
        <f t="shared" ref="L242:AS242" si="616">L241/G241-1</f>
        <v>0.21336641967596215</v>
      </c>
      <c r="M242" s="30">
        <f t="shared" si="616"/>
        <v>0.31799063549641837</v>
      </c>
      <c r="N242" s="30">
        <f t="shared" si="616"/>
        <v>0.25813022484465487</v>
      </c>
      <c r="O242" s="30">
        <f t="shared" si="616"/>
        <v>0.18577150802198328</v>
      </c>
      <c r="P242" s="30">
        <f t="shared" si="616"/>
        <v>0.13060901174042083</v>
      </c>
      <c r="Q242" s="29">
        <f t="shared" si="616"/>
        <v>0.21600298994291922</v>
      </c>
      <c r="R242" s="30">
        <f t="shared" si="616"/>
        <v>7.579418192708065E-2</v>
      </c>
      <c r="S242" s="30">
        <f t="shared" si="616"/>
        <v>3.4469649992512341E-3</v>
      </c>
      <c r="T242" s="30">
        <f t="shared" si="616"/>
        <v>-6.5974836268486103E-2</v>
      </c>
      <c r="U242" s="30">
        <f t="shared" si="616"/>
        <v>-1.064527206472754E-2</v>
      </c>
      <c r="V242" s="29">
        <f t="shared" si="616"/>
        <v>-1.8944799841719151E-3</v>
      </c>
      <c r="W242" s="30">
        <f t="shared" si="616"/>
        <v>1.1964488169902587E-2</v>
      </c>
      <c r="X242" s="30">
        <f t="shared" si="616"/>
        <v>4.9475121276467471E-2</v>
      </c>
      <c r="Y242" s="30">
        <f t="shared" si="616"/>
        <v>0.13678980164819543</v>
      </c>
      <c r="Z242" s="30">
        <f t="shared" si="616"/>
        <v>0.20716828049412239</v>
      </c>
      <c r="AA242" s="29">
        <f t="shared" si="616"/>
        <v>0.10424034767920531</v>
      </c>
      <c r="AB242" s="30">
        <f t="shared" si="616"/>
        <v>6.5335960277253413E-2</v>
      </c>
      <c r="AC242" s="30">
        <f t="shared" si="616"/>
        <v>6.8366659987978196E-2</v>
      </c>
      <c r="AD242" s="30">
        <f t="shared" si="616"/>
        <v>8.9602146627068668E-2</v>
      </c>
      <c r="AE242" s="30">
        <f t="shared" si="616"/>
        <v>-0.12523481744892939</v>
      </c>
      <c r="AF242" s="29">
        <f t="shared" si="616"/>
        <v>1.6668619699702125E-2</v>
      </c>
      <c r="AG242" s="30">
        <f t="shared" si="616"/>
        <v>-4.7294879116695276E-2</v>
      </c>
      <c r="AH242" s="30">
        <f t="shared" si="616"/>
        <v>-1.3321245808120774E-2</v>
      </c>
      <c r="AI242" s="30">
        <f t="shared" si="616"/>
        <v>-7.3982499547868286E-2</v>
      </c>
      <c r="AJ242" s="30">
        <f t="shared" si="616"/>
        <v>-0.17343934833290553</v>
      </c>
      <c r="AK242" s="29">
        <f t="shared" si="616"/>
        <v>-7.5721484545179574E-2</v>
      </c>
      <c r="AL242" s="30">
        <f t="shared" si="616"/>
        <v>2.7162786186578192E-2</v>
      </c>
      <c r="AM242" s="30">
        <f t="shared" si="616"/>
        <v>2.0814798375901944E-2</v>
      </c>
      <c r="AN242" s="30">
        <f t="shared" si="616"/>
        <v>8.8394341928633047E-2</v>
      </c>
      <c r="AO242" s="30">
        <f t="shared" si="616"/>
        <v>0.27232612125244393</v>
      </c>
      <c r="AP242" s="29">
        <f t="shared" si="616"/>
        <v>9.4310842076341439E-2</v>
      </c>
      <c r="AQ242" s="30">
        <f t="shared" si="616"/>
        <v>7.1386539887383416E-2</v>
      </c>
      <c r="AR242" s="30">
        <f t="shared" si="616"/>
        <v>5.2569002233495254E-2</v>
      </c>
      <c r="AS242" s="30">
        <f t="shared" si="616"/>
        <v>0.12572363143767928</v>
      </c>
      <c r="AT242" s="30">
        <f t="shared" ref="AT242:AZ242" si="617">AT241/AO241-1</f>
        <v>0.22832633313566619</v>
      </c>
      <c r="AU242" s="29">
        <f t="shared" si="617"/>
        <v>0.12069533863593485</v>
      </c>
      <c r="AV242" s="30">
        <f t="shared" si="617"/>
        <v>0.2511734922372677</v>
      </c>
      <c r="AW242" s="30">
        <f t="shared" si="617"/>
        <v>0.20170188507418474</v>
      </c>
      <c r="AX242" s="30">
        <f t="shared" si="617"/>
        <v>0.10348104671454839</v>
      </c>
      <c r="AY242" s="30">
        <f t="shared" si="617"/>
        <v>0.11512264156283769</v>
      </c>
      <c r="AZ242" s="29">
        <f t="shared" si="617"/>
        <v>0.16160629253997549</v>
      </c>
      <c r="BA242" s="29"/>
      <c r="BB242" s="30">
        <f t="shared" ref="BB242:BJ242" si="618">BB241/AV241-1</f>
        <v>8.9832597448231688E-2</v>
      </c>
      <c r="BC242" s="30">
        <f t="shared" si="618"/>
        <v>7.9762487517548886E-2</v>
      </c>
      <c r="BD242" s="30">
        <f t="shared" si="618"/>
        <v>9.0252331835071198E-2</v>
      </c>
      <c r="BE242" s="30">
        <f t="shared" si="618"/>
        <v>9.3994634589589454E-2</v>
      </c>
      <c r="BF242" s="29">
        <f t="shared" si="618"/>
        <v>8.8996175027865609E-2</v>
      </c>
      <c r="BG242" s="1031">
        <f t="shared" si="618"/>
        <v>-0.77857623568458179</v>
      </c>
      <c r="BH242" s="1031">
        <f t="shared" si="618"/>
        <v>-6.6885630609354596E-3</v>
      </c>
      <c r="BI242" s="1031">
        <f t="shared" si="618"/>
        <v>-3.7827999984371696E-2</v>
      </c>
      <c r="BJ242" s="1031">
        <f t="shared" si="618"/>
        <v>-0.2402123115713255</v>
      </c>
      <c r="BK242" s="1240">
        <f>BK241/BA241-1</f>
        <v>-8.3387142432189032E-2</v>
      </c>
      <c r="BL242" s="1031">
        <f>BL241/BG241-1</f>
        <v>0.1904700363299765</v>
      </c>
      <c r="BM242" s="527">
        <f>BM241/BH241-1</f>
        <v>6.0976001891224874E-2</v>
      </c>
      <c r="BN242" s="527">
        <f t="shared" ref="BN242:BO242" si="619">BN241/BI241-1</f>
        <v>6.9765075124891274E-2</v>
      </c>
      <c r="BO242" s="527">
        <f t="shared" si="619"/>
        <v>0.31620456367620586</v>
      </c>
      <c r="BP242" s="1240">
        <f>BP241/BK241-1</f>
        <v>0.15232427090408174</v>
      </c>
      <c r="BQ242" s="31">
        <f t="shared" ref="BQ242:BU242" si="620">BQ241/BL241-1</f>
        <v>1.9659644126888143E-2</v>
      </c>
      <c r="BR242" s="30">
        <f t="shared" si="620"/>
        <v>0.13740106102577387</v>
      </c>
      <c r="BS242" s="30">
        <f t="shared" si="620"/>
        <v>0.13335850195123355</v>
      </c>
      <c r="BT242" s="1106">
        <f t="shared" si="620"/>
        <v>0.27199886303175513</v>
      </c>
      <c r="BU242" s="1284">
        <f t="shared" si="620"/>
        <v>0.13846410675276122</v>
      </c>
      <c r="BV242" s="30"/>
      <c r="BW242" s="30"/>
      <c r="BX242" s="30"/>
      <c r="BY242" s="30"/>
      <c r="BZ242" s="29">
        <f>BZ241/BU241-1</f>
        <v>9.5896099626459508E-2</v>
      </c>
      <c r="CA242" s="31"/>
      <c r="CB242" s="30"/>
      <c r="CC242" s="30"/>
      <c r="CD242" s="30"/>
      <c r="CE242" s="29">
        <f>CE241/BZ241-1</f>
        <v>8.002485637347001E-2</v>
      </c>
      <c r="CF242" s="31"/>
      <c r="CG242" s="30"/>
      <c r="CH242" s="30"/>
      <c r="CI242" s="30"/>
      <c r="CJ242" s="29">
        <f>CJ241/CE241-1</f>
        <v>9.4587542952922155E-2</v>
      </c>
      <c r="CK242" s="39"/>
      <c r="CL242" s="7"/>
      <c r="CM242" s="733"/>
      <c r="CN242" s="734"/>
      <c r="CO242" s="734"/>
      <c r="CP242" s="571"/>
      <c r="CQ242" s="571"/>
      <c r="CR242" s="996"/>
      <c r="CS242" s="941"/>
      <c r="CT242" s="703"/>
      <c r="CU242" s="703"/>
      <c r="CV242" s="571"/>
      <c r="CW242" s="75"/>
      <c r="CX242" s="38"/>
      <c r="CY242" s="38"/>
      <c r="CZ242"/>
      <c r="DA242"/>
      <c r="DB242"/>
      <c r="DC242"/>
      <c r="DD242"/>
    </row>
    <row r="243" spans="1:108" s="40" customFormat="1">
      <c r="A243" s="369" t="s">
        <v>96</v>
      </c>
      <c r="B243" s="167"/>
      <c r="C243" s="167"/>
      <c r="D243" s="167"/>
      <c r="E243" s="167"/>
      <c r="F243" s="167"/>
      <c r="G243" s="167"/>
      <c r="H243" s="168"/>
      <c r="I243" s="168"/>
      <c r="J243" s="168"/>
      <c r="K243" s="168"/>
      <c r="L243" s="167"/>
      <c r="M243" s="168"/>
      <c r="N243" s="168"/>
      <c r="O243" s="168"/>
      <c r="P243" s="168"/>
      <c r="Q243" s="167"/>
      <c r="R243" s="168"/>
      <c r="S243" s="168"/>
      <c r="T243" s="168"/>
      <c r="U243" s="168"/>
      <c r="V243" s="167"/>
      <c r="W243" s="168"/>
      <c r="X243" s="168"/>
      <c r="Y243" s="168"/>
      <c r="Z243" s="168"/>
      <c r="AA243" s="167"/>
      <c r="AB243" s="168"/>
      <c r="AC243" s="168"/>
      <c r="AD243" s="168"/>
      <c r="AE243" s="168"/>
      <c r="AF243" s="558"/>
      <c r="AG243" s="559"/>
      <c r="AH243" s="168"/>
      <c r="AI243" s="168"/>
      <c r="AJ243" s="103"/>
      <c r="AK243" s="167"/>
      <c r="AL243" s="168"/>
      <c r="AM243" s="168"/>
      <c r="AN243" s="168"/>
      <c r="AO243" s="168"/>
      <c r="AP243" s="167"/>
      <c r="AQ243" s="169"/>
      <c r="AR243" s="168"/>
      <c r="AS243" s="168"/>
      <c r="AT243" s="168"/>
      <c r="AU243" s="167"/>
      <c r="AV243" s="169"/>
      <c r="AW243" s="168"/>
      <c r="AX243" s="168"/>
      <c r="AY243" s="168"/>
      <c r="AZ243" s="167"/>
      <c r="BA243" s="167"/>
      <c r="BB243" s="169"/>
      <c r="BC243" s="168"/>
      <c r="BD243" s="168"/>
      <c r="BE243" s="168"/>
      <c r="BF243" s="167"/>
      <c r="BG243" s="169"/>
      <c r="BH243" s="168"/>
      <c r="BI243" s="168"/>
      <c r="BJ243" s="168"/>
      <c r="BK243" s="167"/>
      <c r="BL243" s="169"/>
      <c r="BM243" s="168"/>
      <c r="BN243" s="168"/>
      <c r="BO243" s="168"/>
      <c r="BP243" s="167"/>
      <c r="BQ243" s="169"/>
      <c r="BR243" s="168"/>
      <c r="BS243" s="168"/>
      <c r="BT243" s="1142"/>
      <c r="BU243" s="1317"/>
      <c r="BV243" s="168"/>
      <c r="BW243" s="168"/>
      <c r="BX243" s="168"/>
      <c r="BY243" s="168"/>
      <c r="BZ243" s="167"/>
      <c r="CA243" s="169"/>
      <c r="CB243" s="168"/>
      <c r="CC243" s="168"/>
      <c r="CD243" s="168"/>
      <c r="CE243" s="167"/>
      <c r="CF243" s="169"/>
      <c r="CG243" s="168"/>
      <c r="CH243" s="168"/>
      <c r="CI243" s="168"/>
      <c r="CJ243" s="167"/>
      <c r="CK243" s="39"/>
      <c r="CL243" s="7"/>
      <c r="CM243" s="733"/>
      <c r="CN243" s="734"/>
      <c r="CO243" s="734"/>
      <c r="CP243" s="1260"/>
      <c r="CQ243" s="1260"/>
      <c r="CR243" s="707"/>
      <c r="CS243" s="941"/>
      <c r="CT243" s="703"/>
      <c r="CU243" s="703"/>
      <c r="CV243" s="571"/>
      <c r="CW243" s="75"/>
      <c r="CX243" s="38"/>
      <c r="CY243" s="38"/>
      <c r="CZ243"/>
      <c r="DA243"/>
      <c r="DB243"/>
      <c r="DC243"/>
      <c r="DD243"/>
    </row>
    <row r="244" spans="1:108" s="565" customFormat="1">
      <c r="A244" s="560" t="s">
        <v>201</v>
      </c>
      <c r="B244" s="388">
        <v>0</v>
      </c>
      <c r="C244" s="388">
        <v>0</v>
      </c>
      <c r="D244" s="388">
        <v>0</v>
      </c>
      <c r="E244" s="388">
        <v>0</v>
      </c>
      <c r="F244" s="388">
        <v>0</v>
      </c>
      <c r="G244" s="388">
        <v>0</v>
      </c>
      <c r="H244" s="389">
        <v>0</v>
      </c>
      <c r="I244" s="389">
        <v>0</v>
      </c>
      <c r="J244" s="389">
        <v>0</v>
      </c>
      <c r="K244" s="389">
        <v>0</v>
      </c>
      <c r="L244" s="388">
        <v>0</v>
      </c>
      <c r="M244" s="389">
        <v>0</v>
      </c>
      <c r="N244" s="389">
        <v>0</v>
      </c>
      <c r="O244" s="389">
        <v>0</v>
      </c>
      <c r="P244" s="389">
        <v>0</v>
      </c>
      <c r="Q244" s="388">
        <v>0</v>
      </c>
      <c r="R244" s="389">
        <v>0</v>
      </c>
      <c r="S244" s="389">
        <v>0</v>
      </c>
      <c r="T244" s="389">
        <v>0</v>
      </c>
      <c r="U244" s="389">
        <v>0</v>
      </c>
      <c r="V244" s="388">
        <v>0</v>
      </c>
      <c r="W244" s="389">
        <v>0</v>
      </c>
      <c r="X244" s="389">
        <v>0</v>
      </c>
      <c r="Y244" s="389">
        <v>0</v>
      </c>
      <c r="Z244" s="389">
        <v>0</v>
      </c>
      <c r="AA244" s="388">
        <v>0</v>
      </c>
      <c r="AB244" s="389">
        <v>0</v>
      </c>
      <c r="AC244" s="389">
        <v>0</v>
      </c>
      <c r="AD244" s="389">
        <v>0</v>
      </c>
      <c r="AE244" s="389">
        <v>0</v>
      </c>
      <c r="AF244" s="388">
        <f>SUM(AB244:AE244)</f>
        <v>0</v>
      </c>
      <c r="AG244" s="389">
        <v>0</v>
      </c>
      <c r="AH244" s="389">
        <v>0</v>
      </c>
      <c r="AI244" s="389">
        <v>0</v>
      </c>
      <c r="AJ244" s="222">
        <f>240-(1994+301+292+98+53+123)</f>
        <v>-2621</v>
      </c>
      <c r="AK244" s="388">
        <f>+SUM(AG244:AJ244)</f>
        <v>-2621</v>
      </c>
      <c r="AL244" s="389">
        <v>0</v>
      </c>
      <c r="AM244" s="389">
        <v>0</v>
      </c>
      <c r="AN244" s="262">
        <v>0</v>
      </c>
      <c r="AO244" s="262">
        <f>AN244</f>
        <v>0</v>
      </c>
      <c r="AP244" s="263">
        <f>AO244</f>
        <v>0</v>
      </c>
      <c r="AQ244" s="389">
        <v>0</v>
      </c>
      <c r="AR244" s="389">
        <v>0</v>
      </c>
      <c r="AS244" s="262">
        <v>0</v>
      </c>
      <c r="AT244" s="768">
        <v>0</v>
      </c>
      <c r="AU244" s="263">
        <f>AT244</f>
        <v>0</v>
      </c>
      <c r="AV244" s="389">
        <v>0</v>
      </c>
      <c r="AW244" s="389">
        <v>0</v>
      </c>
      <c r="AX244" s="262">
        <v>0</v>
      </c>
      <c r="AY244" s="768">
        <v>0</v>
      </c>
      <c r="AZ244" s="263">
        <f>AY244</f>
        <v>0</v>
      </c>
      <c r="BA244" s="263">
        <f>AZ244</f>
        <v>0</v>
      </c>
      <c r="BB244" s="389">
        <v>0</v>
      </c>
      <c r="BC244" s="389">
        <v>0</v>
      </c>
      <c r="BD244" s="389">
        <v>0</v>
      </c>
      <c r="BE244" s="389">
        <v>0</v>
      </c>
      <c r="BF244" s="263">
        <f>BE244</f>
        <v>0</v>
      </c>
      <c r="BG244" s="181">
        <v>0</v>
      </c>
      <c r="BH244" s="181">
        <v>0</v>
      </c>
      <c r="BI244" s="181">
        <v>0</v>
      </c>
      <c r="BJ244" s="181">
        <v>0</v>
      </c>
      <c r="BK244" s="180">
        <f>BF244</f>
        <v>0</v>
      </c>
      <c r="BL244" s="181">
        <v>0</v>
      </c>
      <c r="BM244" s="729">
        <v>0</v>
      </c>
      <c r="BN244" s="729">
        <v>0</v>
      </c>
      <c r="BO244" s="729">
        <v>-119</v>
      </c>
      <c r="BP244" s="180">
        <f>BO244</f>
        <v>-119</v>
      </c>
      <c r="BQ244" s="387">
        <v>0</v>
      </c>
      <c r="BR244" s="386">
        <v>0</v>
      </c>
      <c r="BS244" s="386">
        <v>0</v>
      </c>
      <c r="BT244" s="1143">
        <v>0</v>
      </c>
      <c r="BU244" s="1318">
        <f>+SUM(BQ244:BT244)</f>
        <v>0</v>
      </c>
      <c r="BV244" s="561"/>
      <c r="BW244" s="561"/>
      <c r="BX244" s="561"/>
      <c r="BY244" s="561"/>
      <c r="BZ244" s="385">
        <f>BY244</f>
        <v>0</v>
      </c>
      <c r="CA244" s="561"/>
      <c r="CB244" s="561"/>
      <c r="CC244" s="561"/>
      <c r="CD244" s="561"/>
      <c r="CE244" s="385">
        <f>CD244</f>
        <v>0</v>
      </c>
      <c r="CF244" s="561"/>
      <c r="CG244" s="561"/>
      <c r="CH244" s="561"/>
      <c r="CI244" s="561"/>
      <c r="CJ244" s="385">
        <f>CI244</f>
        <v>0</v>
      </c>
      <c r="CK244" s="562"/>
      <c r="CL244" s="563"/>
      <c r="CM244" s="1021"/>
      <c r="CN244" s="1022"/>
      <c r="CO244" s="734"/>
      <c r="CP244" s="571"/>
      <c r="CQ244" s="571"/>
      <c r="CR244" s="996"/>
      <c r="CS244" s="941"/>
      <c r="CT244" s="703"/>
      <c r="CU244" s="703"/>
      <c r="CV244" s="571"/>
      <c r="CW244" s="564"/>
      <c r="CX244" s="94"/>
      <c r="CY244" s="57"/>
      <c r="CZ244"/>
      <c r="DA244"/>
      <c r="DB244"/>
      <c r="DC244"/>
      <c r="DD244"/>
    </row>
    <row r="245" spans="1:108" s="222" customFormat="1">
      <c r="A245" s="400" t="s">
        <v>123</v>
      </c>
      <c r="B245" s="388">
        <v>0</v>
      </c>
      <c r="C245" s="388">
        <v>-123</v>
      </c>
      <c r="D245" s="388">
        <v>22</v>
      </c>
      <c r="E245" s="388">
        <v>33</v>
      </c>
      <c r="F245" s="388">
        <v>13</v>
      </c>
      <c r="G245" s="388">
        <v>146</v>
      </c>
      <c r="H245" s="389">
        <v>-6</v>
      </c>
      <c r="I245" s="389">
        <v>-5</v>
      </c>
      <c r="J245" s="389">
        <v>2</v>
      </c>
      <c r="K245" s="389">
        <v>1</v>
      </c>
      <c r="L245" s="388">
        <f>SUM(H245:K245)</f>
        <v>-8</v>
      </c>
      <c r="M245" s="389">
        <v>-1</v>
      </c>
      <c r="N245" s="389">
        <v>0</v>
      </c>
      <c r="O245" s="389">
        <v>0</v>
      </c>
      <c r="P245" s="389">
        <v>-18</v>
      </c>
      <c r="Q245" s="388">
        <f>SUM(M245:P245)</f>
        <v>-19</v>
      </c>
      <c r="R245" s="389">
        <v>-3</v>
      </c>
      <c r="S245" s="389">
        <v>-3</v>
      </c>
      <c r="T245" s="389">
        <v>-3</v>
      </c>
      <c r="U245" s="389">
        <v>-4</v>
      </c>
      <c r="V245" s="388">
        <f>SUM(R245:U245)</f>
        <v>-13</v>
      </c>
      <c r="W245" s="389">
        <v>-2</v>
      </c>
      <c r="X245" s="389">
        <v>-3</v>
      </c>
      <c r="Y245" s="389">
        <v>1</v>
      </c>
      <c r="Z245" s="389">
        <v>0</v>
      </c>
      <c r="AA245" s="388">
        <f>SUM(W245:Z245)</f>
        <v>-4</v>
      </c>
      <c r="AB245" s="389">
        <v>0</v>
      </c>
      <c r="AC245" s="389">
        <v>-13</v>
      </c>
      <c r="AD245" s="389">
        <v>-13</v>
      </c>
      <c r="AE245" s="389">
        <v>0</v>
      </c>
      <c r="AF245" s="388">
        <f>+SUM(AB245:AE245)</f>
        <v>-26</v>
      </c>
      <c r="AG245" s="389">
        <v>0</v>
      </c>
      <c r="AH245" s="389">
        <v>0</v>
      </c>
      <c r="AI245" s="389">
        <v>0</v>
      </c>
      <c r="AJ245" s="222">
        <v>0</v>
      </c>
      <c r="AK245" s="388">
        <f>+SUM(AG245:AJ245)</f>
        <v>0</v>
      </c>
      <c r="AL245" s="389">
        <v>0</v>
      </c>
      <c r="AM245" s="389">
        <v>0</v>
      </c>
      <c r="AN245" s="262">
        <v>0</v>
      </c>
      <c r="AO245" s="262">
        <v>-129</v>
      </c>
      <c r="AP245" s="263">
        <f>SUM(AL245:AO245)</f>
        <v>-129</v>
      </c>
      <c r="AQ245" s="389">
        <v>0</v>
      </c>
      <c r="AR245" s="389">
        <v>-105</v>
      </c>
      <c r="AS245" s="262">
        <v>-1</v>
      </c>
      <c r="AT245" s="262">
        <v>-34</v>
      </c>
      <c r="AU245" s="263">
        <f>SUM(AQ245:AT245)</f>
        <v>-140</v>
      </c>
      <c r="AV245" s="389">
        <v>0</v>
      </c>
      <c r="AW245" s="389">
        <v>0</v>
      </c>
      <c r="AX245" s="262">
        <v>0</v>
      </c>
      <c r="AY245" s="262">
        <v>0</v>
      </c>
      <c r="AZ245" s="263">
        <f>SUM(AV245:AY245)</f>
        <v>0</v>
      </c>
      <c r="BA245" s="263">
        <f>SUM(AW245:AZ245)</f>
        <v>0</v>
      </c>
      <c r="BB245" s="389">
        <v>-13</v>
      </c>
      <c r="BC245" s="389">
        <v>0</v>
      </c>
      <c r="BD245" s="389">
        <v>-84</v>
      </c>
      <c r="BE245" s="389">
        <v>-10</v>
      </c>
      <c r="BF245" s="263">
        <f>SUM(BB245:BE245)</f>
        <v>-107</v>
      </c>
      <c r="BG245" s="181">
        <v>-13</v>
      </c>
      <c r="BH245" s="181">
        <v>0</v>
      </c>
      <c r="BI245" s="181">
        <v>-84</v>
      </c>
      <c r="BJ245" s="181">
        <v>-10</v>
      </c>
      <c r="BK245" s="180">
        <f>+BF245</f>
        <v>-107</v>
      </c>
      <c r="BL245" s="181">
        <v>0</v>
      </c>
      <c r="BM245" s="729">
        <v>0</v>
      </c>
      <c r="BN245" s="729">
        <v>0</v>
      </c>
      <c r="BO245" s="729">
        <v>0</v>
      </c>
      <c r="BP245" s="180">
        <f>SUM(BL245:BO245)</f>
        <v>0</v>
      </c>
      <c r="BQ245" s="387">
        <v>0</v>
      </c>
      <c r="BR245" s="386">
        <v>0</v>
      </c>
      <c r="BS245" s="386">
        <v>0</v>
      </c>
      <c r="BT245" s="1143">
        <v>0</v>
      </c>
      <c r="BU245" s="1318">
        <f>+SUM(BQ245:BT245)</f>
        <v>0</v>
      </c>
      <c r="BV245" s="386"/>
      <c r="BW245" s="386"/>
      <c r="BX245" s="386"/>
      <c r="BY245" s="386"/>
      <c r="BZ245" s="385">
        <v>0</v>
      </c>
      <c r="CA245" s="387"/>
      <c r="CB245" s="386"/>
      <c r="CC245" s="386"/>
      <c r="CD245" s="386"/>
      <c r="CE245" s="385">
        <v>0</v>
      </c>
      <c r="CF245" s="387"/>
      <c r="CG245" s="386"/>
      <c r="CH245" s="386"/>
      <c r="CI245" s="386"/>
      <c r="CJ245" s="385">
        <v>0</v>
      </c>
      <c r="CK245" s="221"/>
      <c r="CL245" s="242"/>
      <c r="CM245" s="703"/>
      <c r="CN245" s="703"/>
      <c r="CO245" s="703"/>
      <c r="CP245" s="941"/>
      <c r="CQ245" s="941"/>
      <c r="CR245" s="941"/>
      <c r="CS245" s="941"/>
      <c r="CT245" s="703"/>
      <c r="CU245" s="703"/>
      <c r="CV245" s="703"/>
      <c r="CW245" s="233"/>
      <c r="CX245" s="134"/>
      <c r="CY245" s="134"/>
      <c r="CZ245"/>
      <c r="DA245"/>
      <c r="DB245"/>
      <c r="DC245"/>
      <c r="DD245"/>
    </row>
    <row r="246" spans="1:108" ht="12.75" customHeight="1">
      <c r="A246" s="161" t="s">
        <v>65</v>
      </c>
      <c r="B246" s="125">
        <f t="shared" ref="B246:AA246" si="621">B238+B245</f>
        <v>943</v>
      </c>
      <c r="C246" s="125">
        <f t="shared" si="621"/>
        <v>917</v>
      </c>
      <c r="D246" s="125">
        <f t="shared" si="621"/>
        <v>1004</v>
      </c>
      <c r="E246" s="125">
        <f t="shared" si="621"/>
        <v>1227</v>
      </c>
      <c r="F246" s="125">
        <f t="shared" si="621"/>
        <v>1461</v>
      </c>
      <c r="G246" s="125">
        <f t="shared" si="621"/>
        <v>1856</v>
      </c>
      <c r="H246" s="126">
        <f t="shared" si="621"/>
        <v>434</v>
      </c>
      <c r="I246" s="126">
        <f t="shared" si="621"/>
        <v>513</v>
      </c>
      <c r="J246" s="126">
        <f t="shared" si="621"/>
        <v>546</v>
      </c>
      <c r="K246" s="126">
        <f t="shared" si="621"/>
        <v>579</v>
      </c>
      <c r="L246" s="125">
        <f t="shared" si="621"/>
        <v>2072</v>
      </c>
      <c r="M246" s="126">
        <f t="shared" si="621"/>
        <v>572</v>
      </c>
      <c r="N246" s="126">
        <f t="shared" si="621"/>
        <v>641</v>
      </c>
      <c r="O246" s="126">
        <f t="shared" si="621"/>
        <v>634</v>
      </c>
      <c r="P246" s="126">
        <f t="shared" si="621"/>
        <v>612</v>
      </c>
      <c r="Q246" s="125">
        <f t="shared" si="621"/>
        <v>2459</v>
      </c>
      <c r="R246" s="126">
        <f t="shared" si="621"/>
        <v>590.49</v>
      </c>
      <c r="S246" s="126">
        <f t="shared" si="621"/>
        <v>618.49</v>
      </c>
      <c r="T246" s="126">
        <f t="shared" si="621"/>
        <v>572</v>
      </c>
      <c r="U246" s="126">
        <f t="shared" si="621"/>
        <v>614</v>
      </c>
      <c r="V246" s="125">
        <f t="shared" si="621"/>
        <v>2393.5100000000002</v>
      </c>
      <c r="W246" s="126">
        <f t="shared" si="621"/>
        <v>597</v>
      </c>
      <c r="X246" s="126">
        <f t="shared" si="621"/>
        <v>648</v>
      </c>
      <c r="Y246" s="126">
        <f t="shared" si="621"/>
        <v>650</v>
      </c>
      <c r="Z246" s="126">
        <f t="shared" si="621"/>
        <v>729</v>
      </c>
      <c r="AA246" s="125">
        <f t="shared" si="621"/>
        <v>2624</v>
      </c>
      <c r="AB246" s="126">
        <f t="shared" ref="AB246:AK246" si="622">SUM(AB238,AB244:AB245)</f>
        <v>618</v>
      </c>
      <c r="AC246" s="126">
        <f t="shared" si="622"/>
        <v>653</v>
      </c>
      <c r="AD246" s="126">
        <f t="shared" si="622"/>
        <v>652</v>
      </c>
      <c r="AE246" s="126">
        <f t="shared" si="622"/>
        <v>603</v>
      </c>
      <c r="AF246" s="125">
        <f t="shared" si="622"/>
        <v>2526</v>
      </c>
      <c r="AG246" s="126">
        <f t="shared" si="622"/>
        <v>564</v>
      </c>
      <c r="AH246" s="126">
        <f t="shared" si="622"/>
        <v>634</v>
      </c>
      <c r="AI246" s="126">
        <f t="shared" si="622"/>
        <v>600</v>
      </c>
      <c r="AJ246" s="126">
        <f>SUM(AJ238,AJ244:AJ245)</f>
        <v>-2130</v>
      </c>
      <c r="AK246" s="125">
        <f t="shared" si="622"/>
        <v>-332.48999999999978</v>
      </c>
      <c r="AL246" s="126">
        <f t="shared" ref="AL246:AR246" si="623">SUM(AL238,AL244:AL245)</f>
        <v>571</v>
      </c>
      <c r="AM246" s="126">
        <f t="shared" si="623"/>
        <v>640</v>
      </c>
      <c r="AN246" s="126">
        <f t="shared" si="623"/>
        <v>651</v>
      </c>
      <c r="AO246" s="126">
        <f t="shared" si="623"/>
        <v>495</v>
      </c>
      <c r="AP246" s="125">
        <f>SUM(AP238,AP244:AP245)</f>
        <v>2357</v>
      </c>
      <c r="AQ246" s="126">
        <f>SUM(AQ238,AQ244:AQ245)</f>
        <v>595</v>
      </c>
      <c r="AR246" s="126">
        <f t="shared" si="623"/>
        <v>541</v>
      </c>
      <c r="AS246" s="126">
        <f t="shared" ref="AS246:BD246" si="624">SUM(AS238,AS244:AS245)</f>
        <v>695</v>
      </c>
      <c r="AT246" s="126">
        <f t="shared" si="624"/>
        <v>699</v>
      </c>
      <c r="AU246" s="125">
        <f t="shared" si="624"/>
        <v>2533</v>
      </c>
      <c r="AV246" s="126">
        <f t="shared" si="624"/>
        <v>716</v>
      </c>
      <c r="AW246" s="126">
        <f t="shared" si="624"/>
        <v>752</v>
      </c>
      <c r="AX246" s="126">
        <f t="shared" si="624"/>
        <v>733</v>
      </c>
      <c r="AY246" s="126">
        <f t="shared" si="624"/>
        <v>764</v>
      </c>
      <c r="AZ246" s="125">
        <f t="shared" si="624"/>
        <v>2965</v>
      </c>
      <c r="BA246" s="125">
        <f t="shared" ref="BA246" si="625">SUM(BA238,BA244:BA245)</f>
        <v>3082</v>
      </c>
      <c r="BB246" s="126">
        <f t="shared" ref="BB246" si="626">SUM(BB238,BB244:BB245)</f>
        <v>717</v>
      </c>
      <c r="BC246" s="126">
        <f t="shared" si="624"/>
        <v>758</v>
      </c>
      <c r="BD246" s="126">
        <f t="shared" si="624"/>
        <v>683</v>
      </c>
      <c r="BE246" s="126">
        <f t="shared" ref="BE246" si="627">SUM(BE238,BE244:BE245)</f>
        <v>797</v>
      </c>
      <c r="BF246" s="125">
        <f t="shared" ref="BF246:BL246" si="628">SUM(BF238,BF244:BF245)</f>
        <v>2955</v>
      </c>
      <c r="BG246" s="1232">
        <f t="shared" si="628"/>
        <v>641</v>
      </c>
      <c r="BH246" s="1232">
        <f t="shared" ref="BH246:BI246" si="629">SUM(BH238,BH244:BH245)</f>
        <v>714</v>
      </c>
      <c r="BI246" s="1232">
        <f t="shared" si="629"/>
        <v>647</v>
      </c>
      <c r="BJ246" s="1232">
        <f t="shared" ref="BJ246" si="630">SUM(BJ238,BJ244:BJ245)</f>
        <v>570</v>
      </c>
      <c r="BK246" s="1238">
        <f t="shared" si="628"/>
        <v>2572</v>
      </c>
      <c r="BL246" s="1232">
        <f t="shared" si="628"/>
        <v>763</v>
      </c>
      <c r="BM246" s="1232">
        <f t="shared" ref="BM246:BT246" si="631">SUM(BM238,BM244:BM245)</f>
        <v>749</v>
      </c>
      <c r="BN246" s="1232">
        <f t="shared" si="631"/>
        <v>764</v>
      </c>
      <c r="BO246" s="1232">
        <f t="shared" ref="BO246:BP246" si="632">SUM(BO238,BO244:BO245)</f>
        <v>636</v>
      </c>
      <c r="BP246" s="1238">
        <f t="shared" si="632"/>
        <v>2912</v>
      </c>
      <c r="BQ246" s="127">
        <f t="shared" si="631"/>
        <v>764.15325339465005</v>
      </c>
      <c r="BR246" s="126">
        <f t="shared" si="631"/>
        <v>842.28002999279977</v>
      </c>
      <c r="BS246" s="126">
        <f t="shared" si="631"/>
        <v>860.81798931210005</v>
      </c>
      <c r="BT246" s="1140">
        <f t="shared" si="631"/>
        <v>951.46086387419996</v>
      </c>
      <c r="BU246" s="1319">
        <f>SUM(BU238,BU244:BU245)</f>
        <v>3418.7121365737503</v>
      </c>
      <c r="BV246" s="126"/>
      <c r="BW246" s="126"/>
      <c r="BX246" s="126"/>
      <c r="BY246" s="126"/>
      <c r="BZ246" s="125">
        <f>SUM(BZ238,BZ244:BZ245)</f>
        <v>3752.87339287035</v>
      </c>
      <c r="CA246" s="127"/>
      <c r="CB246" s="126"/>
      <c r="CC246" s="126"/>
      <c r="CD246" s="126"/>
      <c r="CE246" s="125">
        <f>SUM(CE238,CE244:CE245)</f>
        <v>4053.1965471226172</v>
      </c>
      <c r="CF246" s="127"/>
      <c r="CG246" s="126"/>
      <c r="CH246" s="126"/>
      <c r="CI246" s="126"/>
      <c r="CJ246" s="125">
        <f>SUM(CJ238,CJ244:CJ245)</f>
        <v>4346.203149979583</v>
      </c>
      <c r="CK246" s="32"/>
      <c r="CL246" s="14"/>
      <c r="CM246" s="661"/>
      <c r="CN246" s="661"/>
      <c r="CO246" s="661"/>
      <c r="CP246" s="1011"/>
      <c r="CQ246" s="1011"/>
      <c r="CR246" s="1011"/>
      <c r="CS246" s="1011"/>
      <c r="CT246" s="661"/>
      <c r="CU246" s="661"/>
      <c r="CV246" s="661"/>
      <c r="CW246" s="74"/>
      <c r="CX246" s="33"/>
      <c r="CY246" s="33"/>
    </row>
    <row r="247" spans="1:108" ht="12.75" customHeight="1">
      <c r="A247" s="397" t="s">
        <v>249</v>
      </c>
      <c r="B247" s="398">
        <f t="shared" ref="B247:AP247" si="633">B245/B257</f>
        <v>0</v>
      </c>
      <c r="C247" s="398">
        <f t="shared" si="633"/>
        <v>-0.30317968942568402</v>
      </c>
      <c r="D247" s="398">
        <f t="shared" si="633"/>
        <v>5.5234747677629925E-2</v>
      </c>
      <c r="E247" s="398">
        <f t="shared" si="633"/>
        <v>8.1906180193596426E-2</v>
      </c>
      <c r="F247" s="398">
        <f t="shared" si="633"/>
        <v>3.2114624505928856E-2</v>
      </c>
      <c r="G247" s="398">
        <f t="shared" si="633"/>
        <v>0.35889872173058013</v>
      </c>
      <c r="H247" s="399">
        <f t="shared" si="633"/>
        <v>-1.4654340737846057E-2</v>
      </c>
      <c r="I247" s="399">
        <f t="shared" si="633"/>
        <v>-1.221991944629101E-2</v>
      </c>
      <c r="J247" s="399">
        <f t="shared" si="633"/>
        <v>4.9101323035149183E-3</v>
      </c>
      <c r="K247" s="399">
        <f t="shared" si="633"/>
        <v>2.4576062914721062E-3</v>
      </c>
      <c r="L247" s="398">
        <f t="shared" si="633"/>
        <v>-1.9603038470962997E-2</v>
      </c>
      <c r="M247" s="399">
        <f t="shared" si="633"/>
        <v>-2.4761178434004032E-3</v>
      </c>
      <c r="N247" s="399">
        <f t="shared" si="633"/>
        <v>0</v>
      </c>
      <c r="O247" s="399">
        <f t="shared" si="633"/>
        <v>0</v>
      </c>
      <c r="P247" s="399">
        <f t="shared" si="633"/>
        <v>-4.6201232032854207E-2</v>
      </c>
      <c r="Q247" s="398">
        <f t="shared" si="633"/>
        <v>-4.7654878354652624E-2</v>
      </c>
      <c r="R247" s="399">
        <f t="shared" si="633"/>
        <v>-7.7611430611500458E-3</v>
      </c>
      <c r="S247" s="399">
        <f t="shared" si="633"/>
        <v>-7.7516775922255848E-3</v>
      </c>
      <c r="T247" s="399">
        <f t="shared" si="633"/>
        <v>-7.7302055203974356E-3</v>
      </c>
      <c r="U247" s="399">
        <f t="shared" si="633"/>
        <v>-1.0253781081773904E-2</v>
      </c>
      <c r="V247" s="398">
        <f t="shared" si="633"/>
        <v>-3.3513792214488275E-2</v>
      </c>
      <c r="W247" s="399">
        <f t="shared" si="633"/>
        <v>-5.1415996544845032E-3</v>
      </c>
      <c r="X247" s="399">
        <f t="shared" si="633"/>
        <v>-7.7220077220077222E-3</v>
      </c>
      <c r="Y247" s="399">
        <f t="shared" si="633"/>
        <v>2.6143790849673201E-3</v>
      </c>
      <c r="Z247" s="399">
        <f t="shared" si="633"/>
        <v>0</v>
      </c>
      <c r="AA247" s="398">
        <f t="shared" si="633"/>
        <v>-1.0384215991692628E-2</v>
      </c>
      <c r="AB247" s="399">
        <f t="shared" ref="AB247:AK247" si="634">SUM(AB244:AB245)/AB257</f>
        <v>0</v>
      </c>
      <c r="AC247" s="399">
        <f t="shared" si="634"/>
        <v>-3.5002692514808836E-2</v>
      </c>
      <c r="AD247" s="399">
        <f t="shared" si="634"/>
        <v>-3.5822540644805737E-2</v>
      </c>
      <c r="AE247" s="399">
        <f t="shared" si="634"/>
        <v>0</v>
      </c>
      <c r="AF247" s="398">
        <f t="shared" si="634"/>
        <v>-7.0748299319727898E-2</v>
      </c>
      <c r="AG247" s="399">
        <f t="shared" si="634"/>
        <v>0</v>
      </c>
      <c r="AH247" s="399">
        <f t="shared" si="634"/>
        <v>0</v>
      </c>
      <c r="AI247" s="399">
        <f t="shared" si="634"/>
        <v>0</v>
      </c>
      <c r="AJ247" s="399">
        <f>SUM(AJ244:AJ245)/AJ257</f>
        <v>-7.4207248018120051</v>
      </c>
      <c r="AK247" s="398">
        <f t="shared" si="634"/>
        <v>-7.3685690188360979</v>
      </c>
      <c r="AL247" s="399">
        <f t="shared" si="633"/>
        <v>0</v>
      </c>
      <c r="AM247" s="399">
        <f t="shared" si="633"/>
        <v>0</v>
      </c>
      <c r="AN247" s="399">
        <f>AN245/AN257</f>
        <v>0</v>
      </c>
      <c r="AO247" s="399">
        <f t="shared" si="633"/>
        <v>-0.36379018612521147</v>
      </c>
      <c r="AP247" s="398">
        <f t="shared" si="633"/>
        <v>-0.36493898234360139</v>
      </c>
      <c r="AQ247" s="399">
        <f>AQ245/AQ257</f>
        <v>0</v>
      </c>
      <c r="AR247" s="399">
        <f>AR245/AR257</f>
        <v>-0.30631445366629229</v>
      </c>
      <c r="AS247" s="399">
        <f t="shared" ref="AS247:AX247" si="635">AS245/AS257</f>
        <v>-2.9569964013353798E-3</v>
      </c>
      <c r="AT247" s="399">
        <f t="shared" si="635"/>
        <v>-0.1012507444907683</v>
      </c>
      <c r="AU247" s="398">
        <f t="shared" si="635"/>
        <v>-0.41055297086393544</v>
      </c>
      <c r="AV247" s="399">
        <f t="shared" si="635"/>
        <v>0</v>
      </c>
      <c r="AW247" s="399">
        <f t="shared" si="635"/>
        <v>0</v>
      </c>
      <c r="AX247" s="399">
        <f t="shared" si="635"/>
        <v>0</v>
      </c>
      <c r="AY247" s="399">
        <f>AY245/AY257</f>
        <v>0</v>
      </c>
      <c r="AZ247" s="398">
        <f>AZ245/AZ257</f>
        <v>0</v>
      </c>
      <c r="BA247" s="398">
        <f>BA245/BA257</f>
        <v>0</v>
      </c>
      <c r="BB247" s="399">
        <f t="shared" ref="BB247:BC247" si="636">BB245/BB257</f>
        <v>-4.1620510587617579E-2</v>
      </c>
      <c r="BC247" s="399">
        <f t="shared" si="636"/>
        <v>0</v>
      </c>
      <c r="BD247" s="399">
        <f t="shared" ref="BD247:BE247" si="637">BD245/BD257</f>
        <v>-0.27120570306849878</v>
      </c>
      <c r="BE247" s="399">
        <f t="shared" si="637"/>
        <v>-3.2414910858995137E-2</v>
      </c>
      <c r="BF247" s="398">
        <f>BF245/BF257</f>
        <v>-0.34473093267437105</v>
      </c>
      <c r="BG247" s="1236">
        <f t="shared" ref="BG247" si="638">BG245/BG257</f>
        <v>-4.1467304625199361E-2</v>
      </c>
      <c r="BH247" s="1236">
        <f t="shared" ref="BH247:BI247" si="639">BH245/BH257</f>
        <v>0</v>
      </c>
      <c r="BI247" s="1236">
        <f t="shared" si="639"/>
        <v>-0.27123022279625447</v>
      </c>
      <c r="BJ247" s="1236">
        <f>BJ245/BJ257-0.01</f>
        <v>-4.242016534284325E-2</v>
      </c>
      <c r="BK247" s="1241">
        <f>BK245/BK257</f>
        <v>-0.34473093267437105</v>
      </c>
      <c r="BL247" s="1236">
        <f t="shared" ref="BL247:BN247" si="640">BL245/BL257</f>
        <v>0</v>
      </c>
      <c r="BM247" s="1236">
        <f t="shared" si="640"/>
        <v>0</v>
      </c>
      <c r="BN247" s="1236">
        <f t="shared" si="640"/>
        <v>0</v>
      </c>
      <c r="BO247" s="1236">
        <f t="shared" ref="BO247" si="641">BO245/BO257</f>
        <v>0</v>
      </c>
      <c r="BP247" s="1241">
        <f>BP245/BP257</f>
        <v>0</v>
      </c>
      <c r="BQ247" s="127">
        <f t="shared" ref="BQ247:BU247" si="642">BQ245/BQ257</f>
        <v>0</v>
      </c>
      <c r="BR247" s="126">
        <f t="shared" si="642"/>
        <v>0</v>
      </c>
      <c r="BS247" s="126">
        <f t="shared" si="642"/>
        <v>0</v>
      </c>
      <c r="BT247" s="1140">
        <f t="shared" si="642"/>
        <v>0</v>
      </c>
      <c r="BU247" s="398">
        <f t="shared" si="642"/>
        <v>0</v>
      </c>
      <c r="BV247" s="127"/>
      <c r="BW247" s="126"/>
      <c r="BX247" s="126"/>
      <c r="BY247" s="126"/>
      <c r="BZ247" s="398">
        <f>BZ245/BZ257</f>
        <v>0</v>
      </c>
      <c r="CA247" s="127"/>
      <c r="CB247" s="126"/>
      <c r="CC247" s="126"/>
      <c r="CD247" s="126"/>
      <c r="CE247" s="398">
        <f>CE245/CE257</f>
        <v>0</v>
      </c>
      <c r="CF247" s="127"/>
      <c r="CG247" s="126"/>
      <c r="CH247" s="126"/>
      <c r="CI247" s="126"/>
      <c r="CJ247" s="398">
        <f>CJ245/CJ257</f>
        <v>0</v>
      </c>
      <c r="CK247" s="32"/>
      <c r="CL247" s="14"/>
      <c r="CM247" s="661"/>
      <c r="CN247" s="661"/>
      <c r="CO247" s="661"/>
      <c r="CP247" s="942"/>
      <c r="CQ247" s="942"/>
      <c r="CR247" s="942"/>
      <c r="CS247" s="942"/>
      <c r="CT247" s="661"/>
      <c r="CU247" s="661"/>
      <c r="CV247" s="661"/>
      <c r="CW247" s="74"/>
      <c r="CX247" s="33"/>
      <c r="CY247" s="33"/>
    </row>
    <row r="248" spans="1:108" ht="12.75" customHeight="1">
      <c r="A248" s="425" t="s">
        <v>162</v>
      </c>
      <c r="B248" s="163">
        <f>B246/B257</f>
        <v>2.323724662037288</v>
      </c>
      <c r="C248" s="163">
        <f t="shared" ref="C248:AO248" si="643">C246/C257</f>
        <v>2.2602908553118066</v>
      </c>
      <c r="D248" s="163">
        <f t="shared" si="643"/>
        <v>2.520713030379111</v>
      </c>
      <c r="E248" s="163">
        <f t="shared" si="643"/>
        <v>3.0454206999255402</v>
      </c>
      <c r="F248" s="163">
        <f t="shared" si="643"/>
        <v>3.6091897233201582</v>
      </c>
      <c r="G248" s="163">
        <f t="shared" si="643"/>
        <v>4.5624385447394298</v>
      </c>
      <c r="H248" s="164">
        <f t="shared" si="643"/>
        <v>1.0599973133708647</v>
      </c>
      <c r="I248" s="164">
        <f t="shared" si="643"/>
        <v>1.2537637351894577</v>
      </c>
      <c r="J248" s="164">
        <f t="shared" si="643"/>
        <v>1.3404661188595726</v>
      </c>
      <c r="K248" s="164">
        <f t="shared" si="643"/>
        <v>1.4229540427623495</v>
      </c>
      <c r="L248" s="163">
        <f t="shared" si="643"/>
        <v>5.0771869639794165</v>
      </c>
      <c r="M248" s="164">
        <f t="shared" si="643"/>
        <v>1.4163394064250305</v>
      </c>
      <c r="N248" s="164">
        <f t="shared" si="643"/>
        <v>1.5954362061970624</v>
      </c>
      <c r="O248" s="164">
        <f t="shared" si="643"/>
        <v>1.5858841304026996</v>
      </c>
      <c r="P248" s="164">
        <f t="shared" si="643"/>
        <v>1.570841889117043</v>
      </c>
      <c r="Q248" s="163">
        <f t="shared" si="643"/>
        <v>6.1675445196889891</v>
      </c>
      <c r="R248" s="164">
        <f t="shared" si="643"/>
        <v>1.5276257887261637</v>
      </c>
      <c r="S248" s="164">
        <f t="shared" si="643"/>
        <v>1.598111691338534</v>
      </c>
      <c r="T248" s="164">
        <f t="shared" si="643"/>
        <v>1.4738925192224444</v>
      </c>
      <c r="U248" s="164">
        <f t="shared" si="643"/>
        <v>1.5739553960522943</v>
      </c>
      <c r="V248" s="163">
        <f t="shared" si="643"/>
        <v>6.1704305233307561</v>
      </c>
      <c r="W248" s="164">
        <f t="shared" si="643"/>
        <v>1.5347674968636242</v>
      </c>
      <c r="X248" s="164">
        <f t="shared" si="643"/>
        <v>1.667953667953668</v>
      </c>
      <c r="Y248" s="164">
        <f t="shared" si="643"/>
        <v>1.6993464052287581</v>
      </c>
      <c r="Z248" s="164">
        <f t="shared" si="643"/>
        <v>1.9138881596219481</v>
      </c>
      <c r="AA248" s="640">
        <f t="shared" si="643"/>
        <v>6.8120456905503639</v>
      </c>
      <c r="AB248" s="164">
        <f t="shared" si="643"/>
        <v>1.6418703506907546</v>
      </c>
      <c r="AC248" s="164">
        <f t="shared" si="643"/>
        <v>1.758212170166936</v>
      </c>
      <c r="AD248" s="164">
        <f t="shared" si="643"/>
        <v>1.7966381923394876</v>
      </c>
      <c r="AE248" s="164">
        <f t="shared" si="643"/>
        <v>1.6777963272120202</v>
      </c>
      <c r="AF248" s="640">
        <f t="shared" si="643"/>
        <v>6.8734693877551019</v>
      </c>
      <c r="AG248" s="164">
        <f t="shared" si="643"/>
        <v>1.5692821368948249</v>
      </c>
      <c r="AH248" s="164">
        <f t="shared" si="643"/>
        <v>1.773922775601567</v>
      </c>
      <c r="AI248" s="164">
        <f t="shared" si="643"/>
        <v>1.7006802721088434</v>
      </c>
      <c r="AJ248" s="164">
        <f>AJ246/AJ255</f>
        <v>-6.070105443146196</v>
      </c>
      <c r="AK248" s="163">
        <f>AK246/AK255</f>
        <v>-0.94109821681290629</v>
      </c>
      <c r="AL248" s="164">
        <f t="shared" si="643"/>
        <v>1.6151981375718849</v>
      </c>
      <c r="AM248" s="164">
        <f t="shared" si="643"/>
        <v>1.8135449135732504</v>
      </c>
      <c r="AN248" s="164">
        <f>AN246/AN257</f>
        <v>1.8446211301208779</v>
      </c>
      <c r="AO248" s="164">
        <f t="shared" si="643"/>
        <v>1.3959390862944161</v>
      </c>
      <c r="AP248" s="163">
        <f t="shared" ref="AP248:AU248" si="644">AP246/AP257</f>
        <v>6.66791613475867</v>
      </c>
      <c r="AQ248" s="164">
        <f t="shared" si="644"/>
        <v>1.7134727917799384</v>
      </c>
      <c r="AR248" s="164">
        <f t="shared" si="644"/>
        <v>1.5782487565091821</v>
      </c>
      <c r="AS248" s="164">
        <f t="shared" si="644"/>
        <v>2.0551124989280889</v>
      </c>
      <c r="AT248" s="164">
        <f t="shared" si="644"/>
        <v>2.081596188207266</v>
      </c>
      <c r="AU248" s="163">
        <f t="shared" si="644"/>
        <v>7.4280762514167753</v>
      </c>
      <c r="AV248" s="164">
        <f t="shared" ref="AV248:BG248" si="645">AV246/AV257</f>
        <v>2.1393442133129357</v>
      </c>
      <c r="AW248" s="164">
        <f t="shared" si="645"/>
        <v>2.2689831214207699</v>
      </c>
      <c r="AX248" s="164">
        <f t="shared" si="645"/>
        <v>2.2768359125048923</v>
      </c>
      <c r="AY248" s="164">
        <f t="shared" si="645"/>
        <v>2.4002513352183472</v>
      </c>
      <c r="AZ248" s="163">
        <f t="shared" si="645"/>
        <v>9.0769381482433911</v>
      </c>
      <c r="BA248" s="163">
        <f t="shared" si="645"/>
        <v>9.4351174950712071</v>
      </c>
      <c r="BB248" s="164">
        <f t="shared" si="645"/>
        <v>2.2955312377939849</v>
      </c>
      <c r="BC248" s="164">
        <f t="shared" si="645"/>
        <v>2.4435217660408499</v>
      </c>
      <c r="BD248" s="164">
        <f t="shared" si="645"/>
        <v>2.2051606570926747</v>
      </c>
      <c r="BE248" s="164">
        <f t="shared" si="645"/>
        <v>2.5834683954619124</v>
      </c>
      <c r="BF248" s="163">
        <f t="shared" si="645"/>
        <v>9.5203729537641717</v>
      </c>
      <c r="BG248" s="1235">
        <f t="shared" si="645"/>
        <v>2.0446570972886762</v>
      </c>
      <c r="BH248" s="1235">
        <f t="shared" ref="BH248:BI248" si="646">BH246/BH257</f>
        <v>2.3016814524448108</v>
      </c>
      <c r="BI248" s="1235">
        <f t="shared" si="646"/>
        <v>2.0891185017759124</v>
      </c>
      <c r="BJ248" s="1235">
        <f t="shared" ref="BJ248" si="647">BJ246/BJ257</f>
        <v>1.8479494245420651</v>
      </c>
      <c r="BK248" s="640">
        <f t="shared" ref="BK248:BU248" si="648">BK246/BK257</f>
        <v>8.2864295218549753</v>
      </c>
      <c r="BL248" s="1235">
        <f t="shared" si="648"/>
        <v>2.4830611620596068</v>
      </c>
      <c r="BM248" s="1235">
        <f t="shared" si="648"/>
        <v>2.4529228753888979</v>
      </c>
      <c r="BN248" s="1235">
        <f t="shared" si="648"/>
        <v>2.5152180568952862</v>
      </c>
      <c r="BO248" s="1235">
        <f t="shared" ref="BO248:BP248" si="649">BO246/BO257</f>
        <v>2.1031746031746033</v>
      </c>
      <c r="BP248" s="640">
        <f t="shared" si="649"/>
        <v>9.5589176626608054</v>
      </c>
      <c r="BQ248" s="1353">
        <f t="shared" si="648"/>
        <v>2.5269618167812502</v>
      </c>
      <c r="BR248" s="1354">
        <f t="shared" si="648"/>
        <v>2.7853175594999993</v>
      </c>
      <c r="BS248" s="1354">
        <f t="shared" si="648"/>
        <v>2.846620335026786</v>
      </c>
      <c r="BT248" s="1355">
        <f t="shared" si="648"/>
        <v>3.1463652905892858</v>
      </c>
      <c r="BU248" s="163">
        <f t="shared" si="648"/>
        <v>11.305265001897324</v>
      </c>
      <c r="BV248" s="426"/>
      <c r="BW248" s="427"/>
      <c r="BX248" s="427"/>
      <c r="BY248" s="427"/>
      <c r="BZ248" s="163">
        <f>BZ246/BZ257</f>
        <v>12.41029561134375</v>
      </c>
      <c r="CA248" s="426"/>
      <c r="CB248" s="427"/>
      <c r="CC248" s="427"/>
      <c r="CD248" s="427"/>
      <c r="CE248" s="163">
        <f>CE246/CE257</f>
        <v>13.403427735193841</v>
      </c>
      <c r="CF248" s="426"/>
      <c r="CG248" s="427"/>
      <c r="CH248" s="427"/>
      <c r="CI248" s="427"/>
      <c r="CJ248" s="163">
        <f>CJ246/CJ257</f>
        <v>14.665678483626172</v>
      </c>
      <c r="CK248" s="32"/>
      <c r="CL248" s="14"/>
      <c r="CM248" s="661"/>
      <c r="CN248" s="661"/>
      <c r="CO248" s="661"/>
      <c r="CP248" s="1011"/>
      <c r="CQ248" s="1011"/>
      <c r="CR248" s="1011"/>
      <c r="CS248" s="1011"/>
      <c r="CT248" s="661"/>
      <c r="CU248" s="661"/>
      <c r="CV248" s="661"/>
      <c r="CW248" s="74"/>
      <c r="CX248" s="33"/>
      <c r="CY248" s="33"/>
    </row>
    <row r="249" spans="1:108" s="40" customFormat="1">
      <c r="A249" s="171" t="s">
        <v>21</v>
      </c>
      <c r="B249" s="29"/>
      <c r="C249" s="29">
        <f>C248/B248-1</f>
        <v>-2.7298331752380167E-2</v>
      </c>
      <c r="D249" s="29">
        <f>D248/C248-1</f>
        <v>0.11521622292781397</v>
      </c>
      <c r="E249" s="29">
        <f>E248/D248-1</f>
        <v>0.2081584310561182</v>
      </c>
      <c r="F249" s="29">
        <f>F248/E248-1</f>
        <v>0.18512024411221817</v>
      </c>
      <c r="G249" s="29">
        <f>G248/F248-1</f>
        <v>0.26411712724881675</v>
      </c>
      <c r="H249" s="30"/>
      <c r="I249" s="30"/>
      <c r="J249" s="30"/>
      <c r="K249" s="30"/>
      <c r="L249" s="29">
        <f t="shared" ref="L249:AR249" si="650">L248/G248-1</f>
        <v>0.11282309102738508</v>
      </c>
      <c r="M249" s="30">
        <f t="shared" si="650"/>
        <v>0.33617263794846175</v>
      </c>
      <c r="N249" s="30">
        <f t="shared" si="650"/>
        <v>0.27251743005309859</v>
      </c>
      <c r="O249" s="30">
        <f t="shared" si="650"/>
        <v>0.183084084028861</v>
      </c>
      <c r="P249" s="30">
        <f t="shared" si="650"/>
        <v>0.10393016352629503</v>
      </c>
      <c r="Q249" s="29">
        <f t="shared" si="650"/>
        <v>0.21475623479009487</v>
      </c>
      <c r="R249" s="30">
        <f t="shared" si="650"/>
        <v>7.8573244376522799E-2</v>
      </c>
      <c r="S249" s="30">
        <f t="shared" si="650"/>
        <v>1.67696153006891E-3</v>
      </c>
      <c r="T249" s="30">
        <f t="shared" si="650"/>
        <v>-7.061777656594459E-2</v>
      </c>
      <c r="U249" s="30">
        <f t="shared" si="650"/>
        <v>1.9820625849247264E-3</v>
      </c>
      <c r="V249" s="29">
        <f t="shared" si="650"/>
        <v>4.6793397802868952E-4</v>
      </c>
      <c r="W249" s="30">
        <f t="shared" si="650"/>
        <v>4.6750376893125445E-3</v>
      </c>
      <c r="X249" s="30">
        <f t="shared" si="650"/>
        <v>4.370281313481672E-2</v>
      </c>
      <c r="Y249" s="30">
        <f t="shared" si="650"/>
        <v>0.1529649435531788</v>
      </c>
      <c r="Z249" s="30">
        <f t="shared" si="650"/>
        <v>0.2159735685155082</v>
      </c>
      <c r="AA249" s="29">
        <f t="shared" si="650"/>
        <v>0.1039822367002794</v>
      </c>
      <c r="AB249" s="30">
        <f t="shared" si="650"/>
        <v>6.9784416236335911E-2</v>
      </c>
      <c r="AC249" s="30">
        <f t="shared" si="650"/>
        <v>5.4113314984343575E-2</v>
      </c>
      <c r="AD249" s="30">
        <f t="shared" si="650"/>
        <v>5.7252474722852442E-2</v>
      </c>
      <c r="AE249" s="30">
        <f t="shared" si="650"/>
        <v>-0.123357172791415</v>
      </c>
      <c r="AF249" s="29">
        <f>AF248/AA248-1</f>
        <v>9.0169238427078025E-3</v>
      </c>
      <c r="AG249" s="30">
        <f t="shared" si="650"/>
        <v>-4.4210685554673002E-2</v>
      </c>
      <c r="AH249" s="30">
        <f t="shared" si="650"/>
        <v>8.9355572104470316E-3</v>
      </c>
      <c r="AI249" s="30">
        <f t="shared" si="650"/>
        <v>-5.3409707441258836E-2</v>
      </c>
      <c r="AJ249" s="30">
        <f t="shared" si="650"/>
        <v>-4.6179036422334043</v>
      </c>
      <c r="AK249" s="29">
        <f>AK248/AF248-1</f>
        <v>-1.1369174959139916</v>
      </c>
      <c r="AL249" s="30">
        <f t="shared" si="650"/>
        <v>2.9259238729318016E-2</v>
      </c>
      <c r="AM249" s="30">
        <f t="shared" si="650"/>
        <v>2.2335886610535649E-2</v>
      </c>
      <c r="AN249" s="30">
        <f>AN248/AI248-1</f>
        <v>8.4637224511076248E-2</v>
      </c>
      <c r="AO249" s="30">
        <f t="shared" si="650"/>
        <v>-1.2299694954839016</v>
      </c>
      <c r="AP249" s="29">
        <f t="shared" si="650"/>
        <v>-8.0852499937148181</v>
      </c>
      <c r="AQ249" s="30">
        <f t="shared" si="650"/>
        <v>6.0843714416231931E-2</v>
      </c>
      <c r="AR249" s="30">
        <f t="shared" si="650"/>
        <v>-0.12974377160610895</v>
      </c>
      <c r="AS249" s="30">
        <f t="shared" ref="AS249:AX249" si="651">AS248/AN248-1</f>
        <v>0.11411089538664099</v>
      </c>
      <c r="AT249" s="30">
        <f t="shared" si="651"/>
        <v>0.49117981482484163</v>
      </c>
      <c r="AU249" s="29">
        <f t="shared" si="651"/>
        <v>0.11400265109747321</v>
      </c>
      <c r="AV249" s="30">
        <f t="shared" si="651"/>
        <v>0.24854285610838689</v>
      </c>
      <c r="AW249" s="30">
        <f t="shared" si="651"/>
        <v>0.43765874173053354</v>
      </c>
      <c r="AX249" s="30">
        <f t="shared" si="651"/>
        <v>0.1078886988875063</v>
      </c>
      <c r="AY249" s="30">
        <f>AY248/AT248-1</f>
        <v>0.15308211497327773</v>
      </c>
      <c r="AZ249" s="29">
        <f>AZ248/AU248-1</f>
        <v>0.22197697506297476</v>
      </c>
      <c r="BA249" s="29"/>
      <c r="BB249" s="30">
        <f t="shared" ref="BB249:BJ249" si="652">BB248/AV248-1</f>
        <v>7.3006963306377903E-2</v>
      </c>
      <c r="BC249" s="30">
        <f t="shared" si="652"/>
        <v>7.6923729829593945E-2</v>
      </c>
      <c r="BD249" s="30">
        <f t="shared" si="652"/>
        <v>-3.1480202424145287E-2</v>
      </c>
      <c r="BE249" s="30">
        <f t="shared" si="652"/>
        <v>7.6332448004616138E-2</v>
      </c>
      <c r="BF249" s="29">
        <f t="shared" si="652"/>
        <v>4.8852905933549406E-2</v>
      </c>
      <c r="BG249" s="30">
        <f t="shared" si="652"/>
        <v>-0.78329288444401668</v>
      </c>
      <c r="BH249" s="30">
        <f t="shared" si="652"/>
        <v>2.6792119181686669E-3</v>
      </c>
      <c r="BI249" s="30">
        <f t="shared" si="652"/>
        <v>-0.14503789947374368</v>
      </c>
      <c r="BJ249" s="30">
        <f t="shared" si="652"/>
        <v>-0.16198875642084221</v>
      </c>
      <c r="BK249" s="29">
        <f>BK248/BA248-1</f>
        <v>-0.12174601681603781</v>
      </c>
      <c r="BL249" s="30">
        <f>BL248/BB248-1</f>
        <v>8.1693475208744593E-2</v>
      </c>
      <c r="BM249" s="194">
        <f>BM248/BC248-1</f>
        <v>3.8473605918722953E-3</v>
      </c>
      <c r="BN249" s="527"/>
      <c r="BO249" s="527"/>
      <c r="BP249" s="29">
        <f>BP248/BF248-1</f>
        <v>4.0486553503551459E-3</v>
      </c>
      <c r="BQ249" s="31">
        <f t="shared" ref="BQ249:BU249" si="653">BQ248/BL248-1</f>
        <v>1.7680053714516308E-2</v>
      </c>
      <c r="BR249" s="30">
        <f t="shared" si="653"/>
        <v>0.13550963523808379</v>
      </c>
      <c r="BS249" s="30">
        <f t="shared" si="653"/>
        <v>0.13175886568680784</v>
      </c>
      <c r="BT249" s="1106">
        <f t="shared" si="653"/>
        <v>0.4960076476009434</v>
      </c>
      <c r="BU249" s="29">
        <f t="shared" si="653"/>
        <v>0.18269299944470996</v>
      </c>
      <c r="BV249" s="31"/>
      <c r="BW249" s="30"/>
      <c r="BX249" s="30"/>
      <c r="BY249" s="30"/>
      <c r="BZ249" s="29">
        <f>BZ248/BU248-1</f>
        <v>9.7744777257408266E-2</v>
      </c>
      <c r="CA249" s="31"/>
      <c r="CB249" s="30"/>
      <c r="CC249" s="30"/>
      <c r="CD249" s="30"/>
      <c r="CE249" s="29">
        <f>CE248/BZ248-1</f>
        <v>8.0024856373470232E-2</v>
      </c>
      <c r="CF249" s="31"/>
      <c r="CG249" s="30"/>
      <c r="CH249" s="30"/>
      <c r="CI249" s="30"/>
      <c r="CJ249" s="29">
        <f>CJ248/CE248-1</f>
        <v>9.4173727300964627E-2</v>
      </c>
      <c r="CK249" s="39"/>
      <c r="CL249" s="7"/>
      <c r="CM249" s="733"/>
      <c r="CN249" s="734"/>
      <c r="CO249" s="734"/>
      <c r="CP249" s="734"/>
      <c r="CQ249" s="734"/>
      <c r="CR249" s="734"/>
      <c r="CS249" s="734"/>
      <c r="CT249" s="734"/>
      <c r="CU249" s="734"/>
      <c r="CV249" s="734"/>
      <c r="CW249" s="75"/>
      <c r="CX249" s="38"/>
      <c r="CY249" s="38"/>
      <c r="CZ249"/>
      <c r="DA249"/>
      <c r="DB249"/>
      <c r="DC249"/>
      <c r="DD249"/>
    </row>
    <row r="250" spans="1:108" s="40" customFormat="1">
      <c r="A250" s="110" t="s">
        <v>166</v>
      </c>
      <c r="B250" s="167"/>
      <c r="C250" s="167"/>
      <c r="D250" s="167"/>
      <c r="E250" s="167"/>
      <c r="F250" s="167"/>
      <c r="G250" s="167"/>
      <c r="H250" s="168"/>
      <c r="I250" s="168"/>
      <c r="J250" s="168"/>
      <c r="K250" s="168"/>
      <c r="L250" s="167"/>
      <c r="M250" s="168"/>
      <c r="N250" s="168"/>
      <c r="O250" s="168"/>
      <c r="P250" s="168"/>
      <c r="Q250" s="167"/>
      <c r="R250" s="168"/>
      <c r="S250" s="168"/>
      <c r="T250" s="168"/>
      <c r="U250" s="168"/>
      <c r="V250" s="167"/>
      <c r="W250" s="168"/>
      <c r="X250" s="168"/>
      <c r="Y250" s="168"/>
      <c r="Z250" s="168"/>
      <c r="AA250" s="167"/>
      <c r="AB250" s="168"/>
      <c r="AC250" s="168"/>
      <c r="AD250" s="168"/>
      <c r="AE250" s="168"/>
      <c r="AF250" s="167"/>
      <c r="AG250" s="168"/>
      <c r="AH250" s="168"/>
      <c r="AI250" s="168"/>
      <c r="AJ250" s="168"/>
      <c r="AK250" s="167"/>
      <c r="AL250" s="168"/>
      <c r="AM250" s="168"/>
      <c r="AN250" s="168"/>
      <c r="AO250" s="168"/>
      <c r="AP250" s="167"/>
      <c r="AQ250" s="169"/>
      <c r="AR250" s="168"/>
      <c r="AS250" s="168"/>
      <c r="AT250" s="168"/>
      <c r="AU250" s="167"/>
      <c r="AV250" s="169"/>
      <c r="AW250" s="168"/>
      <c r="AX250" s="168"/>
      <c r="AY250" s="168"/>
      <c r="AZ250" s="167"/>
      <c r="BA250" s="167"/>
      <c r="BB250" s="169"/>
      <c r="BC250" s="168"/>
      <c r="BD250" s="168"/>
      <c r="BE250" s="168"/>
      <c r="BF250" s="167"/>
      <c r="BG250" s="169"/>
      <c r="BH250" s="168"/>
      <c r="BI250" s="168"/>
      <c r="BJ250" s="168"/>
      <c r="BK250" s="167"/>
      <c r="BL250" s="169"/>
      <c r="BM250" s="168"/>
      <c r="BN250" s="168"/>
      <c r="BO250" s="168"/>
      <c r="BP250" s="167"/>
      <c r="BQ250" s="169"/>
      <c r="BR250" s="168"/>
      <c r="BS250" s="168"/>
      <c r="BT250" s="1142"/>
      <c r="BU250" s="167"/>
      <c r="BV250" s="169"/>
      <c r="BW250" s="168"/>
      <c r="BX250" s="168"/>
      <c r="BY250" s="168"/>
      <c r="BZ250" s="167"/>
      <c r="CA250" s="169"/>
      <c r="CB250" s="168"/>
      <c r="CC250" s="168"/>
      <c r="CD250" s="168"/>
      <c r="CE250" s="167"/>
      <c r="CF250" s="169"/>
      <c r="CG250" s="168"/>
      <c r="CH250" s="168"/>
      <c r="CI250" s="168"/>
      <c r="CJ250" s="167"/>
      <c r="CK250" s="39"/>
      <c r="CL250" s="7"/>
      <c r="CM250" s="733"/>
      <c r="CN250" s="734"/>
      <c r="CO250" s="734"/>
      <c r="CP250" s="734"/>
      <c r="CQ250" s="1189"/>
      <c r="CR250" s="1189"/>
      <c r="CS250" s="1189"/>
      <c r="CT250" s="1189"/>
      <c r="CU250" s="1189"/>
      <c r="CV250" s="734"/>
      <c r="CW250" s="75"/>
      <c r="CX250" s="38"/>
      <c r="CY250" s="38"/>
      <c r="CZ250"/>
      <c r="DA250"/>
      <c r="DB250"/>
      <c r="DC250"/>
      <c r="DD250"/>
    </row>
    <row r="251" spans="1:108" s="308" customFormat="1">
      <c r="A251" s="306" t="s">
        <v>169</v>
      </c>
      <c r="B251" s="299">
        <v>200.7</v>
      </c>
      <c r="C251" s="299">
        <v>201</v>
      </c>
      <c r="D251" s="299">
        <v>198</v>
      </c>
      <c r="E251" s="299">
        <v>201</v>
      </c>
      <c r="F251" s="299">
        <v>200.2</v>
      </c>
      <c r="G251" s="299">
        <v>405.8</v>
      </c>
      <c r="H251" s="300">
        <v>405.596</v>
      </c>
      <c r="I251" s="300">
        <v>405.15</v>
      </c>
      <c r="J251" s="300">
        <v>403.66899999999998</v>
      </c>
      <c r="K251" s="301">
        <v>404.41699999999997</v>
      </c>
      <c r="L251" s="299">
        <v>404</v>
      </c>
      <c r="M251" s="300">
        <v>400.75900000000001</v>
      </c>
      <c r="N251" s="300">
        <v>398.49099999999999</v>
      </c>
      <c r="O251" s="300">
        <v>396.74799999999999</v>
      </c>
      <c r="P251" s="301">
        <v>396.2</v>
      </c>
      <c r="Q251" s="299">
        <v>386.7</v>
      </c>
      <c r="R251" s="300">
        <v>385.84500000000003</v>
      </c>
      <c r="S251" s="300">
        <v>385.03500000000003</v>
      </c>
      <c r="T251" s="302">
        <v>385.24299999999999</v>
      </c>
      <c r="U251" s="303">
        <v>385.72520900000001</v>
      </c>
      <c r="V251" s="304">
        <v>385.72520900000001</v>
      </c>
      <c r="W251" s="302">
        <v>385.72867300000001</v>
      </c>
      <c r="X251" s="300">
        <v>380.37436200000002</v>
      </c>
      <c r="Y251" s="302">
        <v>379.08800000000002</v>
      </c>
      <c r="Z251" s="303">
        <v>372.70478800000001</v>
      </c>
      <c r="AA251" s="304">
        <v>372.70478800000001</v>
      </c>
      <c r="AB251" s="302">
        <v>372.00043499999998</v>
      </c>
      <c r="AC251" s="300">
        <v>361.76483000000002</v>
      </c>
      <c r="AD251" s="302">
        <v>356.11275499999999</v>
      </c>
      <c r="AE251" s="303">
        <v>356.82164899999998</v>
      </c>
      <c r="AF251" s="304">
        <v>356.82164899999998</v>
      </c>
      <c r="AG251" s="302">
        <v>360.39914900000002</v>
      </c>
      <c r="AH251" s="302">
        <v>352.77825300000001</v>
      </c>
      <c r="AI251" s="302">
        <v>353.06980600000003</v>
      </c>
      <c r="AJ251" s="342">
        <v>353.442904</v>
      </c>
      <c r="AK251" s="343">
        <v>353.442904</v>
      </c>
      <c r="AL251" s="341">
        <v>353.18671599999999</v>
      </c>
      <c r="AM251" s="341">
        <v>349.867839</v>
      </c>
      <c r="AN251" s="302">
        <f>AM251*(1+AN258/4)</f>
        <v>349.88568434174562</v>
      </c>
      <c r="AO251" s="302">
        <v>353.40279399999997</v>
      </c>
      <c r="AP251" s="326">
        <f>+AK251+AP252</f>
        <v>353.40279399999997</v>
      </c>
      <c r="AQ251" s="738">
        <v>342.86</v>
      </c>
      <c r="AR251" s="302">
        <v>334.315</v>
      </c>
      <c r="AS251" s="302">
        <v>331.38974100000001</v>
      </c>
      <c r="AT251" s="302">
        <v>332.16409700000003</v>
      </c>
      <c r="AU251" s="326">
        <f>+AP251+AU252</f>
        <v>332.16409700000003</v>
      </c>
      <c r="AV251" s="778">
        <v>328.732777</v>
      </c>
      <c r="AW251" s="772">
        <v>322.72716700000001</v>
      </c>
      <c r="AX251" s="772">
        <v>316.12815999999998</v>
      </c>
      <c r="AY251" s="772">
        <v>312.98727700000001</v>
      </c>
      <c r="AZ251" s="326">
        <f>+AU251+AZ252</f>
        <v>312.98727700000001</v>
      </c>
      <c r="BA251" s="326">
        <f>+AU251+BA252</f>
        <v>312.98727700000001</v>
      </c>
      <c r="BB251" s="305">
        <v>305.64696700000002</v>
      </c>
      <c r="BC251" s="303">
        <v>305.27886799999999</v>
      </c>
      <c r="BD251" s="303">
        <v>304.51954999999998</v>
      </c>
      <c r="BE251" s="303">
        <v>302.41852799999998</v>
      </c>
      <c r="BF251" s="326">
        <f>+BA251+BF252</f>
        <v>302.41852799999998</v>
      </c>
      <c r="BG251" s="305">
        <v>305.64696700000002</v>
      </c>
      <c r="BH251" s="303">
        <v>305.27886799999999</v>
      </c>
      <c r="BI251" s="303">
        <v>303.93799999999999</v>
      </c>
      <c r="BJ251" s="303">
        <v>302.39999999999998</v>
      </c>
      <c r="BK251" s="326">
        <f>+BA251+BK252</f>
        <v>302.41852799999998</v>
      </c>
      <c r="BL251" s="305">
        <v>301.68544800000001</v>
      </c>
      <c r="BM251" s="303">
        <v>299.46180199999998</v>
      </c>
      <c r="BN251" s="303">
        <v>298.14499999999998</v>
      </c>
      <c r="BO251" s="303">
        <v>296.89999999999998</v>
      </c>
      <c r="BP251" s="326">
        <f>+BK251+BP252</f>
        <v>296.89999999999998</v>
      </c>
      <c r="BQ251" s="305">
        <f>+BO251*(1+BQ258/4)</f>
        <v>296.89999999999998</v>
      </c>
      <c r="BR251" s="303">
        <f t="shared" ref="BR251:BT251" si="654">+BQ251*(1+BR258/4)</f>
        <v>296.89999999999998</v>
      </c>
      <c r="BS251" s="303">
        <f t="shared" si="654"/>
        <v>296.89999999999998</v>
      </c>
      <c r="BT251" s="896">
        <f t="shared" si="654"/>
        <v>296.89999999999998</v>
      </c>
      <c r="BU251" s="1066">
        <f>+BT251</f>
        <v>296.89999999999998</v>
      </c>
      <c r="BV251" s="305"/>
      <c r="BW251" s="303"/>
      <c r="BX251" s="303"/>
      <c r="BY251" s="303"/>
      <c r="BZ251" s="304">
        <f>BU251*(1+BZ258)</f>
        <v>296.89999999999998</v>
      </c>
      <c r="CA251" s="305"/>
      <c r="CB251" s="303"/>
      <c r="CC251" s="303"/>
      <c r="CD251" s="303"/>
      <c r="CE251" s="304">
        <f>BZ251*(1+CE258)</f>
        <v>296.89999999999998</v>
      </c>
      <c r="CF251" s="305"/>
      <c r="CG251" s="303"/>
      <c r="CH251" s="303"/>
      <c r="CI251" s="303"/>
      <c r="CJ251" s="304">
        <f>CE251*(1+CJ258)</f>
        <v>290.96199999999999</v>
      </c>
      <c r="CK251" s="306"/>
      <c r="CL251" s="307"/>
      <c r="CM251" s="732"/>
      <c r="CN251" s="732"/>
      <c r="CO251" s="732"/>
      <c r="CP251" s="1261"/>
      <c r="CQ251" s="1262"/>
      <c r="CR251" s="1262"/>
      <c r="CS251" s="1262"/>
      <c r="CT251" s="1262"/>
      <c r="CU251" s="1262"/>
      <c r="CV251" s="1003"/>
      <c r="CW251" s="307"/>
      <c r="CX251" s="306"/>
      <c r="CY251" s="306"/>
      <c r="CZ251"/>
      <c r="DA251"/>
      <c r="DB251"/>
      <c r="DC251"/>
      <c r="DD251"/>
    </row>
    <row r="252" spans="1:108" s="337" customFormat="1">
      <c r="A252" s="327" t="s">
        <v>170</v>
      </c>
      <c r="B252" s="328"/>
      <c r="C252" s="328">
        <f>C251-B251</f>
        <v>0.30000000000001137</v>
      </c>
      <c r="D252" s="328">
        <f>D251-C251</f>
        <v>-3</v>
      </c>
      <c r="E252" s="328">
        <f>E251-D251</f>
        <v>3</v>
      </c>
      <c r="F252" s="328">
        <f>F251-E251</f>
        <v>-0.80000000000001137</v>
      </c>
      <c r="G252" s="328">
        <f>G251-F251</f>
        <v>205.60000000000002</v>
      </c>
      <c r="H252" s="329"/>
      <c r="I252" s="329">
        <f>I251-H251</f>
        <v>-0.44600000000002638</v>
      </c>
      <c r="J252" s="329">
        <f>J251-I251</f>
        <v>-1.4809999999999945</v>
      </c>
      <c r="K252" s="329">
        <f>K251-J251</f>
        <v>0.74799999999999045</v>
      </c>
      <c r="L252" s="328">
        <f>L251-G251</f>
        <v>-1.8000000000000114</v>
      </c>
      <c r="M252" s="329">
        <f>M251-K251</f>
        <v>-3.6579999999999586</v>
      </c>
      <c r="N252" s="329">
        <f>N251-M251</f>
        <v>-2.2680000000000291</v>
      </c>
      <c r="O252" s="329">
        <f>O251-N251</f>
        <v>-1.742999999999995</v>
      </c>
      <c r="P252" s="329">
        <f>P251-O251</f>
        <v>-0.54800000000000182</v>
      </c>
      <c r="Q252" s="328">
        <f>Q251-L251</f>
        <v>-17.300000000000011</v>
      </c>
      <c r="R252" s="329">
        <f>R251-P251</f>
        <v>-10.354999999999961</v>
      </c>
      <c r="S252" s="329">
        <f>S251-R251</f>
        <v>-0.81000000000000227</v>
      </c>
      <c r="T252" s="329">
        <f>T251-S251</f>
        <v>0.20799999999996999</v>
      </c>
      <c r="U252" s="329">
        <f>U251-T251</f>
        <v>0.48220900000001166</v>
      </c>
      <c r="V252" s="328">
        <f>V251-Q251</f>
        <v>-0.97479099999998198</v>
      </c>
      <c r="W252" s="329">
        <f>W251-U251</f>
        <v>3.4640000000081272E-3</v>
      </c>
      <c r="X252" s="329">
        <f>X251-W251</f>
        <v>-5.3543109999999956</v>
      </c>
      <c r="Y252" s="329">
        <f>Y251-X251</f>
        <v>-1.2863619999999969</v>
      </c>
      <c r="Z252" s="329">
        <f>Z251-Y251</f>
        <v>-6.3832120000000145</v>
      </c>
      <c r="AA252" s="328">
        <f>AA251-V251</f>
        <v>-13.020420999999999</v>
      </c>
      <c r="AB252" s="329">
        <f>AB251-Z251</f>
        <v>-0.70435300000002599</v>
      </c>
      <c r="AC252" s="329">
        <f>AC251-AB251</f>
        <v>-10.235604999999964</v>
      </c>
      <c r="AD252" s="329">
        <f>AD251-AC251</f>
        <v>-5.6520750000000248</v>
      </c>
      <c r="AE252" s="329">
        <f>AE251-AD251</f>
        <v>0.70889399999998659</v>
      </c>
      <c r="AF252" s="328">
        <f>AF251-AA251</f>
        <v>-15.883139000000028</v>
      </c>
      <c r="AG252" s="329">
        <f>AG251-AE251</f>
        <v>3.5775000000000432</v>
      </c>
      <c r="AH252" s="329">
        <f>AH251-AG251</f>
        <v>-7.6208960000000161</v>
      </c>
      <c r="AI252" s="329">
        <f>AI251-AH251</f>
        <v>0.29155300000002171</v>
      </c>
      <c r="AJ252" s="329">
        <f>AJ251-AI251</f>
        <v>0.3730979999999704</v>
      </c>
      <c r="AK252" s="328">
        <f>AK251-AF251</f>
        <v>-3.3787449999999808</v>
      </c>
      <c r="AL252" s="329">
        <f>AL251-AJ251</f>
        <v>-0.25618800000000874</v>
      </c>
      <c r="AM252" s="329">
        <f>AM251-AL251</f>
        <v>-3.3188769999999863</v>
      </c>
      <c r="AN252" s="329">
        <f>AN251-AM251</f>
        <v>1.7845341745612586E-2</v>
      </c>
      <c r="AO252" s="329">
        <f>AO251-AN251</f>
        <v>3.5171096582543555</v>
      </c>
      <c r="AP252" s="330">
        <f>SUM(AL252:AO252)</f>
        <v>-4.0110000000026957E-2</v>
      </c>
      <c r="AQ252" s="728">
        <f>AQ251-AP251</f>
        <v>-10.542793999999958</v>
      </c>
      <c r="AR252" s="728">
        <f>AR251-AQ251</f>
        <v>-8.5450000000000159</v>
      </c>
      <c r="AS252" s="728">
        <f>AS251-AR251</f>
        <v>-2.9252589999999827</v>
      </c>
      <c r="AT252" s="329">
        <f>AT251-AS251</f>
        <v>0.77435600000001159</v>
      </c>
      <c r="AU252" s="330">
        <f>SUM(AQ252:AT252)</f>
        <v>-21.238696999999945</v>
      </c>
      <c r="AV252" s="728">
        <f>AV251-AU251</f>
        <v>-3.4313200000000279</v>
      </c>
      <c r="AW252" s="728">
        <f>AW251-AV251</f>
        <v>-6.0056099999999901</v>
      </c>
      <c r="AX252" s="728">
        <f>AX251-AW251</f>
        <v>-6.5990070000000287</v>
      </c>
      <c r="AY252" s="329">
        <f>AY251-AX251</f>
        <v>-3.1408829999999739</v>
      </c>
      <c r="AZ252" s="330">
        <f>SUM(AV252:AY252)</f>
        <v>-19.176820000000021</v>
      </c>
      <c r="BA252" s="330">
        <f>+AZ252</f>
        <v>-19.176820000000021</v>
      </c>
      <c r="BB252" s="728">
        <f>BB251-AZ251</f>
        <v>-7.3403099999999881</v>
      </c>
      <c r="BC252" s="728">
        <f>BC251-BB251</f>
        <v>-0.36809900000002926</v>
      </c>
      <c r="BD252" s="728">
        <f>BD251-BC251</f>
        <v>-0.75931800000000749</v>
      </c>
      <c r="BE252" s="329">
        <f>BE251-BD251</f>
        <v>-2.1010220000000004</v>
      </c>
      <c r="BF252" s="328">
        <f>SUM(BB252:BE252)</f>
        <v>-10.568749000000025</v>
      </c>
      <c r="BG252" s="728">
        <f>BG251-BE251</f>
        <v>3.2284390000000371</v>
      </c>
      <c r="BH252" s="329">
        <f>+BH251-BG251</f>
        <v>-0.36809900000002926</v>
      </c>
      <c r="BI252" s="728">
        <f t="shared" ref="BI252:BJ252" si="655">+BI251-BH251</f>
        <v>-1.3408680000000004</v>
      </c>
      <c r="BJ252" s="728">
        <f t="shared" si="655"/>
        <v>-1.5380000000000109</v>
      </c>
      <c r="BK252" s="330">
        <f>+BF252</f>
        <v>-10.568749000000025</v>
      </c>
      <c r="BL252" s="728">
        <f>BL251-BK251</f>
        <v>-0.73307999999997264</v>
      </c>
      <c r="BM252" s="329">
        <f>+BM251-BL251</f>
        <v>-2.2236460000000307</v>
      </c>
      <c r="BN252" s="728">
        <f>BN251-BM251</f>
        <v>-1.3168019999999956</v>
      </c>
      <c r="BO252" s="728">
        <f>BO251-BN251</f>
        <v>-1.2450000000000045</v>
      </c>
      <c r="BP252" s="328">
        <f>SUM(BL252:BO252)</f>
        <v>-5.5185280000000034</v>
      </c>
      <c r="BQ252" s="331">
        <f>+BQ251-BO251</f>
        <v>0</v>
      </c>
      <c r="BR252" s="329">
        <f t="shared" ref="BR252" si="656">+BR251-BQ251</f>
        <v>0</v>
      </c>
      <c r="BS252" s="329">
        <f t="shared" ref="BS252" si="657">+BS251-BR251</f>
        <v>0</v>
      </c>
      <c r="BT252" s="1144">
        <f t="shared" ref="BT252" si="658">+BT251-BS251</f>
        <v>0</v>
      </c>
      <c r="BU252" s="328">
        <f>BU251-BP251</f>
        <v>0</v>
      </c>
      <c r="BV252" s="331"/>
      <c r="BW252" s="329"/>
      <c r="BX252" s="329"/>
      <c r="BY252" s="329"/>
      <c r="BZ252" s="328">
        <f>BZ251-BU251</f>
        <v>0</v>
      </c>
      <c r="CA252" s="331"/>
      <c r="CB252" s="329"/>
      <c r="CC252" s="329"/>
      <c r="CD252" s="329"/>
      <c r="CE252" s="328">
        <f>CE251-BZ251</f>
        <v>0</v>
      </c>
      <c r="CF252" s="331"/>
      <c r="CG252" s="329"/>
      <c r="CH252" s="329"/>
      <c r="CI252" s="329"/>
      <c r="CJ252" s="328">
        <f>CJ251-CE251</f>
        <v>-5.9379999999999882</v>
      </c>
      <c r="CK252" s="332"/>
      <c r="CL252" s="333"/>
      <c r="CM252" s="1188"/>
      <c r="CN252" s="1263"/>
      <c r="CO252" s="1263"/>
      <c r="CP252" s="1003"/>
      <c r="CQ252" s="1262"/>
      <c r="CR252" s="1262"/>
      <c r="CS252" s="1262"/>
      <c r="CT252" s="1262"/>
      <c r="CU252" s="1262"/>
      <c r="CV252" s="1003"/>
      <c r="CW252" s="334"/>
      <c r="CX252" s="329"/>
      <c r="CY252" s="329"/>
      <c r="CZ252"/>
      <c r="DA252"/>
      <c r="DB252"/>
      <c r="DC252"/>
      <c r="DD252"/>
    </row>
    <row r="253" spans="1:108" s="337" customFormat="1">
      <c r="A253" s="596" t="s">
        <v>190</v>
      </c>
      <c r="B253" s="328"/>
      <c r="C253" s="328"/>
      <c r="D253" s="328"/>
      <c r="E253" s="328"/>
      <c r="F253" s="328"/>
      <c r="G253" s="328"/>
      <c r="H253" s="329"/>
      <c r="I253" s="329"/>
      <c r="J253" s="329"/>
      <c r="K253" s="329"/>
      <c r="L253" s="328"/>
      <c r="M253" s="329"/>
      <c r="N253" s="329"/>
      <c r="O253" s="329"/>
      <c r="P253" s="329"/>
      <c r="Q253" s="328"/>
      <c r="R253" s="329"/>
      <c r="S253" s="329"/>
      <c r="T253" s="329"/>
      <c r="U253" s="329"/>
      <c r="V253" s="328"/>
      <c r="W253" s="329"/>
      <c r="X253" s="329"/>
      <c r="Y253" s="329"/>
      <c r="Z253" s="329"/>
      <c r="AA253" s="328">
        <f>SUM(AA252,AA254)</f>
        <v>5.8795789999999997</v>
      </c>
      <c r="AB253" s="329"/>
      <c r="AC253" s="329"/>
      <c r="AD253" s="329"/>
      <c r="AE253" s="329"/>
      <c r="AF253" s="328">
        <f>SUM(AF252,AF254)</f>
        <v>4.1168609999999717</v>
      </c>
      <c r="AG253" s="329">
        <f>AG251-AF251+AG254</f>
        <v>4.9775000000000436</v>
      </c>
      <c r="AH253" s="329">
        <f>AH251-AG251+AH254</f>
        <v>7.9103999999983188E-2</v>
      </c>
      <c r="AI253" s="329">
        <f>AI251-AH251+AI254</f>
        <v>0.29155300000002171</v>
      </c>
      <c r="AJ253" s="329">
        <f>AJ251-AI251+AJ254</f>
        <v>0.3730979999999704</v>
      </c>
      <c r="AK253" s="328">
        <f>SUM(AK252,AK254)</f>
        <v>5.7212550000000189</v>
      </c>
      <c r="AL253" s="329">
        <f>AL251-AK251+AL254</f>
        <v>0.74381199999999126</v>
      </c>
      <c r="AM253" s="329">
        <f>AM251-AL251+AM254</f>
        <v>3.2811230000000133</v>
      </c>
      <c r="AN253" s="329">
        <f>AN251-AM251+AN254</f>
        <v>2.6178453417456127</v>
      </c>
      <c r="AO253" s="329">
        <f>AO251-AN251+AO254</f>
        <v>3.5171096582543555</v>
      </c>
      <c r="AP253" s="330">
        <f>SUM(AL253:AO253)</f>
        <v>10.159889999999972</v>
      </c>
      <c r="AQ253" s="329">
        <f>AQ251-AP251+AQ254</f>
        <v>3.8572060000000423</v>
      </c>
      <c r="AR253" s="329">
        <f>AR251-AQ251+AR254</f>
        <v>2.1549999999999834</v>
      </c>
      <c r="AS253" s="329">
        <f>AS251-AR251+AS254</f>
        <v>0.87474100000001709</v>
      </c>
      <c r="AT253" s="329">
        <f>AT251-AS251+AT254</f>
        <v>0.99035600000001156</v>
      </c>
      <c r="AU253" s="330">
        <f>SUM(AQ253:AT253)</f>
        <v>7.8773030000000546</v>
      </c>
      <c r="AV253" s="329">
        <f>AV251-AU251+AV254</f>
        <v>1.2686799999999723</v>
      </c>
      <c r="AW253" s="329">
        <f>AW251-AV251+AW254</f>
        <v>1.3943900000000093</v>
      </c>
      <c r="AX253" s="329">
        <f>AX251-AW251+AX254</f>
        <v>0.60099299999997324</v>
      </c>
      <c r="AY253" s="329">
        <f>AY251-AX251+AY254</f>
        <v>0.35911700000002522</v>
      </c>
      <c r="AZ253" s="330">
        <f>SUM(AV253:AY253)</f>
        <v>3.6231799999999801</v>
      </c>
      <c r="BA253" s="330">
        <f>+AZ253</f>
        <v>3.6231799999999801</v>
      </c>
      <c r="BB253" s="329">
        <f>BB251-AZ251+BB254</f>
        <v>0.4596900000000117</v>
      </c>
      <c r="BC253" s="329">
        <f>BC251-BB251+BC254</f>
        <v>0.73190099999997127</v>
      </c>
      <c r="BD253" s="329">
        <f>BD251-BC251+BD254</f>
        <v>1.5406819999999906</v>
      </c>
      <c r="BE253" s="541">
        <f>BE251-BD251+BE254</f>
        <v>0.8989780000000005</v>
      </c>
      <c r="BF253" s="330">
        <f>SUM(BB253:BE253)</f>
        <v>3.631250999999974</v>
      </c>
      <c r="BG253" s="329">
        <f>BG251-BE251+BG254</f>
        <v>11.028439000000038</v>
      </c>
      <c r="BH253" s="200">
        <f>BH251-BG251+BH254</f>
        <v>0.73190099999997127</v>
      </c>
      <c r="BI253" s="728">
        <f t="shared" ref="BI253:BJ253" si="659">BI251-BH251+BI254</f>
        <v>6.4591319999999994</v>
      </c>
      <c r="BJ253" s="1231">
        <f t="shared" si="659"/>
        <v>-0.43800000000001038</v>
      </c>
      <c r="BK253" s="330">
        <f>+BF253</f>
        <v>3.631250999999974</v>
      </c>
      <c r="BL253" s="329">
        <f>BL251-BK251+BL254</f>
        <v>1.1669200000000273</v>
      </c>
      <c r="BM253" s="200">
        <f>BM251-BL251+BM254</f>
        <v>0.47635399999996908</v>
      </c>
      <c r="BN253" s="1029">
        <f>BN251-BM251+BN254</f>
        <v>-1.6801999999994877E-2</v>
      </c>
      <c r="BO253" s="1029">
        <f>BO251-BN251+BO254</f>
        <v>0.65499999999999536</v>
      </c>
      <c r="BP253" s="330">
        <f>SUM(BL253:BO253)</f>
        <v>2.2814719999999968</v>
      </c>
      <c r="BQ253" s="579">
        <v>0.5</v>
      </c>
      <c r="BR253" s="580">
        <v>0.5</v>
      </c>
      <c r="BS253" s="580">
        <v>0.5</v>
      </c>
      <c r="BT253" s="899">
        <v>0.5</v>
      </c>
      <c r="BU253" s="1067">
        <f>SUM(BQ253:BT253)</f>
        <v>2</v>
      </c>
      <c r="BV253" s="579"/>
      <c r="BW253" s="580"/>
      <c r="BX253" s="580"/>
      <c r="BY253" s="580"/>
      <c r="BZ253" s="578">
        <v>2</v>
      </c>
      <c r="CA253" s="579"/>
      <c r="CB253" s="580"/>
      <c r="CC253" s="580"/>
      <c r="CD253" s="580"/>
      <c r="CE253" s="578">
        <v>2</v>
      </c>
      <c r="CF253" s="579"/>
      <c r="CG253" s="580"/>
      <c r="CH253" s="580"/>
      <c r="CI253" s="580"/>
      <c r="CJ253" s="578">
        <v>2</v>
      </c>
      <c r="CK253" s="332"/>
      <c r="CL253" s="333"/>
      <c r="CM253" s="1188"/>
      <c r="CN253" s="1263"/>
      <c r="CO253" s="1263"/>
      <c r="CP253" s="622"/>
      <c r="CQ253" s="703"/>
      <c r="CR253" s="703"/>
      <c r="CS253" s="703"/>
      <c r="CT253" s="703"/>
      <c r="CU253" s="703"/>
      <c r="CV253" s="1263"/>
      <c r="CW253" s="334"/>
      <c r="CX253" s="329"/>
      <c r="CY253" s="329"/>
      <c r="CZ253"/>
      <c r="DA253"/>
      <c r="DB253"/>
      <c r="DC253"/>
      <c r="DD253"/>
    </row>
    <row r="254" spans="1:108" s="337" customFormat="1">
      <c r="A254" s="596" t="s">
        <v>204</v>
      </c>
      <c r="B254" s="328">
        <v>1.5</v>
      </c>
      <c r="C254" s="328">
        <v>1.3</v>
      </c>
      <c r="D254" s="328">
        <v>4.7</v>
      </c>
      <c r="E254" s="328">
        <v>0</v>
      </c>
      <c r="F254" s="328">
        <v>6.7</v>
      </c>
      <c r="G254" s="328">
        <v>1.2</v>
      </c>
      <c r="H254" s="329"/>
      <c r="I254" s="329"/>
      <c r="J254" s="329"/>
      <c r="K254" s="329"/>
      <c r="L254" s="328">
        <v>6.5</v>
      </c>
      <c r="M254" s="329"/>
      <c r="N254" s="329"/>
      <c r="O254" s="329"/>
      <c r="P254" s="329"/>
      <c r="Q254" s="328">
        <v>20</v>
      </c>
      <c r="R254" s="329"/>
      <c r="S254" s="329"/>
      <c r="T254" s="329"/>
      <c r="U254" s="329"/>
      <c r="V254" s="328">
        <v>3.6</v>
      </c>
      <c r="W254" s="329"/>
      <c r="X254" s="329"/>
      <c r="Y254" s="329"/>
      <c r="Z254" s="329"/>
      <c r="AA254" s="328">
        <v>18.899999999999999</v>
      </c>
      <c r="AB254" s="329"/>
      <c r="AC254" s="329"/>
      <c r="AD254" s="329"/>
      <c r="AE254" s="329"/>
      <c r="AF254" s="328">
        <v>20</v>
      </c>
      <c r="AG254" s="329">
        <v>1.4</v>
      </c>
      <c r="AH254" s="329">
        <f>9.1-AG254</f>
        <v>7.6999999999999993</v>
      </c>
      <c r="AI254" s="329">
        <f>9.1-SUM(AG254:AH254)</f>
        <v>0</v>
      </c>
      <c r="AJ254" s="329">
        <v>0</v>
      </c>
      <c r="AK254" s="328">
        <f>SUM(AG254:AJ254)</f>
        <v>9.1</v>
      </c>
      <c r="AL254" s="329">
        <v>1</v>
      </c>
      <c r="AM254" s="329">
        <v>6.6</v>
      </c>
      <c r="AN254" s="329">
        <v>2.6</v>
      </c>
      <c r="AO254" s="329">
        <v>0</v>
      </c>
      <c r="AP254" s="330">
        <f>SUM(AL254:AO254)</f>
        <v>10.199999999999999</v>
      </c>
      <c r="AQ254" s="728">
        <v>14.4</v>
      </c>
      <c r="AR254" s="728">
        <v>10.7</v>
      </c>
      <c r="AS254" s="728">
        <v>3.8</v>
      </c>
      <c r="AT254" s="774">
        <v>0.216</v>
      </c>
      <c r="AU254" s="330">
        <f>SUM(AQ254:AT254)</f>
        <v>29.116000000000003</v>
      </c>
      <c r="AV254" s="774">
        <v>4.7</v>
      </c>
      <c r="AW254" s="774">
        <f>12.1-AV254</f>
        <v>7.3999999999999995</v>
      </c>
      <c r="AX254" s="774">
        <f>19.3-AW254-AV254</f>
        <v>7.200000000000002</v>
      </c>
      <c r="AY254" s="774">
        <f>22.8-AX254-AW254-AV254</f>
        <v>3.4999999999999991</v>
      </c>
      <c r="AZ254" s="330">
        <f>SUM(AV254:AY254)</f>
        <v>22.8</v>
      </c>
      <c r="BA254" s="330">
        <f>+AZ254</f>
        <v>22.8</v>
      </c>
      <c r="BB254" s="331">
        <v>7.8</v>
      </c>
      <c r="BC254" s="329">
        <f>8.9-BB254</f>
        <v>1.1000000000000005</v>
      </c>
      <c r="BD254" s="329">
        <f>11.2-BC254-BB254</f>
        <v>2.299999999999998</v>
      </c>
      <c r="BE254" s="329">
        <f>14.2-BD254-BC254-BB254</f>
        <v>3.0000000000000009</v>
      </c>
      <c r="BF254" s="328">
        <f>+SUM(BB254:BE254)</f>
        <v>14.2</v>
      </c>
      <c r="BG254" s="331">
        <v>7.8</v>
      </c>
      <c r="BH254" s="329">
        <f>8.9-BG254</f>
        <v>1.1000000000000005</v>
      </c>
      <c r="BI254" s="728">
        <f t="shared" ref="BI254:BJ254" si="660">8.9-BH254</f>
        <v>7.8</v>
      </c>
      <c r="BJ254" s="728">
        <f t="shared" si="660"/>
        <v>1.1000000000000005</v>
      </c>
      <c r="BK254" s="330">
        <f>+BF254</f>
        <v>14.2</v>
      </c>
      <c r="BL254" s="331">
        <v>1.9</v>
      </c>
      <c r="BM254" s="329">
        <f>4.6-BL254</f>
        <v>2.6999999999999997</v>
      </c>
      <c r="BN254" s="728">
        <f>5.9-BM254-BL254</f>
        <v>1.3000000000000007</v>
      </c>
      <c r="BO254" s="728">
        <f>5.9-BN254-BM254</f>
        <v>1.9</v>
      </c>
      <c r="BP254" s="328">
        <f>+SUM(BL254:BO254)</f>
        <v>7.8000000000000007</v>
      </c>
      <c r="BQ254" s="331">
        <f>BO251-BQ251+BQ253</f>
        <v>0.5</v>
      </c>
      <c r="BR254" s="728">
        <f t="shared" ref="BR254:BT254" si="661">BQ251-BR251+BR253</f>
        <v>0.5</v>
      </c>
      <c r="BS254" s="329">
        <f t="shared" si="661"/>
        <v>0.5</v>
      </c>
      <c r="BT254" s="1144">
        <f t="shared" si="661"/>
        <v>0.5</v>
      </c>
      <c r="BU254" s="328">
        <f>BP251-BU251+BU253</f>
        <v>2</v>
      </c>
      <c r="BV254" s="331"/>
      <c r="BW254" s="329"/>
      <c r="BX254" s="329"/>
      <c r="BY254" s="329"/>
      <c r="BZ254" s="328">
        <f>BU251-BZ251+BZ253</f>
        <v>2</v>
      </c>
      <c r="CA254" s="331"/>
      <c r="CB254" s="329"/>
      <c r="CC254" s="329"/>
      <c r="CD254" s="329"/>
      <c r="CE254" s="328">
        <f>BZ251-CE251+CE253</f>
        <v>2</v>
      </c>
      <c r="CF254" s="331"/>
      <c r="CG254" s="329"/>
      <c r="CH254" s="329"/>
      <c r="CI254" s="329"/>
      <c r="CJ254" s="328">
        <f>CE251-CJ251+CJ253</f>
        <v>7.9379999999999882</v>
      </c>
      <c r="CK254" s="332"/>
      <c r="CL254" s="333"/>
      <c r="CM254" s="1264"/>
      <c r="CN254" s="1263"/>
      <c r="CO254" s="1263"/>
      <c r="CP254" s="622"/>
      <c r="CQ254" s="703"/>
      <c r="CR254" s="703"/>
      <c r="CS254" s="703"/>
      <c r="CT254" s="703"/>
      <c r="CU254" s="703"/>
      <c r="CV254" s="703"/>
      <c r="CW254" s="334"/>
      <c r="CX254" s="329"/>
      <c r="CY254" s="329"/>
      <c r="CZ254"/>
      <c r="DA254"/>
      <c r="DB254"/>
      <c r="DC254"/>
      <c r="DD254"/>
    </row>
    <row r="255" spans="1:108" s="308" customFormat="1">
      <c r="A255" s="306" t="s">
        <v>171</v>
      </c>
      <c r="B255" s="299">
        <v>201.1</v>
      </c>
      <c r="C255" s="343">
        <v>402.7</v>
      </c>
      <c r="D255" s="343">
        <v>395.6</v>
      </c>
      <c r="E255" s="343">
        <v>399.1</v>
      </c>
      <c r="F255" s="343">
        <v>401.6</v>
      </c>
      <c r="G255" s="343">
        <v>403.4</v>
      </c>
      <c r="H255" s="341">
        <v>405.596</v>
      </c>
      <c r="I255" s="341">
        <v>405.15</v>
      </c>
      <c r="J255" s="341">
        <v>403.66899999999998</v>
      </c>
      <c r="K255" s="342">
        <v>403.3</v>
      </c>
      <c r="L255" s="299">
        <v>404.4</v>
      </c>
      <c r="M255" s="300">
        <v>400.75900000000001</v>
      </c>
      <c r="N255" s="300">
        <v>398.49099999999999</v>
      </c>
      <c r="O255" s="300">
        <v>396.74799999999999</v>
      </c>
      <c r="P255" s="301">
        <v>388.80199999999991</v>
      </c>
      <c r="Q255" s="299">
        <v>396.2</v>
      </c>
      <c r="R255" s="300">
        <v>385.84500000000003</v>
      </c>
      <c r="S255" s="300">
        <v>385.03500000000003</v>
      </c>
      <c r="T255" s="302">
        <v>385.24299999999999</v>
      </c>
      <c r="U255" s="303">
        <v>385.5</v>
      </c>
      <c r="V255" s="304">
        <v>385.5</v>
      </c>
      <c r="W255" s="302">
        <v>384.82299999999998</v>
      </c>
      <c r="X255" s="300">
        <v>384.30399999999997</v>
      </c>
      <c r="Y255" s="302">
        <v>382.5</v>
      </c>
      <c r="Z255" s="303">
        <v>376.7</v>
      </c>
      <c r="AA255" s="304">
        <v>381.24</v>
      </c>
      <c r="AB255" s="302">
        <v>372.68</v>
      </c>
      <c r="AC255" s="300">
        <v>368</v>
      </c>
      <c r="AD255" s="302">
        <v>359.7</v>
      </c>
      <c r="AE255" s="303">
        <v>356.2</v>
      </c>
      <c r="AF255" s="304">
        <v>364.14499999999998</v>
      </c>
      <c r="AG255" s="302">
        <v>357</v>
      </c>
      <c r="AH255" s="302">
        <v>355.048</v>
      </c>
      <c r="AI255" s="302">
        <v>350.47</v>
      </c>
      <c r="AJ255" s="342">
        <v>350.9</v>
      </c>
      <c r="AK255" s="343">
        <v>353.3</v>
      </c>
      <c r="AL255" s="302">
        <v>351.87299999999999</v>
      </c>
      <c r="AM255" s="302">
        <v>351.1</v>
      </c>
      <c r="AN255" s="302">
        <v>349.37700000000001</v>
      </c>
      <c r="AO255" s="302">
        <v>350.5</v>
      </c>
      <c r="AP255" s="304">
        <f>AVERAGE(AL255:AO255)</f>
        <v>350.71249999999998</v>
      </c>
      <c r="AQ255" s="728">
        <v>342.23200000000003</v>
      </c>
      <c r="AR255" s="728">
        <v>336.69200000000001</v>
      </c>
      <c r="AS255" s="728">
        <f>AS257-AS256</f>
        <v>331.81099999999998</v>
      </c>
      <c r="AT255" s="772">
        <v>335.19200000000001</v>
      </c>
      <c r="AU255" s="304">
        <f>AVERAGE(AQ255:AT255)</f>
        <v>336.48174999999998</v>
      </c>
      <c r="AV255" s="774">
        <v>329.154</v>
      </c>
      <c r="AW255" s="774">
        <v>326.15300000000002</v>
      </c>
      <c r="AX255" s="774">
        <v>316.68</v>
      </c>
      <c r="AY255" s="302">
        <v>313.3</v>
      </c>
      <c r="AZ255" s="304">
        <v>321.31299999999999</v>
      </c>
      <c r="BA255" s="304">
        <v>321.31299999999999</v>
      </c>
      <c r="BB255" s="305">
        <v>307.928</v>
      </c>
      <c r="BC255" s="303">
        <v>304.47000000000003</v>
      </c>
      <c r="BD255" s="303">
        <v>303.93799999999999</v>
      </c>
      <c r="BE255" s="896">
        <v>302.5</v>
      </c>
      <c r="BF255" s="932">
        <v>304.70699999999999</v>
      </c>
      <c r="BG255" s="305">
        <v>307.928</v>
      </c>
      <c r="BH255" s="303">
        <v>304.5</v>
      </c>
      <c r="BI255" s="303">
        <v>303.89999999999998</v>
      </c>
      <c r="BJ255" s="896">
        <v>302.5</v>
      </c>
      <c r="BK255" s="304">
        <v>304.70699999999999</v>
      </c>
      <c r="BL255" s="305">
        <v>301.77100000000002</v>
      </c>
      <c r="BM255" s="303">
        <v>299.79000000000002</v>
      </c>
      <c r="BN255" s="303">
        <v>298.14499999999998</v>
      </c>
      <c r="BO255" s="1226">
        <v>299.17200000000003</v>
      </c>
      <c r="BP255" s="1207">
        <v>299.17200000000003</v>
      </c>
      <c r="BQ255" s="305">
        <f t="shared" ref="BQ255:BT255" si="662">BQ257-BQ256</f>
        <v>296.39999999999998</v>
      </c>
      <c r="BR255" s="303">
        <f t="shared" si="662"/>
        <v>296.39999999999998</v>
      </c>
      <c r="BS255" s="303">
        <f t="shared" si="662"/>
        <v>296.39999999999998</v>
      </c>
      <c r="BT255" s="896">
        <f t="shared" si="662"/>
        <v>296.39999999999998</v>
      </c>
      <c r="BU255" s="304">
        <f>BU257-BU256</f>
        <v>296.39999999999998</v>
      </c>
      <c r="BV255" s="305"/>
      <c r="BW255" s="303"/>
      <c r="BX255" s="303"/>
      <c r="BY255" s="303"/>
      <c r="BZ255" s="304">
        <f>BZ257-BZ256</f>
        <v>296.89999999999998</v>
      </c>
      <c r="CA255" s="305"/>
      <c r="CB255" s="303"/>
      <c r="CC255" s="303"/>
      <c r="CD255" s="303"/>
      <c r="CE255" s="304">
        <f>CE257-CE256</f>
        <v>296.89999999999998</v>
      </c>
      <c r="CF255" s="305"/>
      <c r="CG255" s="303"/>
      <c r="CH255" s="303"/>
      <c r="CI255" s="303"/>
      <c r="CJ255" s="304">
        <f>CJ257-CJ256</f>
        <v>290.85199999999998</v>
      </c>
      <c r="CK255" s="306"/>
      <c r="CL255" s="307"/>
      <c r="CM255" s="661" t="s">
        <v>396</v>
      </c>
      <c r="CN255" s="732"/>
      <c r="CO255" s="732"/>
      <c r="CP255" s="1003"/>
      <c r="CQ255" s="1003"/>
      <c r="CR255" s="1265"/>
      <c r="CS255" s="1003"/>
      <c r="CT255" s="1003"/>
      <c r="CU255" s="1003"/>
      <c r="CV255" s="1035"/>
      <c r="CW255" s="307"/>
      <c r="CX255" s="306"/>
      <c r="CY255" s="306"/>
      <c r="CZ255"/>
      <c r="DA255"/>
      <c r="DB255"/>
      <c r="DC255"/>
      <c r="DD255"/>
    </row>
    <row r="256" spans="1:108" s="337" customFormat="1">
      <c r="A256" s="344" t="s">
        <v>172</v>
      </c>
      <c r="B256" s="328">
        <f t="shared" ref="B256:AL256" si="663">B257-B255</f>
        <v>204.71400000000003</v>
      </c>
      <c r="C256" s="328">
        <f t="shared" si="663"/>
        <v>3</v>
      </c>
      <c r="D256" s="328">
        <f t="shared" si="663"/>
        <v>2.6999999999999886</v>
      </c>
      <c r="E256" s="328">
        <f t="shared" si="663"/>
        <v>3.7999999999999545</v>
      </c>
      <c r="F256" s="328">
        <f t="shared" si="663"/>
        <v>3.1999999999999886</v>
      </c>
      <c r="G256" s="328">
        <f t="shared" si="663"/>
        <v>3.4000000000000341</v>
      </c>
      <c r="H256" s="329">
        <f t="shared" si="663"/>
        <v>3.8389999999999986</v>
      </c>
      <c r="I256" s="329">
        <f t="shared" si="663"/>
        <v>4.0180000000000291</v>
      </c>
      <c r="J256" s="329">
        <f t="shared" si="663"/>
        <v>3.6520000000000437</v>
      </c>
      <c r="K256" s="329">
        <f t="shared" si="663"/>
        <v>3.5999999999999659</v>
      </c>
      <c r="L256" s="328">
        <f t="shared" si="663"/>
        <v>3.7000000000000455</v>
      </c>
      <c r="M256" s="329">
        <f t="shared" si="663"/>
        <v>3.0989999999999895</v>
      </c>
      <c r="N256" s="329">
        <f t="shared" si="663"/>
        <v>3.2800000000000296</v>
      </c>
      <c r="O256" s="329">
        <f t="shared" si="663"/>
        <v>3.0289999999999964</v>
      </c>
      <c r="P256" s="329">
        <f t="shared" si="663"/>
        <v>0.79800000000011551</v>
      </c>
      <c r="Q256" s="328">
        <f t="shared" si="663"/>
        <v>2.5</v>
      </c>
      <c r="R256" s="329">
        <f t="shared" si="663"/>
        <v>0.69599999999996953</v>
      </c>
      <c r="S256" s="329">
        <f t="shared" si="663"/>
        <v>1.9779999999999518</v>
      </c>
      <c r="T256" s="329">
        <f t="shared" si="663"/>
        <v>2.8450000000000273</v>
      </c>
      <c r="U256" s="329">
        <f t="shared" si="663"/>
        <v>4.6000000000000227</v>
      </c>
      <c r="V256" s="328">
        <f t="shared" si="663"/>
        <v>2.3999999999999773</v>
      </c>
      <c r="W256" s="329">
        <f t="shared" si="663"/>
        <v>4.1610000000000014</v>
      </c>
      <c r="X256" s="329">
        <f t="shared" si="663"/>
        <v>4.1960000000000264</v>
      </c>
      <c r="Y256" s="329">
        <f t="shared" si="663"/>
        <v>0</v>
      </c>
      <c r="Z256" s="329">
        <f t="shared" si="663"/>
        <v>4.1999999999999886</v>
      </c>
      <c r="AA256" s="328">
        <f t="shared" si="663"/>
        <v>3.9599999999999795</v>
      </c>
      <c r="AB256" s="329">
        <f t="shared" si="663"/>
        <v>3.7199999999999704</v>
      </c>
      <c r="AC256" s="329">
        <f t="shared" si="663"/>
        <v>3.3999999999999773</v>
      </c>
      <c r="AD256" s="329">
        <f t="shared" si="663"/>
        <v>3.1999999999999886</v>
      </c>
      <c r="AE256" s="329">
        <f t="shared" si="663"/>
        <v>3.1999999999999886</v>
      </c>
      <c r="AF256" s="328">
        <f t="shared" si="663"/>
        <v>3.3550000000000182</v>
      </c>
      <c r="AG256" s="329">
        <f t="shared" si="663"/>
        <v>2.3999999999999773</v>
      </c>
      <c r="AH256" s="329">
        <f t="shared" si="663"/>
        <v>2.3519999999999754</v>
      </c>
      <c r="AI256" s="329">
        <f>AI257-AI255</f>
        <v>2.3299999999999841</v>
      </c>
      <c r="AJ256" s="329">
        <f t="shared" si="663"/>
        <v>2.3000000000000114</v>
      </c>
      <c r="AK256" s="328">
        <f>AK257-AK255</f>
        <v>2.3999999999999773</v>
      </c>
      <c r="AL256" s="329">
        <f t="shared" si="663"/>
        <v>1.6440000000000055</v>
      </c>
      <c r="AM256" s="329">
        <f t="shared" ref="AM256:AR256" si="664">AM257-AM255</f>
        <v>1.7999999999999545</v>
      </c>
      <c r="AN256" s="329">
        <f t="shared" si="664"/>
        <v>3.5409999999999968</v>
      </c>
      <c r="AO256" s="329">
        <f t="shared" si="664"/>
        <v>4.1000000000000227</v>
      </c>
      <c r="AP256" s="328">
        <f t="shared" si="664"/>
        <v>2.7712500000000091</v>
      </c>
      <c r="AQ256" s="329">
        <f t="shared" si="664"/>
        <v>5.0159999999999627</v>
      </c>
      <c r="AR256" s="329">
        <f t="shared" si="664"/>
        <v>6.0930000000000177</v>
      </c>
      <c r="AS256" s="728">
        <v>6.37</v>
      </c>
      <c r="AT256" s="329">
        <v>6.1390000000000002</v>
      </c>
      <c r="AU256" s="328">
        <f t="shared" ref="AU256:BN256" si="665">AU257-AU255</f>
        <v>4.5217499999999973</v>
      </c>
      <c r="AV256" s="329">
        <f t="shared" si="665"/>
        <v>5.52800000000002</v>
      </c>
      <c r="AW256" s="329">
        <f t="shared" si="665"/>
        <v>5.2729999999999677</v>
      </c>
      <c r="AX256" s="329">
        <f t="shared" si="665"/>
        <v>5.2579999999999814</v>
      </c>
      <c r="AY256" s="329">
        <f t="shared" si="665"/>
        <v>5</v>
      </c>
      <c r="AZ256" s="328">
        <f t="shared" si="665"/>
        <v>5.3389999999999986</v>
      </c>
      <c r="BA256" s="328">
        <f t="shared" ref="BA256" si="666">BA257-BA255</f>
        <v>5.3389999999999986</v>
      </c>
      <c r="BB256" s="329">
        <f t="shared" si="665"/>
        <v>4.4180000000000064</v>
      </c>
      <c r="BC256" s="200">
        <f t="shared" si="665"/>
        <v>5.7379999999999995</v>
      </c>
      <c r="BD256" s="200">
        <f t="shared" ref="BD256" si="667">BD257-BD255</f>
        <v>5.7900000000000205</v>
      </c>
      <c r="BE256" s="541">
        <f t="shared" si="665"/>
        <v>6</v>
      </c>
      <c r="BF256" s="328">
        <f t="shared" si="665"/>
        <v>5.6800000000000068</v>
      </c>
      <c r="BG256" s="329">
        <f t="shared" ref="BG256:BJ256" si="668">BG257-BG255</f>
        <v>5.5720000000000027</v>
      </c>
      <c r="BH256" s="200">
        <f t="shared" si="668"/>
        <v>5.7080000000000268</v>
      </c>
      <c r="BI256" s="1029">
        <f t="shared" si="668"/>
        <v>5.8000000000000114</v>
      </c>
      <c r="BJ256" s="1231">
        <f t="shared" si="668"/>
        <v>5.9499999999999886</v>
      </c>
      <c r="BK256" s="328">
        <f t="shared" si="665"/>
        <v>5.6800000000000068</v>
      </c>
      <c r="BL256" s="329">
        <f t="shared" si="665"/>
        <v>5.5109999999999673</v>
      </c>
      <c r="BM256" s="200">
        <f t="shared" si="665"/>
        <v>5.5600000000000023</v>
      </c>
      <c r="BN256" s="1029">
        <f t="shared" si="665"/>
        <v>5.6059999999999945</v>
      </c>
      <c r="BO256" s="1214">
        <f t="shared" ref="BO256:BP256" si="669">BO257-BO255</f>
        <v>3.2279999999999518</v>
      </c>
      <c r="BP256" s="1208">
        <f t="shared" si="669"/>
        <v>5.464999999999975</v>
      </c>
      <c r="BQ256" s="339">
        <v>6</v>
      </c>
      <c r="BR256" s="338">
        <v>6</v>
      </c>
      <c r="BS256" s="338">
        <v>6</v>
      </c>
      <c r="BT256" s="897">
        <v>6</v>
      </c>
      <c r="BU256" s="1054">
        <f>+AVERAGE(BQ256:BT256)</f>
        <v>6</v>
      </c>
      <c r="BV256" s="339"/>
      <c r="BW256" s="338"/>
      <c r="BX256" s="338"/>
      <c r="BY256" s="338"/>
      <c r="BZ256" s="624">
        <v>5.5</v>
      </c>
      <c r="CA256" s="339"/>
      <c r="CB256" s="338"/>
      <c r="CC256" s="338"/>
      <c r="CD256" s="338"/>
      <c r="CE256" s="624">
        <v>5.5</v>
      </c>
      <c r="CF256" s="339"/>
      <c r="CG256" s="338"/>
      <c r="CH256" s="338"/>
      <c r="CI256" s="338"/>
      <c r="CJ256" s="624">
        <v>5.5</v>
      </c>
      <c r="CK256" s="332"/>
      <c r="CL256" s="333"/>
      <c r="CM256" s="1188"/>
      <c r="CN256" s="1263"/>
      <c r="CO256" s="1263"/>
      <c r="CP256" s="1263"/>
      <c r="CQ256" s="1263"/>
      <c r="CR256" s="1263"/>
      <c r="CS256" s="1263"/>
      <c r="CT256" s="1263"/>
      <c r="CU256" s="1263"/>
      <c r="CV256" s="1263"/>
      <c r="CW256" s="334"/>
      <c r="CX256" s="329"/>
      <c r="CY256" s="329"/>
      <c r="CZ256"/>
      <c r="DA256"/>
      <c r="DB256"/>
      <c r="DC256"/>
      <c r="DD256"/>
    </row>
    <row r="257" spans="1:108" s="298" customFormat="1">
      <c r="A257" s="288" t="s">
        <v>66</v>
      </c>
      <c r="B257" s="289">
        <f>202.907*2</f>
        <v>405.81400000000002</v>
      </c>
      <c r="C257" s="639">
        <v>405.7</v>
      </c>
      <c r="D257" s="639">
        <v>398.3</v>
      </c>
      <c r="E257" s="639">
        <v>402.9</v>
      </c>
      <c r="F257" s="639">
        <v>404.8</v>
      </c>
      <c r="G257" s="639">
        <v>406.8</v>
      </c>
      <c r="H257" s="646">
        <v>409.435</v>
      </c>
      <c r="I257" s="646">
        <v>409.16800000000001</v>
      </c>
      <c r="J257" s="646">
        <v>407.32100000000003</v>
      </c>
      <c r="K257" s="647">
        <v>406.9</v>
      </c>
      <c r="L257" s="289">
        <v>408.1</v>
      </c>
      <c r="M257" s="290">
        <v>403.858</v>
      </c>
      <c r="N257" s="290">
        <v>401.77100000000002</v>
      </c>
      <c r="O257" s="290">
        <v>399.77699999999999</v>
      </c>
      <c r="P257" s="291">
        <v>389.6</v>
      </c>
      <c r="Q257" s="289">
        <v>398.7</v>
      </c>
      <c r="R257" s="290">
        <v>386.541</v>
      </c>
      <c r="S257" s="290">
        <v>387.01299999999998</v>
      </c>
      <c r="T257" s="292">
        <v>388.08800000000002</v>
      </c>
      <c r="U257" s="293">
        <v>390.1</v>
      </c>
      <c r="V257" s="294">
        <f>387.9</f>
        <v>387.9</v>
      </c>
      <c r="W257" s="292">
        <v>388.98399999999998</v>
      </c>
      <c r="X257" s="290">
        <v>388.5</v>
      </c>
      <c r="Y257" s="292">
        <v>382.5</v>
      </c>
      <c r="Z257" s="293">
        <v>380.9</v>
      </c>
      <c r="AA257" s="294">
        <v>385.2</v>
      </c>
      <c r="AB257" s="292">
        <v>376.4</v>
      </c>
      <c r="AC257" s="290">
        <v>371.4</v>
      </c>
      <c r="AD257" s="292">
        <v>362.9</v>
      </c>
      <c r="AE257" s="293">
        <f>359.4</f>
        <v>359.4</v>
      </c>
      <c r="AF257" s="294">
        <v>367.5</v>
      </c>
      <c r="AG257" s="292">
        <v>359.4</v>
      </c>
      <c r="AH257" s="292">
        <v>357.4</v>
      </c>
      <c r="AI257" s="292">
        <v>352.8</v>
      </c>
      <c r="AJ257" s="293">
        <v>353.2</v>
      </c>
      <c r="AK257" s="639">
        <v>355.7</v>
      </c>
      <c r="AL257" s="292">
        <v>353.517</v>
      </c>
      <c r="AM257" s="292">
        <v>352.9</v>
      </c>
      <c r="AN257" s="292">
        <v>352.91800000000001</v>
      </c>
      <c r="AO257" s="292">
        <v>354.6</v>
      </c>
      <c r="AP257" s="340">
        <f>AVERAGE(AL257:AO257)</f>
        <v>353.48374999999999</v>
      </c>
      <c r="AQ257" s="705">
        <v>347.24799999999999</v>
      </c>
      <c r="AR257" s="292">
        <v>342.78500000000003</v>
      </c>
      <c r="AS257" s="292">
        <v>338.18099999999998</v>
      </c>
      <c r="AT257" s="292">
        <v>335.8</v>
      </c>
      <c r="AU257" s="340">
        <f>AVERAGE(AQ257:AT257)</f>
        <v>341.00349999999997</v>
      </c>
      <c r="AV257" s="779">
        <v>334.68200000000002</v>
      </c>
      <c r="AW257" s="292">
        <v>331.42599999999999</v>
      </c>
      <c r="AX257" s="292">
        <v>321.93799999999999</v>
      </c>
      <c r="AY257" s="292">
        <v>318.3</v>
      </c>
      <c r="AZ257" s="340">
        <v>326.65199999999999</v>
      </c>
      <c r="BA257" s="340">
        <v>326.65199999999999</v>
      </c>
      <c r="BB257" s="295">
        <v>312.346</v>
      </c>
      <c r="BC257" s="293">
        <v>310.20800000000003</v>
      </c>
      <c r="BD257" s="293">
        <v>309.72800000000001</v>
      </c>
      <c r="BE257" s="900">
        <v>308.5</v>
      </c>
      <c r="BF257" s="898">
        <v>310.387</v>
      </c>
      <c r="BG257" s="295">
        <v>313.5</v>
      </c>
      <c r="BH257" s="293">
        <v>310.20800000000003</v>
      </c>
      <c r="BI257" s="293">
        <v>309.7</v>
      </c>
      <c r="BJ257" s="900">
        <v>308.45</v>
      </c>
      <c r="BK257" s="1209">
        <v>310.387</v>
      </c>
      <c r="BL257" s="295">
        <v>307.28199999999998</v>
      </c>
      <c r="BM257" s="293">
        <v>305.35000000000002</v>
      </c>
      <c r="BN257" s="293">
        <v>303.75099999999998</v>
      </c>
      <c r="BO257" s="1215">
        <v>302.39999999999998</v>
      </c>
      <c r="BP257" s="1209">
        <v>304.637</v>
      </c>
      <c r="BQ257" s="295">
        <f>BO257*(1+BQ258/4)</f>
        <v>302.39999999999998</v>
      </c>
      <c r="BR257" s="293">
        <f>BQ257*(1+BR258/4)</f>
        <v>302.39999999999998</v>
      </c>
      <c r="BS257" s="293">
        <f t="shared" ref="BS257:BT257" si="670">BR257*(1+BS258/4)</f>
        <v>302.39999999999998</v>
      </c>
      <c r="BT257" s="900">
        <f t="shared" si="670"/>
        <v>302.39999999999998</v>
      </c>
      <c r="BU257" s="1068">
        <f>+AVERAGE(BQ257:BT257)</f>
        <v>302.39999999999998</v>
      </c>
      <c r="BV257" s="295"/>
      <c r="BW257" s="293"/>
      <c r="BX257" s="293"/>
      <c r="BY257" s="293"/>
      <c r="BZ257" s="294">
        <f>BU257*(1+BZ258)</f>
        <v>302.39999999999998</v>
      </c>
      <c r="CA257" s="295"/>
      <c r="CB257" s="293"/>
      <c r="CC257" s="293"/>
      <c r="CD257" s="293"/>
      <c r="CE257" s="294">
        <f>BZ257*(1+CE258)</f>
        <v>302.39999999999998</v>
      </c>
      <c r="CF257" s="295"/>
      <c r="CG257" s="293"/>
      <c r="CH257" s="293"/>
      <c r="CI257" s="293"/>
      <c r="CJ257" s="294">
        <f>CE257*(1+CJ258)</f>
        <v>296.35199999999998</v>
      </c>
      <c r="CK257" s="296"/>
      <c r="CL257" s="297"/>
      <c r="CM257" s="661"/>
      <c r="CN257" s="732"/>
      <c r="CO257" s="732"/>
      <c r="CP257" s="1263"/>
      <c r="CQ257" s="1324"/>
      <c r="CR257" s="1341"/>
      <c r="CS257" s="1324"/>
      <c r="CT257" s="1324"/>
      <c r="CU257" s="1263"/>
      <c r="CV257" s="1263"/>
      <c r="CW257" s="297"/>
      <c r="CX257" s="296"/>
      <c r="CY257" s="296"/>
      <c r="CZ257"/>
      <c r="DA257"/>
      <c r="DB257"/>
      <c r="DC257"/>
      <c r="DD257"/>
    </row>
    <row r="258" spans="1:108" s="322" customFormat="1">
      <c r="A258" s="345" t="s">
        <v>173</v>
      </c>
      <c r="B258" s="316"/>
      <c r="C258" s="316">
        <f>((C257)/B257-1)</f>
        <v>-2.8091687324738324E-4</v>
      </c>
      <c r="D258" s="316">
        <f>((D257)/C257-1)</f>
        <v>-1.8240078876016752E-2</v>
      </c>
      <c r="E258" s="316">
        <f>((E257)/D257-1)</f>
        <v>1.1549083605322474E-2</v>
      </c>
      <c r="F258" s="316">
        <f>((F257)/E257-1)</f>
        <v>4.7158103747828584E-3</v>
      </c>
      <c r="G258" s="316">
        <f>((G257)/F257-1)</f>
        <v>4.9407114624506754E-3</v>
      </c>
      <c r="H258" s="317"/>
      <c r="I258" s="317">
        <f>(I257/H257-1)*4</f>
        <v>-2.6084726513366796E-3</v>
      </c>
      <c r="J258" s="317">
        <f>(J257/I257-1)*4</f>
        <v>-1.8056152973839446E-2</v>
      </c>
      <c r="K258" s="317">
        <f>(K257/J257-1)*4</f>
        <v>-4.1343313995598763E-3</v>
      </c>
      <c r="L258" s="316">
        <f>(L257/G257)-1</f>
        <v>3.1956735496558863E-3</v>
      </c>
      <c r="M258" s="317">
        <f>(M257/K257-1)*4</f>
        <v>-2.9904153354632257E-2</v>
      </c>
      <c r="N258" s="317">
        <f>(N257/M257-1)*4</f>
        <v>-2.067063175670647E-2</v>
      </c>
      <c r="O258" s="317">
        <f>(O257/N257-1)*4</f>
        <v>-1.985210480597166E-2</v>
      </c>
      <c r="P258" s="317">
        <f>(P257/O257-1)*4</f>
        <v>-0.10182676842339555</v>
      </c>
      <c r="Q258" s="316">
        <f>(Q257/L257)-1</f>
        <v>-2.3033570203381593E-2</v>
      </c>
      <c r="R258" s="317">
        <f>(R257/P257-1)*4</f>
        <v>-3.1406570841889359E-2</v>
      </c>
      <c r="S258" s="317">
        <f>(S257/R257-1)*4</f>
        <v>4.8843460331502442E-3</v>
      </c>
      <c r="T258" s="317">
        <f>(T257/S257-1)*4</f>
        <v>1.1110737882190413E-2</v>
      </c>
      <c r="U258" s="317">
        <f>(U257/T257-1)*4</f>
        <v>2.0737564676053033E-2</v>
      </c>
      <c r="V258" s="316">
        <f>(V257/Q257)-1</f>
        <v>-2.7088036117381531E-2</v>
      </c>
      <c r="W258" s="317">
        <f>(W257/U257-1)*4</f>
        <v>-1.1443219687260253E-2</v>
      </c>
      <c r="X258" s="317">
        <f>(X257/W257-1)*4</f>
        <v>-4.9770684655405795E-3</v>
      </c>
      <c r="Y258" s="317">
        <f>(Y257/X257-1)*4</f>
        <v>-6.1776061776061653E-2</v>
      </c>
      <c r="Z258" s="317">
        <f>(Z257/Y257-1)*4</f>
        <v>-1.6732026143790879E-2</v>
      </c>
      <c r="AA258" s="316">
        <f>(AA257/V257)-1</f>
        <v>-6.9605568445475496E-3</v>
      </c>
      <c r="AB258" s="317">
        <f>(AB257/Z257-1)*4</f>
        <v>-4.7256497768443317E-2</v>
      </c>
      <c r="AC258" s="317">
        <f>(AC257/AB257-1)*4</f>
        <v>-5.3134962805525987E-2</v>
      </c>
      <c r="AD258" s="317">
        <f>(AD257/AC257-1)*4</f>
        <v>-9.1545503500269465E-2</v>
      </c>
      <c r="AE258" s="317">
        <f>(AE257/AD257-1)*4</f>
        <v>-3.8578120694406248E-2</v>
      </c>
      <c r="AF258" s="316">
        <f>(AF257/AA257)-1</f>
        <v>-4.5950155763239797E-2</v>
      </c>
      <c r="AG258" s="317">
        <f>(AG257/AE257-1)*4</f>
        <v>0</v>
      </c>
      <c r="AH258" s="317">
        <f>(AH257/AG257-1)*4</f>
        <v>-2.2259321090706941E-2</v>
      </c>
      <c r="AI258" s="317">
        <f>(AI257/AH257-1)*4</f>
        <v>-5.1482932288751559E-2</v>
      </c>
      <c r="AJ258" s="317">
        <f>(AJ257/AI257-1)*4</f>
        <v>4.5351473922901064E-3</v>
      </c>
      <c r="AK258" s="316">
        <f>(AK257/AF257)-1</f>
        <v>-3.2108843537414944E-2</v>
      </c>
      <c r="AL258" s="317">
        <f>(AL257/AJ257-1)*4</f>
        <v>3.5900339750849497E-3</v>
      </c>
      <c r="AM258" s="317">
        <f>(AM257/AL257-1)*4</f>
        <v>-6.9812767137085174E-3</v>
      </c>
      <c r="AN258" s="317">
        <f>(AN257/AM257-1)*4</f>
        <v>2.0402380277761978E-4</v>
      </c>
      <c r="AO258" s="317">
        <f>(AO257/AN257-1)*4</f>
        <v>1.9063918530650703E-2</v>
      </c>
      <c r="AP258" s="316">
        <f>(AP257/AK257)-1</f>
        <v>-6.2306719145347467E-3</v>
      </c>
      <c r="AQ258" s="317">
        <f>(AQ257/AO257-1)*4</f>
        <v>-8.2932882120699603E-2</v>
      </c>
      <c r="AR258" s="317">
        <f>(AR257/AQ257-1)*4</f>
        <v>-5.1409943325807284E-2</v>
      </c>
      <c r="AS258" s="317">
        <f>(AS257/AR257-1)*4</f>
        <v>-5.3724637892556881E-2</v>
      </c>
      <c r="AT258" s="317">
        <f>(AT257/AS257-1)*4</f>
        <v>-2.8162433726317992E-2</v>
      </c>
      <c r="AU258" s="316">
        <f>(AU257/AP257)-1</f>
        <v>-3.5306432049563852E-2</v>
      </c>
      <c r="AV258" s="317">
        <f>(AV257/AT257-1)*4</f>
        <v>-1.3317450863609359E-2</v>
      </c>
      <c r="AW258" s="317">
        <f>(AW257/AV257-1)*4</f>
        <v>-3.8914551723725932E-2</v>
      </c>
      <c r="AX258" s="317">
        <f>(AX257/AW257-1)*4</f>
        <v>-0.11451123327681012</v>
      </c>
      <c r="AY258" s="317">
        <f>(AY257/AX257-1)*4</f>
        <v>-4.5201249930110432E-2</v>
      </c>
      <c r="AZ258" s="316">
        <f>(AZ257/AU257)-1</f>
        <v>-4.2086078295384022E-2</v>
      </c>
      <c r="BA258" s="316">
        <f>(BA257/AU257)-1</f>
        <v>-4.2086078295384022E-2</v>
      </c>
      <c r="BB258" s="317">
        <f>(BB257/AY257-1)*4</f>
        <v>-7.4822494502042147E-2</v>
      </c>
      <c r="BC258" s="317">
        <f>(BC257/AZ257-1)*4</f>
        <v>-0.2013641428798838</v>
      </c>
      <c r="BD258" s="317">
        <f t="shared" ref="BD258:BE258" si="671">(BD257/BB257-1)*4</f>
        <v>-3.3526922067194764E-2</v>
      </c>
      <c r="BE258" s="317">
        <f t="shared" si="671"/>
        <v>-2.2023932329276352E-2</v>
      </c>
      <c r="BF258" s="316">
        <f>(BF257/AZ257)-1</f>
        <v>-4.9793051932943921E-2</v>
      </c>
      <c r="BG258" s="317">
        <f>(BG257/BD257-1)*4</f>
        <v>4.8713710094017593E-2</v>
      </c>
      <c r="BH258" s="317">
        <f>(BH257/BE257-1)*4</f>
        <v>2.2145867098865679E-2</v>
      </c>
      <c r="BI258" s="317">
        <f t="shared" ref="BI258:BJ258" si="672">(BI257/BF257-1)*4</f>
        <v>-8.8534635793382499E-3</v>
      </c>
      <c r="BJ258" s="317">
        <f t="shared" si="672"/>
        <v>-6.4433811802233176E-2</v>
      </c>
      <c r="BK258" s="316">
        <f>(BK257/BA257)-1</f>
        <v>-4.9793051932943921E-2</v>
      </c>
      <c r="BL258" s="317">
        <f>(BL257/BK257-1)*4</f>
        <v>-4.0014562465567227E-2</v>
      </c>
      <c r="BM258" s="680">
        <f>(BM257/BL257-1)*4</f>
        <v>-2.5149536907465464E-2</v>
      </c>
      <c r="BN258" s="1030">
        <f>(BN257/BM257-1)*4</f>
        <v>-2.094645488783442E-2</v>
      </c>
      <c r="BO258" s="1216">
        <f>(BO257/BN257-1)*4</f>
        <v>-1.7790887931233179E-2</v>
      </c>
      <c r="BP258" s="1210">
        <f>(BP257/BF257)-1</f>
        <v>-1.8525260400725552E-2</v>
      </c>
      <c r="BQ258" s="1194">
        <v>0</v>
      </c>
      <c r="BR258" s="323">
        <v>0</v>
      </c>
      <c r="BS258" s="323">
        <v>0</v>
      </c>
      <c r="BT258" s="1145">
        <v>0</v>
      </c>
      <c r="BU258" s="1037">
        <f>(BU257/BP257)-1</f>
        <v>-7.3431658006086753E-3</v>
      </c>
      <c r="BV258" s="325"/>
      <c r="BW258" s="323"/>
      <c r="BX258" s="323"/>
      <c r="BY258" s="323"/>
      <c r="BZ258" s="324">
        <v>0</v>
      </c>
      <c r="CA258" s="325"/>
      <c r="CB258" s="323"/>
      <c r="CC258" s="323"/>
      <c r="CD258" s="323"/>
      <c r="CE258" s="324">
        <v>0</v>
      </c>
      <c r="CF258" s="325"/>
      <c r="CG258" s="323"/>
      <c r="CH258" s="323"/>
      <c r="CI258" s="323"/>
      <c r="CJ258" s="324">
        <v>-0.02</v>
      </c>
      <c r="CK258" s="319"/>
      <c r="CL258" s="320"/>
      <c r="CM258" s="1266"/>
      <c r="CN258" s="1008"/>
      <c r="CO258" s="1008"/>
      <c r="CP258" s="1263"/>
      <c r="CQ258" s="1324"/>
      <c r="CR258" s="1324"/>
      <c r="CS258" s="1324"/>
      <c r="CT258" s="1324"/>
      <c r="CU258" s="1263"/>
      <c r="CV258" s="1263"/>
      <c r="CW258" s="321"/>
      <c r="CX258" s="317"/>
      <c r="CY258" s="317"/>
      <c r="CZ258"/>
      <c r="DA258"/>
      <c r="DB258"/>
      <c r="DC258"/>
      <c r="DD258"/>
    </row>
    <row r="259" spans="1:108" s="407" customFormat="1">
      <c r="A259" s="408" t="s">
        <v>174</v>
      </c>
      <c r="B259" s="401">
        <v>38.455990042338676</v>
      </c>
      <c r="C259" s="401">
        <v>43.907179694444409</v>
      </c>
      <c r="D259" s="401">
        <v>36.673528682539647</v>
      </c>
      <c r="E259" s="401">
        <v>48.695909982142808</v>
      </c>
      <c r="F259" s="401">
        <v>55.38662545833332</v>
      </c>
      <c r="G259" s="401">
        <v>67.095891019920288</v>
      </c>
      <c r="H259" s="402">
        <v>78.032944721311509</v>
      </c>
      <c r="I259" s="402">
        <v>79.267611317460336</v>
      </c>
      <c r="J259" s="402">
        <v>79.531898793650839</v>
      </c>
      <c r="K259" s="402">
        <v>88.917649703125008</v>
      </c>
      <c r="L259" s="401">
        <f>AVERAGE(H259:K259)</f>
        <v>81.437526133886919</v>
      </c>
      <c r="M259" s="402">
        <v>83.960976213114819</v>
      </c>
      <c r="N259" s="402">
        <v>88.294993312500026</v>
      </c>
      <c r="O259" s="402">
        <v>86.231712218750033</v>
      </c>
      <c r="P259" s="402">
        <v>56.87389993750002</v>
      </c>
      <c r="Q259" s="401">
        <f>AVERAGE(M259:P259)</f>
        <v>78.840395420466223</v>
      </c>
      <c r="R259" s="402">
        <v>48.982287524590184</v>
      </c>
      <c r="S259" s="402">
        <v>53.320311031746037</v>
      </c>
      <c r="T259" s="402">
        <v>57.73202442187501</v>
      </c>
      <c r="U259" s="402">
        <v>66.839055968750003</v>
      </c>
      <c r="V259" s="401">
        <f>AVERAGE(R259:U259)</f>
        <v>56.718419736740316</v>
      </c>
      <c r="W259" s="402">
        <v>71.648116578125013</v>
      </c>
      <c r="X259" s="402">
        <v>70.725231301587328</v>
      </c>
      <c r="Y259" s="402">
        <v>60.868430906250005</v>
      </c>
      <c r="Z259" s="402">
        <v>67.062650218749994</v>
      </c>
      <c r="AA259" s="401">
        <f>AVERAGE(W259:Z259)</f>
        <v>67.576107251178087</v>
      </c>
      <c r="AB259" s="402">
        <v>75.018218935483873</v>
      </c>
      <c r="AC259" s="402">
        <v>72.684597444444464</v>
      </c>
      <c r="AD259" s="402">
        <v>64.069055265625025</v>
      </c>
      <c r="AE259" s="402">
        <v>63.606819000000009</v>
      </c>
      <c r="AF259" s="401">
        <f>AVERAGE(AB259:AE259)</f>
        <v>68.844672661388344</v>
      </c>
      <c r="AG259" s="402">
        <v>71.303219387096775</v>
      </c>
      <c r="AH259" s="402">
        <v>66.268563555555559</v>
      </c>
      <c r="AI259" s="402">
        <v>65.073961015872996</v>
      </c>
      <c r="AJ259" s="402">
        <v>66.83386400000002</v>
      </c>
      <c r="AK259" s="401">
        <f>AVERAGE(AG259:AJ259)</f>
        <v>67.36990198963133</v>
      </c>
      <c r="AL259" s="402">
        <v>68.780658750000001</v>
      </c>
      <c r="AM259" s="402">
        <v>74.416869359375013</v>
      </c>
      <c r="AN259" s="402">
        <v>84.886501238095278</v>
      </c>
      <c r="AO259" s="402">
        <v>89.275531676923094</v>
      </c>
      <c r="AP259" s="401">
        <f>AVERAGE(AL259:AO259)</f>
        <v>79.339890256098343</v>
      </c>
      <c r="AQ259" s="706">
        <v>106.23266219999999</v>
      </c>
      <c r="AR259" s="706">
        <v>111.54429531</v>
      </c>
      <c r="AS259" s="706">
        <v>123.28947368421053</v>
      </c>
      <c r="AT259" s="760">
        <v>136.06156421874999</v>
      </c>
      <c r="AU259" s="401">
        <f>AVERAGE(AQ259:AT259)</f>
        <v>119.28199885324013</v>
      </c>
      <c r="AV259" s="706">
        <v>137.17032677419354</v>
      </c>
      <c r="AW259" s="706">
        <v>138.82359859375001</v>
      </c>
      <c r="AX259" s="902">
        <v>144.59723507692311</v>
      </c>
      <c r="AY259" s="901">
        <v>142.85923446153851</v>
      </c>
      <c r="AZ259" s="401">
        <f>AVERAGE(AV259:AY259)</f>
        <v>140.86259872660128</v>
      </c>
      <c r="BA259" s="401">
        <f>+AZ259</f>
        <v>140.86259872660128</v>
      </c>
      <c r="BB259" s="706">
        <v>132.60565080645162</v>
      </c>
      <c r="BC259" s="402">
        <v>139.26938953846155</v>
      </c>
      <c r="BD259" s="402">
        <v>148.914928</v>
      </c>
      <c r="BE259" s="402">
        <v>163.46172328125004</v>
      </c>
      <c r="BF259" s="401">
        <f>+AVERAGE(BB259:BE259)</f>
        <v>146.06292290654079</v>
      </c>
      <c r="BG259" s="706">
        <v>132.60565080645162</v>
      </c>
      <c r="BH259" s="706">
        <v>139.26938953846155</v>
      </c>
      <c r="BI259" s="706">
        <v>148.914928</v>
      </c>
      <c r="BJ259" s="706">
        <v>163.46172328125004</v>
      </c>
      <c r="BK259" s="401">
        <f>+AVERAGE(BG259:BJ259)</f>
        <v>146.06292290654079</v>
      </c>
      <c r="BL259" s="706">
        <v>184.83855322580646</v>
      </c>
      <c r="BM259" s="987">
        <v>195.73625453125013</v>
      </c>
      <c r="BN259" s="902">
        <v>200.35734890625005</v>
      </c>
      <c r="BO259" s="1217">
        <v>204.31619587301594</v>
      </c>
      <c r="BP259" s="1211">
        <f>+AVERAGE(BL259:BO259)</f>
        <v>196.31208813408062</v>
      </c>
      <c r="BQ259" s="403">
        <f>+BO259*(1+BQ260)</f>
        <v>208.40251979047628</v>
      </c>
      <c r="BR259" s="706">
        <f t="shared" ref="BR259" si="673">+BQ259*(1+BR260)</f>
        <v>212.57057018628581</v>
      </c>
      <c r="BS259" s="402">
        <f t="shared" ref="BS259" si="674">+BR259*(1+BS260)</f>
        <v>216.82198159001152</v>
      </c>
      <c r="BT259" s="1146">
        <f t="shared" ref="BT259" si="675">+BS259*(1+BT260)</f>
        <v>221.15842122181175</v>
      </c>
      <c r="BU259" s="1069">
        <f>+AVERAGE(BQ259:BT259)</f>
        <v>214.73837319714633</v>
      </c>
      <c r="BV259" s="403"/>
      <c r="BW259" s="402"/>
      <c r="BX259" s="402"/>
      <c r="BY259" s="402"/>
      <c r="BZ259" s="401">
        <f>BU259*(1+BZ260)</f>
        <v>236.21221051686098</v>
      </c>
      <c r="CA259" s="403"/>
      <c r="CB259" s="402"/>
      <c r="CC259" s="402"/>
      <c r="CD259" s="402"/>
      <c r="CE259" s="401">
        <f>BZ259*(1+CE260)</f>
        <v>259.8334315685471</v>
      </c>
      <c r="CF259" s="403"/>
      <c r="CG259" s="402"/>
      <c r="CH259" s="402"/>
      <c r="CI259" s="402"/>
      <c r="CJ259" s="401">
        <f>CE259*(1+CJ260)</f>
        <v>285.81677472540184</v>
      </c>
      <c r="CK259" s="401"/>
      <c r="CL259" s="404"/>
      <c r="CM259" s="1267"/>
      <c r="CN259" s="1260"/>
      <c r="CO259" s="1260"/>
      <c r="CP259" s="1263"/>
      <c r="CQ259" s="1324"/>
      <c r="CR259" s="1324"/>
      <c r="CS259" s="1324"/>
      <c r="CT259" s="1263"/>
      <c r="CU259" s="1263"/>
      <c r="CV259" s="1263"/>
      <c r="CW259" s="406"/>
      <c r="CX259" s="402"/>
      <c r="CY259" s="402"/>
      <c r="CZ259"/>
      <c r="DA259"/>
      <c r="DB259"/>
      <c r="DC259"/>
      <c r="DD259"/>
    </row>
    <row r="260" spans="1:108" s="40" customFormat="1">
      <c r="A260" s="171" t="s">
        <v>175</v>
      </c>
      <c r="B260" s="29"/>
      <c r="C260" s="29">
        <f>C259/B259-1</f>
        <v>0.14175137985276587</v>
      </c>
      <c r="D260" s="29">
        <f>D259/C259-1</f>
        <v>-0.164748705388154</v>
      </c>
      <c r="E260" s="29">
        <f>E259/D259-1</f>
        <v>0.3278217758556472</v>
      </c>
      <c r="F260" s="29">
        <f>F259/E259-1</f>
        <v>0.13739789396366242</v>
      </c>
      <c r="G260" s="29">
        <f>G259/F259-1</f>
        <v>0.21140962217305881</v>
      </c>
      <c r="H260" s="30"/>
      <c r="I260" s="30">
        <f>I259/H259-1</f>
        <v>1.5822376056143117E-2</v>
      </c>
      <c r="J260" s="30">
        <f>J259/I259-1</f>
        <v>3.3341168201985738E-3</v>
      </c>
      <c r="K260" s="30">
        <f>K259/J259-1</f>
        <v>0.1180124082517624</v>
      </c>
      <c r="L260" s="29">
        <f>L259/G259-1</f>
        <v>0.21374833683494421</v>
      </c>
      <c r="M260" s="30">
        <f>M259/K259-1</f>
        <v>-5.5744540106034579E-2</v>
      </c>
      <c r="N260" s="30">
        <f>N259/M259-1</f>
        <v>5.1619422437208629E-2</v>
      </c>
      <c r="O260" s="30">
        <f>O259/N259-1</f>
        <v>-2.3368041791990146E-2</v>
      </c>
      <c r="P260" s="30">
        <f>P259/O259-1</f>
        <v>-0.34045261918000647</v>
      </c>
      <c r="Q260" s="29">
        <f>Q259/L259-1</f>
        <v>-3.1891080644455005E-2</v>
      </c>
      <c r="R260" s="30">
        <f>R259/P259-1</f>
        <v>-0.13875630863334676</v>
      </c>
      <c r="S260" s="30">
        <f>S259/R259-1</f>
        <v>8.8563105693625799E-2</v>
      </c>
      <c r="T260" s="30">
        <f>T259/S259-1</f>
        <v>8.2739828496167567E-2</v>
      </c>
      <c r="U260" s="30">
        <f>U259/T259-1</f>
        <v>0.15774661703053461</v>
      </c>
      <c r="V260" s="29">
        <f>V259/Q259-1</f>
        <v>-0.28059189157723641</v>
      </c>
      <c r="W260" s="30">
        <f>W259/U259-1</f>
        <v>7.1949858352629015E-2</v>
      </c>
      <c r="X260" s="30">
        <f>X259/W259-1</f>
        <v>-1.2880803021966036E-2</v>
      </c>
      <c r="Y260" s="30">
        <f>Y259/X259-1</f>
        <v>-0.13936752434652133</v>
      </c>
      <c r="Z260" s="30">
        <f>Z259/Y259-1</f>
        <v>0.10176407080445959</v>
      </c>
      <c r="AA260" s="29">
        <f>AA259/V259-1</f>
        <v>0.19143141795617624</v>
      </c>
      <c r="AB260" s="30">
        <f>AB259/Z259-1</f>
        <v>0.11862890432727924</v>
      </c>
      <c r="AC260" s="30">
        <f>AC259/AB259-1</f>
        <v>-3.1107396631828044E-2</v>
      </c>
      <c r="AD260" s="30">
        <f>AD259/AC259-1</f>
        <v>-0.11853325851332697</v>
      </c>
      <c r="AE260" s="30">
        <f>AE259/AD259-1</f>
        <v>-7.2146571181457286E-3</v>
      </c>
      <c r="AF260" s="29">
        <f>AF259/AA259-1</f>
        <v>1.8772395478405368E-2</v>
      </c>
      <c r="AG260" s="30">
        <f>AG259/AE259-1</f>
        <v>0.12099961148971716</v>
      </c>
      <c r="AH260" s="30">
        <f>AH259/AG259-1</f>
        <v>-7.0609095561431245E-2</v>
      </c>
      <c r="AI260" s="30">
        <f>AI259/AH259-1</f>
        <v>-1.8026685287679145E-2</v>
      </c>
      <c r="AJ260" s="30">
        <f>AJ259/AI259-1</f>
        <v>2.7044657442901743E-2</v>
      </c>
      <c r="AK260" s="29">
        <f>AK259/AF259-1</f>
        <v>-2.1421710856418086E-2</v>
      </c>
      <c r="AL260" s="30">
        <f>AL259/AJ259-1</f>
        <v>2.9128867216176246E-2</v>
      </c>
      <c r="AM260" s="30">
        <f>AM259/AL259-1</f>
        <v>8.1944702359731503E-2</v>
      </c>
      <c r="AN260" s="30">
        <f>AN259/AM259-1</f>
        <v>0.14068895895311284</v>
      </c>
      <c r="AO260" s="30">
        <f>AO259/AN259-1</f>
        <v>5.1704692440052158E-2</v>
      </c>
      <c r="AP260" s="29">
        <f>AP259/AK259-1</f>
        <v>0.17767560754814915</v>
      </c>
      <c r="AQ260" s="30">
        <f>AQ259/AO259-1</f>
        <v>0.18994152378103579</v>
      </c>
      <c r="AR260" s="30">
        <f>AR259/AQ259-1</f>
        <v>5.0000000000000044E-2</v>
      </c>
      <c r="AS260" s="30">
        <f>AS259/AR259-1</f>
        <v>0.10529609193880107</v>
      </c>
      <c r="AT260" s="30">
        <f>AT259/AS259-1</f>
        <v>0.1035943309098184</v>
      </c>
      <c r="AU260" s="29">
        <f>AU259/AP259-1</f>
        <v>0.50343034844406898</v>
      </c>
      <c r="AV260" s="30">
        <f>AV259/AT259-1</f>
        <v>8.1489769856015748E-3</v>
      </c>
      <c r="AW260" s="30">
        <f>AW259/AV259-1</f>
        <v>1.2052692870507142E-2</v>
      </c>
      <c r="AX260" s="30">
        <f>AX259/AW259-1</f>
        <v>4.1589733601913981E-2</v>
      </c>
      <c r="AY260" s="30">
        <f>AY259/AX259-1</f>
        <v>-1.2019597846805397E-2</v>
      </c>
      <c r="AZ260" s="29">
        <f>AZ259/AU259-1</f>
        <v>0.18092084372188522</v>
      </c>
      <c r="BA260" s="29">
        <f>BA259/AU259-1</f>
        <v>0.18092084372188522</v>
      </c>
      <c r="BB260" s="30">
        <f t="shared" ref="BB260:BD260" si="676">BB259/BA259-1</f>
        <v>-5.8617035286815056E-2</v>
      </c>
      <c r="BC260" s="30">
        <f t="shared" si="676"/>
        <v>5.0252298386108674E-2</v>
      </c>
      <c r="BD260" s="30">
        <f t="shared" si="676"/>
        <v>6.9258137007017329E-2</v>
      </c>
      <c r="BE260" s="30">
        <f>BE259/BD259-1</f>
        <v>9.7685272233083653E-2</v>
      </c>
      <c r="BF260" s="29">
        <f>BF259/AZ259-1</f>
        <v>3.691770723350607E-2</v>
      </c>
      <c r="BG260" s="30">
        <f t="shared" ref="BG260:BJ260" si="677">BG259/BF259-1</f>
        <v>-9.213338903740742E-2</v>
      </c>
      <c r="BH260" s="30">
        <f t="shared" si="677"/>
        <v>5.0252298386108674E-2</v>
      </c>
      <c r="BI260" s="30">
        <f t="shared" si="677"/>
        <v>6.9258137007017329E-2</v>
      </c>
      <c r="BJ260" s="30">
        <f t="shared" si="677"/>
        <v>9.7685272233083653E-2</v>
      </c>
      <c r="BK260" s="29">
        <f>BK259/AZ259-1</f>
        <v>3.691770723350607E-2</v>
      </c>
      <c r="BL260" s="30">
        <f>BL259/BE259-1</f>
        <v>0.13077575297414268</v>
      </c>
      <c r="BM260" s="30">
        <f t="shared" ref="BM260:BO260" si="678">BM259/BL259-1</f>
        <v>5.8957945273086843E-2</v>
      </c>
      <c r="BN260" s="1031">
        <f t="shared" si="678"/>
        <v>2.3608781040929561E-2</v>
      </c>
      <c r="BO260" s="1218">
        <f t="shared" si="678"/>
        <v>1.9758930672507002E-2</v>
      </c>
      <c r="BP260" s="1212">
        <f>BP259/BF259-1</f>
        <v>0.34402409747538765</v>
      </c>
      <c r="BQ260" s="159">
        <v>0.02</v>
      </c>
      <c r="BR260" s="160">
        <v>0.02</v>
      </c>
      <c r="BS260" s="160">
        <v>0.02</v>
      </c>
      <c r="BT260" s="1105">
        <v>0.02</v>
      </c>
      <c r="BU260" s="1036">
        <f>BU259/BP259-1</f>
        <v>9.3862202975909526E-2</v>
      </c>
      <c r="BV260" s="159"/>
      <c r="BW260" s="160"/>
      <c r="BX260" s="160"/>
      <c r="BY260" s="160"/>
      <c r="BZ260" s="158">
        <v>0.1</v>
      </c>
      <c r="CA260" s="159"/>
      <c r="CB260" s="160"/>
      <c r="CC260" s="160"/>
      <c r="CD260" s="160"/>
      <c r="CE260" s="158">
        <v>0.1</v>
      </c>
      <c r="CF260" s="159"/>
      <c r="CG260" s="160"/>
      <c r="CH260" s="160"/>
      <c r="CI260" s="160"/>
      <c r="CJ260" s="158">
        <v>0.1</v>
      </c>
      <c r="CK260" s="39"/>
      <c r="CL260" s="7"/>
      <c r="CM260" s="661"/>
      <c r="CN260" s="734"/>
      <c r="CO260" s="734"/>
      <c r="CP260" s="734"/>
      <c r="CQ260" s="1340"/>
      <c r="CR260" s="734"/>
      <c r="CS260" s="1340"/>
      <c r="CT260" s="734"/>
      <c r="CU260" s="734"/>
      <c r="CV260" s="734"/>
      <c r="CW260" s="75"/>
      <c r="CX260" s="38"/>
      <c r="CY260" s="38"/>
      <c r="CZ260"/>
      <c r="DA260"/>
      <c r="DB260"/>
      <c r="DC260"/>
      <c r="DD260"/>
    </row>
    <row r="261" spans="1:108" s="40" customFormat="1">
      <c r="A261" s="110" t="s">
        <v>168</v>
      </c>
      <c r="B261" s="167"/>
      <c r="C261" s="167"/>
      <c r="D261" s="167"/>
      <c r="E261" s="167"/>
      <c r="F261" s="167"/>
      <c r="G261" s="167"/>
      <c r="H261" s="168"/>
      <c r="I261" s="168"/>
      <c r="J261" s="168"/>
      <c r="K261" s="168"/>
      <c r="L261" s="167"/>
      <c r="M261" s="168"/>
      <c r="N261" s="168"/>
      <c r="O261" s="168"/>
      <c r="P261" s="168"/>
      <c r="Q261" s="167"/>
      <c r="R261" s="168"/>
      <c r="S261" s="168"/>
      <c r="T261" s="168"/>
      <c r="U261" s="168"/>
      <c r="V261" s="167"/>
      <c r="W261" s="168"/>
      <c r="X261" s="168"/>
      <c r="Y261" s="168"/>
      <c r="Z261" s="168"/>
      <c r="AA261" s="167"/>
      <c r="AB261" s="168"/>
      <c r="AC261" s="168"/>
      <c r="AD261" s="168"/>
      <c r="AE261" s="168"/>
      <c r="AF261" s="167"/>
      <c r="AG261" s="168"/>
      <c r="AH261" s="168"/>
      <c r="AI261" s="168"/>
      <c r="AJ261" s="168"/>
      <c r="AK261" s="167"/>
      <c r="AL261" s="168"/>
      <c r="AM261" s="168"/>
      <c r="AN261" s="168"/>
      <c r="AO261" s="168"/>
      <c r="AP261" s="167"/>
      <c r="AQ261" s="169"/>
      <c r="AR261" s="168"/>
      <c r="AS261" s="168"/>
      <c r="AT261" s="168"/>
      <c r="AU261" s="167"/>
      <c r="AV261" s="169"/>
      <c r="AW261" s="168"/>
      <c r="AX261" s="168"/>
      <c r="AY261" s="168"/>
      <c r="AZ261" s="167"/>
      <c r="BA261" s="167"/>
      <c r="BB261" s="169"/>
      <c r="BC261" s="168"/>
      <c r="BD261" s="168"/>
      <c r="BE261" s="168"/>
      <c r="BF261" s="167"/>
      <c r="BG261" s="169"/>
      <c r="BH261" s="168"/>
      <c r="BI261" s="168"/>
      <c r="BJ261" s="168"/>
      <c r="BK261" s="167"/>
      <c r="BL261" s="169"/>
      <c r="BM261" s="168"/>
      <c r="BN261" s="168"/>
      <c r="BO261" s="1213"/>
      <c r="BP261" s="1213"/>
      <c r="BQ261" s="169"/>
      <c r="BR261" s="168"/>
      <c r="BS261" s="168"/>
      <c r="BT261" s="1142"/>
      <c r="BU261" s="167"/>
      <c r="BV261" s="169"/>
      <c r="BW261" s="168"/>
      <c r="BX261" s="168"/>
      <c r="BY261" s="168"/>
      <c r="BZ261" s="167"/>
      <c r="CA261" s="169"/>
      <c r="CB261" s="168"/>
      <c r="CC261" s="168"/>
      <c r="CD261" s="168"/>
      <c r="CE261" s="167"/>
      <c r="CF261" s="169"/>
      <c r="CG261" s="168"/>
      <c r="CH261" s="168"/>
      <c r="CI261" s="168"/>
      <c r="CJ261" s="167"/>
      <c r="CK261" s="39"/>
      <c r="CL261" s="7"/>
      <c r="CM261" s="733"/>
      <c r="CN261" s="734"/>
      <c r="CO261" s="661"/>
      <c r="CP261" s="622"/>
      <c r="CQ261" s="441"/>
      <c r="CR261" s="441"/>
      <c r="CS261" s="441"/>
      <c r="CT261" s="441"/>
      <c r="CU261" s="441"/>
      <c r="CV261" s="734"/>
      <c r="CW261" s="75"/>
      <c r="CX261" s="38"/>
      <c r="CY261" s="38"/>
      <c r="CZ261"/>
      <c r="DA261"/>
      <c r="DB261"/>
      <c r="DC261"/>
      <c r="DD261"/>
    </row>
    <row r="262" spans="1:108" s="259" customFormat="1">
      <c r="A262" s="213" t="s">
        <v>67</v>
      </c>
      <c r="B262" s="214"/>
      <c r="C262" s="214">
        <v>1.2</v>
      </c>
      <c r="D262" s="214">
        <v>1.28</v>
      </c>
      <c r="E262" s="214">
        <v>1.44</v>
      </c>
      <c r="F262" s="214">
        <v>1.6</v>
      </c>
      <c r="G262" s="214">
        <v>0.92</v>
      </c>
      <c r="H262" s="215">
        <v>0.28999999999999998</v>
      </c>
      <c r="I262" s="216">
        <v>0.28999999999999998</v>
      </c>
      <c r="J262" s="215">
        <v>0.28999999999999998</v>
      </c>
      <c r="K262" s="217">
        <v>0.28999999999999998</v>
      </c>
      <c r="L262" s="214">
        <f>SUM(H262:K262)</f>
        <v>1.1599999999999999</v>
      </c>
      <c r="M262" s="215">
        <v>0.35</v>
      </c>
      <c r="N262" s="216">
        <v>0.35</v>
      </c>
      <c r="O262" s="215">
        <v>0.35</v>
      </c>
      <c r="P262" s="217">
        <v>0.35</v>
      </c>
      <c r="Q262" s="214">
        <f>SUM(M262:P262)</f>
        <v>1.4</v>
      </c>
      <c r="R262" s="217">
        <v>0.38</v>
      </c>
      <c r="S262" s="217">
        <v>0.38</v>
      </c>
      <c r="T262" s="217">
        <v>0.38</v>
      </c>
      <c r="U262" s="217">
        <v>0.38</v>
      </c>
      <c r="V262" s="211">
        <f>+R262+S262+T262+U262</f>
        <v>1.52</v>
      </c>
      <c r="W262" s="217">
        <v>0.42</v>
      </c>
      <c r="X262" s="217">
        <v>0.42</v>
      </c>
      <c r="Y262" s="217">
        <v>0.42</v>
      </c>
      <c r="Z262" s="217">
        <v>0.42</v>
      </c>
      <c r="AA262" s="211">
        <f>SUM(W262:Z262)</f>
        <v>1.68</v>
      </c>
      <c r="AB262" s="215">
        <v>0.47</v>
      </c>
      <c r="AC262" s="217">
        <v>0.47</v>
      </c>
      <c r="AD262" s="217">
        <v>0.47</v>
      </c>
      <c r="AE262" s="217">
        <v>0.47</v>
      </c>
      <c r="AF262" s="211">
        <f>SUM(AB262:AE262)</f>
        <v>1.88</v>
      </c>
      <c r="AG262" s="217">
        <v>0.51</v>
      </c>
      <c r="AH262" s="217">
        <v>0.51</v>
      </c>
      <c r="AI262" s="217">
        <v>0.51</v>
      </c>
      <c r="AJ262" s="217">
        <v>0.51</v>
      </c>
      <c r="AK262" s="211">
        <f>SUM(AG262:AJ262)</f>
        <v>2.04</v>
      </c>
      <c r="AL262" s="217">
        <v>0.56000000000000005</v>
      </c>
      <c r="AM262" s="217">
        <v>0.56000000000000005</v>
      </c>
      <c r="AN262" s="566">
        <v>0.56000000000000005</v>
      </c>
      <c r="AO262" s="566">
        <v>0.56000000000000005</v>
      </c>
      <c r="AP262" s="218">
        <f>+SUM(AL262:AO262)</f>
        <v>2.2400000000000002</v>
      </c>
      <c r="AQ262" s="780">
        <v>0.62</v>
      </c>
      <c r="AR262" s="787">
        <v>0.62</v>
      </c>
      <c r="AS262" s="787">
        <v>0.62</v>
      </c>
      <c r="AT262" s="773">
        <v>0.62</v>
      </c>
      <c r="AU262" s="218">
        <f>+SUM(AQ262:AT262)</f>
        <v>2.48</v>
      </c>
      <c r="AV262" s="780">
        <v>0.69</v>
      </c>
      <c r="AW262" s="787">
        <v>0.69</v>
      </c>
      <c r="AX262" s="787">
        <v>0.69</v>
      </c>
      <c r="AY262" s="773">
        <f>2.76-AX262-AW262-AV262</f>
        <v>0.69</v>
      </c>
      <c r="AZ262" s="218">
        <f>+SUM(AV262:AY262)</f>
        <v>2.76</v>
      </c>
      <c r="BA262" s="218">
        <f>+Linking_Text_1</f>
        <v>2.76</v>
      </c>
      <c r="BB262" s="780">
        <v>0.76</v>
      </c>
      <c r="BC262" s="929">
        <v>0.76</v>
      </c>
      <c r="BD262" s="929">
        <v>0.76</v>
      </c>
      <c r="BE262" s="773">
        <f>3.04-BD262-BC262-BB262</f>
        <v>0.76000000000000023</v>
      </c>
      <c r="BF262" s="218">
        <f>+SUM(BB262:BE262)</f>
        <v>3.0400000000000005</v>
      </c>
      <c r="BG262" s="780">
        <v>0.76</v>
      </c>
      <c r="BH262" s="929">
        <v>0.76</v>
      </c>
      <c r="BI262" s="929">
        <v>0.76</v>
      </c>
      <c r="BJ262" s="773">
        <f>3.04-BI262-BH262-BG262</f>
        <v>0.76000000000000023</v>
      </c>
      <c r="BK262" s="218">
        <f>+BF262</f>
        <v>3.0400000000000005</v>
      </c>
      <c r="BL262" s="780">
        <v>0.84</v>
      </c>
      <c r="BM262" s="929">
        <v>0.84</v>
      </c>
      <c r="BN262" s="929">
        <v>0.84</v>
      </c>
      <c r="BO262" s="1205">
        <v>0.84</v>
      </c>
      <c r="BP262" s="218">
        <f>+SUM(BL262:BO262)</f>
        <v>3.36</v>
      </c>
      <c r="BQ262" s="212">
        <f>BL262*1.15</f>
        <v>0.96599999999999986</v>
      </c>
      <c r="BR262" s="210">
        <f>BQ262</f>
        <v>0.96599999999999986</v>
      </c>
      <c r="BS262" s="210">
        <f>BR262</f>
        <v>0.96599999999999986</v>
      </c>
      <c r="BT262" s="1147">
        <f>BS262</f>
        <v>0.96599999999999986</v>
      </c>
      <c r="BU262" s="1070">
        <f>+SUM(BQ262:BT262)</f>
        <v>3.8639999999999994</v>
      </c>
      <c r="BV262" s="212"/>
      <c r="BW262" s="210"/>
      <c r="BX262" s="210"/>
      <c r="BY262" s="210"/>
      <c r="BZ262" s="209">
        <f>+BU262*1.1</f>
        <v>4.2504</v>
      </c>
      <c r="CA262" s="212"/>
      <c r="CB262" s="210"/>
      <c r="CC262" s="210"/>
      <c r="CD262" s="210"/>
      <c r="CE262" s="209">
        <f>+BZ262*1.1</f>
        <v>4.67544</v>
      </c>
      <c r="CF262" s="212"/>
      <c r="CG262" s="210"/>
      <c r="CH262" s="210"/>
      <c r="CI262" s="210"/>
      <c r="CJ262" s="209">
        <f>+CE262*1.1</f>
        <v>5.1429840000000002</v>
      </c>
      <c r="CK262" s="224"/>
      <c r="CL262" s="232"/>
      <c r="CM262" s="661"/>
      <c r="CN262" s="661"/>
      <c r="CO262" s="622"/>
      <c r="CP262" s="622"/>
      <c r="CQ262" s="441" t="s">
        <v>408</v>
      </c>
      <c r="CR262" s="441" t="s">
        <v>408</v>
      </c>
      <c r="CS262" s="441" t="s">
        <v>408</v>
      </c>
      <c r="CT262" s="441"/>
      <c r="CU262" s="1307"/>
      <c r="CV262" s="569"/>
      <c r="CW262" s="232"/>
      <c r="CX262" s="224"/>
      <c r="CY262" s="224"/>
      <c r="CZ262"/>
      <c r="DA262"/>
      <c r="DB262"/>
      <c r="DC262"/>
      <c r="DD262"/>
    </row>
    <row r="263" spans="1:108" s="40" customFormat="1">
      <c r="A263" s="171" t="s">
        <v>21</v>
      </c>
      <c r="B263" s="29"/>
      <c r="C263" s="29"/>
      <c r="D263" s="29">
        <f>D262/C262-1</f>
        <v>6.6666666666666652E-2</v>
      </c>
      <c r="E263" s="29">
        <f>E262/D262-1</f>
        <v>0.125</v>
      </c>
      <c r="F263" s="29">
        <f>F262/E262-1</f>
        <v>0.11111111111111116</v>
      </c>
      <c r="G263" s="29">
        <f>G262/F262-1</f>
        <v>-0.42500000000000004</v>
      </c>
      <c r="H263" s="30"/>
      <c r="I263" s="30"/>
      <c r="J263" s="30"/>
      <c r="K263" s="30"/>
      <c r="L263" s="29">
        <f t="shared" ref="L263:AS263" si="679">L262/G262-1</f>
        <v>0.26086956521739113</v>
      </c>
      <c r="M263" s="30">
        <f t="shared" si="679"/>
        <v>0.2068965517241379</v>
      </c>
      <c r="N263" s="30">
        <f t="shared" si="679"/>
        <v>0.2068965517241379</v>
      </c>
      <c r="O263" s="30">
        <f t="shared" si="679"/>
        <v>0.2068965517241379</v>
      </c>
      <c r="P263" s="30">
        <f t="shared" si="679"/>
        <v>0.2068965517241379</v>
      </c>
      <c r="Q263" s="29">
        <f t="shared" si="679"/>
        <v>0.2068965517241379</v>
      </c>
      <c r="R263" s="30">
        <f t="shared" si="679"/>
        <v>8.5714285714285854E-2</v>
      </c>
      <c r="S263" s="30">
        <f t="shared" si="679"/>
        <v>8.5714285714285854E-2</v>
      </c>
      <c r="T263" s="30">
        <f t="shared" si="679"/>
        <v>8.5714285714285854E-2</v>
      </c>
      <c r="U263" s="30">
        <f t="shared" si="679"/>
        <v>8.5714285714285854E-2</v>
      </c>
      <c r="V263" s="29">
        <f t="shared" si="679"/>
        <v>8.5714285714285854E-2</v>
      </c>
      <c r="W263" s="30">
        <f t="shared" si="679"/>
        <v>0.10526315789473673</v>
      </c>
      <c r="X263" s="30">
        <f t="shared" si="679"/>
        <v>0.10526315789473673</v>
      </c>
      <c r="Y263" s="30">
        <f t="shared" si="679"/>
        <v>0.10526315789473673</v>
      </c>
      <c r="Z263" s="30">
        <f t="shared" si="679"/>
        <v>0.10526315789473673</v>
      </c>
      <c r="AA263" s="29">
        <f t="shared" si="679"/>
        <v>0.10526315789473673</v>
      </c>
      <c r="AB263" s="30">
        <f t="shared" si="679"/>
        <v>0.11904761904761907</v>
      </c>
      <c r="AC263" s="30">
        <f t="shared" si="679"/>
        <v>0.11904761904761907</v>
      </c>
      <c r="AD263" s="30">
        <f t="shared" si="679"/>
        <v>0.11904761904761907</v>
      </c>
      <c r="AE263" s="30">
        <f t="shared" si="679"/>
        <v>0.11904761904761907</v>
      </c>
      <c r="AF263" s="29">
        <f t="shared" si="679"/>
        <v>0.11904761904761907</v>
      </c>
      <c r="AG263" s="30">
        <f t="shared" si="679"/>
        <v>8.5106382978723527E-2</v>
      </c>
      <c r="AH263" s="30">
        <f t="shared" si="679"/>
        <v>8.5106382978723527E-2</v>
      </c>
      <c r="AI263" s="30">
        <f>AI262/AD262-1</f>
        <v>8.5106382978723527E-2</v>
      </c>
      <c r="AJ263" s="30">
        <f t="shared" si="679"/>
        <v>8.5106382978723527E-2</v>
      </c>
      <c r="AK263" s="29">
        <f>AK262/AF262-1</f>
        <v>8.5106382978723527E-2</v>
      </c>
      <c r="AL263" s="30">
        <f t="shared" si="679"/>
        <v>9.8039215686274606E-2</v>
      </c>
      <c r="AM263" s="30">
        <f t="shared" si="679"/>
        <v>9.8039215686274606E-2</v>
      </c>
      <c r="AN263" s="30">
        <f t="shared" si="679"/>
        <v>9.8039215686274606E-2</v>
      </c>
      <c r="AO263" s="30">
        <f t="shared" si="679"/>
        <v>9.8039215686274606E-2</v>
      </c>
      <c r="AP263" s="29">
        <f t="shared" si="679"/>
        <v>9.8039215686274606E-2</v>
      </c>
      <c r="AQ263" s="30">
        <f>AQ262/AL262-1</f>
        <v>0.10714285714285698</v>
      </c>
      <c r="AR263" s="30">
        <f t="shared" si="679"/>
        <v>0.10714285714285698</v>
      </c>
      <c r="AS263" s="30">
        <f t="shared" si="679"/>
        <v>0.10714285714285698</v>
      </c>
      <c r="AT263" s="30">
        <f t="shared" ref="AT263:AZ263" si="680">AT262/AO262-1</f>
        <v>0.10714285714285698</v>
      </c>
      <c r="AU263" s="29">
        <f t="shared" si="680"/>
        <v>0.10714285714285698</v>
      </c>
      <c r="AV263" s="30">
        <f t="shared" si="680"/>
        <v>0.11290322580645151</v>
      </c>
      <c r="AW263" s="30">
        <f t="shared" si="680"/>
        <v>0.11290322580645151</v>
      </c>
      <c r="AX263" s="30">
        <f t="shared" si="680"/>
        <v>0.11290322580645151</v>
      </c>
      <c r="AY263" s="30">
        <f t="shared" si="680"/>
        <v>0.11290322580645151</v>
      </c>
      <c r="AZ263" s="29">
        <f t="shared" si="680"/>
        <v>0.11290322580645151</v>
      </c>
      <c r="BA263" s="29">
        <f t="shared" ref="BA263:BG263" si="681">BA262/AU262-1</f>
        <v>0.11290322580645151</v>
      </c>
      <c r="BB263" s="30">
        <f t="shared" si="681"/>
        <v>0.10144927536231885</v>
      </c>
      <c r="BC263" s="30">
        <f t="shared" si="681"/>
        <v>0.10144927536231885</v>
      </c>
      <c r="BD263" s="30">
        <f t="shared" si="681"/>
        <v>0.10144927536231885</v>
      </c>
      <c r="BE263" s="30">
        <f t="shared" si="681"/>
        <v>0.10144927536231929</v>
      </c>
      <c r="BF263" s="29">
        <f t="shared" si="681"/>
        <v>0.10144927536231907</v>
      </c>
      <c r="BG263" s="30">
        <f t="shared" si="681"/>
        <v>-0.72463768115942029</v>
      </c>
      <c r="BH263" s="30">
        <f>BH262/AW262-1</f>
        <v>0.10144927536231885</v>
      </c>
      <c r="BI263" s="30">
        <f t="shared" ref="BI263:BJ263" si="682">BI262/AX262-1</f>
        <v>0.10144927536231885</v>
      </c>
      <c r="BJ263" s="30">
        <f t="shared" si="682"/>
        <v>0.10144927536231929</v>
      </c>
      <c r="BK263" s="29">
        <f>BK262/BA262-1</f>
        <v>0.10144927536231907</v>
      </c>
      <c r="BL263" s="30">
        <f>BL262/BG262-1</f>
        <v>0.10526315789473673</v>
      </c>
      <c r="BM263" s="30">
        <f>BM262/BH262-1</f>
        <v>0.10526315789473673</v>
      </c>
      <c r="BN263" s="30">
        <f>BN262/BI262-1</f>
        <v>0.10526315789473673</v>
      </c>
      <c r="BO263" s="30">
        <f>BO262/BJ262-1</f>
        <v>0.1052631578947365</v>
      </c>
      <c r="BP263" s="29">
        <f>BP262/BF262-1</f>
        <v>0.10526315789473673</v>
      </c>
      <c r="BQ263" s="31">
        <f t="shared" ref="BQ263:BT263" si="683">BQ262/BL262-1</f>
        <v>0.14999999999999991</v>
      </c>
      <c r="BR263" s="30">
        <f t="shared" si="683"/>
        <v>0.14999999999999991</v>
      </c>
      <c r="BS263" s="30">
        <f t="shared" si="683"/>
        <v>0.14999999999999991</v>
      </c>
      <c r="BT263" s="1106">
        <f t="shared" si="683"/>
        <v>0.14999999999999991</v>
      </c>
      <c r="BU263" s="1036">
        <f>BU262/BP262-1</f>
        <v>0.14999999999999991</v>
      </c>
      <c r="BV263" s="31"/>
      <c r="BW263" s="30"/>
      <c r="BX263" s="30"/>
      <c r="BY263" s="30"/>
      <c r="BZ263" s="29">
        <f>BZ262/BU262-1</f>
        <v>0.10000000000000009</v>
      </c>
      <c r="CA263" s="31"/>
      <c r="CB263" s="30"/>
      <c r="CC263" s="30"/>
      <c r="CD263" s="30"/>
      <c r="CE263" s="29">
        <f>CE262/BZ262-1</f>
        <v>0.10000000000000009</v>
      </c>
      <c r="CF263" s="31"/>
      <c r="CG263" s="30"/>
      <c r="CH263" s="30"/>
      <c r="CI263" s="30"/>
      <c r="CJ263" s="29">
        <f>CJ262/CE262-1</f>
        <v>0.10000000000000009</v>
      </c>
      <c r="CK263" s="39"/>
      <c r="CL263" s="7"/>
      <c r="CM263" s="733"/>
      <c r="CN263" s="734"/>
      <c r="CO263" s="622"/>
      <c r="CP263" s="1003"/>
      <c r="CQ263" s="1307">
        <v>42887</v>
      </c>
      <c r="CR263" s="1307">
        <v>42979</v>
      </c>
      <c r="CS263" s="1307">
        <v>43073</v>
      </c>
      <c r="CT263" s="661"/>
      <c r="CU263" s="622"/>
      <c r="CV263" s="734"/>
      <c r="CW263" s="75"/>
      <c r="CX263" s="38"/>
      <c r="CY263" s="38"/>
      <c r="CZ263"/>
      <c r="DA263"/>
      <c r="DB263"/>
      <c r="DC263"/>
      <c r="DD263"/>
    </row>
    <row r="264" spans="1:108" s="40" customFormat="1">
      <c r="A264" s="170" t="s">
        <v>167</v>
      </c>
      <c r="B264" s="111"/>
      <c r="C264" s="111">
        <f t="shared" ref="C264:AP264" si="684">C262/C239</f>
        <v>0.4681153846153846</v>
      </c>
      <c r="D264" s="111">
        <f t="shared" si="684"/>
        <v>0.51916904276985743</v>
      </c>
      <c r="E264" s="111">
        <f t="shared" si="684"/>
        <v>0.48590954773869338</v>
      </c>
      <c r="F264" s="111">
        <f t="shared" si="684"/>
        <v>0.44729281767955809</v>
      </c>
      <c r="G264" s="111">
        <f t="shared" si="684"/>
        <v>0.21886315789473684</v>
      </c>
      <c r="H264" s="112">
        <f t="shared" si="684"/>
        <v>0.26985488636363636</v>
      </c>
      <c r="I264" s="112">
        <f t="shared" si="684"/>
        <v>0.22907088803088801</v>
      </c>
      <c r="J264" s="112">
        <f t="shared" si="684"/>
        <v>0.21713803308823532</v>
      </c>
      <c r="K264" s="112">
        <f t="shared" si="684"/>
        <v>0.20415397923875431</v>
      </c>
      <c r="L264" s="111">
        <f t="shared" si="684"/>
        <v>0.22759423076923074</v>
      </c>
      <c r="M264" s="112">
        <f t="shared" si="684"/>
        <v>0.24668464223385686</v>
      </c>
      <c r="N264" s="112">
        <f t="shared" si="684"/>
        <v>0.21937574102964119</v>
      </c>
      <c r="O264" s="112">
        <f t="shared" si="684"/>
        <v>0.2206970820189274</v>
      </c>
      <c r="P264" s="112">
        <f t="shared" si="684"/>
        <v>0.21644444444444444</v>
      </c>
      <c r="Q264" s="111">
        <f t="shared" si="684"/>
        <v>0.22525423728813559</v>
      </c>
      <c r="R264" s="112">
        <f t="shared" si="684"/>
        <v>0.24749461659000152</v>
      </c>
      <c r="S264" s="112">
        <f t="shared" si="684"/>
        <v>0.23663283399571994</v>
      </c>
      <c r="T264" s="112">
        <f t="shared" si="684"/>
        <v>0.256475547826087</v>
      </c>
      <c r="U264" s="112">
        <f t="shared" si="684"/>
        <v>0.23986731391585764</v>
      </c>
      <c r="V264" s="111">
        <f t="shared" si="684"/>
        <v>0.24500542279068024</v>
      </c>
      <c r="W264" s="112">
        <f t="shared" si="684"/>
        <v>0.27274337228714524</v>
      </c>
      <c r="X264" s="112">
        <f t="shared" si="684"/>
        <v>0.25064516129032255</v>
      </c>
      <c r="Y264" s="112">
        <f t="shared" si="684"/>
        <v>0.24753466872110941</v>
      </c>
      <c r="Z264" s="112">
        <f t="shared" si="684"/>
        <v>0.21944855967078186</v>
      </c>
      <c r="AA264" s="111">
        <f t="shared" si="684"/>
        <v>0.24624657534246575</v>
      </c>
      <c r="AB264" s="112">
        <f t="shared" si="684"/>
        <v>0.28625889967637536</v>
      </c>
      <c r="AC264" s="112">
        <f t="shared" si="684"/>
        <v>0.26209909909909906</v>
      </c>
      <c r="AD264" s="112">
        <f t="shared" si="684"/>
        <v>0.25648571428571426</v>
      </c>
      <c r="AE264" s="112">
        <f t="shared" si="684"/>
        <v>0.28012935323383081</v>
      </c>
      <c r="AF264" s="111">
        <f t="shared" si="684"/>
        <v>0.27072884012539183</v>
      </c>
      <c r="AG264" s="112">
        <f t="shared" si="684"/>
        <v>0.32498936170212761</v>
      </c>
      <c r="AH264" s="112">
        <f t="shared" si="684"/>
        <v>0.28749842271293374</v>
      </c>
      <c r="AI264" s="112">
        <f>AI262/AI239</f>
        <v>0.29988000000000004</v>
      </c>
      <c r="AJ264" s="112">
        <f t="shared" si="684"/>
        <v>0.36686761710794297</v>
      </c>
      <c r="AK264" s="111">
        <f>AK262/AK239</f>
        <v>0.31707442833983679</v>
      </c>
      <c r="AL264" s="112">
        <f t="shared" si="684"/>
        <v>0.34670669001751314</v>
      </c>
      <c r="AM264" s="112">
        <f t="shared" si="684"/>
        <v>0.30878749999999999</v>
      </c>
      <c r="AN264" s="112">
        <f t="shared" si="684"/>
        <v>0.30358537634408606</v>
      </c>
      <c r="AO264" s="112">
        <f t="shared" si="684"/>
        <v>0.31823076923076926</v>
      </c>
      <c r="AP264" s="111">
        <f t="shared" si="684"/>
        <v>0.31850506838294451</v>
      </c>
      <c r="AQ264" s="112">
        <f t="shared" ref="AQ264:AZ264" si="685">AQ262/AQ239</f>
        <v>0.36183825210084031</v>
      </c>
      <c r="AR264" s="112">
        <f t="shared" si="685"/>
        <v>0.32898869969040251</v>
      </c>
      <c r="AS264" s="112">
        <f t="shared" si="685"/>
        <v>0.30125318965517239</v>
      </c>
      <c r="AT264" s="112">
        <f t="shared" si="685"/>
        <v>0.28403274215552526</v>
      </c>
      <c r="AU264" s="111">
        <f t="shared" si="685"/>
        <v>0.316381848110737</v>
      </c>
      <c r="AV264" s="112">
        <f t="shared" si="685"/>
        <v>0.32252874301675977</v>
      </c>
      <c r="AW264" s="112">
        <f t="shared" si="685"/>
        <v>0.30410098404255315</v>
      </c>
      <c r="AX264" s="112">
        <f t="shared" si="685"/>
        <v>0.30305214188267393</v>
      </c>
      <c r="AY264" s="112">
        <f t="shared" si="685"/>
        <v>0.28746989528795813</v>
      </c>
      <c r="AZ264" s="111">
        <f t="shared" si="685"/>
        <v>0.30406729173693081</v>
      </c>
      <c r="BA264" s="111">
        <f t="shared" ref="BA264" si="686">BA262/BA239</f>
        <v>0.29252417910447759</v>
      </c>
      <c r="BB264" s="112">
        <f t="shared" ref="BB264:BC264" si="687">BB262/BB239</f>
        <v>0.32518213698630138</v>
      </c>
      <c r="BC264" s="112">
        <f t="shared" si="687"/>
        <v>0.31102649076517153</v>
      </c>
      <c r="BD264" s="112">
        <f t="shared" ref="BD264:BE264" si="688">BD262/BD239</f>
        <v>0.30690127770534553</v>
      </c>
      <c r="BE264" s="112">
        <f t="shared" si="688"/>
        <v>0.29053283767038424</v>
      </c>
      <c r="BF264" s="111">
        <f>BF262/BF239</f>
        <v>0.30815691704768128</v>
      </c>
      <c r="BG264" s="112">
        <f t="shared" ref="BG264" si="689">BG262/BG239</f>
        <v>0.3660666958585882</v>
      </c>
      <c r="BH264" s="112">
        <f>IFERROR(BH262/BH239,"")</f>
        <v>0.33019338935574238</v>
      </c>
      <c r="BI264" s="112">
        <f t="shared" ref="BI264:BJ264" si="690">BI262/BI239</f>
        <v>0.32198632010943912</v>
      </c>
      <c r="BJ264" s="112">
        <f t="shared" si="690"/>
        <v>0.40203778354595271</v>
      </c>
      <c r="BK264" s="111">
        <f t="shared" ref="BK264:BL264" si="691">BK262/BK239</f>
        <v>0.35180460031922633</v>
      </c>
      <c r="BL264" s="112">
        <f t="shared" si="691"/>
        <v>0.33829211009174304</v>
      </c>
      <c r="BM264" s="112">
        <f t="shared" ref="BM264:BN264" si="692">BM262/BM239</f>
        <v>0.34244859813084111</v>
      </c>
      <c r="BN264" s="112">
        <f t="shared" si="692"/>
        <v>0.33396706806282717</v>
      </c>
      <c r="BO264" s="112">
        <f t="shared" ref="BO264" si="693">BO262/BO239</f>
        <v>0.33644503311258273</v>
      </c>
      <c r="BP264" s="111">
        <f>BP262/BP239</f>
        <v>0.33770383371824481</v>
      </c>
      <c r="BQ264" s="113">
        <f t="shared" ref="BQ264:BT264" si="694">BQ262/BQ239</f>
        <v>0.38227724439083716</v>
      </c>
      <c r="BR264" s="112">
        <f t="shared" si="694"/>
        <v>0.34681862278332437</v>
      </c>
      <c r="BS264" s="112">
        <f t="shared" si="694"/>
        <v>0.33934978546793454</v>
      </c>
      <c r="BT264" s="1148">
        <f t="shared" si="694"/>
        <v>0.30702093075120235</v>
      </c>
      <c r="BU264" s="1071">
        <f>BU262/BU239</f>
        <v>0.34178765374818881</v>
      </c>
      <c r="BV264" s="113"/>
      <c r="BW264" s="112"/>
      <c r="BX264" s="112"/>
      <c r="BY264" s="112"/>
      <c r="BZ264" s="111">
        <f>BZ262/BZ239</f>
        <v>0.34248982724592641</v>
      </c>
      <c r="CA264" s="113"/>
      <c r="CB264" s="112"/>
      <c r="CC264" s="112"/>
      <c r="CD264" s="112"/>
      <c r="CE264" s="111">
        <f>CE262/CE239</f>
        <v>0.34882420320911917</v>
      </c>
      <c r="CF264" s="113"/>
      <c r="CG264" s="112"/>
      <c r="CH264" s="112"/>
      <c r="CI264" s="112"/>
      <c r="CJ264" s="111">
        <f>CJ262/CJ239</f>
        <v>0.35068162756615734</v>
      </c>
      <c r="CK264" s="39"/>
      <c r="CL264" s="7"/>
      <c r="CM264" s="733"/>
      <c r="CN264" s="734"/>
      <c r="CO264" s="734"/>
      <c r="CP264" s="1343" t="s">
        <v>407</v>
      </c>
      <c r="CQ264" s="1308">
        <v>60</v>
      </c>
      <c r="CR264" s="1308">
        <v>56</v>
      </c>
      <c r="CS264" s="1308">
        <v>59</v>
      </c>
      <c r="CT264" s="1268"/>
      <c r="CU264" s="734"/>
      <c r="CV264" s="734"/>
      <c r="CW264" s="75"/>
      <c r="CX264" s="38"/>
      <c r="CY264" s="38"/>
      <c r="CZ264"/>
      <c r="DA264"/>
      <c r="DB264"/>
      <c r="DC264"/>
      <c r="DD264"/>
    </row>
    <row r="265" spans="1:108">
      <c r="A265" s="54"/>
      <c r="B265" s="66"/>
      <c r="C265" s="66"/>
      <c r="D265" s="66"/>
      <c r="E265" s="66"/>
      <c r="F265" s="66"/>
      <c r="G265" s="66"/>
      <c r="H265" s="70"/>
      <c r="I265" s="70"/>
      <c r="J265" s="70"/>
      <c r="K265" s="67"/>
      <c r="L265" s="66"/>
      <c r="M265" s="70"/>
      <c r="N265" s="70"/>
      <c r="O265" s="70"/>
      <c r="P265" s="67"/>
      <c r="Q265" s="66"/>
      <c r="R265" s="70"/>
      <c r="S265" s="70"/>
      <c r="T265" s="70"/>
      <c r="U265" s="67"/>
      <c r="V265" s="66"/>
      <c r="W265" s="70"/>
      <c r="X265" s="70"/>
      <c r="Y265" s="70"/>
      <c r="Z265" s="67"/>
      <c r="AA265" s="66"/>
      <c r="AB265" s="70"/>
      <c r="AC265" s="70"/>
      <c r="AD265" s="70"/>
      <c r="AE265" s="67"/>
      <c r="AF265" s="623"/>
      <c r="AG265" s="70"/>
      <c r="AH265" s="70"/>
      <c r="AI265" s="70"/>
      <c r="AJ265" s="67"/>
      <c r="AK265" s="66"/>
      <c r="AL265" s="70"/>
      <c r="AM265" s="70"/>
      <c r="AN265" s="70"/>
      <c r="AO265" s="67"/>
      <c r="AP265" s="66"/>
      <c r="AQ265" s="72"/>
      <c r="AR265" s="67"/>
      <c r="AS265" s="70"/>
      <c r="AT265" s="67"/>
      <c r="AU265" s="66"/>
      <c r="AV265" s="72"/>
      <c r="AW265" s="67"/>
      <c r="AX265" s="67"/>
      <c r="AY265" s="67"/>
      <c r="AZ265" s="66"/>
      <c r="BA265" s="66"/>
      <c r="BB265" s="72"/>
      <c r="BC265" s="67"/>
      <c r="BD265" s="67"/>
      <c r="BE265" s="67"/>
      <c r="BF265" s="66"/>
      <c r="BG265" s="72"/>
      <c r="BH265" s="67"/>
      <c r="BI265" s="67"/>
      <c r="BJ265" s="67"/>
      <c r="BK265" s="66"/>
      <c r="BL265" s="1185"/>
      <c r="BM265" s="67"/>
      <c r="BN265" s="67"/>
      <c r="BO265" s="67"/>
      <c r="BP265" s="1062"/>
      <c r="BQ265" s="72"/>
      <c r="BR265" s="67"/>
      <c r="BS265" s="67"/>
      <c r="BT265" s="1132"/>
      <c r="BU265" s="66"/>
      <c r="BV265" s="72"/>
      <c r="BW265" s="67"/>
      <c r="BX265" s="67"/>
      <c r="BY265" s="67"/>
      <c r="BZ265" s="66"/>
      <c r="CA265" s="72"/>
      <c r="CB265" s="67"/>
      <c r="CC265" s="67"/>
      <c r="CD265" s="67"/>
      <c r="CE265" s="66"/>
      <c r="CF265" s="72"/>
      <c r="CG265" s="67"/>
      <c r="CH265" s="67"/>
      <c r="CI265" s="67"/>
      <c r="CJ265" s="66"/>
      <c r="CK265" s="32"/>
      <c r="CL265" s="14"/>
      <c r="CM265" s="661"/>
      <c r="CN265" s="661"/>
      <c r="CO265" s="661"/>
      <c r="CP265" s="661"/>
      <c r="CQ265" s="731"/>
      <c r="CR265" s="731"/>
      <c r="CS265" s="731"/>
      <c r="CT265" s="1268"/>
      <c r="CU265" s="661"/>
      <c r="CV265" s="661"/>
      <c r="CW265" s="74"/>
      <c r="CX265" s="33"/>
      <c r="CY265" s="33"/>
    </row>
    <row r="266" spans="1:108" ht="12" customHeight="1">
      <c r="A266" s="13" t="s">
        <v>158</v>
      </c>
      <c r="B266" s="73"/>
      <c r="C266" s="73"/>
      <c r="D266" s="73"/>
      <c r="E266" s="73"/>
      <c r="F266" s="73"/>
      <c r="G266" s="73"/>
      <c r="H266" s="74"/>
      <c r="I266" s="74"/>
      <c r="J266" s="74"/>
      <c r="K266" s="75"/>
      <c r="L266" s="73"/>
      <c r="M266" s="74"/>
      <c r="N266" s="74"/>
      <c r="O266" s="74"/>
      <c r="P266" s="75"/>
      <c r="Q266" s="73"/>
      <c r="R266" s="74"/>
      <c r="S266" s="74"/>
      <c r="T266" s="74"/>
      <c r="U266" s="75"/>
      <c r="V266" s="73"/>
      <c r="W266" s="74"/>
      <c r="X266" s="74"/>
      <c r="Y266" s="74"/>
      <c r="Z266" s="75"/>
      <c r="AA266" s="73"/>
      <c r="AB266" s="74"/>
      <c r="AC266" s="74"/>
      <c r="AD266" s="74"/>
      <c r="AE266" s="75"/>
      <c r="AF266" s="73"/>
      <c r="AG266" s="74"/>
      <c r="AH266" s="74"/>
      <c r="AI266" s="74"/>
      <c r="AJ266" s="75"/>
      <c r="AK266" s="73"/>
      <c r="AL266" s="74"/>
      <c r="AM266" s="74"/>
      <c r="AN266" s="74"/>
      <c r="AO266" s="75"/>
      <c r="AP266" s="73"/>
      <c r="AQ266" s="76"/>
      <c r="AR266" s="75"/>
      <c r="AS266" s="75"/>
      <c r="AT266" s="75"/>
      <c r="AU266" s="73"/>
      <c r="AV266" s="76"/>
      <c r="AW266" s="75"/>
      <c r="AX266" s="75"/>
      <c r="AY266" s="75"/>
      <c r="AZ266" s="73"/>
      <c r="BA266" s="73"/>
      <c r="BB266" s="76"/>
      <c r="BC266" s="75"/>
      <c r="BD266" s="75"/>
      <c r="BE266" s="75"/>
      <c r="BF266" s="73"/>
      <c r="BG266" s="76"/>
      <c r="BH266" s="75"/>
      <c r="BI266" s="75"/>
      <c r="BJ266" s="75"/>
      <c r="BK266" s="73"/>
      <c r="BL266" s="76"/>
      <c r="BM266" s="75"/>
      <c r="BN266" s="75"/>
      <c r="BO266" s="75"/>
      <c r="BP266" s="1072"/>
      <c r="BQ266" s="76"/>
      <c r="BR266" s="75"/>
      <c r="BS266" s="75"/>
      <c r="BT266" s="1149"/>
      <c r="BU266" s="73"/>
      <c r="BV266" s="76"/>
      <c r="BW266" s="75"/>
      <c r="BX266" s="75"/>
      <c r="BY266" s="75"/>
      <c r="BZ266" s="73"/>
      <c r="CA266" s="76"/>
      <c r="CB266" s="75"/>
      <c r="CC266" s="75"/>
      <c r="CD266" s="75"/>
      <c r="CE266" s="73"/>
      <c r="CF266" s="76"/>
      <c r="CG266" s="75"/>
      <c r="CH266" s="75"/>
      <c r="CI266" s="75"/>
      <c r="CJ266" s="73"/>
      <c r="CK266" s="33"/>
      <c r="CL266" s="74"/>
      <c r="CM266" s="661"/>
      <c r="CN266" s="661"/>
      <c r="CO266" s="661"/>
      <c r="CP266" s="1324"/>
      <c r="CQ266" s="1341">
        <v>2018</v>
      </c>
      <c r="CR266" s="1341">
        <v>2019</v>
      </c>
      <c r="CS266" s="1341">
        <v>2020</v>
      </c>
      <c r="CT266" s="1341">
        <v>2021</v>
      </c>
      <c r="CU266" s="661"/>
      <c r="CV266" s="661"/>
      <c r="CW266" s="74"/>
      <c r="CX266" s="33"/>
      <c r="CY266" s="33"/>
    </row>
    <row r="267" spans="1:108" s="135" customFormat="1">
      <c r="A267" s="346" t="s">
        <v>51</v>
      </c>
      <c r="B267" s="173">
        <f t="shared" ref="B267:AP267" si="695">+B246</f>
        <v>943</v>
      </c>
      <c r="C267" s="173">
        <f t="shared" si="695"/>
        <v>917</v>
      </c>
      <c r="D267" s="173">
        <f t="shared" si="695"/>
        <v>1004</v>
      </c>
      <c r="E267" s="173">
        <f t="shared" si="695"/>
        <v>1227</v>
      </c>
      <c r="F267" s="173">
        <f t="shared" si="695"/>
        <v>1461</v>
      </c>
      <c r="G267" s="173">
        <f t="shared" si="695"/>
        <v>1856</v>
      </c>
      <c r="H267" s="176">
        <f t="shared" si="695"/>
        <v>434</v>
      </c>
      <c r="I267" s="176">
        <f t="shared" si="695"/>
        <v>513</v>
      </c>
      <c r="J267" s="176">
        <f t="shared" si="695"/>
        <v>546</v>
      </c>
      <c r="K267" s="176">
        <f t="shared" si="695"/>
        <v>579</v>
      </c>
      <c r="L267" s="173">
        <f t="shared" si="695"/>
        <v>2072</v>
      </c>
      <c r="M267" s="176">
        <f t="shared" si="695"/>
        <v>572</v>
      </c>
      <c r="N267" s="176">
        <f t="shared" si="695"/>
        <v>641</v>
      </c>
      <c r="O267" s="176">
        <f t="shared" si="695"/>
        <v>634</v>
      </c>
      <c r="P267" s="176">
        <f t="shared" si="695"/>
        <v>612</v>
      </c>
      <c r="Q267" s="173">
        <f t="shared" si="695"/>
        <v>2459</v>
      </c>
      <c r="R267" s="176">
        <f t="shared" si="695"/>
        <v>590.49</v>
      </c>
      <c r="S267" s="176">
        <f t="shared" si="695"/>
        <v>618.49</v>
      </c>
      <c r="T267" s="176">
        <f t="shared" si="695"/>
        <v>572</v>
      </c>
      <c r="U267" s="176">
        <f t="shared" si="695"/>
        <v>614</v>
      </c>
      <c r="V267" s="173">
        <f t="shared" si="695"/>
        <v>2393.5100000000002</v>
      </c>
      <c r="W267" s="176">
        <f t="shared" si="695"/>
        <v>597</v>
      </c>
      <c r="X267" s="176">
        <f t="shared" si="695"/>
        <v>648</v>
      </c>
      <c r="Y267" s="176">
        <f t="shared" si="695"/>
        <v>650</v>
      </c>
      <c r="Z267" s="176">
        <f t="shared" si="695"/>
        <v>729</v>
      </c>
      <c r="AA267" s="173">
        <f t="shared" si="695"/>
        <v>2624</v>
      </c>
      <c r="AB267" s="176">
        <f t="shared" si="695"/>
        <v>618</v>
      </c>
      <c r="AC267" s="176">
        <f t="shared" si="695"/>
        <v>653</v>
      </c>
      <c r="AD267" s="176">
        <f t="shared" si="695"/>
        <v>652</v>
      </c>
      <c r="AE267" s="176">
        <f t="shared" si="695"/>
        <v>603</v>
      </c>
      <c r="AF267" s="173">
        <f t="shared" si="695"/>
        <v>2526</v>
      </c>
      <c r="AG267" s="176">
        <f t="shared" si="695"/>
        <v>564</v>
      </c>
      <c r="AH267" s="176">
        <f t="shared" si="695"/>
        <v>634</v>
      </c>
      <c r="AI267" s="176">
        <f>+AI246</f>
        <v>600</v>
      </c>
      <c r="AJ267" s="176">
        <f t="shared" si="695"/>
        <v>-2130</v>
      </c>
      <c r="AK267" s="173">
        <f t="shared" si="695"/>
        <v>-332.48999999999978</v>
      </c>
      <c r="AL267" s="176">
        <f t="shared" si="695"/>
        <v>571</v>
      </c>
      <c r="AM267" s="176">
        <f t="shared" si="695"/>
        <v>640</v>
      </c>
      <c r="AN267" s="176">
        <f t="shared" si="695"/>
        <v>651</v>
      </c>
      <c r="AO267" s="176">
        <f t="shared" si="695"/>
        <v>495</v>
      </c>
      <c r="AP267" s="173">
        <f t="shared" si="695"/>
        <v>2357</v>
      </c>
      <c r="AQ267" s="176">
        <f t="shared" ref="AQ267:BE267" si="696">+AQ246</f>
        <v>595</v>
      </c>
      <c r="AR267" s="176">
        <f t="shared" si="696"/>
        <v>541</v>
      </c>
      <c r="AS267" s="176">
        <f t="shared" si="696"/>
        <v>695</v>
      </c>
      <c r="AT267" s="176">
        <f t="shared" si="696"/>
        <v>699</v>
      </c>
      <c r="AU267" s="173">
        <f t="shared" si="696"/>
        <v>2533</v>
      </c>
      <c r="AV267" s="641">
        <f t="shared" si="696"/>
        <v>716</v>
      </c>
      <c r="AW267" s="176">
        <f t="shared" si="696"/>
        <v>752</v>
      </c>
      <c r="AX267" s="176">
        <f t="shared" si="696"/>
        <v>733</v>
      </c>
      <c r="AY267" s="176">
        <f t="shared" si="696"/>
        <v>764</v>
      </c>
      <c r="AZ267" s="173">
        <f t="shared" si="696"/>
        <v>2965</v>
      </c>
      <c r="BA267" s="173">
        <f t="shared" ref="BA267" si="697">+BA246</f>
        <v>3082</v>
      </c>
      <c r="BB267" s="928">
        <f t="shared" si="696"/>
        <v>717</v>
      </c>
      <c r="BC267" s="928">
        <f t="shared" si="696"/>
        <v>758</v>
      </c>
      <c r="BD267" s="928">
        <f t="shared" si="696"/>
        <v>683</v>
      </c>
      <c r="BE267" s="928">
        <f t="shared" si="696"/>
        <v>797</v>
      </c>
      <c r="BF267" s="931">
        <f>+BF246</f>
        <v>2955</v>
      </c>
      <c r="BG267" s="928">
        <f t="shared" ref="BG267:BH267" si="698">+BG246</f>
        <v>641</v>
      </c>
      <c r="BH267" s="928">
        <f t="shared" si="698"/>
        <v>714</v>
      </c>
      <c r="BI267" s="928"/>
      <c r="BJ267" s="928"/>
      <c r="BK267" s="173">
        <f t="shared" ref="BK267" si="699">+BK246</f>
        <v>2572</v>
      </c>
      <c r="BL267" s="928">
        <f t="shared" ref="BL267:BU267" si="700">+BL246</f>
        <v>763</v>
      </c>
      <c r="BM267" s="928">
        <f t="shared" si="700"/>
        <v>749</v>
      </c>
      <c r="BN267" s="928">
        <f t="shared" si="700"/>
        <v>764</v>
      </c>
      <c r="BO267" s="928">
        <f t="shared" si="700"/>
        <v>636</v>
      </c>
      <c r="BP267" s="1073">
        <f>+BP246</f>
        <v>2912</v>
      </c>
      <c r="BQ267" s="177">
        <f t="shared" si="700"/>
        <v>764.15325339465005</v>
      </c>
      <c r="BR267" s="176">
        <f t="shared" si="700"/>
        <v>842.28002999279977</v>
      </c>
      <c r="BS267" s="176">
        <f t="shared" si="700"/>
        <v>860.81798931210005</v>
      </c>
      <c r="BT267" s="663">
        <f t="shared" si="700"/>
        <v>951.46086387419996</v>
      </c>
      <c r="BU267" s="173">
        <f t="shared" si="700"/>
        <v>3418.7121365737503</v>
      </c>
      <c r="BV267" s="177"/>
      <c r="BW267" s="176"/>
      <c r="BX267" s="176"/>
      <c r="BY267" s="176"/>
      <c r="BZ267" s="173">
        <f>+BZ246</f>
        <v>3752.87339287035</v>
      </c>
      <c r="CA267" s="177"/>
      <c r="CB267" s="176"/>
      <c r="CC267" s="176"/>
      <c r="CD267" s="176"/>
      <c r="CE267" s="173">
        <f>+CE246</f>
        <v>4053.1965471226172</v>
      </c>
      <c r="CF267" s="177"/>
      <c r="CG267" s="176"/>
      <c r="CH267" s="176"/>
      <c r="CI267" s="176"/>
      <c r="CJ267" s="173">
        <f>+CJ246</f>
        <v>4346.203149979583</v>
      </c>
      <c r="CK267" s="132"/>
      <c r="CL267" s="240"/>
      <c r="CM267" s="1269"/>
      <c r="CN267" s="622"/>
      <c r="CO267" s="622"/>
      <c r="CP267" s="1342" t="s">
        <v>157</v>
      </c>
      <c r="CQ267" s="1271">
        <f>BP268*1.04</f>
        <v>376.48</v>
      </c>
      <c r="CR267" s="1271">
        <f>CQ267*1.04</f>
        <v>391.53920000000005</v>
      </c>
      <c r="CS267" s="1271">
        <f>CR267*1.04</f>
        <v>407.20076800000004</v>
      </c>
      <c r="CT267" s="1271">
        <f>CS267*1.04</f>
        <v>423.48879872000003</v>
      </c>
      <c r="CU267" s="661"/>
      <c r="CV267" s="622"/>
      <c r="CW267" s="230"/>
      <c r="CX267" s="133"/>
      <c r="CY267" s="133"/>
      <c r="CZ267"/>
      <c r="DA267"/>
      <c r="DB267"/>
      <c r="DC267"/>
      <c r="DD267"/>
    </row>
    <row r="268" spans="1:108" s="135" customFormat="1">
      <c r="A268" s="346" t="s">
        <v>97</v>
      </c>
      <c r="B268" s="173">
        <v>264</v>
      </c>
      <c r="C268" s="173">
        <v>208</v>
      </c>
      <c r="D268" s="173">
        <v>270</v>
      </c>
      <c r="E268" s="173">
        <v>306</v>
      </c>
      <c r="F268" s="173">
        <v>327</v>
      </c>
      <c r="G268" s="173">
        <v>384</v>
      </c>
      <c r="H268" s="172">
        <v>101</v>
      </c>
      <c r="I268" s="174">
        <v>106</v>
      </c>
      <c r="J268" s="172">
        <v>105</v>
      </c>
      <c r="K268" s="175">
        <v>111</v>
      </c>
      <c r="L268" s="173">
        <v>423</v>
      </c>
      <c r="M268" s="175">
        <v>102</v>
      </c>
      <c r="N268" s="175">
        <v>111</v>
      </c>
      <c r="O268" s="175">
        <v>113</v>
      </c>
      <c r="P268" s="175">
        <v>121</v>
      </c>
      <c r="Q268" s="173">
        <v>447</v>
      </c>
      <c r="R268" s="175">
        <v>139</v>
      </c>
      <c r="S268" s="175">
        <v>140</v>
      </c>
      <c r="T268" s="175">
        <v>139</v>
      </c>
      <c r="U268" s="175">
        <v>144</v>
      </c>
      <c r="V268" s="173">
        <v>562</v>
      </c>
      <c r="W268" s="175">
        <v>143</v>
      </c>
      <c r="X268" s="175">
        <v>140</v>
      </c>
      <c r="Y268" s="175">
        <v>141</v>
      </c>
      <c r="Z268" s="175">
        <v>145</v>
      </c>
      <c r="AA268" s="173">
        <v>569</v>
      </c>
      <c r="AB268" s="175">
        <v>143</v>
      </c>
      <c r="AC268" s="175">
        <v>145</v>
      </c>
      <c r="AD268" s="175">
        <v>147</v>
      </c>
      <c r="AE268" s="175">
        <v>268</v>
      </c>
      <c r="AF268" s="173">
        <v>703</v>
      </c>
      <c r="AG268" s="176">
        <v>154</v>
      </c>
      <c r="AH268" s="176">
        <v>150</v>
      </c>
      <c r="AI268" s="176">
        <v>154</v>
      </c>
      <c r="AJ268" s="134">
        <v>162</v>
      </c>
      <c r="AK268" s="219">
        <v>620</v>
      </c>
      <c r="AL268" s="176">
        <v>142</v>
      </c>
      <c r="AM268" s="176">
        <v>138</v>
      </c>
      <c r="AN268" s="176">
        <f>288+127-SUM(AL268:AM268)</f>
        <v>135</v>
      </c>
      <c r="AO268" s="176">
        <f>393+163-SUM(AL268:AN268)</f>
        <v>141</v>
      </c>
      <c r="AP268" s="180">
        <f>+SUM(AL268:AO268)</f>
        <v>556</v>
      </c>
      <c r="AQ268" s="176">
        <f>97+35</f>
        <v>132</v>
      </c>
      <c r="AR268" s="641">
        <f>191+61-AQ268</f>
        <v>120</v>
      </c>
      <c r="AS268" s="641">
        <f>285+91-SUM(AQ268:AR268)</f>
        <v>124</v>
      </c>
      <c r="AT268" s="176">
        <f>375+121-SUM(AQ268:AS268)</f>
        <v>120</v>
      </c>
      <c r="AU268" s="180">
        <f>SUM(AQ268:AT268)</f>
        <v>496</v>
      </c>
      <c r="AV268" s="781">
        <f>94+30</f>
        <v>124</v>
      </c>
      <c r="AW268" s="641">
        <f>184+59-AV268</f>
        <v>119</v>
      </c>
      <c r="AX268" s="641">
        <f>272+88-SUM(AV268:AW268)</f>
        <v>117</v>
      </c>
      <c r="AY268" s="641">
        <f t="shared" ref="AY268:AY274" si="701">+AZ268-SUM(AV268:AX268)</f>
        <v>122</v>
      </c>
      <c r="AZ268" s="180">
        <f>366+116</f>
        <v>482</v>
      </c>
      <c r="BA268" s="180">
        <f>366+116</f>
        <v>482</v>
      </c>
      <c r="BB268" s="781">
        <f>90+27</f>
        <v>117</v>
      </c>
      <c r="BC268" s="641">
        <f>182+50-BB268</f>
        <v>115</v>
      </c>
      <c r="BD268" s="641">
        <f>272+70-SUM(BB268:BC268)</f>
        <v>110</v>
      </c>
      <c r="BE268" s="641">
        <f t="shared" ref="BE268:BE274" si="702">+BF268-SUM(BB268:BD268)</f>
        <v>112</v>
      </c>
      <c r="BF268" s="789">
        <f>366+88</f>
        <v>454</v>
      </c>
      <c r="BG268" s="781">
        <f>89+27</f>
        <v>116</v>
      </c>
      <c r="BH268" s="641">
        <f>181+50-BG268</f>
        <v>115</v>
      </c>
      <c r="BI268" s="641"/>
      <c r="BJ268" s="641"/>
      <c r="BK268" s="180">
        <v>365</v>
      </c>
      <c r="BL268" s="934">
        <f>92+19</f>
        <v>111</v>
      </c>
      <c r="BM268" s="641">
        <f>182+38-BL268</f>
        <v>109</v>
      </c>
      <c r="BN268" s="641">
        <f>269+57-BM268-BL268</f>
        <v>106</v>
      </c>
      <c r="BO268" s="641">
        <f>362-BN268-BM268-BL268</f>
        <v>36</v>
      </c>
      <c r="BP268" s="1074">
        <f>+SUM(BL268:BO268)</f>
        <v>362</v>
      </c>
      <c r="BQ268" s="481">
        <f>$BP268*1.04/4</f>
        <v>94.12</v>
      </c>
      <c r="BR268" s="479">
        <f>$BP268*1.04/4+60+-BR183</f>
        <v>208.12</v>
      </c>
      <c r="BS268" s="479">
        <f>$BP268*1.04/4+60+-BS183</f>
        <v>208.12</v>
      </c>
      <c r="BT268" s="1150">
        <f>$BP268*1.04/4+60+-BT183</f>
        <v>208.12</v>
      </c>
      <c r="BU268" s="1074">
        <f>+SUM(BQ268:BT268)</f>
        <v>718.48</v>
      </c>
      <c r="BV268" s="481"/>
      <c r="BW268" s="479"/>
      <c r="BX268" s="479"/>
      <c r="BY268" s="479"/>
      <c r="BZ268" s="480">
        <f>(BU268-180+240+BU183)*1.04+-BZ183</f>
        <v>857.13920000000007</v>
      </c>
      <c r="CA268" s="481"/>
      <c r="CB268" s="479"/>
      <c r="CC268" s="479"/>
      <c r="CD268" s="479"/>
      <c r="CE268" s="480">
        <f>(BZ268+BZ183)*1.04+-CE183</f>
        <v>882.7847680000001</v>
      </c>
      <c r="CF268" s="481"/>
      <c r="CG268" s="479"/>
      <c r="CH268" s="479"/>
      <c r="CI268" s="479"/>
      <c r="CJ268" s="480">
        <f>(CE268+CE183)*1.04+-CJ183</f>
        <v>909.45615872000008</v>
      </c>
      <c r="CK268" s="132"/>
      <c r="CL268" s="240"/>
      <c r="CM268" s="1269"/>
      <c r="CN268" s="622"/>
      <c r="CO268" s="622"/>
      <c r="CP268" s="1342" t="s">
        <v>400</v>
      </c>
      <c r="CQ268" s="1271">
        <f>60*3</f>
        <v>180</v>
      </c>
      <c r="CR268" s="1271">
        <f>CQ268/3*4*1.04</f>
        <v>249.60000000000002</v>
      </c>
      <c r="CS268" s="1271">
        <f>CR268*1.04</f>
        <v>259.58400000000006</v>
      </c>
      <c r="CT268" s="1271">
        <f>CS268*1.04</f>
        <v>269.9673600000001</v>
      </c>
      <c r="CU268" s="661"/>
      <c r="CV268" s="622"/>
      <c r="CW268" s="230"/>
      <c r="CX268" s="133"/>
      <c r="CY268" s="133"/>
      <c r="CZ268"/>
      <c r="DA268"/>
      <c r="DB268"/>
      <c r="DC268"/>
      <c r="DD268"/>
    </row>
    <row r="269" spans="1:108" s="135" customFormat="1">
      <c r="A269" s="346" t="s">
        <v>124</v>
      </c>
      <c r="B269" s="190">
        <v>0</v>
      </c>
      <c r="C269" s="190">
        <v>0</v>
      </c>
      <c r="D269" s="190">
        <v>0</v>
      </c>
      <c r="E269" s="190">
        <v>51</v>
      </c>
      <c r="F269" s="190">
        <v>39</v>
      </c>
      <c r="G269" s="190">
        <v>61</v>
      </c>
      <c r="H269" s="191">
        <v>19</v>
      </c>
      <c r="I269" s="184">
        <f>41-H269</f>
        <v>22</v>
      </c>
      <c r="J269" s="191">
        <f>64-SUM(H269:I269)</f>
        <v>23</v>
      </c>
      <c r="K269" s="178">
        <f>L269-SUM(H269:J269)</f>
        <v>22</v>
      </c>
      <c r="L269" s="315">
        <v>86</v>
      </c>
      <c r="M269" s="186">
        <v>23</v>
      </c>
      <c r="N269" s="184">
        <f>50-M269</f>
        <v>27</v>
      </c>
      <c r="O269" s="191">
        <f>78-SUM(M269:N269)</f>
        <v>28</v>
      </c>
      <c r="P269" s="178">
        <f>Q269-SUM(M269:O269)</f>
        <v>27</v>
      </c>
      <c r="Q269" s="314">
        <v>105</v>
      </c>
      <c r="R269" s="186">
        <v>28</v>
      </c>
      <c r="S269" s="184">
        <f>58-R269</f>
        <v>30</v>
      </c>
      <c r="T269" s="186">
        <f>87-SUM(R269:S269)</f>
        <v>29</v>
      </c>
      <c r="U269" s="179">
        <f>V269-SUM(R269:T269)</f>
        <v>30</v>
      </c>
      <c r="V269" s="180">
        <v>117</v>
      </c>
      <c r="W269" s="186">
        <v>29</v>
      </c>
      <c r="X269" s="184">
        <f>58-W269</f>
        <v>29</v>
      </c>
      <c r="Y269" s="186">
        <f>88-SUM(W269:X269)</f>
        <v>30</v>
      </c>
      <c r="Z269" s="179">
        <f>AA269-SUM(W269:Y269)</f>
        <v>30</v>
      </c>
      <c r="AA269" s="180">
        <v>118</v>
      </c>
      <c r="AB269" s="186">
        <v>32</v>
      </c>
      <c r="AC269" s="184">
        <f>64-AB269</f>
        <v>32</v>
      </c>
      <c r="AD269" s="186">
        <f>96-AC269-AB269</f>
        <v>32</v>
      </c>
      <c r="AE269" s="183">
        <f>128-AD269-AC269-AB269</f>
        <v>32</v>
      </c>
      <c r="AF269" s="180">
        <f>SUM(AB269:AE269)</f>
        <v>128</v>
      </c>
      <c r="AG269" s="191">
        <v>35</v>
      </c>
      <c r="AH269" s="184">
        <f>69-AG269</f>
        <v>34</v>
      </c>
      <c r="AI269" s="186">
        <f>104-AH269-AG269</f>
        <v>35</v>
      </c>
      <c r="AJ269" s="179">
        <f>114-AG269-AH269-AI269</f>
        <v>10</v>
      </c>
      <c r="AK269" s="180">
        <f>SUM(AG269:AJ269)</f>
        <v>114</v>
      </c>
      <c r="AL269" s="186">
        <v>31</v>
      </c>
      <c r="AM269" s="186">
        <f>61-AL269</f>
        <v>30</v>
      </c>
      <c r="AN269" s="186">
        <f>90-SUM(AL269:AM269)</f>
        <v>29</v>
      </c>
      <c r="AO269" s="179">
        <f>120-SUM(AL269:AN269)</f>
        <v>30</v>
      </c>
      <c r="AP269" s="180">
        <f>+SUM(AL269:AO269)</f>
        <v>120</v>
      </c>
      <c r="AQ269" s="183">
        <v>27</v>
      </c>
      <c r="AR269" s="729">
        <f>64-AQ269</f>
        <v>37</v>
      </c>
      <c r="AS269" s="729">
        <f>94-SUM(AQ269:AR269)</f>
        <v>30</v>
      </c>
      <c r="AT269" s="729">
        <v>34</v>
      </c>
      <c r="AU269" s="180">
        <f>SUM(AQ269:AT269)</f>
        <v>128</v>
      </c>
      <c r="AV269" s="737">
        <v>40</v>
      </c>
      <c r="AW269" s="729">
        <f>71-AV269</f>
        <v>31</v>
      </c>
      <c r="AX269" s="729">
        <f>84-SUM(AV269:AW269)</f>
        <v>13</v>
      </c>
      <c r="AY269" s="641">
        <f t="shared" si="701"/>
        <v>26</v>
      </c>
      <c r="AZ269" s="180">
        <v>110</v>
      </c>
      <c r="BA269" s="180">
        <v>110</v>
      </c>
      <c r="BB269" s="737">
        <v>27</v>
      </c>
      <c r="BC269" s="729">
        <f>51-BB269</f>
        <v>24</v>
      </c>
      <c r="BD269" s="729">
        <f>76-SUM(BB269:BC269)</f>
        <v>25</v>
      </c>
      <c r="BE269" s="641">
        <f t="shared" si="702"/>
        <v>24</v>
      </c>
      <c r="BF269" s="790">
        <v>100</v>
      </c>
      <c r="BG269" s="737">
        <v>27</v>
      </c>
      <c r="BH269" s="729">
        <f>51-BG269</f>
        <v>24</v>
      </c>
      <c r="BI269" s="729"/>
      <c r="BJ269" s="641"/>
      <c r="BK269" s="180">
        <v>95</v>
      </c>
      <c r="BL269" s="935">
        <v>22</v>
      </c>
      <c r="BM269" s="988">
        <f>49-BL269</f>
        <v>27</v>
      </c>
      <c r="BN269" s="988">
        <f>75-BM269-BL269</f>
        <v>26</v>
      </c>
      <c r="BO269" s="641">
        <f>123-BN269-BM269-BL269</f>
        <v>48</v>
      </c>
      <c r="BP269" s="1074">
        <f>+SUM(BL269:BO269)</f>
        <v>123</v>
      </c>
      <c r="BQ269" s="481">
        <f>$BP269/4</f>
        <v>30.75</v>
      </c>
      <c r="BR269" s="479">
        <f t="shared" ref="BR269:BT269" si="703">$BP269/4</f>
        <v>30.75</v>
      </c>
      <c r="BS269" s="479">
        <f t="shared" si="703"/>
        <v>30.75</v>
      </c>
      <c r="BT269" s="1150">
        <f t="shared" si="703"/>
        <v>30.75</v>
      </c>
      <c r="BU269" s="1074">
        <f>+SUM(BQ269:BT269)</f>
        <v>123</v>
      </c>
      <c r="BV269" s="368"/>
      <c r="BW269" s="366"/>
      <c r="BX269" s="366"/>
      <c r="BY269" s="366"/>
      <c r="BZ269" s="367">
        <f>BU269</f>
        <v>123</v>
      </c>
      <c r="CA269" s="368"/>
      <c r="CB269" s="366"/>
      <c r="CC269" s="366"/>
      <c r="CD269" s="366"/>
      <c r="CE269" s="367">
        <f>BZ269</f>
        <v>123</v>
      </c>
      <c r="CF269" s="368"/>
      <c r="CG269" s="366"/>
      <c r="CH269" s="366"/>
      <c r="CI269" s="366"/>
      <c r="CJ269" s="367">
        <f>CE269</f>
        <v>123</v>
      </c>
      <c r="CK269" s="132"/>
      <c r="CL269" s="240"/>
      <c r="CM269" s="661"/>
      <c r="CN269" s="661"/>
      <c r="CO269" s="661"/>
      <c r="CP269" s="1345" t="s">
        <v>421</v>
      </c>
      <c r="CQ269" s="1346">
        <f>-BU183</f>
        <v>162</v>
      </c>
      <c r="CR269" s="1346">
        <f>-BZ183</f>
        <v>216</v>
      </c>
      <c r="CS269" s="1346">
        <f>-CE183</f>
        <v>216</v>
      </c>
      <c r="CT269" s="1346">
        <f>-CJ183</f>
        <v>216</v>
      </c>
      <c r="CU269" s="661"/>
      <c r="CV269" s="570"/>
      <c r="CW269" s="230"/>
      <c r="CX269" s="133"/>
      <c r="CY269" s="133"/>
      <c r="CZ269"/>
      <c r="DA269"/>
      <c r="DB269"/>
      <c r="DC269"/>
      <c r="DD269"/>
    </row>
    <row r="270" spans="1:108" s="135" customFormat="1">
      <c r="A270" s="346" t="s">
        <v>59</v>
      </c>
      <c r="B270" s="190">
        <v>114</v>
      </c>
      <c r="C270" s="190">
        <v>177</v>
      </c>
      <c r="D270" s="190">
        <v>137</v>
      </c>
      <c r="E270" s="190">
        <v>279</v>
      </c>
      <c r="F270" s="190">
        <v>141</v>
      </c>
      <c r="G270" s="190">
        <v>45</v>
      </c>
      <c r="H270" s="191">
        <v>24</v>
      </c>
      <c r="I270" s="184">
        <f>53-H270</f>
        <v>29</v>
      </c>
      <c r="J270" s="191">
        <f>50-SUM(H270:I270)</f>
        <v>-3</v>
      </c>
      <c r="K270" s="178">
        <f>L270-SUM(H270:J270)</f>
        <v>72</v>
      </c>
      <c r="L270" s="315">
        <v>122</v>
      </c>
      <c r="M270" s="186">
        <v>-1</v>
      </c>
      <c r="N270" s="184">
        <f>26-M270</f>
        <v>27</v>
      </c>
      <c r="O270" s="191">
        <f>83-SUM(M270:N270)</f>
        <v>57</v>
      </c>
      <c r="P270" s="178">
        <f>Q270-SUM(M270:O270)</f>
        <v>113</v>
      </c>
      <c r="Q270" s="314">
        <v>196</v>
      </c>
      <c r="R270" s="186">
        <v>40</v>
      </c>
      <c r="S270" s="184">
        <f>86-R270</f>
        <v>46</v>
      </c>
      <c r="T270" s="186">
        <f>189-SUM(R270:S270)</f>
        <v>103</v>
      </c>
      <c r="U270" s="179">
        <f>V270-SUM(R270:T270)</f>
        <v>38</v>
      </c>
      <c r="V270" s="180">
        <v>227</v>
      </c>
      <c r="W270" s="186">
        <v>10</v>
      </c>
      <c r="X270" s="184">
        <f>30-W270</f>
        <v>20</v>
      </c>
      <c r="Y270" s="186">
        <f>65-SUM(W270:X270)</f>
        <v>35</v>
      </c>
      <c r="Z270" s="179">
        <f>AA270-SUM(W270:Y270)</f>
        <v>-9</v>
      </c>
      <c r="AA270" s="180">
        <v>56</v>
      </c>
      <c r="AB270" s="186">
        <v>19</v>
      </c>
      <c r="AC270" s="184">
        <f>34-AB270</f>
        <v>15</v>
      </c>
      <c r="AD270" s="186">
        <f>63-AC270-AB270</f>
        <v>29</v>
      </c>
      <c r="AE270" s="183">
        <f>14-AD270-AC270-AB270</f>
        <v>-49</v>
      </c>
      <c r="AF270" s="180">
        <f>SUM(AB270:AE270)</f>
        <v>14</v>
      </c>
      <c r="AG270" s="191">
        <v>3</v>
      </c>
      <c r="AH270" s="184">
        <f>3-AG270</f>
        <v>0</v>
      </c>
      <c r="AI270" s="186">
        <f>53-AH270-AG270</f>
        <v>50</v>
      </c>
      <c r="AJ270" s="179">
        <f>-148-AG270-AH270-AI270</f>
        <v>-201</v>
      </c>
      <c r="AK270" s="180">
        <f>SUM(AG270:AJ270)</f>
        <v>-148</v>
      </c>
      <c r="AL270" s="186">
        <v>11</v>
      </c>
      <c r="AM270" s="186">
        <f>42-AL270</f>
        <v>31</v>
      </c>
      <c r="AN270" s="186">
        <f>47-SUM(AL270:AM270)</f>
        <v>5</v>
      </c>
      <c r="AO270" s="179">
        <f>104-SUM(AL270:AN270)</f>
        <v>57</v>
      </c>
      <c r="AP270" s="180">
        <f>+SUM(AL270:AO270)</f>
        <v>104</v>
      </c>
      <c r="AQ270" s="183">
        <v>42</v>
      </c>
      <c r="AR270" s="729">
        <f>64-AQ270</f>
        <v>22</v>
      </c>
      <c r="AS270" s="729">
        <f>94-SUM(AQ270:AR270)</f>
        <v>30</v>
      </c>
      <c r="AT270" s="729">
        <v>42</v>
      </c>
      <c r="AU270" s="180">
        <f>SUM(AQ270:AT270)</f>
        <v>136</v>
      </c>
      <c r="AV270" s="737">
        <v>-8</v>
      </c>
      <c r="AW270" s="729">
        <f>21-AV270</f>
        <v>29</v>
      </c>
      <c r="AX270" s="729">
        <f>88-SUM(AV270:AW270)</f>
        <v>67</v>
      </c>
      <c r="AY270" s="641">
        <f t="shared" si="701"/>
        <v>79</v>
      </c>
      <c r="AZ270" s="180">
        <v>167</v>
      </c>
      <c r="BA270" s="180">
        <v>167</v>
      </c>
      <c r="BB270" s="737">
        <v>20</v>
      </c>
      <c r="BC270" s="729">
        <f>62-BB270</f>
        <v>42</v>
      </c>
      <c r="BD270" s="729">
        <f>218-SUM(BB270:BC270)</f>
        <v>156</v>
      </c>
      <c r="BE270" s="641">
        <f t="shared" si="702"/>
        <v>158</v>
      </c>
      <c r="BF270" s="790">
        <v>376</v>
      </c>
      <c r="BG270" s="737">
        <v>-18</v>
      </c>
      <c r="BH270" s="729">
        <f>10-BG270</f>
        <v>28</v>
      </c>
      <c r="BI270" s="729"/>
      <c r="BJ270" s="641"/>
      <c r="BK270" s="180">
        <v>167</v>
      </c>
      <c r="BL270" s="935">
        <v>45</v>
      </c>
      <c r="BM270" s="729">
        <f>93-BL270</f>
        <v>48</v>
      </c>
      <c r="BN270" s="729">
        <f>155-BM270-BL270</f>
        <v>62</v>
      </c>
      <c r="BO270" s="641">
        <f>401-BN270-BM270-BL270</f>
        <v>246</v>
      </c>
      <c r="BP270" s="1074">
        <f>+SUM(BL270:BO270)</f>
        <v>401</v>
      </c>
      <c r="BQ270" s="368">
        <v>0</v>
      </c>
      <c r="BR270" s="366">
        <v>0</v>
      </c>
      <c r="BS270" s="366">
        <v>0</v>
      </c>
      <c r="BT270" s="1151">
        <v>0</v>
      </c>
      <c r="BU270" s="1074">
        <f>+SUM(BQ270:BT270)</f>
        <v>0</v>
      </c>
      <c r="BV270" s="368"/>
      <c r="BW270" s="366"/>
      <c r="BX270" s="366"/>
      <c r="BY270" s="366"/>
      <c r="BZ270" s="367">
        <v>0</v>
      </c>
      <c r="CA270" s="368"/>
      <c r="CB270" s="366"/>
      <c r="CC270" s="366"/>
      <c r="CD270" s="366"/>
      <c r="CE270" s="367">
        <v>0</v>
      </c>
      <c r="CF270" s="368"/>
      <c r="CG270" s="366"/>
      <c r="CH270" s="366"/>
      <c r="CI270" s="366"/>
      <c r="CJ270" s="367">
        <v>0</v>
      </c>
      <c r="CK270" s="132"/>
      <c r="CL270" s="240"/>
      <c r="CM270" s="1269"/>
      <c r="CN270" s="622"/>
      <c r="CO270" s="622"/>
      <c r="CP270" s="1343" t="s">
        <v>6</v>
      </c>
      <c r="CQ270" s="1344">
        <f>SUM(CQ267:CQ269)</f>
        <v>718.48</v>
      </c>
      <c r="CR270" s="1344">
        <f t="shared" ref="CR270:CT270" si="704">SUM(CR267:CR269)</f>
        <v>857.13920000000007</v>
      </c>
      <c r="CS270" s="1344">
        <f t="shared" si="704"/>
        <v>882.7847680000001</v>
      </c>
      <c r="CT270" s="1344">
        <f t="shared" si="704"/>
        <v>909.45615872000008</v>
      </c>
      <c r="CU270" s="661"/>
      <c r="CV270" s="570"/>
      <c r="CW270" s="230"/>
      <c r="CX270" s="133"/>
      <c r="CY270" s="133"/>
      <c r="CZ270"/>
      <c r="DA270"/>
      <c r="DB270"/>
      <c r="DC270"/>
      <c r="DD270"/>
    </row>
    <row r="271" spans="1:108" s="222" customFormat="1">
      <c r="A271" s="311" t="s">
        <v>144</v>
      </c>
      <c r="B271" s="190">
        <f t="shared" ref="B271:K271" si="705">-SUM(B244:B245)</f>
        <v>0</v>
      </c>
      <c r="C271" s="190">
        <f t="shared" si="705"/>
        <v>123</v>
      </c>
      <c r="D271" s="190">
        <f t="shared" si="705"/>
        <v>-22</v>
      </c>
      <c r="E271" s="190">
        <f t="shared" si="705"/>
        <v>-33</v>
      </c>
      <c r="F271" s="190">
        <f t="shared" si="705"/>
        <v>-13</v>
      </c>
      <c r="G271" s="190">
        <f t="shared" si="705"/>
        <v>-146</v>
      </c>
      <c r="H271" s="183">
        <f t="shared" si="705"/>
        <v>6</v>
      </c>
      <c r="I271" s="178">
        <f t="shared" si="705"/>
        <v>5</v>
      </c>
      <c r="J271" s="183">
        <f t="shared" si="705"/>
        <v>-2</v>
      </c>
      <c r="K271" s="178">
        <f t="shared" si="705"/>
        <v>-1</v>
      </c>
      <c r="L271" s="315">
        <f>SUM(H271:K271)</f>
        <v>8</v>
      </c>
      <c r="M271" s="179">
        <f>-SUM(M244:M245)</f>
        <v>1</v>
      </c>
      <c r="N271" s="178">
        <f>-SUM(N244:N245)</f>
        <v>0</v>
      </c>
      <c r="O271" s="183">
        <f>-SUM(O244:O245)</f>
        <v>0</v>
      </c>
      <c r="P271" s="178">
        <f>-SUM(P244:P245)</f>
        <v>18</v>
      </c>
      <c r="Q271" s="315">
        <f>SUM(M271:P271)</f>
        <v>19</v>
      </c>
      <c r="R271" s="179">
        <f>-SUM(R244:R245)</f>
        <v>3</v>
      </c>
      <c r="S271" s="178">
        <f>-SUM(S244:S245)</f>
        <v>3</v>
      </c>
      <c r="T271" s="179">
        <f>-SUM(T244:T245)</f>
        <v>3</v>
      </c>
      <c r="U271" s="179">
        <f>-SUM(U244:U245)</f>
        <v>4</v>
      </c>
      <c r="V271" s="315">
        <f>SUM(R271:U271)</f>
        <v>13</v>
      </c>
      <c r="W271" s="179">
        <f>-SUM(W244:W245)</f>
        <v>2</v>
      </c>
      <c r="X271" s="178">
        <f>-SUM(X244:X245)</f>
        <v>3</v>
      </c>
      <c r="Y271" s="179">
        <f>-SUM(Y244:Y245)</f>
        <v>-1</v>
      </c>
      <c r="Z271" s="179">
        <f>-SUM(Z244:Z245)</f>
        <v>0</v>
      </c>
      <c r="AA271" s="315">
        <f>SUM(W271:Z271)</f>
        <v>4</v>
      </c>
      <c r="AB271" s="179">
        <f>-SUM(AB244:AB245)</f>
        <v>0</v>
      </c>
      <c r="AC271" s="178">
        <f>-SUM(AC244:AC245)</f>
        <v>13</v>
      </c>
      <c r="AD271" s="179">
        <f>-SUM(AD244:AD245)</f>
        <v>13</v>
      </c>
      <c r="AE271" s="183">
        <f>-SUM(AE244:AE245)</f>
        <v>0</v>
      </c>
      <c r="AF271" s="315">
        <f>SUM(AB271:AE271)</f>
        <v>26</v>
      </c>
      <c r="AG271" s="179">
        <f>-SUM(AG244:AG245)</f>
        <v>0</v>
      </c>
      <c r="AH271" s="179">
        <f>-SUM(AH244:AH245)</f>
        <v>0</v>
      </c>
      <c r="AI271" s="179">
        <f>-SUM(AI244:AI245)</f>
        <v>0</v>
      </c>
      <c r="AJ271" s="179">
        <f>-SUM(AJ244:AJ245)</f>
        <v>2621</v>
      </c>
      <c r="AK271" s="315">
        <f>SUM(AG271:AJ271)</f>
        <v>2621</v>
      </c>
      <c r="AL271" s="179">
        <f>-SUM(AL244:AL245)</f>
        <v>0</v>
      </c>
      <c r="AM271" s="179">
        <f>-SUM(AM244:AM245)</f>
        <v>0</v>
      </c>
      <c r="AN271" s="179">
        <f>-SUM(AN244:AN245)</f>
        <v>0</v>
      </c>
      <c r="AO271" s="179">
        <f>-SUM(AO244:AO245)</f>
        <v>129</v>
      </c>
      <c r="AP271" s="315">
        <f>SUM(AL271:AO271)</f>
        <v>129</v>
      </c>
      <c r="AQ271" s="183">
        <v>0</v>
      </c>
      <c r="AR271" s="729">
        <f>106-AQ271</f>
        <v>106</v>
      </c>
      <c r="AS271" s="729">
        <f>104-SUM(AQ271:AR271)</f>
        <v>-2</v>
      </c>
      <c r="AT271" s="729">
        <f>-AT245</f>
        <v>34</v>
      </c>
      <c r="AU271" s="180">
        <f>SUM(AQ271:AT271)</f>
        <v>138</v>
      </c>
      <c r="AV271" s="737">
        <v>0</v>
      </c>
      <c r="AW271" s="729">
        <v>0</v>
      </c>
      <c r="AX271" s="729">
        <v>0</v>
      </c>
      <c r="AY271" s="641">
        <f t="shared" si="701"/>
        <v>0</v>
      </c>
      <c r="AZ271" s="180">
        <v>0</v>
      </c>
      <c r="BA271" s="180">
        <v>0</v>
      </c>
      <c r="BB271" s="737">
        <v>0</v>
      </c>
      <c r="BC271" s="729">
        <v>0</v>
      </c>
      <c r="BD271" s="729">
        <v>0</v>
      </c>
      <c r="BE271" s="641">
        <f t="shared" si="702"/>
        <v>107</v>
      </c>
      <c r="BF271" s="791">
        <f>-BF245</f>
        <v>107</v>
      </c>
      <c r="BG271" s="737">
        <v>0</v>
      </c>
      <c r="BH271" s="729">
        <v>0</v>
      </c>
      <c r="BI271" s="729"/>
      <c r="BJ271" s="641"/>
      <c r="BK271" s="180">
        <v>0</v>
      </c>
      <c r="BL271" s="935">
        <v>0</v>
      </c>
      <c r="BM271" s="729">
        <v>0</v>
      </c>
      <c r="BN271" s="729">
        <v>0</v>
      </c>
      <c r="BO271" s="641">
        <v>0</v>
      </c>
      <c r="BP271" s="1074">
        <f>+SUM(BL271:BO271)</f>
        <v>0</v>
      </c>
      <c r="BQ271" s="368">
        <v>0</v>
      </c>
      <c r="BR271" s="366">
        <v>0</v>
      </c>
      <c r="BS271" s="366">
        <v>0</v>
      </c>
      <c r="BT271" s="1151">
        <v>0</v>
      </c>
      <c r="BU271" s="1074">
        <f>+SUM(BQ271:BT271)</f>
        <v>0</v>
      </c>
      <c r="BV271" s="368"/>
      <c r="BW271" s="366"/>
      <c r="BX271" s="366"/>
      <c r="BY271" s="366"/>
      <c r="BZ271" s="575">
        <f>-BZ245</f>
        <v>0</v>
      </c>
      <c r="CA271" s="368"/>
      <c r="CB271" s="366"/>
      <c r="CC271" s="366"/>
      <c r="CD271" s="366"/>
      <c r="CE271" s="575">
        <f>-CE245</f>
        <v>0</v>
      </c>
      <c r="CF271" s="368"/>
      <c r="CG271" s="366"/>
      <c r="CH271" s="366"/>
      <c r="CI271" s="366"/>
      <c r="CJ271" s="575">
        <f>-CJ245</f>
        <v>0</v>
      </c>
      <c r="CK271" s="221"/>
      <c r="CL271" s="242"/>
      <c r="CM271" s="943"/>
      <c r="CN271" s="703"/>
      <c r="CO271" s="703"/>
      <c r="CP271" s="622"/>
      <c r="CQ271" s="703"/>
      <c r="CR271" s="572"/>
      <c r="CS271" s="572"/>
      <c r="CT271" s="1268"/>
      <c r="CU271" s="661"/>
      <c r="CV271" s="572"/>
      <c r="CW271" s="233"/>
      <c r="CX271" s="134"/>
      <c r="CY271" s="134"/>
      <c r="CZ271"/>
      <c r="DA271"/>
      <c r="DB271"/>
      <c r="DC271"/>
      <c r="DD271"/>
    </row>
    <row r="272" spans="1:108" s="222" customFormat="1">
      <c r="A272" s="311" t="s">
        <v>202</v>
      </c>
      <c r="B272" s="190">
        <f t="shared" ref="B272:AL272" si="706">B273-B267-B268-B269-B270-B271</f>
        <v>-220</v>
      </c>
      <c r="C272" s="190">
        <f t="shared" si="706"/>
        <v>-303</v>
      </c>
      <c r="D272" s="190">
        <f t="shared" si="706"/>
        <v>332</v>
      </c>
      <c r="E272" s="190">
        <f t="shared" si="706"/>
        <v>-27</v>
      </c>
      <c r="F272" s="190">
        <f t="shared" si="706"/>
        <v>101</v>
      </c>
      <c r="G272" s="190">
        <f t="shared" si="706"/>
        <v>-72</v>
      </c>
      <c r="H272" s="183">
        <f t="shared" si="706"/>
        <v>-71</v>
      </c>
      <c r="I272" s="178">
        <f t="shared" si="706"/>
        <v>-269</v>
      </c>
      <c r="J272" s="183">
        <f t="shared" si="706"/>
        <v>270</v>
      </c>
      <c r="K272" s="178">
        <f t="shared" si="706"/>
        <v>284</v>
      </c>
      <c r="L272" s="315">
        <f t="shared" si="706"/>
        <v>214</v>
      </c>
      <c r="M272" s="179">
        <f t="shared" si="706"/>
        <v>-267</v>
      </c>
      <c r="N272" s="178">
        <f t="shared" si="706"/>
        <v>215</v>
      </c>
      <c r="O272" s="183">
        <f t="shared" si="706"/>
        <v>31</v>
      </c>
      <c r="P272" s="178">
        <f t="shared" si="706"/>
        <v>-81</v>
      </c>
      <c r="Q272" s="314">
        <f t="shared" si="706"/>
        <v>-102</v>
      </c>
      <c r="R272" s="179">
        <f t="shared" si="706"/>
        <v>-646.49</v>
      </c>
      <c r="S272" s="178">
        <f t="shared" si="706"/>
        <v>-228.49</v>
      </c>
      <c r="T272" s="179">
        <f t="shared" si="706"/>
        <v>-252</v>
      </c>
      <c r="U272" s="179">
        <f t="shared" si="706"/>
        <v>668</v>
      </c>
      <c r="V272" s="180">
        <f t="shared" si="706"/>
        <v>-457.51000000000022</v>
      </c>
      <c r="W272" s="179">
        <f t="shared" si="706"/>
        <v>-571</v>
      </c>
      <c r="X272" s="178">
        <f t="shared" si="706"/>
        <v>-363</v>
      </c>
      <c r="Y272" s="179">
        <f t="shared" si="706"/>
        <v>25</v>
      </c>
      <c r="Z272" s="179">
        <f t="shared" si="706"/>
        <v>524</v>
      </c>
      <c r="AA272" s="180">
        <f t="shared" si="706"/>
        <v>-385</v>
      </c>
      <c r="AB272" s="179">
        <f t="shared" si="706"/>
        <v>-484</v>
      </c>
      <c r="AC272" s="178">
        <f t="shared" si="706"/>
        <v>-107</v>
      </c>
      <c r="AD272" s="179">
        <f t="shared" si="706"/>
        <v>-736</v>
      </c>
      <c r="AE272" s="183">
        <f t="shared" si="706"/>
        <v>1168</v>
      </c>
      <c r="AF272" s="180">
        <f t="shared" si="706"/>
        <v>-159</v>
      </c>
      <c r="AG272" s="179">
        <f t="shared" si="706"/>
        <v>-342</v>
      </c>
      <c r="AH272" s="179">
        <f t="shared" si="706"/>
        <v>-29</v>
      </c>
      <c r="AI272" s="179">
        <f>AI273-AI267-AI268-AI269-AI270-AI271</f>
        <v>-135</v>
      </c>
      <c r="AJ272" s="179">
        <f t="shared" si="706"/>
        <v>318</v>
      </c>
      <c r="AK272" s="180">
        <f t="shared" si="706"/>
        <v>-187.51000000000022</v>
      </c>
      <c r="AL272" s="179">
        <f t="shared" si="706"/>
        <v>-251</v>
      </c>
      <c r="AM272" s="179">
        <f>AM273-AM267-AM268-AM269-AM270-AM271</f>
        <v>-260</v>
      </c>
      <c r="AN272" s="179">
        <f>AN273-AN267-AN268-AN269-AN270-AN271</f>
        <v>-353</v>
      </c>
      <c r="AO272" s="179">
        <f>AO273-AO267-AO268-AO269-AO270-AO271</f>
        <v>704</v>
      </c>
      <c r="AP272" s="741">
        <f>SUM(AL272:AO272)</f>
        <v>-160</v>
      </c>
      <c r="AQ272" s="739">
        <f>AQ273-AQ267-AQ268-AQ269-AQ270-AQ271</f>
        <v>-368</v>
      </c>
      <c r="AR272" s="739">
        <f>AR273-AR267-AR268-AR269-AR270-AR271</f>
        <v>40</v>
      </c>
      <c r="AS272" s="739">
        <f>AS273-AS267-AS268-AS269-AS270-AS271</f>
        <v>1627</v>
      </c>
      <c r="AT272" s="740">
        <f>AT273-AT267-AT268-AT269-AT270-AT271</f>
        <v>-899</v>
      </c>
      <c r="AU272" s="173">
        <f>SUM(AQ272:AT272)</f>
        <v>400</v>
      </c>
      <c r="AV272" s="782">
        <f>AV273-AV267-AV268-AV269-AV270-AV271</f>
        <v>-127</v>
      </c>
      <c r="AW272" s="782">
        <f>AW273-AW267-AW268-AW269-AW270-AW271</f>
        <v>-243</v>
      </c>
      <c r="AX272" s="782">
        <f>AX273-AX267-AX268-AX269-AX270-AX271</f>
        <v>-93</v>
      </c>
      <c r="AY272" s="641">
        <f t="shared" si="701"/>
        <v>-654</v>
      </c>
      <c r="AZ272" s="173">
        <f>AZ273-AZ267-AZ268-AZ269-AZ270-AZ271</f>
        <v>-1117</v>
      </c>
      <c r="BA272" s="173">
        <f>BA273-BA267-BA268-BA269-BA270-BA271</f>
        <v>-1234</v>
      </c>
      <c r="BB272" s="927">
        <f>BB273-BB267-BB268-BB269-BB270-BB271</f>
        <v>-442</v>
      </c>
      <c r="BC272" s="927">
        <f>BC273-BC267-BC268-BC269-BC270-BC271</f>
        <v>-505</v>
      </c>
      <c r="BD272" s="927">
        <f>BD273-BD267-BD268-BD269-BD270-BD271</f>
        <v>-475</v>
      </c>
      <c r="BE272" s="928">
        <f t="shared" si="702"/>
        <v>-372</v>
      </c>
      <c r="BF272" s="931">
        <f>BF273-BF267-BF268-BF269-BF270-BF271</f>
        <v>-1794</v>
      </c>
      <c r="BG272" s="927">
        <f>BG273-BG267-BG268-BG269-BG270-BG271</f>
        <v>-286</v>
      </c>
      <c r="BH272" s="927">
        <f>BH273-BH267-BH268-BH269-BH270-BH271</f>
        <v>-488</v>
      </c>
      <c r="BI272" s="927"/>
      <c r="BJ272" s="928"/>
      <c r="BK272" s="173">
        <f>BK273-BK267-BK268-BK269-BK270-BK271</f>
        <v>-700</v>
      </c>
      <c r="BL272" s="927">
        <f>BL273-BL267-BL268-BL269-BL270-BL271</f>
        <v>-408</v>
      </c>
      <c r="BM272" s="927">
        <f>BM273-BM267-BM268-BM269-BM270-BM271</f>
        <v>-456</v>
      </c>
      <c r="BN272" s="927">
        <f>BN273-BN267-BN268-BN269-BN270-BN271</f>
        <v>-87</v>
      </c>
      <c r="BO272" s="928">
        <f>BO273-BO267-BO268-BO269-BO270-BO271</f>
        <v>1032</v>
      </c>
      <c r="BP272" s="1057">
        <f>+SUM(BL272:BO272)</f>
        <v>81</v>
      </c>
      <c r="BQ272" s="182">
        <v>317.84997238628461</v>
      </c>
      <c r="BR272" s="183">
        <v>-1003.2116480843601</v>
      </c>
      <c r="BS272" s="183">
        <v>-396.87690936257508</v>
      </c>
      <c r="BT272" s="668">
        <v>984.7726136497912</v>
      </c>
      <c r="BU272" s="1057">
        <f>+SUM(BQ272:BT272)</f>
        <v>-97.465971410859424</v>
      </c>
      <c r="BV272" s="182"/>
      <c r="BW272" s="183"/>
      <c r="BX272" s="183"/>
      <c r="BY272" s="183"/>
      <c r="BZ272" s="180">
        <v>-79.795639342023946</v>
      </c>
      <c r="CA272" s="182"/>
      <c r="CB272" s="183"/>
      <c r="CC272" s="183"/>
      <c r="CD272" s="183"/>
      <c r="CE272" s="180">
        <v>-54.963238009496308</v>
      </c>
      <c r="CF272" s="182"/>
      <c r="CG272" s="183"/>
      <c r="CH272" s="183"/>
      <c r="CI272" s="183"/>
      <c r="CJ272" s="180">
        <v>-56.901704415220479</v>
      </c>
      <c r="CK272" s="221"/>
      <c r="CL272" s="242"/>
      <c r="CM272" s="943"/>
      <c r="CN272" s="703"/>
      <c r="CO272" s="703"/>
      <c r="CP272" s="622"/>
      <c r="CQ272" s="703"/>
      <c r="CR272" s="572"/>
      <c r="CS272" s="572"/>
      <c r="CT272" s="1268"/>
      <c r="CU272" s="572"/>
      <c r="CV272" s="572"/>
      <c r="CW272" s="233"/>
      <c r="CX272" s="134"/>
      <c r="CY272" s="134"/>
      <c r="CZ272"/>
      <c r="DA272"/>
      <c r="DB272"/>
      <c r="DC272"/>
      <c r="DD272"/>
    </row>
    <row r="273" spans="1:108" s="222" customFormat="1">
      <c r="A273" s="309" t="s">
        <v>69</v>
      </c>
      <c r="B273" s="310">
        <v>1101</v>
      </c>
      <c r="C273" s="310">
        <v>1122</v>
      </c>
      <c r="D273" s="310">
        <v>1721</v>
      </c>
      <c r="E273" s="310">
        <v>1803</v>
      </c>
      <c r="F273" s="310">
        <v>2056</v>
      </c>
      <c r="G273" s="310">
        <v>2128</v>
      </c>
      <c r="H273" s="309">
        <v>513</v>
      </c>
      <c r="I273" s="309">
        <v>406</v>
      </c>
      <c r="J273" s="309">
        <v>939</v>
      </c>
      <c r="K273" s="309">
        <v>1067</v>
      </c>
      <c r="L273" s="310">
        <v>2925</v>
      </c>
      <c r="M273" s="309">
        <v>430</v>
      </c>
      <c r="N273" s="309">
        <v>1021</v>
      </c>
      <c r="O273" s="309">
        <v>863</v>
      </c>
      <c r="P273" s="309">
        <v>810</v>
      </c>
      <c r="Q273" s="310">
        <v>3124</v>
      </c>
      <c r="R273" s="309">
        <v>154</v>
      </c>
      <c r="S273" s="309">
        <v>609</v>
      </c>
      <c r="T273" s="309">
        <v>594</v>
      </c>
      <c r="U273" s="309">
        <v>1498</v>
      </c>
      <c r="V273" s="310">
        <v>2855</v>
      </c>
      <c r="W273" s="309">
        <v>210</v>
      </c>
      <c r="X273" s="309">
        <v>477</v>
      </c>
      <c r="Y273" s="309">
        <v>880</v>
      </c>
      <c r="Z273" s="309">
        <v>1419</v>
      </c>
      <c r="AA273" s="310">
        <v>2986</v>
      </c>
      <c r="AB273" s="309">
        <v>328</v>
      </c>
      <c r="AC273" s="309">
        <v>751</v>
      </c>
      <c r="AD273" s="309">
        <v>137</v>
      </c>
      <c r="AE273" s="309">
        <v>2022</v>
      </c>
      <c r="AF273" s="310">
        <v>3238</v>
      </c>
      <c r="AG273" s="309">
        <v>414</v>
      </c>
      <c r="AH273" s="309">
        <v>789</v>
      </c>
      <c r="AI273" s="309">
        <v>704</v>
      </c>
      <c r="AJ273" s="309">
        <v>780</v>
      </c>
      <c r="AK273" s="310">
        <v>2687</v>
      </c>
      <c r="AL273" s="309">
        <v>504</v>
      </c>
      <c r="AM273" s="309">
        <v>579</v>
      </c>
      <c r="AN273" s="309">
        <f>1550-AL273-AM273</f>
        <v>467</v>
      </c>
      <c r="AO273" s="309">
        <f>AP273-SUM(AL273:AN273)</f>
        <v>1556</v>
      </c>
      <c r="AP273" s="310">
        <v>3106</v>
      </c>
      <c r="AQ273" s="576">
        <v>428</v>
      </c>
      <c r="AR273" s="607">
        <f>1294-AQ273</f>
        <v>866</v>
      </c>
      <c r="AS273" s="607">
        <f>3798-SUM(AQ273:AR273)</f>
        <v>2504</v>
      </c>
      <c r="AT273" s="309">
        <f>AU273-SUM(AQ273:AS273)</f>
        <v>30</v>
      </c>
      <c r="AU273" s="310">
        <v>3828</v>
      </c>
      <c r="AV273" s="783">
        <v>745</v>
      </c>
      <c r="AW273" s="309">
        <f>1433-AV273</f>
        <v>688</v>
      </c>
      <c r="AX273" s="309">
        <f>2270-SUM(AV273:AW273)</f>
        <v>837</v>
      </c>
      <c r="AY273" s="799">
        <f t="shared" si="701"/>
        <v>337</v>
      </c>
      <c r="AZ273" s="310">
        <v>2607</v>
      </c>
      <c r="BA273" s="310">
        <v>2607</v>
      </c>
      <c r="BB273" s="27">
        <v>439</v>
      </c>
      <c r="BC273" s="799">
        <f>873-BB273</f>
        <v>434</v>
      </c>
      <c r="BD273" s="799">
        <f>1372-SUM(BB273:BC273)</f>
        <v>499</v>
      </c>
      <c r="BE273" s="799">
        <f t="shared" si="702"/>
        <v>826</v>
      </c>
      <c r="BF273" s="310">
        <v>2198</v>
      </c>
      <c r="BG273" s="27">
        <v>480</v>
      </c>
      <c r="BH273" s="799">
        <f>873-BG273</f>
        <v>393</v>
      </c>
      <c r="BI273" s="799"/>
      <c r="BJ273" s="799"/>
      <c r="BK273" s="310">
        <v>2499</v>
      </c>
      <c r="BL273" s="27">
        <v>533</v>
      </c>
      <c r="BM273" s="799">
        <f>1010-BL273</f>
        <v>477</v>
      </c>
      <c r="BN273" s="799">
        <f>1881-BM273-BL273</f>
        <v>871</v>
      </c>
      <c r="BO273" s="799">
        <f>3879-BN273-BM273-BL273</f>
        <v>1998</v>
      </c>
      <c r="BP273" s="27">
        <f>SUM(BP267:BP272)</f>
        <v>3879</v>
      </c>
      <c r="BQ273" s="27">
        <f t="shared" ref="BQ273:BU273" si="707">SUM(BQ267:BQ272)</f>
        <v>1206.8732257809347</v>
      </c>
      <c r="BR273" s="309">
        <f t="shared" si="707"/>
        <v>77.938381908439624</v>
      </c>
      <c r="BS273" s="309">
        <f t="shared" si="707"/>
        <v>702.81107994952481</v>
      </c>
      <c r="BT273" s="1152">
        <f t="shared" si="707"/>
        <v>2175.1034775239914</v>
      </c>
      <c r="BU273" s="310">
        <f t="shared" si="707"/>
        <v>4162.7261651628914</v>
      </c>
      <c r="BV273" s="27"/>
      <c r="BW273" s="309"/>
      <c r="BX273" s="309"/>
      <c r="BY273" s="309"/>
      <c r="BZ273" s="310">
        <f>SUM(BZ267:BZ272)</f>
        <v>4653.2169535283265</v>
      </c>
      <c r="CA273" s="27"/>
      <c r="CB273" s="309"/>
      <c r="CC273" s="309"/>
      <c r="CD273" s="309"/>
      <c r="CE273" s="310">
        <f>SUM(CE267:CE272)</f>
        <v>5004.0180771131209</v>
      </c>
      <c r="CF273" s="27"/>
      <c r="CG273" s="309"/>
      <c r="CH273" s="309"/>
      <c r="CI273" s="309"/>
      <c r="CJ273" s="310">
        <f>SUM(CJ267:CJ272)</f>
        <v>5321.757604284363</v>
      </c>
      <c r="CK273" s="221"/>
      <c r="CL273" s="242"/>
      <c r="CM273" s="661" t="s">
        <v>418</v>
      </c>
      <c r="CN273" s="703"/>
      <c r="CO273" s="703"/>
      <c r="CP273" s="622"/>
      <c r="CQ273" s="703"/>
      <c r="CR273" s="622"/>
      <c r="CS273" s="441"/>
      <c r="CT273" s="441"/>
      <c r="CU273" s="441"/>
      <c r="CV273" s="441"/>
      <c r="CW273" s="233"/>
      <c r="CX273" s="134"/>
      <c r="CY273" s="134"/>
      <c r="CZ273"/>
      <c r="DA273"/>
      <c r="DB273"/>
      <c r="DC273"/>
      <c r="DD273"/>
    </row>
    <row r="274" spans="1:108" s="222" customFormat="1">
      <c r="A274" s="311" t="s">
        <v>263</v>
      </c>
      <c r="B274" s="185">
        <v>-356</v>
      </c>
      <c r="C274" s="185">
        <v>-262</v>
      </c>
      <c r="D274" s="185">
        <v>-220</v>
      </c>
      <c r="E274" s="185">
        <v>-253</v>
      </c>
      <c r="F274" s="185">
        <v>-262</v>
      </c>
      <c r="G274" s="185">
        <v>-334</v>
      </c>
      <c r="H274" s="175">
        <v>-53</v>
      </c>
      <c r="I274" s="175">
        <f>-166-H274</f>
        <v>-113</v>
      </c>
      <c r="J274" s="175">
        <f>-294-SUM(H274:I274)</f>
        <v>-128</v>
      </c>
      <c r="K274" s="175">
        <f>L274-SUM(H274:J274)</f>
        <v>-180</v>
      </c>
      <c r="L274" s="185">
        <v>-474</v>
      </c>
      <c r="M274" s="175">
        <v>-85</v>
      </c>
      <c r="N274" s="175">
        <f>-200-M274</f>
        <v>-115</v>
      </c>
      <c r="O274" s="175">
        <f>-314-SUM(M274:N274)</f>
        <v>-114</v>
      </c>
      <c r="P274" s="175">
        <f>Q274-SUM(M274:O274)</f>
        <v>-176</v>
      </c>
      <c r="Q274" s="185">
        <v>-490</v>
      </c>
      <c r="R274" s="175">
        <v>-81</v>
      </c>
      <c r="S274" s="175">
        <f>-170-R274</f>
        <v>-89</v>
      </c>
      <c r="T274" s="175">
        <f>-251-SUM(R274:S274)</f>
        <v>-81</v>
      </c>
      <c r="U274" s="175">
        <f>V274-SUM(R274:T274)</f>
        <v>-134</v>
      </c>
      <c r="V274" s="173">
        <v>-385</v>
      </c>
      <c r="W274" s="175">
        <v>-60</v>
      </c>
      <c r="X274" s="175">
        <f>-123-W274</f>
        <v>-63</v>
      </c>
      <c r="Y274" s="175">
        <f>-219-SUM(W274:X274)</f>
        <v>-96</v>
      </c>
      <c r="Z274" s="175">
        <f>AA274-SUM(W274:Y274)</f>
        <v>-151</v>
      </c>
      <c r="AA274" s="185">
        <v>-370</v>
      </c>
      <c r="AB274" s="175">
        <v>-61</v>
      </c>
      <c r="AC274" s="175">
        <f>-152-AB274</f>
        <v>-91</v>
      </c>
      <c r="AD274" s="175">
        <f>-273-AC274-AB274</f>
        <v>-121</v>
      </c>
      <c r="AE274" s="176">
        <f>-458-AD274-AC274-AB274</f>
        <v>-185</v>
      </c>
      <c r="AF274" s="185">
        <f>SUM(AB274:AE274)</f>
        <v>-458</v>
      </c>
      <c r="AG274" s="176">
        <v>-90</v>
      </c>
      <c r="AH274" s="175">
        <f>-176-AG274</f>
        <v>-86</v>
      </c>
      <c r="AI274" s="175">
        <f>-286-AH274-AG274</f>
        <v>-110</v>
      </c>
      <c r="AJ274" s="175">
        <f>-450-AG274-AH274-AI274</f>
        <v>-164</v>
      </c>
      <c r="AK274" s="185">
        <f>SUM(AG274:AJ274)</f>
        <v>-450</v>
      </c>
      <c r="AL274" s="175">
        <v>-75</v>
      </c>
      <c r="AM274" s="175">
        <f>-168-AL274</f>
        <v>-93</v>
      </c>
      <c r="AN274" s="175">
        <f>-271-SUM(AL274:AM274)</f>
        <v>-103</v>
      </c>
      <c r="AO274" s="175">
        <f>-440-SUM(AL274:AN274)</f>
        <v>-169</v>
      </c>
      <c r="AP274" s="185">
        <f>+SUM(AL274:AO274)</f>
        <v>-440</v>
      </c>
      <c r="AQ274" s="187">
        <v>-87</v>
      </c>
      <c r="AR274" s="459">
        <f>-162-AQ274</f>
        <v>-75</v>
      </c>
      <c r="AS274" s="459">
        <f>-337-SUM(AQ274:AR274)</f>
        <v>-175</v>
      </c>
      <c r="AT274" s="459">
        <f>-521-SUM(AQ274:AS274)</f>
        <v>-184</v>
      </c>
      <c r="AU274" s="458">
        <f>SUM(AQ274:AT274)</f>
        <v>-521</v>
      </c>
      <c r="AV274" s="784">
        <v>-98</v>
      </c>
      <c r="AW274" s="459">
        <f>-190-AV274</f>
        <v>-92</v>
      </c>
      <c r="AX274" s="459">
        <f>-360-SUM(AV274:AW274)</f>
        <v>-170</v>
      </c>
      <c r="AY274" s="641">
        <f t="shared" si="701"/>
        <v>-209</v>
      </c>
      <c r="AZ274" s="458">
        <v>-569</v>
      </c>
      <c r="BA274" s="458">
        <v>-569</v>
      </c>
      <c r="BB274" s="784">
        <v>-65</v>
      </c>
      <c r="BC274" s="459">
        <f>-134-BB274</f>
        <v>-69</v>
      </c>
      <c r="BD274" s="459">
        <f>-244-SUM(BB274:BC274)</f>
        <v>-110</v>
      </c>
      <c r="BE274" s="641">
        <f t="shared" si="702"/>
        <v>-148</v>
      </c>
      <c r="BF274" s="458">
        <v>-392</v>
      </c>
      <c r="BG274" s="784">
        <v>-65</v>
      </c>
      <c r="BH274" s="459">
        <f>-134-BG274</f>
        <v>-69</v>
      </c>
      <c r="BI274" s="459"/>
      <c r="BJ274" s="641"/>
      <c r="BK274" s="458">
        <v>-569</v>
      </c>
      <c r="BL274" s="784">
        <v>-62</v>
      </c>
      <c r="BM274" s="459">
        <f>-153-BL274</f>
        <v>-91</v>
      </c>
      <c r="BN274" s="459">
        <f>-273-BM274-BL274</f>
        <v>-120</v>
      </c>
      <c r="BO274" s="459">
        <f>-428-BN274-BM274-BL274</f>
        <v>-155</v>
      </c>
      <c r="BP274" s="1254">
        <f>+SUM(BL274:BO274)</f>
        <v>-428</v>
      </c>
      <c r="BQ274" s="1278">
        <f>BQ275*BQ128</f>
        <v>-161.4641</v>
      </c>
      <c r="BR274" s="1279">
        <f t="shared" ref="BR274:BT274" si="708">BR275*BR128</f>
        <v>-193.48070000000001</v>
      </c>
      <c r="BS274" s="1279">
        <f t="shared" si="708"/>
        <v>-192.21503000000004</v>
      </c>
      <c r="BT274" s="1280">
        <f t="shared" si="708"/>
        <v>-210.46956000000003</v>
      </c>
      <c r="BU274" s="1074">
        <f>+SUM(BQ274:BT274)</f>
        <v>-757.62939000000006</v>
      </c>
      <c r="BV274" s="364"/>
      <c r="BW274" s="365"/>
      <c r="BX274" s="365"/>
      <c r="BY274" s="365"/>
      <c r="BZ274" s="1281">
        <f>BZ275*BZ128</f>
        <v>-828.97737300000006</v>
      </c>
      <c r="CA274" s="364"/>
      <c r="CB274" s="365"/>
      <c r="CC274" s="365"/>
      <c r="CD274" s="365"/>
      <c r="CE274" s="1281">
        <f>CE275*CE128</f>
        <v>-837.59670064000011</v>
      </c>
      <c r="CF274" s="364"/>
      <c r="CG274" s="365"/>
      <c r="CH274" s="365"/>
      <c r="CI274" s="365"/>
      <c r="CJ274" s="1281">
        <f>CJ275*CJ128</f>
        <v>-888.67559557320033</v>
      </c>
      <c r="CK274" s="221"/>
      <c r="CL274" s="242"/>
      <c r="CM274" s="1253"/>
      <c r="CN274" s="703"/>
      <c r="CO274" s="703"/>
      <c r="CP274" s="622"/>
      <c r="CQ274" s="703"/>
      <c r="CR274" s="1003"/>
      <c r="CS274" s="1307"/>
      <c r="CT274" s="1307"/>
      <c r="CU274" s="1307"/>
      <c r="CV274" s="1307"/>
      <c r="CW274" s="233"/>
      <c r="CX274" s="134"/>
      <c r="CY274" s="134"/>
      <c r="CZ274"/>
      <c r="DA274"/>
      <c r="DB274"/>
      <c r="DC274"/>
      <c r="DD274"/>
    </row>
    <row r="275" spans="1:108" s="363" customFormat="1">
      <c r="A275" s="136" t="s">
        <v>94</v>
      </c>
      <c r="B275" s="354">
        <f t="shared" ref="B275:AG275" si="709">-B274/B215</f>
        <v>3.0225844795381221E-2</v>
      </c>
      <c r="C275" s="354">
        <f t="shared" si="709"/>
        <v>1.9560997461549948E-2</v>
      </c>
      <c r="D275" s="354">
        <f t="shared" si="709"/>
        <v>1.3653571650220318E-2</v>
      </c>
      <c r="E275" s="354">
        <f t="shared" si="709"/>
        <v>1.3409657073196586E-2</v>
      </c>
      <c r="F275" s="354">
        <f t="shared" si="709"/>
        <v>1.2491060786650774E-2</v>
      </c>
      <c r="G275" s="354">
        <f t="shared" si="709"/>
        <v>1.3880231060133816E-2</v>
      </c>
      <c r="H275" s="355">
        <f t="shared" si="709"/>
        <v>8.4126984126984133E-3</v>
      </c>
      <c r="I275" s="355">
        <f t="shared" si="709"/>
        <v>1.7144591109088149E-2</v>
      </c>
      <c r="J275" s="355">
        <f t="shared" si="709"/>
        <v>1.8729880011706175E-2</v>
      </c>
      <c r="K275" s="355">
        <f t="shared" si="709"/>
        <v>2.3952095808383235E-2</v>
      </c>
      <c r="L275" s="354">
        <f t="shared" si="709"/>
        <v>1.7400881057268721E-2</v>
      </c>
      <c r="M275" s="355">
        <f t="shared" si="709"/>
        <v>1.2134189864382585E-2</v>
      </c>
      <c r="N275" s="355">
        <f t="shared" si="709"/>
        <v>1.5746953306860195E-2</v>
      </c>
      <c r="O275" s="355">
        <f t="shared" si="709"/>
        <v>1.5966386554621848E-2</v>
      </c>
      <c r="P275" s="355">
        <f t="shared" si="709"/>
        <v>2.2414671421293938E-2</v>
      </c>
      <c r="Q275" s="354">
        <f t="shared" si="709"/>
        <v>1.6723549488054608E-2</v>
      </c>
      <c r="R275" s="355">
        <f t="shared" si="709"/>
        <v>9.8015488867376575E-3</v>
      </c>
      <c r="S275" s="355">
        <f t="shared" si="709"/>
        <v>1.0987654320987654E-2</v>
      </c>
      <c r="T275" s="355">
        <f t="shared" si="709"/>
        <v>1.0493587252234746E-2</v>
      </c>
      <c r="U275" s="355">
        <f t="shared" si="709"/>
        <v>1.6966320587490504E-2</v>
      </c>
      <c r="V275" s="356">
        <f t="shared" si="709"/>
        <v>1.2038397798692974E-2</v>
      </c>
      <c r="W275" s="355">
        <f t="shared" si="709"/>
        <v>7.7419354838709677E-3</v>
      </c>
      <c r="X275" s="355">
        <f t="shared" si="709"/>
        <v>7.7739387956564663E-3</v>
      </c>
      <c r="Y275" s="355">
        <f t="shared" si="709"/>
        <v>1.1983522656347521E-2</v>
      </c>
      <c r="Z275" s="355">
        <f t="shared" si="709"/>
        <v>1.7556098128124635E-2</v>
      </c>
      <c r="AA275" s="354">
        <f t="shared" si="709"/>
        <v>1.1396537916589664E-2</v>
      </c>
      <c r="AB275" s="355">
        <f t="shared" si="709"/>
        <v>7.8225185945114128E-3</v>
      </c>
      <c r="AC275" s="355">
        <f t="shared" si="709"/>
        <v>1.1549689046833355E-2</v>
      </c>
      <c r="AD275" s="355">
        <f t="shared" si="709"/>
        <v>1.540812428371323E-2</v>
      </c>
      <c r="AE275" s="357">
        <f t="shared" si="709"/>
        <v>2.0225210451514156E-2</v>
      </c>
      <c r="AF275" s="354">
        <f t="shared" si="709"/>
        <v>1.4015974538666339E-2</v>
      </c>
      <c r="AG275" s="357">
        <f t="shared" si="709"/>
        <v>1.1874917535294894E-2</v>
      </c>
      <c r="AH275" s="355">
        <f t="shared" ref="AH275:BK275" si="710">-AH274/AH215</f>
        <v>1.0855844483716234E-2</v>
      </c>
      <c r="AI275" s="355">
        <f t="shared" si="710"/>
        <v>1.3864381144441643E-2</v>
      </c>
      <c r="AJ275" s="355">
        <f t="shared" si="710"/>
        <v>2.0302054964100025E-2</v>
      </c>
      <c r="AK275" s="354">
        <f t="shared" si="710"/>
        <v>1.4279821026243138E-2</v>
      </c>
      <c r="AL275" s="355">
        <f t="shared" si="710"/>
        <v>1.0129659643435981E-2</v>
      </c>
      <c r="AM275" s="355">
        <f t="shared" si="710"/>
        <v>1.1755783086841108E-2</v>
      </c>
      <c r="AN275" s="355">
        <f t="shared" si="710"/>
        <v>1.3211903540277065E-2</v>
      </c>
      <c r="AO275" s="355">
        <f t="shared" si="710"/>
        <v>2.1614017137741401E-2</v>
      </c>
      <c r="AP275" s="354">
        <f t="shared" si="710"/>
        <v>1.4225670869705788E-2</v>
      </c>
      <c r="AQ275" s="355">
        <f t="shared" si="710"/>
        <v>1.1878754778809394E-2</v>
      </c>
      <c r="AR275" s="355">
        <f t="shared" si="710"/>
        <v>1.0034787262510034E-2</v>
      </c>
      <c r="AS275" s="355">
        <f t="shared" si="710"/>
        <v>2.2577731905560571E-2</v>
      </c>
      <c r="AT275" s="355">
        <f t="shared" si="710"/>
        <v>2.2160664819944598E-2</v>
      </c>
      <c r="AU275" s="354">
        <f t="shared" si="710"/>
        <v>1.6887073771554517E-2</v>
      </c>
      <c r="AV275" s="462">
        <f t="shared" si="710"/>
        <v>1.2589928057553957E-2</v>
      </c>
      <c r="AW275" s="355">
        <f t="shared" si="710"/>
        <v>1.1672164425272774E-2</v>
      </c>
      <c r="AX275" s="355">
        <f t="shared" si="710"/>
        <v>2.1265949462096572E-2</v>
      </c>
      <c r="AY275" s="462">
        <f t="shared" si="710"/>
        <v>2.6763990267639901E-2</v>
      </c>
      <c r="AZ275" s="354">
        <f t="shared" si="710"/>
        <v>1.8081286345292193E-2</v>
      </c>
      <c r="BA275" s="354">
        <f t="shared" si="710"/>
        <v>1.7903778987445329E-2</v>
      </c>
      <c r="BB275" s="462">
        <f t="shared" si="710"/>
        <v>8.4153288451579485E-3</v>
      </c>
      <c r="BC275" s="462">
        <f t="shared" si="710"/>
        <v>9.0019569471624268E-3</v>
      </c>
      <c r="BD275" s="462">
        <f t="shared" si="710"/>
        <v>1.4228430992109688E-2</v>
      </c>
      <c r="BE275" s="462">
        <f t="shared" si="710"/>
        <v>1.7976436292967326E-2</v>
      </c>
      <c r="BF275" s="354">
        <f t="shared" si="710"/>
        <v>1.2502790801518195E-2</v>
      </c>
      <c r="BG275" s="462">
        <f t="shared" ref="BG275" si="711">-BG274/BG215</f>
        <v>8.6944890315676839E-3</v>
      </c>
      <c r="BH275" s="462">
        <f t="shared" ref="BH275" si="712">-BH274/BH215</f>
        <v>8.8757396449704144E-3</v>
      </c>
      <c r="BI275" s="462"/>
      <c r="BJ275" s="462"/>
      <c r="BK275" s="354">
        <f t="shared" si="710"/>
        <v>1.8618500703511009E-2</v>
      </c>
      <c r="BL275" s="462">
        <f t="shared" ref="BL275" si="713">-BL274/BL215</f>
        <v>8.3322134121757829E-3</v>
      </c>
      <c r="BM275" s="462">
        <f t="shared" ref="BM275" si="714">-BM274/BM215</f>
        <v>1.1856677524429968E-2</v>
      </c>
      <c r="BN275" s="462">
        <f t="shared" ref="BN275" si="715">-BN274/BN215</f>
        <v>1.5831134564643801E-2</v>
      </c>
      <c r="BO275" s="462">
        <f t="shared" ref="BO275" si="716">-BO274/BO215</f>
        <v>1.8726591760299626E-2</v>
      </c>
      <c r="BP275" s="1075">
        <f>-BP274/BP215</f>
        <v>1.3818487069383011E-2</v>
      </c>
      <c r="BQ275" s="1275">
        <v>-2.1000000000000001E-2</v>
      </c>
      <c r="BR275" s="1276">
        <v>-2.1000000000000001E-2</v>
      </c>
      <c r="BS275" s="1276">
        <v>-2.1000000000000001E-2</v>
      </c>
      <c r="BT275" s="1277">
        <v>-2.1000000000000001E-2</v>
      </c>
      <c r="BU275" s="1191">
        <f>BU274/BU215</f>
        <v>-2.1000000000000005E-2</v>
      </c>
      <c r="BV275" s="1192"/>
      <c r="BW275" s="1193"/>
      <c r="BX275" s="1193"/>
      <c r="BY275" s="1193"/>
      <c r="BZ275" s="1282">
        <v>-2.1000000000000001E-2</v>
      </c>
      <c r="CA275" s="1192"/>
      <c r="CB275" s="1193"/>
      <c r="CC275" s="1193"/>
      <c r="CD275" s="1193"/>
      <c r="CE275" s="1282">
        <v>-0.02</v>
      </c>
      <c r="CF275" s="1192"/>
      <c r="CG275" s="1193"/>
      <c r="CH275" s="1193"/>
      <c r="CI275" s="1193"/>
      <c r="CJ275" s="1282">
        <v>-0.02</v>
      </c>
      <c r="CK275" s="359"/>
      <c r="CL275" s="360"/>
      <c r="CM275" s="1253"/>
      <c r="CN275" s="1253"/>
      <c r="CO275" s="1268"/>
      <c r="CP275" s="622"/>
      <c r="CQ275" s="441" t="s">
        <v>408</v>
      </c>
      <c r="CR275" s="441" t="s">
        <v>408</v>
      </c>
      <c r="CS275" s="441" t="s">
        <v>408</v>
      </c>
      <c r="CT275" s="441" t="s">
        <v>408</v>
      </c>
      <c r="CU275" s="1308"/>
      <c r="CV275" s="1308"/>
      <c r="CW275" s="361"/>
      <c r="CX275" s="362"/>
      <c r="CY275" s="362"/>
      <c r="CZ275"/>
      <c r="DA275"/>
      <c r="DB275"/>
      <c r="DC275"/>
      <c r="DD275"/>
    </row>
    <row r="276" spans="1:108" s="363" customFormat="1">
      <c r="A276" s="136" t="s">
        <v>95</v>
      </c>
      <c r="B276" s="354"/>
      <c r="C276" s="354">
        <f>-C274/B309</f>
        <v>0.15250291036088476</v>
      </c>
      <c r="D276" s="354">
        <f>-D274/C309</f>
        <v>0.11853448275862069</v>
      </c>
      <c r="E276" s="354">
        <f>-E274/D309</f>
        <v>0.12281553398058252</v>
      </c>
      <c r="F276" s="354">
        <f>-F274/E309</f>
        <v>0.12079299216228677</v>
      </c>
      <c r="G276" s="354">
        <f>-G274/F309</f>
        <v>0.16469428007889547</v>
      </c>
      <c r="H276" s="355"/>
      <c r="I276" s="355">
        <f>-I274/H309*4</f>
        <v>0.20332883490778228</v>
      </c>
      <c r="J276" s="355">
        <f>-J274/I309*4</f>
        <v>0.22928795342588446</v>
      </c>
      <c r="K276" s="355">
        <f>-K274/J309*4</f>
        <v>0.30456852791878175</v>
      </c>
      <c r="L276" s="354">
        <f>-L274/G309</f>
        <v>0.21863468634686348</v>
      </c>
      <c r="M276" s="355">
        <f>-M274/L309*4</f>
        <v>0.13754045307443366</v>
      </c>
      <c r="N276" s="355">
        <f>-N274/M309*4</f>
        <v>0.18496180136710896</v>
      </c>
      <c r="O276" s="355">
        <f>-O274/N309*4</f>
        <v>0.17910447761194029</v>
      </c>
      <c r="P276" s="355">
        <f>-P274/O309*4</f>
        <v>0.27435697583787999</v>
      </c>
      <c r="Q276" s="354">
        <f>-Q274/L309</f>
        <v>0.1982200647249191</v>
      </c>
      <c r="R276" s="355">
        <f>-R274/Q309*4</f>
        <v>0.11281337047353761</v>
      </c>
      <c r="S276" s="355">
        <f>-S274/R309*4</f>
        <v>0.12535211267605634</v>
      </c>
      <c r="T276" s="355">
        <f>-T274/S309*4</f>
        <v>0.11340567028351417</v>
      </c>
      <c r="U276" s="355">
        <f>-U274/T309*4</f>
        <v>0.18649965205288796</v>
      </c>
      <c r="V276" s="354">
        <f>-V274/Q309</f>
        <v>0.13405292479108635</v>
      </c>
      <c r="W276" s="355">
        <f>-W274/V309*4</f>
        <v>8.2417582417582416E-2</v>
      </c>
      <c r="X276" s="355">
        <f>-X274/W309*4</f>
        <v>8.8421052631578942E-2</v>
      </c>
      <c r="Y276" s="355">
        <f>-Y274/X309*4</f>
        <v>0.13473684210526315</v>
      </c>
      <c r="Z276" s="355">
        <f>-Z274/Y309*4</f>
        <v>0.2069910897875257</v>
      </c>
      <c r="AA276" s="354">
        <f>-AA274/V309</f>
        <v>0.12706043956043955</v>
      </c>
      <c r="AB276" s="355">
        <f>-AB274/AA309*4</f>
        <v>8.212722988892629E-2</v>
      </c>
      <c r="AC276" s="355">
        <f>-AC274/AB309*4</f>
        <v>0.12161710658202472</v>
      </c>
      <c r="AD276" s="355">
        <f>-AD274/AC309*4</f>
        <v>0.15879265091863518</v>
      </c>
      <c r="AE276" s="355">
        <f>-AE274/AD309*4</f>
        <v>0.2415932092719556</v>
      </c>
      <c r="AF276" s="354">
        <f>-AF274/AA309</f>
        <v>0.15415684954560754</v>
      </c>
      <c r="AG276" s="355">
        <f>-AG274/AF309*4</f>
        <v>0.10962241169305725</v>
      </c>
      <c r="AH276" s="355">
        <f>-AH274/AG309*4</f>
        <v>0.10455927051671733</v>
      </c>
      <c r="AI276" s="355">
        <f>-AI274/AH309*4</f>
        <v>0.1354679802955665</v>
      </c>
      <c r="AJ276" s="355">
        <f>-AJ274/AI309*4</f>
        <v>0.19611360239162931</v>
      </c>
      <c r="AK276" s="354">
        <f>-AK274/AF309</f>
        <v>0.13702801461632155</v>
      </c>
      <c r="AL276" s="355">
        <f>-AL274/AK309*4</f>
        <v>8.815750808110491E-2</v>
      </c>
      <c r="AM276" s="355">
        <f>-AM274/AL309*4</f>
        <v>0.11025489033787789</v>
      </c>
      <c r="AN276" s="355">
        <f>-AN274/AM309*4</f>
        <v>0.12294837361981498</v>
      </c>
      <c r="AO276" s="355">
        <f>-AO274/AN309*4</f>
        <v>0.20089153046062408</v>
      </c>
      <c r="AP276" s="354">
        <f>-AP274/AK309</f>
        <v>0.12929767851895385</v>
      </c>
      <c r="AQ276" s="355">
        <f>-AQ274/AP309*4</f>
        <v>0.10190336749633967</v>
      </c>
      <c r="AR276" s="355">
        <f>-AR274/AQ309*4</f>
        <v>8.8028169014084501E-2</v>
      </c>
      <c r="AS276" s="355">
        <f>-AS274/AR309*4</f>
        <v>0.21039975954313195</v>
      </c>
      <c r="AT276" s="355">
        <f>-AT274/AS309*4</f>
        <v>0.22155328115593018</v>
      </c>
      <c r="AU276" s="354">
        <f>-AU274/AP309</f>
        <v>0.15256222547584186</v>
      </c>
      <c r="AV276" s="462">
        <f>-AV274/AU309*4</f>
        <v>0.11775307900270351</v>
      </c>
      <c r="AW276" s="355">
        <f>-AW274/AV309*4</f>
        <v>0.11074330424315378</v>
      </c>
      <c r="AX276" s="355">
        <f>-AX274/AW309*4</f>
        <v>0.20426554520877141</v>
      </c>
      <c r="AY276" s="462">
        <f>-AY274/AX309*4</f>
        <v>0.24807121661721068</v>
      </c>
      <c r="AZ276" s="354">
        <f>-AZ274/AU309</f>
        <v>0.17092219885851606</v>
      </c>
      <c r="BA276" s="354">
        <f>-BA274/AV309</f>
        <v>0.17123081552813724</v>
      </c>
      <c r="BB276" s="462">
        <f>-BB274/AZ309*4</f>
        <v>7.5014425851125222E-2</v>
      </c>
      <c r="BC276" s="462">
        <f>-BC274/BB309*4</f>
        <v>7.9378774805867122E-2</v>
      </c>
      <c r="BD276" s="462">
        <f>-BD274/BC309*4</f>
        <v>0.12790697674418605</v>
      </c>
      <c r="BE276" s="462">
        <f>-BE274/BD309*4</f>
        <v>0.1718432510885341</v>
      </c>
      <c r="BF276" s="354">
        <f>-BF274/AZ309</f>
        <v>0.11309867282169649</v>
      </c>
      <c r="BG276" s="462">
        <f>-BG274/BE309*4</f>
        <v>7.4992789154888953E-2</v>
      </c>
      <c r="BH276" s="462">
        <f>-BH274/BF309*4</f>
        <v>7.9607730025959042E-2</v>
      </c>
      <c r="BI276" s="462"/>
      <c r="BJ276" s="462"/>
      <c r="BK276" s="354">
        <f>-BK274/BB309</f>
        <v>0.16364682197296521</v>
      </c>
      <c r="BL276" s="462">
        <f>-BL274/BK309*4</f>
        <v>7.132585562266322E-2</v>
      </c>
      <c r="BM276" s="462">
        <f>-BM274/BL309*4</f>
        <v>0.10668229777256741</v>
      </c>
      <c r="BN276" s="462">
        <f>-BN274/BM309*4</f>
        <v>0.14018691588785046</v>
      </c>
      <c r="BO276" s="462">
        <f>-BO274/BN309*4</f>
        <v>0.17913897717422711</v>
      </c>
      <c r="BP276" s="1075">
        <f>-BP274/BK309</f>
        <v>0.12309462180040265</v>
      </c>
      <c r="BQ276" s="358">
        <f>-BQ274/BO309*4</f>
        <v>0.18363844185385272</v>
      </c>
      <c r="BR276" s="355">
        <f t="shared" ref="BR276:BT276" si="717">-BR274/BQ309*4</f>
        <v>0.21591755099628968</v>
      </c>
      <c r="BS276" s="355">
        <f t="shared" si="717"/>
        <v>0.21538479036137667</v>
      </c>
      <c r="BT276" s="1153">
        <f t="shared" si="717"/>
        <v>0.23689523334801893</v>
      </c>
      <c r="BU276" s="354">
        <f>-BU274/BP309</f>
        <v>0.21541921808359399</v>
      </c>
      <c r="BV276" s="358"/>
      <c r="BW276" s="355"/>
      <c r="BX276" s="355"/>
      <c r="BY276" s="355"/>
      <c r="BZ276" s="354">
        <f>-BZ274/BU309</f>
        <v>0.23311095291190789</v>
      </c>
      <c r="CA276" s="358"/>
      <c r="CB276" s="355"/>
      <c r="CC276" s="355"/>
      <c r="CD276" s="355"/>
      <c r="CE276" s="354">
        <f>-CE274/BZ309</f>
        <v>0.23741486773489515</v>
      </c>
      <c r="CF276" s="358"/>
      <c r="CG276" s="355"/>
      <c r="CH276" s="355"/>
      <c r="CI276" s="355"/>
      <c r="CJ276" s="354">
        <f>-CJ274/CE309</f>
        <v>0.25516128524932413</v>
      </c>
      <c r="CK276" s="359"/>
      <c r="CL276" s="360"/>
      <c r="CM276" s="1253"/>
      <c r="CN276" s="1268"/>
      <c r="CO276" s="1268"/>
      <c r="CP276" s="1003"/>
      <c r="CQ276" s="1307" t="s">
        <v>410</v>
      </c>
      <c r="CR276" s="1307">
        <v>42887</v>
      </c>
      <c r="CS276" s="1307">
        <v>42979</v>
      </c>
      <c r="CT276" s="1307">
        <v>43073</v>
      </c>
      <c r="CU276" s="441"/>
      <c r="CV276" s="1311"/>
      <c r="CW276" s="361"/>
      <c r="CX276" s="362"/>
      <c r="CY276" s="362"/>
      <c r="CZ276"/>
      <c r="DA276"/>
      <c r="DB276"/>
      <c r="DC276"/>
      <c r="DD276"/>
    </row>
    <row r="277" spans="1:108" s="222" customFormat="1">
      <c r="A277" s="349" t="s">
        <v>92</v>
      </c>
      <c r="B277" s="350">
        <f>B273+B274</f>
        <v>745</v>
      </c>
      <c r="C277" s="350">
        <f t="shared" ref="C277:AM277" si="718">C273+C274</f>
        <v>860</v>
      </c>
      <c r="D277" s="350">
        <f t="shared" si="718"/>
        <v>1501</v>
      </c>
      <c r="E277" s="350">
        <f t="shared" si="718"/>
        <v>1550</v>
      </c>
      <c r="F277" s="350">
        <f t="shared" si="718"/>
        <v>1794</v>
      </c>
      <c r="G277" s="350">
        <f t="shared" si="718"/>
        <v>1794</v>
      </c>
      <c r="H277" s="349">
        <f t="shared" si="718"/>
        <v>460</v>
      </c>
      <c r="I277" s="349">
        <f t="shared" si="718"/>
        <v>293</v>
      </c>
      <c r="J277" s="349">
        <f t="shared" si="718"/>
        <v>811</v>
      </c>
      <c r="K277" s="349">
        <f t="shared" si="718"/>
        <v>887</v>
      </c>
      <c r="L277" s="350">
        <f t="shared" si="718"/>
        <v>2451</v>
      </c>
      <c r="M277" s="349">
        <f t="shared" si="718"/>
        <v>345</v>
      </c>
      <c r="N277" s="349">
        <f t="shared" si="718"/>
        <v>906</v>
      </c>
      <c r="O277" s="349">
        <f t="shared" si="718"/>
        <v>749</v>
      </c>
      <c r="P277" s="349">
        <f t="shared" si="718"/>
        <v>634</v>
      </c>
      <c r="Q277" s="350">
        <f t="shared" si="718"/>
        <v>2634</v>
      </c>
      <c r="R277" s="349">
        <f t="shared" si="718"/>
        <v>73</v>
      </c>
      <c r="S277" s="349">
        <f t="shared" si="718"/>
        <v>520</v>
      </c>
      <c r="T277" s="349">
        <f t="shared" si="718"/>
        <v>513</v>
      </c>
      <c r="U277" s="349">
        <f t="shared" si="718"/>
        <v>1364</v>
      </c>
      <c r="V277" s="351">
        <f t="shared" si="718"/>
        <v>2470</v>
      </c>
      <c r="W277" s="349">
        <f t="shared" si="718"/>
        <v>150</v>
      </c>
      <c r="X277" s="349">
        <f t="shared" si="718"/>
        <v>414</v>
      </c>
      <c r="Y277" s="349">
        <f t="shared" si="718"/>
        <v>784</v>
      </c>
      <c r="Z277" s="349">
        <f t="shared" si="718"/>
        <v>1268</v>
      </c>
      <c r="AA277" s="350">
        <f t="shared" si="718"/>
        <v>2616</v>
      </c>
      <c r="AB277" s="349">
        <f t="shared" si="718"/>
        <v>267</v>
      </c>
      <c r="AC277" s="349">
        <f t="shared" si="718"/>
        <v>660</v>
      </c>
      <c r="AD277" s="349">
        <f t="shared" si="718"/>
        <v>16</v>
      </c>
      <c r="AE277" s="352">
        <f t="shared" si="718"/>
        <v>1837</v>
      </c>
      <c r="AF277" s="350">
        <f t="shared" si="718"/>
        <v>2780</v>
      </c>
      <c r="AG277" s="352">
        <f t="shared" si="718"/>
        <v>324</v>
      </c>
      <c r="AH277" s="349">
        <f t="shared" si="718"/>
        <v>703</v>
      </c>
      <c r="AI277" s="349">
        <f t="shared" si="718"/>
        <v>594</v>
      </c>
      <c r="AJ277" s="349">
        <f t="shared" si="718"/>
        <v>616</v>
      </c>
      <c r="AK277" s="350">
        <f>AK273+AK274</f>
        <v>2237</v>
      </c>
      <c r="AL277" s="349">
        <f t="shared" si="718"/>
        <v>429</v>
      </c>
      <c r="AM277" s="349">
        <f t="shared" si="718"/>
        <v>486</v>
      </c>
      <c r="AN277" s="349">
        <f t="shared" ref="AN277:AU277" si="719">AN273+AN274</f>
        <v>364</v>
      </c>
      <c r="AO277" s="349">
        <f t="shared" si="719"/>
        <v>1387</v>
      </c>
      <c r="AP277" s="350">
        <f t="shared" si="719"/>
        <v>2666</v>
      </c>
      <c r="AQ277" s="349">
        <f t="shared" si="719"/>
        <v>341</v>
      </c>
      <c r="AR277" s="349">
        <f>AR273+AR274</f>
        <v>791</v>
      </c>
      <c r="AS277" s="349">
        <f t="shared" si="719"/>
        <v>2329</v>
      </c>
      <c r="AT277" s="349">
        <f>AT273+AT274</f>
        <v>-154</v>
      </c>
      <c r="AU277" s="350">
        <f t="shared" si="719"/>
        <v>3307</v>
      </c>
      <c r="AV277" s="349">
        <f t="shared" ref="AV277:BK277" si="720">AV273+AV274</f>
        <v>647</v>
      </c>
      <c r="AW277" s="349">
        <f t="shared" si="720"/>
        <v>596</v>
      </c>
      <c r="AX277" s="349">
        <f t="shared" si="720"/>
        <v>667</v>
      </c>
      <c r="AY277" s="349">
        <f t="shared" si="720"/>
        <v>128</v>
      </c>
      <c r="AZ277" s="350">
        <f t="shared" si="720"/>
        <v>2038</v>
      </c>
      <c r="BA277" s="350">
        <f t="shared" ref="BA277" si="721">BA273+BA274</f>
        <v>2038</v>
      </c>
      <c r="BB277" s="349">
        <f t="shared" si="720"/>
        <v>374</v>
      </c>
      <c r="BC277" s="349">
        <f t="shared" si="720"/>
        <v>365</v>
      </c>
      <c r="BD277" s="349">
        <f t="shared" si="720"/>
        <v>389</v>
      </c>
      <c r="BE277" s="349">
        <f t="shared" si="720"/>
        <v>678</v>
      </c>
      <c r="BF277" s="350">
        <f t="shared" si="720"/>
        <v>1806</v>
      </c>
      <c r="BG277" s="349">
        <f t="shared" ref="BG277" si="722">BG273+BG274</f>
        <v>415</v>
      </c>
      <c r="BH277" s="349">
        <f t="shared" ref="BH277" si="723">BH273+BH274</f>
        <v>324</v>
      </c>
      <c r="BI277" s="349"/>
      <c r="BJ277" s="349"/>
      <c r="BK277" s="350">
        <f t="shared" si="720"/>
        <v>1930</v>
      </c>
      <c r="BL277" s="349">
        <f t="shared" ref="BL277:BU277" si="724">BL273+BL274</f>
        <v>471</v>
      </c>
      <c r="BM277" s="349">
        <f t="shared" si="724"/>
        <v>386</v>
      </c>
      <c r="BN277" s="349">
        <f t="shared" si="724"/>
        <v>751</v>
      </c>
      <c r="BO277" s="349">
        <f t="shared" si="724"/>
        <v>1843</v>
      </c>
      <c r="BP277" s="353">
        <f>BP273+BP274</f>
        <v>3451</v>
      </c>
      <c r="BQ277" s="353">
        <f t="shared" si="724"/>
        <v>1045.4091257809348</v>
      </c>
      <c r="BR277" s="349">
        <f t="shared" si="724"/>
        <v>-115.54231809156039</v>
      </c>
      <c r="BS277" s="349">
        <f t="shared" si="724"/>
        <v>510.59604994952474</v>
      </c>
      <c r="BT277" s="1154">
        <f t="shared" si="724"/>
        <v>1964.6339175239914</v>
      </c>
      <c r="BU277" s="350">
        <f t="shared" si="724"/>
        <v>3405.0967751628914</v>
      </c>
      <c r="BV277" s="353"/>
      <c r="BW277" s="349"/>
      <c r="BX277" s="349"/>
      <c r="BY277" s="349"/>
      <c r="BZ277" s="350">
        <f>BZ273+BZ274</f>
        <v>3824.2395805283263</v>
      </c>
      <c r="CA277" s="353"/>
      <c r="CB277" s="349"/>
      <c r="CC277" s="349"/>
      <c r="CD277" s="349"/>
      <c r="CE277" s="350">
        <f>CE273+CE274</f>
        <v>4166.4213764731212</v>
      </c>
      <c r="CF277" s="353"/>
      <c r="CG277" s="349"/>
      <c r="CH277" s="349"/>
      <c r="CI277" s="349"/>
      <c r="CJ277" s="350">
        <f>CJ273+CJ274</f>
        <v>4433.0820087111624</v>
      </c>
      <c r="CK277" s="221"/>
      <c r="CL277" s="242"/>
      <c r="CM277" s="943"/>
      <c r="CN277" s="703"/>
      <c r="CO277" s="703"/>
      <c r="CP277" s="571" t="s">
        <v>409</v>
      </c>
      <c r="CQ277" s="1308">
        <v>129</v>
      </c>
      <c r="CR277" s="1308">
        <v>29</v>
      </c>
      <c r="CS277" s="1308">
        <f>49-CR277</f>
        <v>20</v>
      </c>
      <c r="CT277" s="1308">
        <f>94-CS277-CR277</f>
        <v>45</v>
      </c>
      <c r="CU277" s="1307"/>
      <c r="CV277" s="1312"/>
      <c r="CW277" s="233"/>
      <c r="CX277" s="134"/>
      <c r="CY277" s="134"/>
      <c r="CZ277"/>
      <c r="DA277"/>
      <c r="DB277"/>
      <c r="DC277"/>
      <c r="DD277"/>
    </row>
    <row r="278" spans="1:108" s="418" customFormat="1">
      <c r="A278" s="409" t="s">
        <v>93</v>
      </c>
      <c r="B278" s="410">
        <f t="shared" ref="B278:AP278" si="725">B277/B267</f>
        <v>0.79003181336161188</v>
      </c>
      <c r="C278" s="410">
        <f t="shared" si="725"/>
        <v>0.93784078516902947</v>
      </c>
      <c r="D278" s="410">
        <f t="shared" si="725"/>
        <v>1.4950199203187251</v>
      </c>
      <c r="E278" s="410">
        <f t="shared" si="725"/>
        <v>1.263243683781581</v>
      </c>
      <c r="F278" s="410">
        <f t="shared" si="725"/>
        <v>1.2279260780287475</v>
      </c>
      <c r="G278" s="410">
        <f t="shared" si="725"/>
        <v>0.96659482758620685</v>
      </c>
      <c r="H278" s="411">
        <f t="shared" si="725"/>
        <v>1.0599078341013826</v>
      </c>
      <c r="I278" s="411">
        <f t="shared" si="725"/>
        <v>0.57115009746588696</v>
      </c>
      <c r="J278" s="411">
        <f t="shared" si="725"/>
        <v>1.4853479853479854</v>
      </c>
      <c r="K278" s="411">
        <f t="shared" si="725"/>
        <v>1.531951640759931</v>
      </c>
      <c r="L278" s="410">
        <f t="shared" si="725"/>
        <v>1.182915057915058</v>
      </c>
      <c r="M278" s="411">
        <f t="shared" si="725"/>
        <v>0.60314685314685312</v>
      </c>
      <c r="N278" s="411">
        <f t="shared" si="725"/>
        <v>1.4134165366614664</v>
      </c>
      <c r="O278" s="411">
        <f t="shared" si="725"/>
        <v>1.1813880126182965</v>
      </c>
      <c r="P278" s="411">
        <f t="shared" si="725"/>
        <v>1.0359477124183007</v>
      </c>
      <c r="Q278" s="410">
        <f t="shared" si="725"/>
        <v>1.071167141114274</v>
      </c>
      <c r="R278" s="411">
        <f t="shared" si="725"/>
        <v>0.1236261410015411</v>
      </c>
      <c r="S278" s="411">
        <f t="shared" si="725"/>
        <v>0.84075732833190508</v>
      </c>
      <c r="T278" s="411">
        <f t="shared" si="725"/>
        <v>0.89685314685314688</v>
      </c>
      <c r="U278" s="411">
        <f t="shared" si="725"/>
        <v>2.221498371335505</v>
      </c>
      <c r="V278" s="412">
        <f t="shared" si="725"/>
        <v>1.0319572510664254</v>
      </c>
      <c r="W278" s="411">
        <f t="shared" si="725"/>
        <v>0.25125628140703515</v>
      </c>
      <c r="X278" s="411">
        <f t="shared" si="725"/>
        <v>0.63888888888888884</v>
      </c>
      <c r="Y278" s="411">
        <f t="shared" si="725"/>
        <v>1.2061538461538461</v>
      </c>
      <c r="Z278" s="411">
        <f t="shared" si="725"/>
        <v>1.7393689986282579</v>
      </c>
      <c r="AA278" s="410">
        <f t="shared" si="725"/>
        <v>0.99695121951219512</v>
      </c>
      <c r="AB278" s="411">
        <f t="shared" si="725"/>
        <v>0.43203883495145629</v>
      </c>
      <c r="AC278" s="411">
        <f t="shared" si="725"/>
        <v>1.010719754977029</v>
      </c>
      <c r="AD278" s="411">
        <f t="shared" si="725"/>
        <v>2.4539877300613498E-2</v>
      </c>
      <c r="AE278" s="413">
        <f t="shared" si="725"/>
        <v>3.046434494195688</v>
      </c>
      <c r="AF278" s="410">
        <f t="shared" si="725"/>
        <v>1.10055423594616</v>
      </c>
      <c r="AG278" s="413">
        <f t="shared" si="725"/>
        <v>0.57446808510638303</v>
      </c>
      <c r="AH278" s="411">
        <f t="shared" si="725"/>
        <v>1.1088328075709779</v>
      </c>
      <c r="AI278" s="411">
        <f t="shared" si="725"/>
        <v>0.99</v>
      </c>
      <c r="AJ278" s="411">
        <f t="shared" si="725"/>
        <v>-0.28920187793427232</v>
      </c>
      <c r="AK278" s="410">
        <f t="shared" si="725"/>
        <v>-6.7280218953953543</v>
      </c>
      <c r="AL278" s="411">
        <f t="shared" si="725"/>
        <v>0.75131348511383533</v>
      </c>
      <c r="AM278" s="411">
        <f t="shared" si="725"/>
        <v>0.75937500000000002</v>
      </c>
      <c r="AN278" s="411">
        <f t="shared" si="725"/>
        <v>0.55913978494623651</v>
      </c>
      <c r="AO278" s="411">
        <f t="shared" si="725"/>
        <v>2.8020202020202021</v>
      </c>
      <c r="AP278" s="410">
        <f t="shared" si="725"/>
        <v>1.1310988544760288</v>
      </c>
      <c r="AQ278" s="411">
        <f t="shared" ref="AQ278:AZ278" si="726">AQ277/AQ267</f>
        <v>0.57310924369747895</v>
      </c>
      <c r="AR278" s="411">
        <f t="shared" si="726"/>
        <v>1.4621072088724585</v>
      </c>
      <c r="AS278" s="411">
        <f>AS277/AS267</f>
        <v>3.3510791366906476</v>
      </c>
      <c r="AT278" s="411">
        <f t="shared" si="726"/>
        <v>-0.22031473533619456</v>
      </c>
      <c r="AU278" s="410">
        <f t="shared" si="726"/>
        <v>1.3055665219107777</v>
      </c>
      <c r="AV278" s="411">
        <f t="shared" si="726"/>
        <v>0.90363128491620115</v>
      </c>
      <c r="AW278" s="411">
        <f t="shared" si="726"/>
        <v>0.79255319148936165</v>
      </c>
      <c r="AX278" s="411">
        <f t="shared" si="726"/>
        <v>0.90995907230559347</v>
      </c>
      <c r="AY278" s="411">
        <f t="shared" si="726"/>
        <v>0.16753926701570682</v>
      </c>
      <c r="AZ278" s="410">
        <f t="shared" si="726"/>
        <v>0.68735244519392913</v>
      </c>
      <c r="BA278" s="410">
        <f t="shared" ref="BA278" si="727">BA277/BA267</f>
        <v>0.66125892277741727</v>
      </c>
      <c r="BB278" s="411">
        <f t="shared" ref="BB278:BH278" si="728">BB277/BB267</f>
        <v>0.52161785216178524</v>
      </c>
      <c r="BC278" s="411">
        <f t="shared" si="728"/>
        <v>0.48153034300791558</v>
      </c>
      <c r="BD278" s="411">
        <f t="shared" si="728"/>
        <v>0.5695461200585652</v>
      </c>
      <c r="BE278" s="411">
        <f t="shared" si="728"/>
        <v>0.85069008782936006</v>
      </c>
      <c r="BF278" s="410">
        <f t="shared" si="728"/>
        <v>0.6111675126903553</v>
      </c>
      <c r="BG278" s="411">
        <f t="shared" si="728"/>
        <v>0.64742589703588138</v>
      </c>
      <c r="BH278" s="411">
        <f t="shared" si="728"/>
        <v>0.45378151260504201</v>
      </c>
      <c r="BI278" s="411"/>
      <c r="BJ278" s="411"/>
      <c r="BK278" s="410">
        <f t="shared" ref="BK278" si="729">BK277/BK267</f>
        <v>0.75038880248833595</v>
      </c>
      <c r="BL278" s="411">
        <f>BL277/BL267</f>
        <v>0.61730013106159898</v>
      </c>
      <c r="BM278" s="411">
        <f>BM277/BM267</f>
        <v>0.5153538050734312</v>
      </c>
      <c r="BN278" s="411">
        <f>BN277/BN267</f>
        <v>0.98298429319371727</v>
      </c>
      <c r="BO278" s="411">
        <f>BO277/BO267</f>
        <v>2.8977987421383649</v>
      </c>
      <c r="BP278" s="1076">
        <f>BP277/BP267</f>
        <v>1.1850961538461537</v>
      </c>
      <c r="BQ278" s="414">
        <f t="shared" ref="BQ278:BU278" si="730">BQ277/BQ267</f>
        <v>1.3680621277693219</v>
      </c>
      <c r="BR278" s="411">
        <f t="shared" si="730"/>
        <v>-0.13717803340600168</v>
      </c>
      <c r="BS278" s="411">
        <f t="shared" si="730"/>
        <v>0.59315216025812156</v>
      </c>
      <c r="BT278" s="1155">
        <f t="shared" si="730"/>
        <v>2.064860460496829</v>
      </c>
      <c r="BU278" s="410">
        <f t="shared" si="730"/>
        <v>0.99601740045170806</v>
      </c>
      <c r="BV278" s="414"/>
      <c r="BW278" s="411"/>
      <c r="BX278" s="411"/>
      <c r="BY278" s="411"/>
      <c r="BZ278" s="410">
        <f>BZ277/BZ267</f>
        <v>1.0190164122758729</v>
      </c>
      <c r="CA278" s="414"/>
      <c r="CB278" s="411"/>
      <c r="CC278" s="411"/>
      <c r="CD278" s="411"/>
      <c r="CE278" s="410">
        <f>CE277/CE267</f>
        <v>1.0279346999421686</v>
      </c>
      <c r="CF278" s="414"/>
      <c r="CG278" s="411"/>
      <c r="CH278" s="411"/>
      <c r="CI278" s="411"/>
      <c r="CJ278" s="410">
        <f>CJ277/CJ267</f>
        <v>1.0199895991359693</v>
      </c>
      <c r="CK278" s="415"/>
      <c r="CL278" s="416"/>
      <c r="CM278" s="661"/>
      <c r="CN278" s="707"/>
      <c r="CO278" s="1270"/>
      <c r="CP278" s="572" t="s">
        <v>154</v>
      </c>
      <c r="CQ278" s="1311">
        <v>4993</v>
      </c>
      <c r="CR278" s="1311">
        <v>1229</v>
      </c>
      <c r="CS278" s="1311">
        <v>1272</v>
      </c>
      <c r="CT278" s="1311">
        <v>1309</v>
      </c>
      <c r="CU278" s="1308"/>
      <c r="CV278" s="1307"/>
      <c r="CW278" s="417"/>
      <c r="CZ278"/>
      <c r="DA278"/>
      <c r="DB278"/>
      <c r="DC278"/>
      <c r="DD278"/>
    </row>
    <row r="279" spans="1:108" s="222" customFormat="1">
      <c r="A279" s="311" t="s">
        <v>127</v>
      </c>
      <c r="B279" s="190">
        <v>-1451</v>
      </c>
      <c r="C279" s="190">
        <v>-275</v>
      </c>
      <c r="D279" s="190">
        <v>-3044</v>
      </c>
      <c r="E279" s="190">
        <v>-543</v>
      </c>
      <c r="F279" s="190">
        <v>-277</v>
      </c>
      <c r="G279" s="190">
        <v>-2342</v>
      </c>
      <c r="H279" s="183">
        <v>-298</v>
      </c>
      <c r="I279" s="178">
        <f>-299-H279</f>
        <v>-1</v>
      </c>
      <c r="J279" s="183">
        <f>-299-SUM(H279:I279)</f>
        <v>0</v>
      </c>
      <c r="K279" s="178">
        <f>L279-SUM(H279:J279)</f>
        <v>-31</v>
      </c>
      <c r="L279" s="190">
        <v>-330</v>
      </c>
      <c r="M279" s="179">
        <v>-65</v>
      </c>
      <c r="N279" s="178">
        <f>-66-M279</f>
        <v>-1</v>
      </c>
      <c r="O279" s="183">
        <f>-303-SUM(M279:N279)</f>
        <v>-237</v>
      </c>
      <c r="P279" s="178">
        <f>Q279-SUM(M279:O279)</f>
        <v>-2921</v>
      </c>
      <c r="Q279" s="180">
        <v>-3224</v>
      </c>
      <c r="R279" s="179">
        <v>-168</v>
      </c>
      <c r="S279" s="178">
        <f>-165-R279</f>
        <v>3</v>
      </c>
      <c r="T279" s="183">
        <f>-805-SUM(R279:S279)</f>
        <v>-640</v>
      </c>
      <c r="U279" s="183">
        <f>V279-SUM(R279:T279)</f>
        <v>-6</v>
      </c>
      <c r="V279" s="180">
        <v>-811</v>
      </c>
      <c r="W279" s="179">
        <v>0</v>
      </c>
      <c r="X279" s="178">
        <f>-237-W279</f>
        <v>-237</v>
      </c>
      <c r="Y279" s="183">
        <f>-233-SUM(W279:X279)</f>
        <v>4</v>
      </c>
      <c r="Z279" s="183">
        <f>AA279-SUM(W279:Y279)</f>
        <v>0</v>
      </c>
      <c r="AA279" s="180">
        <v>-233</v>
      </c>
      <c r="AB279" s="179">
        <v>0</v>
      </c>
      <c r="AC279" s="178">
        <f>0-AB279</f>
        <v>0</v>
      </c>
      <c r="AD279" s="183">
        <v>-1143</v>
      </c>
      <c r="AE279" s="183">
        <f>-1560-AD279-AC279-AB279</f>
        <v>-417</v>
      </c>
      <c r="AF279" s="180">
        <f>SUM(AB279:AE279)</f>
        <v>-1560</v>
      </c>
      <c r="AG279" s="183">
        <v>-26</v>
      </c>
      <c r="AH279" s="178">
        <f>-165-AG279</f>
        <v>-139</v>
      </c>
      <c r="AI279" s="178">
        <f>-426-AH279-AG279</f>
        <v>-261</v>
      </c>
      <c r="AJ279" s="183">
        <f>-444-AG279-AH279-AI279</f>
        <v>-18</v>
      </c>
      <c r="AK279" s="180">
        <f>SUM(AG279:AJ279)</f>
        <v>-444</v>
      </c>
      <c r="AL279" s="183">
        <v>0</v>
      </c>
      <c r="AM279" s="183">
        <f>-1-AL279</f>
        <v>-1</v>
      </c>
      <c r="AN279" s="183">
        <f>-1-SUM(AL279:AM279)</f>
        <v>0</v>
      </c>
      <c r="AO279" s="183">
        <v>0</v>
      </c>
      <c r="AP279" s="180">
        <f>+SUM(AL279:AO279)</f>
        <v>-1</v>
      </c>
      <c r="AQ279" s="182">
        <v>0</v>
      </c>
      <c r="AR279" s="729">
        <v>0</v>
      </c>
      <c r="AS279" s="729">
        <f>-500-SUM(AQ279:AR279)</f>
        <v>-500</v>
      </c>
      <c r="AT279" s="729">
        <f>-500-SUM(AQ279:AS279)</f>
        <v>0</v>
      </c>
      <c r="AU279" s="180">
        <f>SUM(AQ279:AT279)</f>
        <v>-500</v>
      </c>
      <c r="AV279" s="737">
        <v>0</v>
      </c>
      <c r="AW279" s="729">
        <v>0</v>
      </c>
      <c r="AX279" s="729">
        <v>0</v>
      </c>
      <c r="AY279" s="641">
        <f>+AZ279-SUM(AV279:AX279)</f>
        <v>0</v>
      </c>
      <c r="AZ279" s="180">
        <v>0</v>
      </c>
      <c r="BA279" s="180">
        <v>0</v>
      </c>
      <c r="BB279" s="737">
        <v>0</v>
      </c>
      <c r="BC279" s="729">
        <v>0</v>
      </c>
      <c r="BD279" s="729">
        <v>0</v>
      </c>
      <c r="BE279" s="641">
        <f t="shared" ref="BE279:BE290" si="731">+BF279-SUM(BB279:BD279)</f>
        <v>0</v>
      </c>
      <c r="BF279" s="790">
        <v>0</v>
      </c>
      <c r="BG279" s="737">
        <v>0</v>
      </c>
      <c r="BH279" s="729">
        <v>0</v>
      </c>
      <c r="BI279" s="729"/>
      <c r="BJ279" s="641"/>
      <c r="BK279" s="180">
        <v>0</v>
      </c>
      <c r="BL279" s="737">
        <v>0</v>
      </c>
      <c r="BM279" s="729">
        <v>0</v>
      </c>
      <c r="BN279" s="729">
        <v>-364</v>
      </c>
      <c r="BO279" s="729">
        <f>-399-BN279-BM279-BL279</f>
        <v>-35</v>
      </c>
      <c r="BP279" s="1057">
        <f>+SUM(BL279:BO279)</f>
        <v>-399</v>
      </c>
      <c r="BQ279" s="368">
        <v>0</v>
      </c>
      <c r="BR279" s="366">
        <v>0</v>
      </c>
      <c r="BS279" s="366">
        <v>0</v>
      </c>
      <c r="BT279" s="1151">
        <v>0</v>
      </c>
      <c r="BU279" s="1057">
        <f>+SUM(BQ279:BT279)</f>
        <v>0</v>
      </c>
      <c r="BV279" s="368"/>
      <c r="BW279" s="366"/>
      <c r="BX279" s="366"/>
      <c r="BY279" s="366"/>
      <c r="BZ279" s="367">
        <v>0</v>
      </c>
      <c r="CA279" s="368"/>
      <c r="CB279" s="366"/>
      <c r="CC279" s="366"/>
      <c r="CD279" s="366"/>
      <c r="CE279" s="367">
        <v>0</v>
      </c>
      <c r="CF279" s="368"/>
      <c r="CG279" s="366"/>
      <c r="CH279" s="366"/>
      <c r="CI279" s="366"/>
      <c r="CJ279" s="367">
        <v>0</v>
      </c>
      <c r="CK279" s="221"/>
      <c r="CL279" s="242"/>
      <c r="CM279" s="943"/>
      <c r="CN279" s="707"/>
      <c r="CO279" s="703"/>
      <c r="CP279" s="622"/>
      <c r="CQ279" s="1312">
        <f>CQ277/CQ278</f>
        <v>2.5836170638894453E-2</v>
      </c>
      <c r="CR279" s="1312">
        <f>CR277/CR278</f>
        <v>2.3596419853539462E-2</v>
      </c>
      <c r="CS279" s="1312">
        <f>CS277/CS278</f>
        <v>1.5723270440251572E-2</v>
      </c>
      <c r="CT279" s="1312">
        <f>CT277/CT278</f>
        <v>3.4377387318563789E-2</v>
      </c>
      <c r="CU279" s="1311"/>
      <c r="CV279" s="1308"/>
      <c r="CW279" s="233"/>
      <c r="CX279" s="134"/>
      <c r="CY279" s="134"/>
      <c r="CZ279"/>
      <c r="DA279"/>
      <c r="DB279"/>
      <c r="DC279"/>
      <c r="DD279"/>
    </row>
    <row r="280" spans="1:108" s="222" customFormat="1">
      <c r="A280" s="347" t="s">
        <v>125</v>
      </c>
      <c r="B280" s="180">
        <f t="shared" ref="B280:AL280" si="732">B281-B274-B279</f>
        <v>61</v>
      </c>
      <c r="C280" s="180">
        <f t="shared" si="732"/>
        <v>139</v>
      </c>
      <c r="D280" s="180">
        <f t="shared" si="732"/>
        <v>36</v>
      </c>
      <c r="E280" s="180">
        <f t="shared" si="732"/>
        <v>10</v>
      </c>
      <c r="F280" s="180">
        <f t="shared" si="732"/>
        <v>358</v>
      </c>
      <c r="G280" s="180">
        <f t="shared" si="732"/>
        <v>360</v>
      </c>
      <c r="H280" s="183">
        <f t="shared" si="732"/>
        <v>10</v>
      </c>
      <c r="I280" s="178">
        <f t="shared" si="732"/>
        <v>76</v>
      </c>
      <c r="J280" s="183">
        <f t="shared" si="732"/>
        <v>-183</v>
      </c>
      <c r="K280" s="178">
        <f t="shared" si="732"/>
        <v>49</v>
      </c>
      <c r="L280" s="180">
        <f t="shared" si="732"/>
        <v>-48</v>
      </c>
      <c r="M280" s="183">
        <f t="shared" si="732"/>
        <v>26</v>
      </c>
      <c r="N280" s="178">
        <f t="shared" si="732"/>
        <v>-56</v>
      </c>
      <c r="O280" s="183">
        <f t="shared" si="732"/>
        <v>37</v>
      </c>
      <c r="P280" s="178">
        <f t="shared" si="732"/>
        <v>44</v>
      </c>
      <c r="Q280" s="180">
        <f t="shared" si="732"/>
        <v>51</v>
      </c>
      <c r="R280" s="183">
        <f t="shared" si="732"/>
        <v>-36</v>
      </c>
      <c r="S280" s="178">
        <f t="shared" si="732"/>
        <v>84</v>
      </c>
      <c r="T280" s="183">
        <f t="shared" si="732"/>
        <v>87</v>
      </c>
      <c r="U280" s="183">
        <f t="shared" si="732"/>
        <v>-331</v>
      </c>
      <c r="V280" s="180">
        <f t="shared" si="732"/>
        <v>-196</v>
      </c>
      <c r="W280" s="183">
        <f t="shared" si="732"/>
        <v>-222</v>
      </c>
      <c r="X280" s="178">
        <f t="shared" si="732"/>
        <v>136</v>
      </c>
      <c r="Y280" s="183">
        <f t="shared" si="732"/>
        <v>277</v>
      </c>
      <c r="Z280" s="183">
        <f t="shared" si="732"/>
        <v>4</v>
      </c>
      <c r="AA280" s="180">
        <f t="shared" si="732"/>
        <v>195</v>
      </c>
      <c r="AB280" s="183">
        <f t="shared" si="732"/>
        <v>-77</v>
      </c>
      <c r="AC280" s="178">
        <f t="shared" si="732"/>
        <v>-22</v>
      </c>
      <c r="AD280" s="183">
        <f t="shared" si="732"/>
        <v>58</v>
      </c>
      <c r="AE280" s="183">
        <f t="shared" si="732"/>
        <v>85</v>
      </c>
      <c r="AF280" s="180">
        <f t="shared" si="732"/>
        <v>44</v>
      </c>
      <c r="AG280" s="183">
        <f t="shared" si="732"/>
        <v>-148</v>
      </c>
      <c r="AH280" s="178">
        <f t="shared" si="732"/>
        <v>-17</v>
      </c>
      <c r="AI280" s="178">
        <f t="shared" si="732"/>
        <v>209</v>
      </c>
      <c r="AJ280" s="183">
        <f t="shared" si="732"/>
        <v>194</v>
      </c>
      <c r="AK280" s="180">
        <f>AK281-AK274-AK279</f>
        <v>238</v>
      </c>
      <c r="AL280" s="183">
        <f t="shared" si="732"/>
        <v>-1</v>
      </c>
      <c r="AM280" s="183">
        <f>AM281-AM274-AM279</f>
        <v>6</v>
      </c>
      <c r="AN280" s="183">
        <f>AN281-AN274-AN279</f>
        <v>51</v>
      </c>
      <c r="AO280" s="183">
        <f>AO281-AO274-AO279</f>
        <v>18</v>
      </c>
      <c r="AP280" s="180">
        <f>+SUM(AL280:AO280)</f>
        <v>74</v>
      </c>
      <c r="AQ280" s="183">
        <f>AQ281-AQ274-AQ279</f>
        <v>10</v>
      </c>
      <c r="AR280" s="183">
        <f>AR281-AR274-AR279</f>
        <v>7</v>
      </c>
      <c r="AS280" s="183">
        <f>AS281-AS274-AS279</f>
        <v>-6</v>
      </c>
      <c r="AT280" s="183">
        <f>AT281-AT274-AT279</f>
        <v>-92</v>
      </c>
      <c r="AU280" s="180">
        <f>SUM(AQ280:AT280)</f>
        <v>-81</v>
      </c>
      <c r="AV280" s="729">
        <f>AV281-AV274-AV279</f>
        <v>594</v>
      </c>
      <c r="AW280" s="729">
        <f>AW281-AW274-AW279</f>
        <v>147</v>
      </c>
      <c r="AX280" s="729">
        <f>AX281-AX274-AX279</f>
        <v>37</v>
      </c>
      <c r="AY280" s="641">
        <f>+AZ280-SUM(AV280:AX280)</f>
        <v>-9</v>
      </c>
      <c r="AZ280" s="180">
        <f>AZ281-AZ274-AZ279</f>
        <v>769</v>
      </c>
      <c r="BA280" s="180">
        <f>BA281-BA274-BA279</f>
        <v>769</v>
      </c>
      <c r="BB280" s="729">
        <f>BB281-BB274-BB279</f>
        <v>-53</v>
      </c>
      <c r="BC280" s="729">
        <f>BC281-BC274-BC279</f>
        <v>2</v>
      </c>
      <c r="BD280" s="729">
        <f>BD281-BD274-BD279</f>
        <v>13</v>
      </c>
      <c r="BE280" s="641">
        <f t="shared" si="731"/>
        <v>4</v>
      </c>
      <c r="BF280" s="180">
        <f>BF281-BF274-BF279</f>
        <v>-34</v>
      </c>
      <c r="BG280" s="729">
        <f>BG281-BG274-BG279</f>
        <v>-53</v>
      </c>
      <c r="BH280" s="729">
        <f>BH281-BH274-BH279</f>
        <v>2</v>
      </c>
      <c r="BI280" s="729"/>
      <c r="BJ280" s="641"/>
      <c r="BK280" s="180">
        <f>BK281-BK274-BK279</f>
        <v>769</v>
      </c>
      <c r="BL280" s="729">
        <f>BL281-BL274-BL279</f>
        <v>-23</v>
      </c>
      <c r="BM280" s="729">
        <f>BM281-BM274-BM279</f>
        <v>-19</v>
      </c>
      <c r="BN280" s="729">
        <f>53-BM280-BL280</f>
        <v>95</v>
      </c>
      <c r="BO280" s="729">
        <f>BO281-BO274-BO279</f>
        <v>-17</v>
      </c>
      <c r="BP280" s="1057">
        <f>+SUM(BL280:BO280)</f>
        <v>36</v>
      </c>
      <c r="BQ280" s="368">
        <v>0</v>
      </c>
      <c r="BR280" s="366">
        <v>-9600</v>
      </c>
      <c r="BS280" s="366">
        <v>0</v>
      </c>
      <c r="BT280" s="1151">
        <v>0</v>
      </c>
      <c r="BU280" s="1057">
        <f>+SUM(BQ280:BT280)</f>
        <v>-9600</v>
      </c>
      <c r="BV280" s="368"/>
      <c r="BW280" s="366"/>
      <c r="BX280" s="366"/>
      <c r="BY280" s="366"/>
      <c r="BZ280" s="367">
        <v>0</v>
      </c>
      <c r="CA280" s="368"/>
      <c r="CB280" s="366"/>
      <c r="CC280" s="366"/>
      <c r="CD280" s="366"/>
      <c r="CE280" s="367">
        <v>0</v>
      </c>
      <c r="CF280" s="368"/>
      <c r="CG280" s="366"/>
      <c r="CH280" s="366"/>
      <c r="CI280" s="366"/>
      <c r="CJ280" s="367">
        <v>0</v>
      </c>
      <c r="CK280" s="221"/>
      <c r="CL280" s="242"/>
      <c r="CM280" s="943"/>
      <c r="CN280" s="943"/>
      <c r="CO280" s="703"/>
      <c r="CP280" s="1309" t="s">
        <v>420</v>
      </c>
      <c r="CQ280" s="1308"/>
      <c r="CR280" s="1307"/>
      <c r="CS280" s="1307"/>
      <c r="CT280" s="1307"/>
      <c r="CU280" s="1312"/>
      <c r="CV280" s="1320"/>
      <c r="CW280" s="233"/>
      <c r="CX280" s="134"/>
      <c r="CY280" s="134"/>
      <c r="CZ280"/>
      <c r="DA280"/>
      <c r="DB280"/>
      <c r="DC280"/>
      <c r="DD280"/>
    </row>
    <row r="281" spans="1:108" s="222" customFormat="1">
      <c r="A281" s="309" t="s">
        <v>70</v>
      </c>
      <c r="B281" s="310">
        <v>-1746</v>
      </c>
      <c r="C281" s="310">
        <v>-398</v>
      </c>
      <c r="D281" s="310">
        <v>-3228</v>
      </c>
      <c r="E281" s="310">
        <v>-786</v>
      </c>
      <c r="F281" s="310">
        <v>-181</v>
      </c>
      <c r="G281" s="310">
        <v>-2316</v>
      </c>
      <c r="H281" s="309">
        <v>-341</v>
      </c>
      <c r="I281" s="309">
        <v>-38</v>
      </c>
      <c r="J281" s="309">
        <v>-311</v>
      </c>
      <c r="K281" s="309">
        <v>-162</v>
      </c>
      <c r="L281" s="310">
        <v>-852</v>
      </c>
      <c r="M281" s="309">
        <v>-124</v>
      </c>
      <c r="N281" s="309">
        <v>-172</v>
      </c>
      <c r="O281" s="309">
        <v>-314</v>
      </c>
      <c r="P281" s="309">
        <v>-3053</v>
      </c>
      <c r="Q281" s="310">
        <v>-3663</v>
      </c>
      <c r="R281" s="309">
        <v>-285</v>
      </c>
      <c r="S281" s="309">
        <v>-2</v>
      </c>
      <c r="T281" s="309">
        <v>-634</v>
      </c>
      <c r="U281" s="309">
        <v>-471</v>
      </c>
      <c r="V281" s="310">
        <v>-1392</v>
      </c>
      <c r="W281" s="309">
        <v>-282</v>
      </c>
      <c r="X281" s="309">
        <v>-164</v>
      </c>
      <c r="Y281" s="309">
        <v>185</v>
      </c>
      <c r="Z281" s="309">
        <v>-147</v>
      </c>
      <c r="AA281" s="310">
        <v>-408</v>
      </c>
      <c r="AB281" s="309">
        <v>-138</v>
      </c>
      <c r="AC281" s="309">
        <v>-113</v>
      </c>
      <c r="AD281" s="309">
        <v>-1206</v>
      </c>
      <c r="AE281" s="309">
        <v>-517</v>
      </c>
      <c r="AF281" s="310">
        <v>-1974</v>
      </c>
      <c r="AG281" s="309">
        <v>-264</v>
      </c>
      <c r="AH281" s="309">
        <v>-242</v>
      </c>
      <c r="AI281" s="309">
        <v>-162</v>
      </c>
      <c r="AJ281" s="309">
        <v>12</v>
      </c>
      <c r="AK281" s="310">
        <v>-656</v>
      </c>
      <c r="AL281" s="309">
        <v>-76</v>
      </c>
      <c r="AM281" s="309">
        <v>-88</v>
      </c>
      <c r="AN281" s="309">
        <f>-216-SUM(AL281:AM281)</f>
        <v>-52</v>
      </c>
      <c r="AO281" s="309">
        <f>-367-SUM(AL281:AN281)</f>
        <v>-151</v>
      </c>
      <c r="AP281" s="310">
        <f>AP274+AP279+AP280</f>
        <v>-367</v>
      </c>
      <c r="AQ281" s="27">
        <v>-77</v>
      </c>
      <c r="AR281" s="309">
        <f>-145-AQ281</f>
        <v>-68</v>
      </c>
      <c r="AS281" s="309">
        <f>-826-SUM(AQ281:AR281)</f>
        <v>-681</v>
      </c>
      <c r="AT281" s="309">
        <f>-1102-SUM(AQ281:AS281)</f>
        <v>-276</v>
      </c>
      <c r="AU281" s="310">
        <f>AU274+AU279+AU280</f>
        <v>-1102</v>
      </c>
      <c r="AV281" s="783">
        <v>496</v>
      </c>
      <c r="AW281" s="309">
        <f>551-AV281</f>
        <v>55</v>
      </c>
      <c r="AX281" s="799">
        <f>418-SUM(AV281:AW281)</f>
        <v>-133</v>
      </c>
      <c r="AY281" s="799">
        <f>+AZ281-SUM(AV281:AX281)</f>
        <v>-218</v>
      </c>
      <c r="AZ281" s="310">
        <v>200</v>
      </c>
      <c r="BA281" s="310">
        <v>200</v>
      </c>
      <c r="BB281" s="27">
        <v>-118</v>
      </c>
      <c r="BC281" s="309">
        <f>-185-BB281</f>
        <v>-67</v>
      </c>
      <c r="BD281" s="799">
        <f>-282-SUM(BB281:BC281)</f>
        <v>-97</v>
      </c>
      <c r="BE281" s="799">
        <f t="shared" si="731"/>
        <v>-144</v>
      </c>
      <c r="BF281" s="310">
        <v>-426</v>
      </c>
      <c r="BG281" s="27">
        <v>-118</v>
      </c>
      <c r="BH281" s="309">
        <f>-185-BG281</f>
        <v>-67</v>
      </c>
      <c r="BI281" s="799"/>
      <c r="BJ281" s="799"/>
      <c r="BK281" s="310">
        <v>200</v>
      </c>
      <c r="BL281" s="27">
        <v>-85</v>
      </c>
      <c r="BM281" s="309">
        <f>-195-BL281</f>
        <v>-110</v>
      </c>
      <c r="BN281" s="309">
        <f t="shared" ref="BN281:BT281" si="733">BN274+BN279+BN280</f>
        <v>-389</v>
      </c>
      <c r="BO281" s="799">
        <f>-791-BN281-BM281-BL281</f>
        <v>-207</v>
      </c>
      <c r="BP281" s="27">
        <f>BP274+BP279+BP280</f>
        <v>-791</v>
      </c>
      <c r="BQ281" s="27">
        <f t="shared" si="733"/>
        <v>-161.4641</v>
      </c>
      <c r="BR281" s="309">
        <f t="shared" si="733"/>
        <v>-9793.4807000000001</v>
      </c>
      <c r="BS281" s="309">
        <f t="shared" si="733"/>
        <v>-192.21503000000004</v>
      </c>
      <c r="BT281" s="1152">
        <f t="shared" si="733"/>
        <v>-210.46956000000003</v>
      </c>
      <c r="BU281" s="27">
        <f>BU274+BU279+BU280</f>
        <v>-10357.62939</v>
      </c>
      <c r="BV281" s="27"/>
      <c r="BW281" s="309"/>
      <c r="BX281" s="309"/>
      <c r="BY281" s="309"/>
      <c r="BZ281" s="310">
        <f>BZ274+BZ279+BZ280</f>
        <v>-828.97737300000006</v>
      </c>
      <c r="CA281" s="27"/>
      <c r="CB281" s="309"/>
      <c r="CC281" s="309"/>
      <c r="CD281" s="309"/>
      <c r="CE281" s="310">
        <f>CE274+CE279+CE280</f>
        <v>-837.59670064000011</v>
      </c>
      <c r="CF281" s="27"/>
      <c r="CG281" s="309"/>
      <c r="CH281" s="309"/>
      <c r="CI281" s="309"/>
      <c r="CJ281" s="310">
        <f>CJ274+CJ279+CJ280</f>
        <v>-888.67559557320033</v>
      </c>
      <c r="CK281" s="221"/>
      <c r="CL281" s="242"/>
      <c r="CM281" s="943"/>
      <c r="CN281" s="943"/>
      <c r="CO281" s="703"/>
      <c r="CP281" s="1253" t="s">
        <v>398</v>
      </c>
      <c r="CQ281" s="1271"/>
      <c r="CR281" s="1320"/>
      <c r="CS281" s="1320"/>
      <c r="CT281" s="1320"/>
      <c r="CU281" s="1307"/>
      <c r="CV281" s="1320"/>
      <c r="CW281" s="233"/>
      <c r="CX281" s="134"/>
      <c r="CY281" s="134"/>
      <c r="CZ281"/>
      <c r="DA281"/>
      <c r="DB281"/>
      <c r="DC281"/>
      <c r="DD281"/>
    </row>
    <row r="282" spans="1:108" s="222" customFormat="1">
      <c r="A282" s="347" t="s">
        <v>130</v>
      </c>
      <c r="B282" s="180">
        <v>-113</v>
      </c>
      <c r="C282" s="180">
        <v>-100</v>
      </c>
      <c r="D282" s="180">
        <v>-300</v>
      </c>
      <c r="E282" s="180">
        <v>0</v>
      </c>
      <c r="F282" s="180">
        <v>-348</v>
      </c>
      <c r="G282" s="180">
        <v>-85</v>
      </c>
      <c r="H282" s="183">
        <v>-153</v>
      </c>
      <c r="I282" s="178">
        <f>-153-H282</f>
        <v>0</v>
      </c>
      <c r="J282" s="183">
        <f>-466-SUM(H282:I282)</f>
        <v>-313</v>
      </c>
      <c r="K282" s="178">
        <f>L282-SUM(H282:J282)</f>
        <v>-39</v>
      </c>
      <c r="L282" s="180">
        <v>-505</v>
      </c>
      <c r="M282" s="183">
        <v>-519</v>
      </c>
      <c r="N282" s="178">
        <f>-660-M282</f>
        <v>-141</v>
      </c>
      <c r="O282" s="183">
        <f>-1047-SUM(M282:N282)</f>
        <v>-387</v>
      </c>
      <c r="P282" s="178">
        <f>Q282-SUM(M282:O282)</f>
        <v>-475</v>
      </c>
      <c r="Q282" s="180">
        <v>-1522</v>
      </c>
      <c r="R282" s="183">
        <v>-109</v>
      </c>
      <c r="S282" s="178">
        <f>-109-R282</f>
        <v>0</v>
      </c>
      <c r="T282" s="183">
        <f>-109-SUM(R282:S282)</f>
        <v>0</v>
      </c>
      <c r="U282" s="183">
        <f>V282-SUM(R282:T282)</f>
        <v>-100</v>
      </c>
      <c r="V282" s="180">
        <v>-209</v>
      </c>
      <c r="W282" s="183">
        <v>-200</v>
      </c>
      <c r="X282" s="178">
        <f>-511-W282</f>
        <v>-311</v>
      </c>
      <c r="Y282" s="183">
        <f>-726-SUM(W282:X282)</f>
        <v>-215</v>
      </c>
      <c r="Z282" s="183">
        <f>AA282-SUM(W282:Y282)</f>
        <v>-459</v>
      </c>
      <c r="AA282" s="180">
        <v>-1185</v>
      </c>
      <c r="AB282" s="183">
        <v>-314</v>
      </c>
      <c r="AC282" s="178">
        <f>-1121-AB282</f>
        <v>-807</v>
      </c>
      <c r="AD282" s="183">
        <f>-1449-AC282-AB282</f>
        <v>-328</v>
      </c>
      <c r="AE282" s="183">
        <f>-1468-AD282-AC282-AB282</f>
        <v>-19</v>
      </c>
      <c r="AF282" s="180">
        <f t="shared" ref="AF282:AF287" si="734">SUM(AB282:AE282)</f>
        <v>-1468</v>
      </c>
      <c r="AG282" s="183">
        <v>-76</v>
      </c>
      <c r="AH282" s="178">
        <f>-592-AG282</f>
        <v>-516</v>
      </c>
      <c r="AI282" s="183">
        <f>-602-AH282-AG282</f>
        <v>-10</v>
      </c>
      <c r="AJ282" s="183">
        <f>-602-AG282-AH282-AI282</f>
        <v>0</v>
      </c>
      <c r="AK282" s="180">
        <f t="shared" ref="AK282:AK287" si="735">SUM(AG282:AJ282)</f>
        <v>-602</v>
      </c>
      <c r="AL282" s="183">
        <v>0</v>
      </c>
      <c r="AM282" s="183">
        <f>-485-AL282</f>
        <v>-485</v>
      </c>
      <c r="AN282" s="183">
        <f>-696-SUM(AL282:AM282)</f>
        <v>-211</v>
      </c>
      <c r="AO282" s="183">
        <f>-740-SUM(AL282:AN282)</f>
        <v>-44</v>
      </c>
      <c r="AP282" s="180">
        <f>+SUM(AL282:AO282)</f>
        <v>-740</v>
      </c>
      <c r="AQ282" s="182">
        <v>-1430</v>
      </c>
      <c r="AR282" s="183">
        <f>-2691-AQ282</f>
        <v>-1261</v>
      </c>
      <c r="AS282" s="183">
        <f>-3117-SUM(AQ282:AR282)</f>
        <v>-426</v>
      </c>
      <c r="AT282" s="183">
        <f>-3382-SUM(AQ282:AS282)</f>
        <v>-265</v>
      </c>
      <c r="AU282" s="180">
        <f>SUM(AQ282:AT282)</f>
        <v>-3382</v>
      </c>
      <c r="AV282" s="737">
        <v>-620</v>
      </c>
      <c r="AW282" s="183">
        <f>-1565-AV282</f>
        <v>-945</v>
      </c>
      <c r="AX282" s="729">
        <f>-2729-SUM(AV282:AW282)</f>
        <v>-1164</v>
      </c>
      <c r="AY282" s="729">
        <f t="shared" ref="AY282:AY290" si="736">+AZ282-SUM(AV282:AX282)</f>
        <v>-504</v>
      </c>
      <c r="AZ282" s="180">
        <v>-3233</v>
      </c>
      <c r="BA282" s="180">
        <v>-3233</v>
      </c>
      <c r="BB282" s="182">
        <v>-1026</v>
      </c>
      <c r="BC282" s="183">
        <f>-1189-BB282</f>
        <v>-163</v>
      </c>
      <c r="BD282" s="729">
        <f>-1514-SUM(BB282:BC282)</f>
        <v>-325</v>
      </c>
      <c r="BE282" s="729">
        <f t="shared" si="731"/>
        <v>-482</v>
      </c>
      <c r="BF282" s="180">
        <v>-1996</v>
      </c>
      <c r="BG282" s="182">
        <v>-1026</v>
      </c>
      <c r="BH282" s="183">
        <f>-1189-BG282</f>
        <v>-163</v>
      </c>
      <c r="BI282" s="729"/>
      <c r="BJ282" s="729"/>
      <c r="BK282" s="180">
        <v>-3233</v>
      </c>
      <c r="BL282" s="182">
        <v>-354</v>
      </c>
      <c r="BM282" s="183">
        <f>-901-BL282</f>
        <v>-547</v>
      </c>
      <c r="BN282" s="183">
        <f>-1172-BM282-BL282</f>
        <v>-271</v>
      </c>
      <c r="BO282" s="729">
        <f>-1558-BN282-BM282-BL282</f>
        <v>-386</v>
      </c>
      <c r="BP282" s="1077">
        <f t="shared" ref="BP282:BP288" si="737">+SUM(BL282:BO282)</f>
        <v>-1558</v>
      </c>
      <c r="BQ282" s="182">
        <f t="shared" ref="BQ282:BT282" si="738">-BQ259*BQ254</f>
        <v>-104.20125989523814</v>
      </c>
      <c r="BR282" s="183">
        <f t="shared" si="738"/>
        <v>-106.2852850931429</v>
      </c>
      <c r="BS282" s="183">
        <f>-BS259*BS254</f>
        <v>-108.41099079500576</v>
      </c>
      <c r="BT282" s="668">
        <f t="shared" si="738"/>
        <v>-110.57921061090588</v>
      </c>
      <c r="BU282" s="1077">
        <f t="shared" ref="BU282:BU283" si="739">+SUM(BQ282:BT282)</f>
        <v>-429.47674639429266</v>
      </c>
      <c r="BV282" s="182"/>
      <c r="BW282" s="183"/>
      <c r="BX282" s="183"/>
      <c r="BY282" s="183"/>
      <c r="BZ282" s="180">
        <f>-BZ259*BZ254</f>
        <v>-472.42442103372196</v>
      </c>
      <c r="CA282" s="182"/>
      <c r="CB282" s="183"/>
      <c r="CC282" s="183"/>
      <c r="CD282" s="183"/>
      <c r="CE282" s="180">
        <f>-CE259*CE254</f>
        <v>-519.6668631370942</v>
      </c>
      <c r="CF282" s="182"/>
      <c r="CG282" s="183"/>
      <c r="CH282" s="183"/>
      <c r="CI282" s="183"/>
      <c r="CJ282" s="180">
        <f>-CJ259*CJ254</f>
        <v>-2268.8135577702365</v>
      </c>
      <c r="CK282" s="221"/>
      <c r="CL282" s="242"/>
      <c r="CM282" s="943"/>
      <c r="CN282" s="703"/>
      <c r="CO282" s="703"/>
      <c r="CP282" s="1253"/>
      <c r="CQ282" s="1271"/>
      <c r="CR282" s="1320"/>
      <c r="CS282" s="1320"/>
      <c r="CT282" s="1320"/>
      <c r="CU282" s="1320"/>
      <c r="CV282" s="1320"/>
      <c r="CW282" s="233"/>
      <c r="CX282" s="134"/>
      <c r="CY282" s="134"/>
      <c r="CZ282"/>
      <c r="DA282"/>
      <c r="DB282"/>
      <c r="DC282"/>
      <c r="DD282"/>
    </row>
    <row r="283" spans="1:108" s="222" customFormat="1">
      <c r="A283" s="348" t="s">
        <v>128</v>
      </c>
      <c r="B283" s="180">
        <v>500</v>
      </c>
      <c r="C283" s="180">
        <v>0</v>
      </c>
      <c r="D283" s="180">
        <v>3094</v>
      </c>
      <c r="E283" s="180">
        <v>0</v>
      </c>
      <c r="F283" s="180">
        <v>0</v>
      </c>
      <c r="G283" s="180">
        <v>0</v>
      </c>
      <c r="H283" s="183">
        <v>0</v>
      </c>
      <c r="I283" s="178">
        <f>0-H283</f>
        <v>0</v>
      </c>
      <c r="J283" s="183">
        <f>0-SUM(H283:I283)</f>
        <v>0</v>
      </c>
      <c r="K283" s="178">
        <f>L283-SUM(H283:J283)</f>
        <v>0</v>
      </c>
      <c r="L283" s="180">
        <v>0</v>
      </c>
      <c r="M283" s="183">
        <v>0</v>
      </c>
      <c r="N283" s="178">
        <f>0-M283</f>
        <v>0</v>
      </c>
      <c r="O283" s="183">
        <f>0-SUM(M283:N283)</f>
        <v>0</v>
      </c>
      <c r="P283" s="178">
        <f>Q283-SUM(M283:O283)</f>
        <v>995</v>
      </c>
      <c r="Q283" s="180">
        <v>995</v>
      </c>
      <c r="R283" s="183">
        <v>0</v>
      </c>
      <c r="S283" s="178">
        <f>747-R283</f>
        <v>747</v>
      </c>
      <c r="T283" s="183">
        <f>747-SUM(R283:S283)</f>
        <v>0</v>
      </c>
      <c r="U283" s="183">
        <f>V283-SUM(R283:T283)</f>
        <v>0</v>
      </c>
      <c r="V283" s="180">
        <v>747</v>
      </c>
      <c r="W283" s="183">
        <v>0</v>
      </c>
      <c r="X283" s="178">
        <v>0</v>
      </c>
      <c r="Y283" s="183">
        <f>-700-SUM(W283:X283)</f>
        <v>-700</v>
      </c>
      <c r="Z283" s="183">
        <f>AA283-SUM(W283:Y283)</f>
        <v>700</v>
      </c>
      <c r="AA283" s="180">
        <v>0</v>
      </c>
      <c r="AB283" s="183">
        <v>0</v>
      </c>
      <c r="AC283" s="178">
        <f>0-AB283</f>
        <v>0</v>
      </c>
      <c r="AD283" s="183">
        <v>1497</v>
      </c>
      <c r="AE283" s="183">
        <v>0</v>
      </c>
      <c r="AF283" s="180">
        <f t="shared" si="734"/>
        <v>1497</v>
      </c>
      <c r="AG283" s="183">
        <v>0</v>
      </c>
      <c r="AH283" s="178">
        <v>0</v>
      </c>
      <c r="AI283" s="183">
        <v>0</v>
      </c>
      <c r="AJ283" s="183">
        <f>2382-AG283-AH283-AI283</f>
        <v>2382</v>
      </c>
      <c r="AK283" s="180">
        <f t="shared" si="735"/>
        <v>2382</v>
      </c>
      <c r="AL283" s="183">
        <v>0</v>
      </c>
      <c r="AM283" s="183">
        <f>0-AL283</f>
        <v>0</v>
      </c>
      <c r="AN283" s="183">
        <v>0</v>
      </c>
      <c r="AO283" s="183">
        <v>0</v>
      </c>
      <c r="AP283" s="180">
        <f>+SUM(AL283:AO283)</f>
        <v>0</v>
      </c>
      <c r="AQ283" s="182">
        <v>0</v>
      </c>
      <c r="AR283" s="729">
        <v>0</v>
      </c>
      <c r="AS283" s="729">
        <v>0</v>
      </c>
      <c r="AT283" s="729">
        <v>0</v>
      </c>
      <c r="AU283" s="180">
        <v>0</v>
      </c>
      <c r="AV283" s="737">
        <v>0</v>
      </c>
      <c r="AW283" s="729">
        <v>0</v>
      </c>
      <c r="AX283" s="729">
        <v>0</v>
      </c>
      <c r="AY283" s="729">
        <f t="shared" si="736"/>
        <v>0</v>
      </c>
      <c r="AZ283" s="180">
        <v>0</v>
      </c>
      <c r="BA283" s="180">
        <v>0</v>
      </c>
      <c r="BB283" s="737">
        <v>0</v>
      </c>
      <c r="BC283" s="729">
        <v>0</v>
      </c>
      <c r="BD283" s="729">
        <f>992-SUM(BB283:BC283)</f>
        <v>992</v>
      </c>
      <c r="BE283" s="729">
        <f t="shared" si="731"/>
        <v>0</v>
      </c>
      <c r="BF283" s="790">
        <v>992</v>
      </c>
      <c r="BG283" s="737">
        <v>0</v>
      </c>
      <c r="BH283" s="729">
        <v>0</v>
      </c>
      <c r="BI283" s="729"/>
      <c r="BJ283" s="729"/>
      <c r="BK283" s="180">
        <v>0</v>
      </c>
      <c r="BL283" s="737">
        <v>0</v>
      </c>
      <c r="BM283" s="729">
        <v>0</v>
      </c>
      <c r="BN283" s="729">
        <v>985</v>
      </c>
      <c r="BO283" s="729">
        <v>0</v>
      </c>
      <c r="BP283" s="1077">
        <f t="shared" si="737"/>
        <v>985</v>
      </c>
      <c r="BQ283" s="368">
        <v>0</v>
      </c>
      <c r="BR283" s="366">
        <v>7500</v>
      </c>
      <c r="BS283" s="366">
        <v>0</v>
      </c>
      <c r="BT283" s="1151">
        <v>0</v>
      </c>
      <c r="BU283" s="1077">
        <f t="shared" si="739"/>
        <v>7500</v>
      </c>
      <c r="BV283" s="368"/>
      <c r="BW283" s="366"/>
      <c r="BX283" s="366"/>
      <c r="BY283" s="366"/>
      <c r="BZ283" s="367">
        <v>0</v>
      </c>
      <c r="CA283" s="368"/>
      <c r="CB283" s="366"/>
      <c r="CC283" s="366"/>
      <c r="CD283" s="366"/>
      <c r="CE283" s="367">
        <v>0</v>
      </c>
      <c r="CF283" s="368"/>
      <c r="CG283" s="366"/>
      <c r="CH283" s="366"/>
      <c r="CI283" s="366"/>
      <c r="CJ283" s="367">
        <v>501</v>
      </c>
      <c r="CK283" s="221"/>
      <c r="CL283" s="242"/>
      <c r="CM283" s="943" t="s">
        <v>422</v>
      </c>
      <c r="CN283" s="703"/>
      <c r="CO283" s="703"/>
      <c r="CP283" s="1325"/>
      <c r="CQ283" s="1308"/>
      <c r="CR283" s="1320"/>
      <c r="CS283" s="1320"/>
      <c r="CT283" s="1320"/>
      <c r="CU283" s="1320"/>
      <c r="CV283" s="1320"/>
      <c r="CW283" s="233"/>
      <c r="CX283" s="134"/>
      <c r="CY283" s="134"/>
      <c r="CZ283"/>
      <c r="DA283"/>
      <c r="DB283"/>
      <c r="DC283"/>
      <c r="DD283"/>
    </row>
    <row r="284" spans="1:108" s="222" customFormat="1">
      <c r="A284" s="395" t="s">
        <v>126</v>
      </c>
      <c r="B284" s="185">
        <v>825</v>
      </c>
      <c r="C284" s="185">
        <v>-451</v>
      </c>
      <c r="D284" s="185">
        <v>-529</v>
      </c>
      <c r="E284" s="185">
        <v>0</v>
      </c>
      <c r="F284" s="185">
        <v>0</v>
      </c>
      <c r="G284" s="185">
        <v>0</v>
      </c>
      <c r="H284" s="183">
        <v>0</v>
      </c>
      <c r="I284" s="178">
        <f>0-H284</f>
        <v>0</v>
      </c>
      <c r="J284" s="183">
        <f>0-SUM(H284:I284)</f>
        <v>0</v>
      </c>
      <c r="K284" s="178">
        <f>L284-SUM(H284:J284)</f>
        <v>0</v>
      </c>
      <c r="L284" s="185">
        <v>0</v>
      </c>
      <c r="M284" s="183">
        <v>0</v>
      </c>
      <c r="N284" s="178">
        <f>0-M284</f>
        <v>0</v>
      </c>
      <c r="O284" s="183">
        <f>0-SUM(M284:N284)</f>
        <v>0</v>
      </c>
      <c r="P284" s="175">
        <f>Q284-SUM(M284:O284)</f>
        <v>904</v>
      </c>
      <c r="Q284" s="185">
        <v>904</v>
      </c>
      <c r="R284" s="175">
        <v>-139</v>
      </c>
      <c r="S284" s="175">
        <f>-853-R284</f>
        <v>-714</v>
      </c>
      <c r="T284" s="175">
        <f>-904-SUM(R284:S284)</f>
        <v>-51</v>
      </c>
      <c r="U284" s="175">
        <f>V284-SUM(R284:T284)</f>
        <v>0</v>
      </c>
      <c r="V284" s="173">
        <v>-904</v>
      </c>
      <c r="W284" s="175">
        <v>0</v>
      </c>
      <c r="X284" s="175">
        <f>0-W284</f>
        <v>0</v>
      </c>
      <c r="Y284" s="175">
        <f>0-SUM(W284:X284)</f>
        <v>0</v>
      </c>
      <c r="Z284" s="175">
        <f>AA284-SUM(W284:Y284)</f>
        <v>0</v>
      </c>
      <c r="AA284" s="180">
        <v>0</v>
      </c>
      <c r="AB284" s="175">
        <v>0</v>
      </c>
      <c r="AC284" s="175">
        <f>0-AB284</f>
        <v>0</v>
      </c>
      <c r="AD284" s="175">
        <v>200</v>
      </c>
      <c r="AE284" s="176">
        <v>-200</v>
      </c>
      <c r="AF284" s="180">
        <f t="shared" si="734"/>
        <v>0</v>
      </c>
      <c r="AG284" s="175">
        <v>0</v>
      </c>
      <c r="AH284" s="175">
        <v>0</v>
      </c>
      <c r="AI284" s="175">
        <v>0</v>
      </c>
      <c r="AJ284" s="175">
        <v>0</v>
      </c>
      <c r="AK284" s="180">
        <f t="shared" si="735"/>
        <v>0</v>
      </c>
      <c r="AL284" s="175">
        <v>0</v>
      </c>
      <c r="AM284" s="175">
        <f>0-AL284</f>
        <v>0</v>
      </c>
      <c r="AN284" s="175">
        <v>0</v>
      </c>
      <c r="AO284" s="175">
        <v>0</v>
      </c>
      <c r="AP284" s="180">
        <f>+SUM(AL284:AO284)</f>
        <v>0</v>
      </c>
      <c r="AQ284" s="182">
        <v>0</v>
      </c>
      <c r="AR284" s="729">
        <v>0</v>
      </c>
      <c r="AS284" s="729">
        <v>0</v>
      </c>
      <c r="AT284" s="729">
        <v>0</v>
      </c>
      <c r="AU284" s="180">
        <v>0</v>
      </c>
      <c r="AV284" s="737">
        <v>0</v>
      </c>
      <c r="AW284" s="729">
        <v>0</v>
      </c>
      <c r="AX284" s="729">
        <v>0</v>
      </c>
      <c r="AY284" s="729">
        <f t="shared" si="736"/>
        <v>0</v>
      </c>
      <c r="AZ284" s="180">
        <v>0</v>
      </c>
      <c r="BA284" s="180">
        <v>0</v>
      </c>
      <c r="BB284" s="737">
        <v>0</v>
      </c>
      <c r="BC284" s="729">
        <v>0</v>
      </c>
      <c r="BD284" s="729">
        <v>0</v>
      </c>
      <c r="BE284" s="729">
        <f t="shared" si="731"/>
        <v>0</v>
      </c>
      <c r="BF284" s="790">
        <v>0</v>
      </c>
      <c r="BG284" s="737">
        <v>0</v>
      </c>
      <c r="BH284" s="729">
        <v>0</v>
      </c>
      <c r="BI284" s="729"/>
      <c r="BJ284" s="729"/>
      <c r="BK284" s="180">
        <v>0</v>
      </c>
      <c r="BL284" s="737">
        <v>0</v>
      </c>
      <c r="BM284" s="729">
        <v>0</v>
      </c>
      <c r="BN284" s="729">
        <v>0</v>
      </c>
      <c r="BO284" s="729">
        <v>0</v>
      </c>
      <c r="BP284" s="1077">
        <f t="shared" si="737"/>
        <v>0</v>
      </c>
      <c r="BQ284" s="368">
        <v>0</v>
      </c>
      <c r="BR284" s="366">
        <v>0</v>
      </c>
      <c r="BS284" s="366">
        <v>0</v>
      </c>
      <c r="BT284" s="1151">
        <v>0</v>
      </c>
      <c r="BU284" s="1077">
        <f t="shared" ref="BU284:BU288" si="740">+SUM(BQ284:BT284)</f>
        <v>0</v>
      </c>
      <c r="BV284" s="368"/>
      <c r="BW284" s="366"/>
      <c r="BX284" s="366"/>
      <c r="BY284" s="366"/>
      <c r="BZ284" s="367">
        <v>0</v>
      </c>
      <c r="CA284" s="368"/>
      <c r="CB284" s="366"/>
      <c r="CC284" s="366"/>
      <c r="CD284" s="366"/>
      <c r="CE284" s="367">
        <v>0</v>
      </c>
      <c r="CF284" s="368"/>
      <c r="CG284" s="366"/>
      <c r="CH284" s="366"/>
      <c r="CI284" s="366"/>
      <c r="CJ284" s="367">
        <v>-501</v>
      </c>
      <c r="CK284" s="221"/>
      <c r="CL284" s="242"/>
      <c r="CM284" s="943"/>
      <c r="CN284" s="703"/>
      <c r="CO284" s="703"/>
      <c r="CP284" s="1002"/>
      <c r="CQ284" s="703"/>
      <c r="CR284" s="1320"/>
      <c r="CS284" s="1320"/>
      <c r="CT284" s="1320"/>
      <c r="CU284" s="1320"/>
      <c r="CV284" s="1320"/>
      <c r="CW284" s="233"/>
      <c r="CX284" s="134"/>
      <c r="CY284" s="134"/>
      <c r="CZ284"/>
      <c r="DA284"/>
      <c r="DB284"/>
      <c r="DC284"/>
      <c r="DD284"/>
    </row>
    <row r="285" spans="1:108" s="222" customFormat="1">
      <c r="A285" s="348" t="s">
        <v>129</v>
      </c>
      <c r="B285" s="180">
        <v>-219</v>
      </c>
      <c r="C285" s="180">
        <v>-236</v>
      </c>
      <c r="D285" s="180">
        <v>-249</v>
      </c>
      <c r="E285" s="180">
        <v>-278</v>
      </c>
      <c r="F285" s="180">
        <v>-314</v>
      </c>
      <c r="G285" s="180">
        <v>-359</v>
      </c>
      <c r="H285" s="183">
        <v>-93</v>
      </c>
      <c r="I285" s="178">
        <f>-210-H285</f>
        <v>-117</v>
      </c>
      <c r="J285" s="183">
        <f>-328-SUM(H285:I285)</f>
        <v>-118</v>
      </c>
      <c r="K285" s="178">
        <f>L285-SUM(H285:J285)</f>
        <v>-117</v>
      </c>
      <c r="L285" s="180">
        <v>-445</v>
      </c>
      <c r="M285" s="183">
        <v>-117</v>
      </c>
      <c r="N285" s="178">
        <f>-257-M285</f>
        <v>-140</v>
      </c>
      <c r="O285" s="183">
        <f>-397-SUM(M285:N285)</f>
        <v>-140</v>
      </c>
      <c r="P285" s="178">
        <f>Q285-SUM(M285:O285)</f>
        <v>-136</v>
      </c>
      <c r="Q285" s="180">
        <v>-533</v>
      </c>
      <c r="R285" s="183">
        <v>-136</v>
      </c>
      <c r="S285" s="178">
        <f>-283-R285</f>
        <v>-147</v>
      </c>
      <c r="T285" s="183">
        <f>-430-SUM(R285:S285)</f>
        <v>-147</v>
      </c>
      <c r="U285" s="183">
        <f>V285-SUM(R285:T285)</f>
        <v>-147</v>
      </c>
      <c r="V285" s="180">
        <v>-577</v>
      </c>
      <c r="W285" s="183">
        <v>-147</v>
      </c>
      <c r="X285" s="178">
        <f>-310-W285</f>
        <v>-163</v>
      </c>
      <c r="Y285" s="183">
        <f>-471-SUM(W285:X285)</f>
        <v>-161</v>
      </c>
      <c r="Z285" s="183">
        <f>AA285-SUM(W285:Y285)</f>
        <v>-160</v>
      </c>
      <c r="AA285" s="180">
        <v>-631</v>
      </c>
      <c r="AB285" s="183">
        <v>-157</v>
      </c>
      <c r="AC285" s="178">
        <f>-333-AB285</f>
        <v>-176</v>
      </c>
      <c r="AD285" s="183">
        <f>-504-AC285-AB285</f>
        <v>-171</v>
      </c>
      <c r="AE285" s="183">
        <f>-673-AD285-AC285-AB285</f>
        <v>-169</v>
      </c>
      <c r="AF285" s="180">
        <f t="shared" si="734"/>
        <v>-673</v>
      </c>
      <c r="AG285" s="183">
        <v>-169</v>
      </c>
      <c r="AH285" s="178">
        <f>-353-AG285</f>
        <v>-184</v>
      </c>
      <c r="AI285" s="178">
        <f>-533-AH285-AG285</f>
        <v>-180</v>
      </c>
      <c r="AJ285" s="183">
        <f>-893-AG285-AH285-AI285</f>
        <v>-360</v>
      </c>
      <c r="AK285" s="180">
        <f t="shared" si="735"/>
        <v>-893</v>
      </c>
      <c r="AL285" s="183">
        <v>0</v>
      </c>
      <c r="AM285" s="183">
        <f>-198-AL285</f>
        <v>-198</v>
      </c>
      <c r="AN285" s="183">
        <f>-394-SUM(AL285:AM285)</f>
        <v>-196</v>
      </c>
      <c r="AO285" s="183">
        <f>-591-SUM(AL285:AN285)</f>
        <v>-197</v>
      </c>
      <c r="AP285" s="180">
        <f>+SUM(AL285:AO285)</f>
        <v>-591</v>
      </c>
      <c r="AQ285" s="182">
        <v>-198</v>
      </c>
      <c r="AR285" s="183">
        <f>-411-AQ285</f>
        <v>-213</v>
      </c>
      <c r="AS285" s="183">
        <f>-618-SUM(AQ285:AR285)</f>
        <v>-207</v>
      </c>
      <c r="AT285" s="183">
        <f>-822-SUM(AQ285:AS285)</f>
        <v>-204</v>
      </c>
      <c r="AU285" s="180">
        <f t="shared" ref="AU285:AU290" si="741">SUM(AQ285:AT285)</f>
        <v>-822</v>
      </c>
      <c r="AV285" s="737">
        <v>-206</v>
      </c>
      <c r="AW285" s="183">
        <f>-432-AV285</f>
        <v>-226</v>
      </c>
      <c r="AX285" s="729">
        <f>-655-SUM(AV285:AW285)</f>
        <v>-223</v>
      </c>
      <c r="AY285" s="729">
        <f t="shared" si="736"/>
        <v>-218</v>
      </c>
      <c r="AZ285" s="180">
        <v>-873</v>
      </c>
      <c r="BA285" s="180">
        <v>-873</v>
      </c>
      <c r="BB285" s="737">
        <v>-215</v>
      </c>
      <c r="BC285" s="729">
        <f>-447-BB285</f>
        <v>-232</v>
      </c>
      <c r="BD285" s="729">
        <f>-678-SUM(BB285:BC285)</f>
        <v>-231</v>
      </c>
      <c r="BE285" s="729">
        <f t="shared" si="731"/>
        <v>-233</v>
      </c>
      <c r="BF285" s="790">
        <v>-911</v>
      </c>
      <c r="BG285" s="737">
        <v>-215</v>
      </c>
      <c r="BH285" s="729">
        <f>-230-BG285</f>
        <v>-15</v>
      </c>
      <c r="BI285" s="729"/>
      <c r="BJ285" s="729"/>
      <c r="BK285" s="180">
        <v>-873</v>
      </c>
      <c r="BL285" s="737">
        <v>-230</v>
      </c>
      <c r="BM285" s="729">
        <f>-483-BL285</f>
        <v>-253</v>
      </c>
      <c r="BN285" s="729">
        <f>-735-BM285-BL285</f>
        <v>-252</v>
      </c>
      <c r="BO285" s="729">
        <f>-986-BN285-BM285-BL285</f>
        <v>-251</v>
      </c>
      <c r="BP285" s="1077">
        <f t="shared" si="737"/>
        <v>-986</v>
      </c>
      <c r="BQ285" s="182">
        <f t="shared" ref="BQ285:BT285" si="742">-BQ262*BQ257</f>
        <v>-292.11839999999995</v>
      </c>
      <c r="BR285" s="183">
        <f t="shared" si="742"/>
        <v>-292.11839999999995</v>
      </c>
      <c r="BS285" s="183">
        <f t="shared" si="742"/>
        <v>-292.11839999999995</v>
      </c>
      <c r="BT285" s="668">
        <f t="shared" si="742"/>
        <v>-292.11839999999995</v>
      </c>
      <c r="BU285" s="1077">
        <f t="shared" si="740"/>
        <v>-1168.4735999999998</v>
      </c>
      <c r="BV285" s="182"/>
      <c r="BW285" s="183"/>
      <c r="BX285" s="183"/>
      <c r="BY285" s="183"/>
      <c r="BZ285" s="180">
        <f>-BZ262*BZ257</f>
        <v>-1285.3209599999998</v>
      </c>
      <c r="CA285" s="182"/>
      <c r="CB285" s="183"/>
      <c r="CC285" s="183"/>
      <c r="CD285" s="183"/>
      <c r="CE285" s="180">
        <f>-CE262*CE257</f>
        <v>-1413.8530559999999</v>
      </c>
      <c r="CF285" s="182"/>
      <c r="CG285" s="183"/>
      <c r="CH285" s="183"/>
      <c r="CI285" s="183"/>
      <c r="CJ285" s="180">
        <f>-CJ262*CJ257</f>
        <v>-1524.1335943679999</v>
      </c>
      <c r="CK285" s="221"/>
      <c r="CL285" s="242"/>
      <c r="CM285" s="943"/>
      <c r="CN285" s="703"/>
      <c r="CO285" s="703"/>
      <c r="CP285" s="1272"/>
      <c r="CQ285" s="1323"/>
      <c r="CR285" s="1320"/>
      <c r="CS285" s="1320"/>
      <c r="CT285" s="1320"/>
      <c r="CU285" s="1320"/>
      <c r="CV285" s="1320"/>
      <c r="CW285" s="1322"/>
      <c r="CX285" s="134"/>
      <c r="CY285" s="134"/>
      <c r="CZ285"/>
      <c r="DA285"/>
      <c r="DB285"/>
      <c r="DC285"/>
      <c r="DD285"/>
    </row>
    <row r="286" spans="1:108" s="222" customFormat="1">
      <c r="A286" s="395" t="s">
        <v>131</v>
      </c>
      <c r="B286" s="180">
        <v>0</v>
      </c>
      <c r="C286" s="180">
        <v>0</v>
      </c>
      <c r="D286" s="180">
        <v>0</v>
      </c>
      <c r="E286" s="180">
        <v>0</v>
      </c>
      <c r="F286" s="180">
        <v>0</v>
      </c>
      <c r="G286" s="180">
        <v>-500</v>
      </c>
      <c r="H286" s="183">
        <v>0</v>
      </c>
      <c r="I286" s="178">
        <f>0-H286</f>
        <v>0</v>
      </c>
      <c r="J286" s="183">
        <f>0-SUM(H286:I286)</f>
        <v>0</v>
      </c>
      <c r="K286" s="178">
        <f>L286-SUM(H286:J286)</f>
        <v>0</v>
      </c>
      <c r="L286" s="180">
        <v>0</v>
      </c>
      <c r="M286" s="183">
        <v>0</v>
      </c>
      <c r="N286" s="178">
        <f>-500-M286</f>
        <v>-500</v>
      </c>
      <c r="O286" s="183">
        <f>-500-SUM(M286:N286)</f>
        <v>0</v>
      </c>
      <c r="P286" s="178">
        <f>Q286-SUM(M286:O286)</f>
        <v>0</v>
      </c>
      <c r="Q286" s="180">
        <v>-500</v>
      </c>
      <c r="R286" s="183">
        <v>0</v>
      </c>
      <c r="S286" s="178">
        <f>0-R286</f>
        <v>0</v>
      </c>
      <c r="T286" s="183">
        <v>0</v>
      </c>
      <c r="U286" s="183">
        <f>V286-SUM(R286:T286)</f>
        <v>0</v>
      </c>
      <c r="V286" s="180">
        <v>0</v>
      </c>
      <c r="W286" s="183">
        <v>0</v>
      </c>
      <c r="X286" s="178">
        <v>0</v>
      </c>
      <c r="Y286" s="183">
        <f>0-SUM(W286:X286)</f>
        <v>0</v>
      </c>
      <c r="Z286" s="183">
        <f>AA286-SUM(W286:Y286)</f>
        <v>-700</v>
      </c>
      <c r="AA286" s="180">
        <v>-700</v>
      </c>
      <c r="AB286" s="183">
        <v>0</v>
      </c>
      <c r="AC286" s="178">
        <f>0-AB286</f>
        <v>0</v>
      </c>
      <c r="AD286" s="183">
        <v>-750</v>
      </c>
      <c r="AE286" s="183">
        <v>0</v>
      </c>
      <c r="AF286" s="180">
        <f t="shared" si="734"/>
        <v>-750</v>
      </c>
      <c r="AG286" s="183">
        <v>0</v>
      </c>
      <c r="AH286" s="178">
        <v>0</v>
      </c>
      <c r="AI286" s="183">
        <v>0</v>
      </c>
      <c r="AJ286" s="175">
        <f>-2400-AG286-AH286-AI286</f>
        <v>-2400</v>
      </c>
      <c r="AK286" s="180">
        <f t="shared" si="735"/>
        <v>-2400</v>
      </c>
      <c r="AL286" s="183">
        <v>0</v>
      </c>
      <c r="AM286" s="183">
        <f>0-AL286</f>
        <v>0</v>
      </c>
      <c r="AN286" s="183">
        <v>0</v>
      </c>
      <c r="AO286" s="183">
        <v>0</v>
      </c>
      <c r="AP286" s="180">
        <f>+SUM(AL286:AO286)</f>
        <v>0</v>
      </c>
      <c r="AQ286" s="182">
        <v>0</v>
      </c>
      <c r="AR286" s="729">
        <v>0</v>
      </c>
      <c r="AS286" s="729">
        <v>0</v>
      </c>
      <c r="AT286" s="729">
        <v>0</v>
      </c>
      <c r="AU286" s="180">
        <f t="shared" si="741"/>
        <v>0</v>
      </c>
      <c r="AV286" s="737">
        <v>-500</v>
      </c>
      <c r="AW286" s="729">
        <f>-500-AV286</f>
        <v>0</v>
      </c>
      <c r="AX286" s="729">
        <f>-500-SUM(AV286:AW286)</f>
        <v>0</v>
      </c>
      <c r="AY286" s="729">
        <f t="shared" si="736"/>
        <v>0</v>
      </c>
      <c r="AZ286" s="180">
        <v>-500</v>
      </c>
      <c r="BA286" s="180">
        <v>-500</v>
      </c>
      <c r="BB286" s="737">
        <v>0</v>
      </c>
      <c r="BC286" s="729">
        <v>0</v>
      </c>
      <c r="BD286" s="729">
        <f>-500-SUM(BB286:BC286)</f>
        <v>-500</v>
      </c>
      <c r="BE286" s="729">
        <f t="shared" si="731"/>
        <v>0</v>
      </c>
      <c r="BF286" s="790">
        <v>-500</v>
      </c>
      <c r="BG286" s="737">
        <v>0</v>
      </c>
      <c r="BH286" s="729">
        <v>0</v>
      </c>
      <c r="BI286" s="729"/>
      <c r="BJ286" s="729"/>
      <c r="BK286" s="180">
        <v>-500</v>
      </c>
      <c r="BL286" s="737">
        <v>0</v>
      </c>
      <c r="BM286" s="729">
        <v>0</v>
      </c>
      <c r="BN286" s="729">
        <v>0</v>
      </c>
      <c r="BO286" s="729">
        <v>-900</v>
      </c>
      <c r="BP286" s="1077">
        <f t="shared" si="737"/>
        <v>-900</v>
      </c>
      <c r="BQ286" s="368">
        <v>0</v>
      </c>
      <c r="BR286" s="366">
        <v>0</v>
      </c>
      <c r="BS286" s="366">
        <v>0</v>
      </c>
      <c r="BT286" s="1151">
        <v>0</v>
      </c>
      <c r="BU286" s="1077">
        <f t="shared" si="740"/>
        <v>0</v>
      </c>
      <c r="BV286" s="368"/>
      <c r="BW286" s="366"/>
      <c r="BX286" s="366"/>
      <c r="BY286" s="366"/>
      <c r="BZ286" s="367">
        <v>-2500</v>
      </c>
      <c r="CA286" s="368"/>
      <c r="CB286" s="366"/>
      <c r="CC286" s="366"/>
      <c r="CD286" s="366"/>
      <c r="CE286" s="1326">
        <v>-2500</v>
      </c>
      <c r="CF286" s="368"/>
      <c r="CG286" s="366"/>
      <c r="CH286" s="366"/>
      <c r="CI286" s="366"/>
      <c r="CJ286" s="1326">
        <v>-1000</v>
      </c>
      <c r="CK286" s="221"/>
      <c r="CL286" s="242"/>
      <c r="CM286" s="943"/>
      <c r="CN286" s="703"/>
      <c r="CO286" s="1348"/>
      <c r="CP286" s="1347"/>
      <c r="CQ286" s="1347"/>
      <c r="CR286" s="1347"/>
      <c r="CS286" s="1347"/>
      <c r="CT286" s="1347"/>
      <c r="CU286" s="1347"/>
      <c r="CV286" s="1347"/>
      <c r="CW286" s="1321"/>
      <c r="CX286" s="134"/>
      <c r="CY286" s="134"/>
      <c r="CZ286"/>
      <c r="DA286"/>
      <c r="DB286"/>
      <c r="DC286"/>
      <c r="DD286"/>
    </row>
    <row r="287" spans="1:108" s="222" customFormat="1">
      <c r="A287" s="395" t="s">
        <v>206</v>
      </c>
      <c r="B287" s="180">
        <v>68</v>
      </c>
      <c r="C287" s="180">
        <v>0</v>
      </c>
      <c r="D287" s="180">
        <v>0</v>
      </c>
      <c r="E287" s="180">
        <v>169</v>
      </c>
      <c r="F287" s="180">
        <v>148</v>
      </c>
      <c r="G287" s="180">
        <v>253</v>
      </c>
      <c r="H287" s="183">
        <v>58</v>
      </c>
      <c r="I287" s="178">
        <v>44</v>
      </c>
      <c r="J287" s="183">
        <v>26</v>
      </c>
      <c r="K287" s="178">
        <v>79</v>
      </c>
      <c r="L287" s="180">
        <f>SUM(H287:K287)</f>
        <v>207</v>
      </c>
      <c r="M287" s="183">
        <v>30</v>
      </c>
      <c r="N287" s="178">
        <v>59</v>
      </c>
      <c r="O287" s="183">
        <v>59</v>
      </c>
      <c r="P287" s="178">
        <v>-4</v>
      </c>
      <c r="Q287" s="180">
        <f>SUM(M287:P287)</f>
        <v>144</v>
      </c>
      <c r="R287" s="183">
        <v>27</v>
      </c>
      <c r="S287" s="178">
        <v>3</v>
      </c>
      <c r="T287" s="183">
        <v>38</v>
      </c>
      <c r="U287" s="183">
        <v>74</v>
      </c>
      <c r="V287" s="180">
        <f>SUM(R287:U287)</f>
        <v>142</v>
      </c>
      <c r="W287" s="183">
        <v>168</v>
      </c>
      <c r="X287" s="178">
        <v>-11</v>
      </c>
      <c r="Y287" s="183">
        <v>2</v>
      </c>
      <c r="Z287" s="183">
        <v>118</v>
      </c>
      <c r="AA287" s="180">
        <f>SUM(W287:Z287)</f>
        <v>277</v>
      </c>
      <c r="AB287" s="183">
        <v>138</v>
      </c>
      <c r="AC287" s="178">
        <v>37</v>
      </c>
      <c r="AD287" s="183">
        <v>11</v>
      </c>
      <c r="AE287" s="183">
        <v>12</v>
      </c>
      <c r="AF287" s="180">
        <f t="shared" si="734"/>
        <v>198</v>
      </c>
      <c r="AG287" s="183">
        <v>78</v>
      </c>
      <c r="AH287" s="178">
        <v>33</v>
      </c>
      <c r="AI287" s="183">
        <v>10</v>
      </c>
      <c r="AJ287" s="183">
        <f>146-SUM(AG287:AI287)</f>
        <v>25</v>
      </c>
      <c r="AK287" s="180">
        <f t="shared" si="735"/>
        <v>146</v>
      </c>
      <c r="AL287" s="183">
        <v>12</v>
      </c>
      <c r="AM287" s="183">
        <f>212-AL287</f>
        <v>200</v>
      </c>
      <c r="AN287" s="183">
        <f>484-SUM(AL287:AM287)</f>
        <v>272</v>
      </c>
      <c r="AO287" s="183">
        <f>583-SUM(AL287:AN287)</f>
        <v>99</v>
      </c>
      <c r="AP287" s="180">
        <f>SUM(AL287:AO287)</f>
        <v>583</v>
      </c>
      <c r="AQ287" s="182">
        <v>249</v>
      </c>
      <c r="AR287" s="183">
        <f>415-AQ287</f>
        <v>166</v>
      </c>
      <c r="AS287" s="183">
        <f>475-SUM(AQ287:AR287)</f>
        <v>60</v>
      </c>
      <c r="AT287" s="183">
        <f>547-SUM(AQ287:AS287)</f>
        <v>72</v>
      </c>
      <c r="AU287" s="180">
        <f t="shared" si="741"/>
        <v>547</v>
      </c>
      <c r="AV287" s="737">
        <v>87</v>
      </c>
      <c r="AW287" s="729">
        <f>198-AV287</f>
        <v>111</v>
      </c>
      <c r="AX287" s="729">
        <f>240-SUM(AV287:AW287)</f>
        <v>42</v>
      </c>
      <c r="AY287" s="729">
        <f t="shared" si="736"/>
        <v>28</v>
      </c>
      <c r="AZ287" s="180">
        <v>268</v>
      </c>
      <c r="BA287" s="180">
        <v>268</v>
      </c>
      <c r="BB287" s="737">
        <v>33</v>
      </c>
      <c r="BC287" s="729">
        <f>92-BB287</f>
        <v>59</v>
      </c>
      <c r="BD287" s="729">
        <f>211-SUM(BB287:BC287)</f>
        <v>119</v>
      </c>
      <c r="BE287" s="729">
        <f t="shared" si="731"/>
        <v>81</v>
      </c>
      <c r="BF287" s="790">
        <v>292</v>
      </c>
      <c r="BG287" s="737">
        <v>33</v>
      </c>
      <c r="BH287" s="729">
        <v>0</v>
      </c>
      <c r="BI287" s="729"/>
      <c r="BJ287" s="729"/>
      <c r="BK287" s="180">
        <v>268</v>
      </c>
      <c r="BL287" s="737">
        <v>0</v>
      </c>
      <c r="BM287" s="729">
        <v>0</v>
      </c>
      <c r="BN287" s="729">
        <v>0</v>
      </c>
      <c r="BO287" s="729">
        <v>163</v>
      </c>
      <c r="BP287" s="1077">
        <f t="shared" si="737"/>
        <v>163</v>
      </c>
      <c r="BQ287" s="737">
        <f t="shared" ref="BQ287:BT287" si="743">BQ259*BQ253*0.8</f>
        <v>83.361007916190516</v>
      </c>
      <c r="BR287" s="729">
        <f t="shared" si="743"/>
        <v>85.028228074514331</v>
      </c>
      <c r="BS287" s="729">
        <f>BS259*BS253*0.8</f>
        <v>86.728792636004613</v>
      </c>
      <c r="BT287" s="1186">
        <f t="shared" si="743"/>
        <v>88.463368488724711</v>
      </c>
      <c r="BU287" s="1077">
        <f t="shared" si="740"/>
        <v>343.58139711543413</v>
      </c>
      <c r="BV287" s="368"/>
      <c r="BW287" s="366"/>
      <c r="BX287" s="366"/>
      <c r="BY287" s="366"/>
      <c r="BZ287" s="367">
        <f>BZ259*BZ253*0.8</f>
        <v>377.93953682697759</v>
      </c>
      <c r="CA287" s="368"/>
      <c r="CB287" s="366"/>
      <c r="CC287" s="366"/>
      <c r="CD287" s="366"/>
      <c r="CE287" s="367">
        <f>CE259*CE253*0.8</f>
        <v>415.73349050967539</v>
      </c>
      <c r="CF287" s="368"/>
      <c r="CG287" s="366"/>
      <c r="CH287" s="366"/>
      <c r="CI287" s="366"/>
      <c r="CJ287" s="367">
        <f>CJ259*CJ253*0.8</f>
        <v>457.30683956064297</v>
      </c>
      <c r="CK287" s="221"/>
      <c r="CL287" s="242"/>
      <c r="CM287" s="943"/>
      <c r="CN287" s="703"/>
      <c r="CO287" s="1348"/>
      <c r="CP287" s="1347"/>
      <c r="CQ287" s="1347"/>
      <c r="CR287" s="1347"/>
      <c r="CS287" s="1347"/>
      <c r="CT287" s="1347"/>
      <c r="CU287" s="1347"/>
      <c r="CV287" s="1347"/>
      <c r="CW287" s="1321"/>
      <c r="CX287" s="134"/>
      <c r="CY287" s="134"/>
      <c r="CZ287"/>
      <c r="DA287"/>
      <c r="DB287"/>
      <c r="DC287"/>
      <c r="DD287"/>
    </row>
    <row r="288" spans="1:108" s="222" customFormat="1">
      <c r="A288" s="347" t="s">
        <v>205</v>
      </c>
      <c r="B288" s="180">
        <f t="shared" ref="B288:AT288" si="744">B289-B284-B283-B285-B282-B287-B286</f>
        <v>-153</v>
      </c>
      <c r="C288" s="180">
        <f t="shared" si="744"/>
        <v>-49</v>
      </c>
      <c r="D288" s="180">
        <f t="shared" si="744"/>
        <v>25</v>
      </c>
      <c r="E288" s="180">
        <f t="shared" si="744"/>
        <v>-793</v>
      </c>
      <c r="F288" s="180">
        <f t="shared" si="744"/>
        <v>-6</v>
      </c>
      <c r="G288" s="180">
        <f t="shared" si="744"/>
        <v>152</v>
      </c>
      <c r="H288" s="183">
        <f t="shared" si="744"/>
        <v>-96</v>
      </c>
      <c r="I288" s="178">
        <f t="shared" si="744"/>
        <v>7</v>
      </c>
      <c r="J288" s="183">
        <f t="shared" si="744"/>
        <v>16</v>
      </c>
      <c r="K288" s="178">
        <f t="shared" si="744"/>
        <v>30</v>
      </c>
      <c r="L288" s="180">
        <f t="shared" si="744"/>
        <v>-43</v>
      </c>
      <c r="M288" s="183">
        <f t="shared" si="744"/>
        <v>14</v>
      </c>
      <c r="N288" s="178">
        <f t="shared" si="744"/>
        <v>8</v>
      </c>
      <c r="O288" s="183">
        <f t="shared" si="744"/>
        <v>-204</v>
      </c>
      <c r="P288" s="178">
        <f t="shared" si="744"/>
        <v>-37</v>
      </c>
      <c r="Q288" s="180">
        <f t="shared" si="744"/>
        <v>-219</v>
      </c>
      <c r="R288" s="183">
        <f t="shared" si="744"/>
        <v>-1</v>
      </c>
      <c r="S288" s="178">
        <f t="shared" si="744"/>
        <v>-5</v>
      </c>
      <c r="T288" s="183">
        <f t="shared" si="744"/>
        <v>-2</v>
      </c>
      <c r="U288" s="183">
        <f t="shared" si="744"/>
        <v>3</v>
      </c>
      <c r="V288" s="180">
        <f t="shared" si="744"/>
        <v>-5</v>
      </c>
      <c r="W288" s="183">
        <f t="shared" si="744"/>
        <v>16</v>
      </c>
      <c r="X288" s="178">
        <f t="shared" si="744"/>
        <v>0</v>
      </c>
      <c r="Y288" s="183">
        <f t="shared" si="744"/>
        <v>0</v>
      </c>
      <c r="Z288" s="183">
        <f t="shared" si="744"/>
        <v>-3</v>
      </c>
      <c r="AA288" s="180">
        <f t="shared" si="744"/>
        <v>13</v>
      </c>
      <c r="AB288" s="183">
        <f t="shared" si="744"/>
        <v>15</v>
      </c>
      <c r="AC288" s="178">
        <f t="shared" si="744"/>
        <v>-17</v>
      </c>
      <c r="AD288" s="183">
        <f t="shared" si="744"/>
        <v>-4</v>
      </c>
      <c r="AE288" s="183">
        <f t="shared" si="744"/>
        <v>1</v>
      </c>
      <c r="AF288" s="180">
        <f t="shared" si="744"/>
        <v>-5</v>
      </c>
      <c r="AG288" s="183">
        <f t="shared" si="744"/>
        <v>1</v>
      </c>
      <c r="AH288" s="178">
        <f t="shared" si="744"/>
        <v>27</v>
      </c>
      <c r="AI288" s="183">
        <f t="shared" si="744"/>
        <v>-26</v>
      </c>
      <c r="AJ288" s="183">
        <f t="shared" si="744"/>
        <v>-17</v>
      </c>
      <c r="AK288" s="180">
        <f t="shared" si="744"/>
        <v>-15</v>
      </c>
      <c r="AL288" s="183">
        <f t="shared" si="744"/>
        <v>12</v>
      </c>
      <c r="AM288" s="183">
        <f t="shared" si="744"/>
        <v>4</v>
      </c>
      <c r="AN288" s="183">
        <f t="shared" si="744"/>
        <v>30</v>
      </c>
      <c r="AO288" s="183">
        <f t="shared" si="744"/>
        <v>-23</v>
      </c>
      <c r="AP288" s="180">
        <f t="shared" si="744"/>
        <v>23</v>
      </c>
      <c r="AQ288" s="183">
        <f t="shared" si="744"/>
        <v>32</v>
      </c>
      <c r="AR288" s="183">
        <f t="shared" si="744"/>
        <v>22</v>
      </c>
      <c r="AS288" s="183">
        <f t="shared" si="744"/>
        <v>12</v>
      </c>
      <c r="AT288" s="183">
        <f t="shared" si="744"/>
        <v>16</v>
      </c>
      <c r="AU288" s="180">
        <f t="shared" si="741"/>
        <v>82</v>
      </c>
      <c r="AV288" s="183">
        <f>AV289-AV284-AV283-AV285-AV282-AV287-AV286</f>
        <v>30</v>
      </c>
      <c r="AW288" s="183">
        <f>AW289-AW284-AW283-AW285-AW282-AW287-AW286</f>
        <v>-55</v>
      </c>
      <c r="AX288" s="729">
        <v>0</v>
      </c>
      <c r="AY288" s="729">
        <f t="shared" si="736"/>
        <v>-4</v>
      </c>
      <c r="AZ288" s="790">
        <f>AZ289-AZ284-AZ283-AZ285-AZ282-AZ287-AZ286</f>
        <v>-29</v>
      </c>
      <c r="BA288" s="790">
        <f>BA289-BA284-BA283-BA285-BA282-BA287-BA286</f>
        <v>-29</v>
      </c>
      <c r="BB288" s="183">
        <f>BB289-BB284-BB283-BB285-BB282-BB287-BB286</f>
        <v>15</v>
      </c>
      <c r="BC288" s="729">
        <f>BC289-BC284-BC283-BC285-BC282-BC287-BC286</f>
        <v>-11</v>
      </c>
      <c r="BD288" s="729">
        <f>BD289-BD284-BD283-BD285-BD282-BD287-BD286</f>
        <v>-43</v>
      </c>
      <c r="BE288" s="729">
        <f t="shared" si="731"/>
        <v>-7</v>
      </c>
      <c r="BF288" s="790">
        <f>BF289-BF284-BF283-BF285-BF282-BF287-BF286</f>
        <v>-46</v>
      </c>
      <c r="BG288" s="183">
        <f>BG289-BG284-BG283-BG285-BG282-BG287-BG286</f>
        <v>-26</v>
      </c>
      <c r="BH288" s="729">
        <f>BH289-BH284-BH283-BH285-BH282-BH287-BH286</f>
        <v>-128</v>
      </c>
      <c r="BI288" s="729"/>
      <c r="BJ288" s="729"/>
      <c r="BK288" s="790">
        <f>BK289-BK284-BK283-BK285-BK282-BK287-BK286</f>
        <v>79</v>
      </c>
      <c r="BL288" s="183">
        <f>BL289-BL284-BL283-BL285-BL282-BL287-BL286</f>
        <v>-22</v>
      </c>
      <c r="BM288" s="729">
        <f>BM289-BM284-BM283-BM285-BM282-BM287-BM286</f>
        <v>130</v>
      </c>
      <c r="BN288" s="729">
        <f>41-BM288-BL288</f>
        <v>-67</v>
      </c>
      <c r="BO288" s="729">
        <f>-103-BN288-BM288-BL288</f>
        <v>-144</v>
      </c>
      <c r="BP288" s="1077">
        <f t="shared" si="737"/>
        <v>-103</v>
      </c>
      <c r="BQ288" s="368">
        <v>0</v>
      </c>
      <c r="BR288" s="366">
        <v>0</v>
      </c>
      <c r="BS288" s="366">
        <v>0</v>
      </c>
      <c r="BT288" s="1151">
        <v>0</v>
      </c>
      <c r="BU288" s="1077">
        <f t="shared" si="740"/>
        <v>0</v>
      </c>
      <c r="BV288" s="368"/>
      <c r="BW288" s="366"/>
      <c r="BX288" s="366"/>
      <c r="BY288" s="366"/>
      <c r="BZ288" s="367">
        <v>0</v>
      </c>
      <c r="CA288" s="368"/>
      <c r="CB288" s="366"/>
      <c r="CC288" s="366"/>
      <c r="CD288" s="366"/>
      <c r="CE288" s="367">
        <v>0</v>
      </c>
      <c r="CF288" s="368"/>
      <c r="CG288" s="366"/>
      <c r="CH288" s="366"/>
      <c r="CI288" s="366"/>
      <c r="CJ288" s="367">
        <v>0</v>
      </c>
      <c r="CK288" s="221"/>
      <c r="CL288" s="242"/>
      <c r="CM288" s="943"/>
      <c r="CN288" s="703"/>
      <c r="CO288" s="703"/>
      <c r="CP288" s="1002"/>
      <c r="CQ288" s="703"/>
      <c r="CR288" s="572"/>
      <c r="CS288" s="572"/>
      <c r="CT288" s="572"/>
      <c r="CU288" s="572"/>
      <c r="CV288" s="572"/>
      <c r="CW288" s="233"/>
      <c r="CX288" s="134"/>
      <c r="CY288" s="134"/>
      <c r="CZ288"/>
      <c r="DA288"/>
      <c r="DB288"/>
      <c r="DC288"/>
      <c r="DD288"/>
    </row>
    <row r="289" spans="1:108" s="222" customFormat="1">
      <c r="A289" s="309" t="s">
        <v>72</v>
      </c>
      <c r="B289" s="310">
        <v>908</v>
      </c>
      <c r="C289" s="310">
        <v>-836</v>
      </c>
      <c r="D289" s="310">
        <v>2041</v>
      </c>
      <c r="E289" s="310">
        <v>-902</v>
      </c>
      <c r="F289" s="310">
        <v>-520</v>
      </c>
      <c r="G289" s="310">
        <v>-539</v>
      </c>
      <c r="H289" s="309">
        <v>-284</v>
      </c>
      <c r="I289" s="309">
        <v>-66</v>
      </c>
      <c r="J289" s="309">
        <v>-389</v>
      </c>
      <c r="K289" s="309">
        <v>-47</v>
      </c>
      <c r="L289" s="310">
        <v>-786</v>
      </c>
      <c r="M289" s="309">
        <v>-592</v>
      </c>
      <c r="N289" s="309">
        <v>-714</v>
      </c>
      <c r="O289" s="309">
        <v>-672</v>
      </c>
      <c r="P289" s="309">
        <v>1247</v>
      </c>
      <c r="Q289" s="310">
        <v>-731</v>
      </c>
      <c r="R289" s="309">
        <v>-358</v>
      </c>
      <c r="S289" s="309">
        <v>-116</v>
      </c>
      <c r="T289" s="309">
        <v>-162</v>
      </c>
      <c r="U289" s="309">
        <v>-170</v>
      </c>
      <c r="V289" s="310">
        <v>-806</v>
      </c>
      <c r="W289" s="309">
        <v>-163</v>
      </c>
      <c r="X289" s="309">
        <v>-485</v>
      </c>
      <c r="Y289" s="309">
        <v>-1074</v>
      </c>
      <c r="Z289" s="309">
        <v>-504</v>
      </c>
      <c r="AA289" s="310">
        <v>-2226</v>
      </c>
      <c r="AB289" s="309">
        <v>-318</v>
      </c>
      <c r="AC289" s="309">
        <v>-963</v>
      </c>
      <c r="AD289" s="309">
        <v>455</v>
      </c>
      <c r="AE289" s="309">
        <v>-375</v>
      </c>
      <c r="AF289" s="310">
        <v>-1201</v>
      </c>
      <c r="AG289" s="309">
        <v>-166</v>
      </c>
      <c r="AH289" s="309">
        <v>-640</v>
      </c>
      <c r="AI289" s="309">
        <v>-206</v>
      </c>
      <c r="AJ289" s="309">
        <v>-370</v>
      </c>
      <c r="AK289" s="310">
        <v>-1382</v>
      </c>
      <c r="AL289" s="309">
        <v>24</v>
      </c>
      <c r="AM289" s="309">
        <v>-479</v>
      </c>
      <c r="AN289" s="309">
        <f>-560-SUM(AL289:AM289)</f>
        <v>-105</v>
      </c>
      <c r="AO289" s="309">
        <f>-725-SUM(AL289:AN289)</f>
        <v>-165</v>
      </c>
      <c r="AP289" s="310">
        <f>SUM(AL289:AO289)</f>
        <v>-725</v>
      </c>
      <c r="AQ289" s="27">
        <v>-1347</v>
      </c>
      <c r="AR289" s="309">
        <f>-2633-AQ289</f>
        <v>-1286</v>
      </c>
      <c r="AS289" s="309">
        <f>-3194-SUM(AQ289:AR289)</f>
        <v>-561</v>
      </c>
      <c r="AT289" s="309">
        <f>-3575-SUM(AQ289:AS289)</f>
        <v>-381</v>
      </c>
      <c r="AU289" s="310">
        <v>-3675</v>
      </c>
      <c r="AV289" s="27">
        <v>-1209</v>
      </c>
      <c r="AW289" s="309">
        <f>-2324-AV289</f>
        <v>-1115</v>
      </c>
      <c r="AX289" s="799">
        <f>-3673-SUM(AV289:AW289)</f>
        <v>-1349</v>
      </c>
      <c r="AY289" s="799">
        <f t="shared" si="736"/>
        <v>-694</v>
      </c>
      <c r="AZ289" s="310">
        <v>-4367</v>
      </c>
      <c r="BA289" s="310">
        <v>-4367</v>
      </c>
      <c r="BB289" s="27">
        <v>-1193</v>
      </c>
      <c r="BC289" s="309">
        <f>-1540-BB289</f>
        <v>-347</v>
      </c>
      <c r="BD289" s="799">
        <f>-1528-SUM(BB289:BC289)</f>
        <v>12</v>
      </c>
      <c r="BE289" s="799">
        <f t="shared" si="731"/>
        <v>-641</v>
      </c>
      <c r="BF289" s="310">
        <v>-2169</v>
      </c>
      <c r="BG289" s="27">
        <v>-1234</v>
      </c>
      <c r="BH289" s="309">
        <f>-1540-BG289</f>
        <v>-306</v>
      </c>
      <c r="BI289" s="799"/>
      <c r="BJ289" s="799"/>
      <c r="BK289" s="310">
        <v>-4259</v>
      </c>
      <c r="BL289" s="27">
        <v>-606</v>
      </c>
      <c r="BM289" s="309">
        <f>-1276-BL289</f>
        <v>-670</v>
      </c>
      <c r="BN289" s="309">
        <f t="shared" ref="BN289:BU289" si="745">SUM(BN282:BN288)</f>
        <v>395</v>
      </c>
      <c r="BO289" s="799">
        <f t="shared" si="745"/>
        <v>-1518</v>
      </c>
      <c r="BP289" s="27">
        <f>SUM(BP282:BP288)</f>
        <v>-2399</v>
      </c>
      <c r="BQ289" s="27">
        <f t="shared" si="745"/>
        <v>-312.95865197904754</v>
      </c>
      <c r="BR289" s="309">
        <f t="shared" si="745"/>
        <v>7186.6245429813707</v>
      </c>
      <c r="BS289" s="309">
        <f t="shared" si="745"/>
        <v>-313.80059815900108</v>
      </c>
      <c r="BT289" s="1152">
        <f t="shared" si="745"/>
        <v>-314.23424212218112</v>
      </c>
      <c r="BU289" s="310">
        <f t="shared" si="745"/>
        <v>6245.631050721141</v>
      </c>
      <c r="BV289" s="27"/>
      <c r="BW289" s="309"/>
      <c r="BX289" s="309"/>
      <c r="BY289" s="309"/>
      <c r="BZ289" s="310">
        <f>SUM(BZ282:BZ288)</f>
        <v>-3879.8058442067445</v>
      </c>
      <c r="CA289" s="27"/>
      <c r="CB289" s="309"/>
      <c r="CC289" s="309"/>
      <c r="CD289" s="309"/>
      <c r="CE289" s="310">
        <f>SUM(CE282:CE288)</f>
        <v>-4017.7864286274184</v>
      </c>
      <c r="CF289" s="27"/>
      <c r="CG289" s="309"/>
      <c r="CH289" s="309"/>
      <c r="CI289" s="309"/>
      <c r="CJ289" s="310">
        <f>SUM(CJ282:CJ288)</f>
        <v>-4335.6403125775932</v>
      </c>
      <c r="CK289" s="221"/>
      <c r="CL289" s="242"/>
      <c r="CM289" s="943"/>
      <c r="CN289" s="703"/>
      <c r="CO289" s="703"/>
      <c r="CP289" s="1002"/>
      <c r="CQ289" s="703"/>
      <c r="CR289" s="1320"/>
      <c r="CS289" s="572"/>
      <c r="CT289" s="572"/>
      <c r="CU289" s="572"/>
      <c r="CV289" s="572"/>
      <c r="CW289" s="233"/>
      <c r="CX289" s="134"/>
      <c r="CY289" s="134"/>
      <c r="CZ289"/>
      <c r="DA289"/>
      <c r="DB289"/>
      <c r="DC289"/>
      <c r="DD289"/>
    </row>
    <row r="290" spans="1:108" s="222" customFormat="1">
      <c r="A290" s="311" t="s">
        <v>106</v>
      </c>
      <c r="B290" s="190"/>
      <c r="C290" s="190"/>
      <c r="D290" s="190"/>
      <c r="E290" s="190"/>
      <c r="F290" s="190"/>
      <c r="G290" s="190"/>
      <c r="H290" s="183"/>
      <c r="I290" s="178"/>
      <c r="J290" s="183"/>
      <c r="K290" s="179">
        <f>L290-SUM(H290:J290)</f>
        <v>0</v>
      </c>
      <c r="L290" s="190"/>
      <c r="M290" s="179"/>
      <c r="N290" s="178"/>
      <c r="O290" s="183"/>
      <c r="P290" s="179">
        <f>Q290-SUM(M290:O290)</f>
        <v>0</v>
      </c>
      <c r="Q290" s="190"/>
      <c r="R290" s="179">
        <v>-6</v>
      </c>
      <c r="S290" s="183">
        <f>-9-R290</f>
        <v>-3</v>
      </c>
      <c r="T290" s="183">
        <f>-12-SUM(R290:S290)</f>
        <v>-3</v>
      </c>
      <c r="U290" s="179">
        <f>+V290-SUM(R290:T290)</f>
        <v>-3</v>
      </c>
      <c r="V290" s="180">
        <v>-15</v>
      </c>
      <c r="W290" s="179">
        <v>-3</v>
      </c>
      <c r="X290" s="183">
        <f>-3-W290</f>
        <v>0</v>
      </c>
      <c r="Y290" s="183">
        <f>-4-SUM(W290:X290)</f>
        <v>-1</v>
      </c>
      <c r="Z290" s="179">
        <f>AA290-SUM(W290:Y290)</f>
        <v>2</v>
      </c>
      <c r="AA290" s="180">
        <v>-2</v>
      </c>
      <c r="AB290" s="262">
        <v>-1</v>
      </c>
      <c r="AC290" s="262">
        <v>-2</v>
      </c>
      <c r="AD290" s="262">
        <v>-6</v>
      </c>
      <c r="AE290" s="262">
        <f>-27-AD290-AC290-AB290</f>
        <v>-18</v>
      </c>
      <c r="AF290" s="190">
        <f>SUM(AB290:AE290)</f>
        <v>-27</v>
      </c>
      <c r="AG290" s="179">
        <v>-1</v>
      </c>
      <c r="AH290" s="183">
        <f>0-AG290</f>
        <v>1</v>
      </c>
      <c r="AI290" s="183">
        <f>-2-AH290-AG290</f>
        <v>-2</v>
      </c>
      <c r="AJ290" s="179">
        <f>-2-AG290-AH290-AI290</f>
        <v>0</v>
      </c>
      <c r="AK290" s="190">
        <f>SUM(AG290:AJ290)</f>
        <v>-2</v>
      </c>
      <c r="AL290" s="183">
        <v>-3</v>
      </c>
      <c r="AM290" s="183">
        <f>-3-AL290</f>
        <v>0</v>
      </c>
      <c r="AN290" s="183">
        <f>-5-SUM(AL290:AM290)</f>
        <v>-2</v>
      </c>
      <c r="AO290" s="179">
        <f>-9-SUM(AL290:AN290)</f>
        <v>-4</v>
      </c>
      <c r="AP290" s="190">
        <f>+SUM(AL290:AO290)</f>
        <v>-9</v>
      </c>
      <c r="AQ290" s="192">
        <v>-9</v>
      </c>
      <c r="AR290" s="730">
        <f>24-AQ290</f>
        <v>33</v>
      </c>
      <c r="AS290" s="730">
        <f>26-SUM(AQ290:AR290)</f>
        <v>2</v>
      </c>
      <c r="AT290" s="730">
        <f>36-SUM(AQ290:AS290)</f>
        <v>10</v>
      </c>
      <c r="AU290" s="190">
        <f t="shared" si="741"/>
        <v>36</v>
      </c>
      <c r="AV290" s="785">
        <v>-8</v>
      </c>
      <c r="AW290" s="730">
        <f>-16-AV290</f>
        <v>-8</v>
      </c>
      <c r="AX290" s="730">
        <f>-31-SUM(AV290:AW290)</f>
        <v>-15</v>
      </c>
      <c r="AY290" s="730">
        <f t="shared" si="736"/>
        <v>-12</v>
      </c>
      <c r="AZ290" s="190">
        <v>-43</v>
      </c>
      <c r="BA290" s="190">
        <v>-43</v>
      </c>
      <c r="BB290" s="785">
        <v>-6</v>
      </c>
      <c r="BC290" s="730">
        <f>-34-BB290</f>
        <v>-28</v>
      </c>
      <c r="BD290" s="730">
        <f>-44-SUM(BB290:BC290)</f>
        <v>-10</v>
      </c>
      <c r="BE290" s="730">
        <f t="shared" si="731"/>
        <v>-10</v>
      </c>
      <c r="BF290" s="792">
        <v>-54</v>
      </c>
      <c r="BG290" s="785">
        <v>-6</v>
      </c>
      <c r="BH290" s="730">
        <f>-34-BG290</f>
        <v>-28</v>
      </c>
      <c r="BI290" s="730"/>
      <c r="BJ290" s="730"/>
      <c r="BK290" s="190">
        <f>+BF290</f>
        <v>-54</v>
      </c>
      <c r="BL290" s="785">
        <v>-8</v>
      </c>
      <c r="BM290" s="730">
        <f>-17-BL290</f>
        <v>-9</v>
      </c>
      <c r="BN290" s="730">
        <f>-28-BM290-BL290</f>
        <v>-11</v>
      </c>
      <c r="BO290" s="730">
        <f>-40-BN290-BM290-BL290</f>
        <v>-12</v>
      </c>
      <c r="BP290" s="1078">
        <f>+SUM(BL290:BO290)</f>
        <v>-40</v>
      </c>
      <c r="BQ290" s="419">
        <v>0</v>
      </c>
      <c r="BR290" s="420">
        <v>0</v>
      </c>
      <c r="BS290" s="420">
        <v>0</v>
      </c>
      <c r="BT290" s="1156">
        <v>0</v>
      </c>
      <c r="BU290" s="1078">
        <f>+SUM(BQ290:BT290)</f>
        <v>0</v>
      </c>
      <c r="BV290" s="419"/>
      <c r="BW290" s="420"/>
      <c r="BX290" s="420"/>
      <c r="BY290" s="420"/>
      <c r="BZ290" s="478">
        <v>0</v>
      </c>
      <c r="CA290" s="419"/>
      <c r="CB290" s="420"/>
      <c r="CC290" s="420"/>
      <c r="CD290" s="420"/>
      <c r="CE290" s="478">
        <v>0</v>
      </c>
      <c r="CF290" s="419"/>
      <c r="CG290" s="420"/>
      <c r="CH290" s="420"/>
      <c r="CI290" s="420"/>
      <c r="CJ290" s="478">
        <v>0</v>
      </c>
      <c r="CK290" s="221"/>
      <c r="CL290" s="242"/>
      <c r="CM290" s="703"/>
      <c r="CN290" s="703"/>
      <c r="CO290" s="703"/>
      <c r="CP290" s="1002"/>
      <c r="CQ290" s="703"/>
      <c r="CR290" s="1320"/>
      <c r="CS290" s="572"/>
      <c r="CT290" s="572"/>
      <c r="CU290" s="572"/>
      <c r="CV290" s="572"/>
      <c r="CW290" s="233"/>
      <c r="CX290" s="134"/>
      <c r="CY290" s="134"/>
      <c r="CZ290"/>
      <c r="DA290"/>
      <c r="DB290"/>
      <c r="DC290"/>
      <c r="DD290"/>
    </row>
    <row r="291" spans="1:108" s="222" customFormat="1">
      <c r="A291" s="312" t="s">
        <v>73</v>
      </c>
      <c r="B291" s="219">
        <f t="shared" ref="B291:AG291" si="746">SUM(B273,B281,B289,B290)</f>
        <v>263</v>
      </c>
      <c r="C291" s="219">
        <f t="shared" si="746"/>
        <v>-112</v>
      </c>
      <c r="D291" s="219">
        <f t="shared" si="746"/>
        <v>534</v>
      </c>
      <c r="E291" s="219">
        <f t="shared" si="746"/>
        <v>115</v>
      </c>
      <c r="F291" s="219">
        <f t="shared" si="746"/>
        <v>1355</v>
      </c>
      <c r="G291" s="219">
        <f t="shared" si="746"/>
        <v>-727</v>
      </c>
      <c r="H291" s="134">
        <f t="shared" si="746"/>
        <v>-112</v>
      </c>
      <c r="I291" s="134">
        <f t="shared" si="746"/>
        <v>302</v>
      </c>
      <c r="J291" s="134">
        <f t="shared" si="746"/>
        <v>239</v>
      </c>
      <c r="K291" s="134">
        <f t="shared" si="746"/>
        <v>858</v>
      </c>
      <c r="L291" s="219">
        <f t="shared" si="746"/>
        <v>1287</v>
      </c>
      <c r="M291" s="134">
        <f t="shared" si="746"/>
        <v>-286</v>
      </c>
      <c r="N291" s="134">
        <f t="shared" si="746"/>
        <v>135</v>
      </c>
      <c r="O291" s="134">
        <f t="shared" si="746"/>
        <v>-123</v>
      </c>
      <c r="P291" s="134">
        <f t="shared" si="746"/>
        <v>-996</v>
      </c>
      <c r="Q291" s="219">
        <f t="shared" si="746"/>
        <v>-1270</v>
      </c>
      <c r="R291" s="134">
        <f t="shared" si="746"/>
        <v>-495</v>
      </c>
      <c r="S291" s="134">
        <f t="shared" si="746"/>
        <v>488</v>
      </c>
      <c r="T291" s="134">
        <f t="shared" si="746"/>
        <v>-205</v>
      </c>
      <c r="U291" s="134">
        <f t="shared" si="746"/>
        <v>854</v>
      </c>
      <c r="V291" s="219">
        <f t="shared" si="746"/>
        <v>642</v>
      </c>
      <c r="W291" s="134">
        <f t="shared" si="746"/>
        <v>-238</v>
      </c>
      <c r="X291" s="134">
        <f t="shared" si="746"/>
        <v>-172</v>
      </c>
      <c r="Y291" s="134">
        <f t="shared" si="746"/>
        <v>-10</v>
      </c>
      <c r="Z291" s="134">
        <f t="shared" si="746"/>
        <v>770</v>
      </c>
      <c r="AA291" s="219">
        <f t="shared" si="746"/>
        <v>350</v>
      </c>
      <c r="AB291" s="134">
        <f t="shared" si="746"/>
        <v>-129</v>
      </c>
      <c r="AC291" s="134">
        <f t="shared" si="746"/>
        <v>-327</v>
      </c>
      <c r="AD291" s="134">
        <f t="shared" si="746"/>
        <v>-620</v>
      </c>
      <c r="AE291" s="134">
        <f t="shared" si="746"/>
        <v>1112</v>
      </c>
      <c r="AF291" s="219">
        <f t="shared" si="746"/>
        <v>36</v>
      </c>
      <c r="AG291" s="134">
        <f t="shared" si="746"/>
        <v>-17</v>
      </c>
      <c r="AH291" s="134">
        <f t="shared" ref="AH291:BK291" si="747">SUM(AH273,AH281,AH289,AH290)</f>
        <v>-92</v>
      </c>
      <c r="AI291" s="134">
        <f t="shared" si="747"/>
        <v>334</v>
      </c>
      <c r="AJ291" s="134">
        <f t="shared" si="747"/>
        <v>422</v>
      </c>
      <c r="AK291" s="219">
        <f t="shared" si="747"/>
        <v>647</v>
      </c>
      <c r="AL291" s="134">
        <f t="shared" si="747"/>
        <v>449</v>
      </c>
      <c r="AM291" s="134">
        <f t="shared" si="747"/>
        <v>12</v>
      </c>
      <c r="AN291" s="134">
        <f t="shared" si="747"/>
        <v>308</v>
      </c>
      <c r="AO291" s="134">
        <f t="shared" si="747"/>
        <v>1236</v>
      </c>
      <c r="AP291" s="219">
        <f t="shared" si="747"/>
        <v>2005</v>
      </c>
      <c r="AQ291" s="220">
        <f t="shared" si="747"/>
        <v>-1005</v>
      </c>
      <c r="AR291" s="134">
        <f t="shared" si="747"/>
        <v>-455</v>
      </c>
      <c r="AS291" s="134">
        <f t="shared" si="747"/>
        <v>1264</v>
      </c>
      <c r="AT291" s="134">
        <f t="shared" si="747"/>
        <v>-617</v>
      </c>
      <c r="AU291" s="219">
        <f t="shared" si="747"/>
        <v>-913</v>
      </c>
      <c r="AV291" s="220">
        <f t="shared" si="747"/>
        <v>24</v>
      </c>
      <c r="AW291" s="134">
        <f t="shared" si="747"/>
        <v>-380</v>
      </c>
      <c r="AX291" s="438">
        <f t="shared" si="747"/>
        <v>-660</v>
      </c>
      <c r="AY291" s="134">
        <f t="shared" si="747"/>
        <v>-587</v>
      </c>
      <c r="AZ291" s="219">
        <f t="shared" si="747"/>
        <v>-1603</v>
      </c>
      <c r="BA291" s="219">
        <f t="shared" ref="BA291" si="748">SUM(BA273,BA281,BA289,BA290)</f>
        <v>-1603</v>
      </c>
      <c r="BB291" s="220">
        <f t="shared" si="747"/>
        <v>-878</v>
      </c>
      <c r="BC291" s="134">
        <f t="shared" si="747"/>
        <v>-8</v>
      </c>
      <c r="BD291" s="438">
        <f t="shared" si="747"/>
        <v>404</v>
      </c>
      <c r="BE291" s="438">
        <f t="shared" si="747"/>
        <v>31</v>
      </c>
      <c r="BF291" s="219">
        <f t="shared" si="747"/>
        <v>-451</v>
      </c>
      <c r="BG291" s="220">
        <f t="shared" ref="BG291" si="749">SUM(BG273,BG281,BG289,BG290)</f>
        <v>-878</v>
      </c>
      <c r="BH291" s="134">
        <f t="shared" ref="BH291" si="750">SUM(BH273,BH281,BH289,BH290)</f>
        <v>-8</v>
      </c>
      <c r="BI291" s="438"/>
      <c r="BJ291" s="438"/>
      <c r="BK291" s="219">
        <f t="shared" si="747"/>
        <v>-1614</v>
      </c>
      <c r="BL291" s="220">
        <f t="shared" ref="BL291:BT291" si="751">SUM(BL273,BL281,BL289,BL290)</f>
        <v>-166</v>
      </c>
      <c r="BM291" s="134">
        <f t="shared" si="751"/>
        <v>-312</v>
      </c>
      <c r="BN291" s="134">
        <f t="shared" si="751"/>
        <v>866</v>
      </c>
      <c r="BO291" s="438">
        <f t="shared" si="751"/>
        <v>261</v>
      </c>
      <c r="BP291" s="1061">
        <f>SUM(BP273,BP281,BP289,BP290)</f>
        <v>649</v>
      </c>
      <c r="BQ291" s="220">
        <f t="shared" si="751"/>
        <v>732.45047380188726</v>
      </c>
      <c r="BR291" s="134">
        <f t="shared" si="751"/>
        <v>-2528.9177751101897</v>
      </c>
      <c r="BS291" s="134">
        <f t="shared" si="751"/>
        <v>196.79545179052366</v>
      </c>
      <c r="BT291" s="1130">
        <f t="shared" si="751"/>
        <v>1650.3996754018103</v>
      </c>
      <c r="BU291" s="219">
        <f>SUM(BU273,BU281,BU289,BU290)</f>
        <v>50.727825884032427</v>
      </c>
      <c r="BV291" s="220"/>
      <c r="BW291" s="134"/>
      <c r="BX291" s="134"/>
      <c r="BY291" s="134"/>
      <c r="BZ291" s="219">
        <f>SUM(BZ273,BZ281,BZ289,BZ290)</f>
        <v>-55.566263678418181</v>
      </c>
      <c r="CA291" s="220"/>
      <c r="CB291" s="134"/>
      <c r="CC291" s="134"/>
      <c r="CD291" s="134"/>
      <c r="CE291" s="219">
        <f>SUM(CE273,CE281,CE289,CE290)</f>
        <v>148.63494784570275</v>
      </c>
      <c r="CF291" s="220"/>
      <c r="CG291" s="134"/>
      <c r="CH291" s="134"/>
      <c r="CI291" s="134"/>
      <c r="CJ291" s="219">
        <f>SUM(CJ273,CJ281,CJ289,CJ290)</f>
        <v>97.441696133569167</v>
      </c>
      <c r="CK291" s="221"/>
      <c r="CL291" s="242"/>
      <c r="CM291" s="703"/>
      <c r="CN291" s="703"/>
      <c r="CO291" s="703"/>
      <c r="CP291" s="1002"/>
      <c r="CQ291" s="707"/>
      <c r="CR291" s="707"/>
      <c r="CS291" s="707"/>
      <c r="CT291" s="707"/>
      <c r="CU291" s="703"/>
      <c r="CV291" s="703"/>
      <c r="CW291" s="233"/>
      <c r="CX291" s="134"/>
      <c r="CY291" s="134"/>
      <c r="CZ291"/>
      <c r="DA291"/>
      <c r="DB291"/>
      <c r="DC291"/>
      <c r="DD291"/>
    </row>
    <row r="292" spans="1:108" s="222" customFormat="1">
      <c r="A292" s="140" t="s">
        <v>88</v>
      </c>
      <c r="B292" s="119">
        <v>176</v>
      </c>
      <c r="C292" s="119">
        <f>B293</f>
        <v>439</v>
      </c>
      <c r="D292" s="119">
        <f>C293</f>
        <v>327</v>
      </c>
      <c r="E292" s="119">
        <f>D293</f>
        <v>861</v>
      </c>
      <c r="F292" s="119">
        <f>E293</f>
        <v>976</v>
      </c>
      <c r="G292" s="119">
        <f>F293</f>
        <v>2331</v>
      </c>
      <c r="H292" s="121">
        <v>1604</v>
      </c>
      <c r="I292" s="121">
        <f>H293</f>
        <v>1492</v>
      </c>
      <c r="J292" s="121">
        <f t="shared" ref="J292:AE292" si="752">I293</f>
        <v>1794</v>
      </c>
      <c r="K292" s="121">
        <f>J293</f>
        <v>2033</v>
      </c>
      <c r="L292" s="119">
        <f>G293</f>
        <v>1604</v>
      </c>
      <c r="M292" s="121">
        <f>K293</f>
        <v>2891</v>
      </c>
      <c r="N292" s="121">
        <f t="shared" si="752"/>
        <v>2605</v>
      </c>
      <c r="O292" s="121">
        <f t="shared" si="752"/>
        <v>2740</v>
      </c>
      <c r="P292" s="121">
        <f>O293</f>
        <v>2617</v>
      </c>
      <c r="Q292" s="119">
        <f>L293</f>
        <v>2891</v>
      </c>
      <c r="R292" s="121">
        <f>P293</f>
        <v>1621</v>
      </c>
      <c r="S292" s="121">
        <f t="shared" si="752"/>
        <v>1126</v>
      </c>
      <c r="T292" s="121">
        <f>S293</f>
        <v>1614</v>
      </c>
      <c r="U292" s="121">
        <f t="shared" si="752"/>
        <v>1409</v>
      </c>
      <c r="V292" s="119">
        <f>Q293</f>
        <v>1621</v>
      </c>
      <c r="W292" s="121">
        <f>U293</f>
        <v>2263</v>
      </c>
      <c r="X292" s="121">
        <f t="shared" si="752"/>
        <v>2025</v>
      </c>
      <c r="Y292" s="121">
        <f t="shared" si="752"/>
        <v>1853</v>
      </c>
      <c r="Z292" s="121">
        <f t="shared" si="752"/>
        <v>1843</v>
      </c>
      <c r="AA292" s="119">
        <f>V293</f>
        <v>2263</v>
      </c>
      <c r="AB292" s="121">
        <f>Z293</f>
        <v>2613</v>
      </c>
      <c r="AC292" s="121">
        <f t="shared" si="752"/>
        <v>2484</v>
      </c>
      <c r="AD292" s="121">
        <f t="shared" si="752"/>
        <v>2157</v>
      </c>
      <c r="AE292" s="121">
        <f t="shared" si="752"/>
        <v>1537</v>
      </c>
      <c r="AF292" s="119">
        <f>AA293</f>
        <v>2613</v>
      </c>
      <c r="AG292" s="121">
        <f>AE293</f>
        <v>2649</v>
      </c>
      <c r="AH292" s="121">
        <f>AG293</f>
        <v>2632</v>
      </c>
      <c r="AI292" s="121">
        <f>AH293</f>
        <v>2540</v>
      </c>
      <c r="AJ292" s="121">
        <f>AI293</f>
        <v>2874</v>
      </c>
      <c r="AK292" s="119">
        <f>AF293</f>
        <v>2649</v>
      </c>
      <c r="AL292" s="121">
        <f>AJ293</f>
        <v>3296</v>
      </c>
      <c r="AM292" s="121">
        <f>AL293</f>
        <v>3745</v>
      </c>
      <c r="AN292" s="121">
        <f>AM293</f>
        <v>3757</v>
      </c>
      <c r="AO292" s="121">
        <f>AN293</f>
        <v>4065</v>
      </c>
      <c r="AP292" s="119">
        <f>AK293</f>
        <v>3296</v>
      </c>
      <c r="AQ292" s="121">
        <f>AO293</f>
        <v>5301</v>
      </c>
      <c r="AR292" s="121">
        <f>AQ293</f>
        <v>4296</v>
      </c>
      <c r="AS292" s="121">
        <f>AR293</f>
        <v>3841</v>
      </c>
      <c r="AT292" s="121">
        <f>AS293</f>
        <v>5105</v>
      </c>
      <c r="AU292" s="119">
        <f>AP293</f>
        <v>5301</v>
      </c>
      <c r="AV292" s="122">
        <f>AU293</f>
        <v>4388</v>
      </c>
      <c r="AW292" s="121">
        <f>AV293</f>
        <v>4412</v>
      </c>
      <c r="AX292" s="121">
        <f>AW293</f>
        <v>4032</v>
      </c>
      <c r="AY292" s="121">
        <f>AX293</f>
        <v>3372</v>
      </c>
      <c r="AZ292" s="119">
        <f>AU293</f>
        <v>4388</v>
      </c>
      <c r="BA292" s="119">
        <f>AU293</f>
        <v>4388</v>
      </c>
      <c r="BB292" s="122">
        <f>AZ293</f>
        <v>2785</v>
      </c>
      <c r="BC292" s="121">
        <f>BB293</f>
        <v>1907</v>
      </c>
      <c r="BD292" s="121">
        <f>BC293</f>
        <v>1899</v>
      </c>
      <c r="BE292" s="121">
        <f>BD293</f>
        <v>2303</v>
      </c>
      <c r="BF292" s="119">
        <f>AZ293</f>
        <v>2785</v>
      </c>
      <c r="BG292" s="122">
        <f>AZ293</f>
        <v>2785</v>
      </c>
      <c r="BH292" s="121">
        <f>BG293</f>
        <v>1907</v>
      </c>
      <c r="BI292" s="121"/>
      <c r="BJ292" s="121"/>
      <c r="BK292" s="119">
        <f>BA293</f>
        <v>2785</v>
      </c>
      <c r="BL292" s="122">
        <f>BF293</f>
        <v>2334</v>
      </c>
      <c r="BM292" s="121">
        <f>BL293</f>
        <v>2168</v>
      </c>
      <c r="BN292" s="121">
        <f>BM293</f>
        <v>1856</v>
      </c>
      <c r="BO292" s="121">
        <f>BN293</f>
        <v>2722</v>
      </c>
      <c r="BP292" s="1056">
        <f>BF293</f>
        <v>2334</v>
      </c>
      <c r="BQ292" s="122">
        <f>BP293</f>
        <v>2983</v>
      </c>
      <c r="BR292" s="121">
        <f>BQ293</f>
        <v>3715.4504738018873</v>
      </c>
      <c r="BS292" s="121">
        <f>BR293</f>
        <v>1186.5326986916975</v>
      </c>
      <c r="BT292" s="121">
        <f>BS293</f>
        <v>1383.3281504822212</v>
      </c>
      <c r="BU292" s="119">
        <f>BP293</f>
        <v>2983</v>
      </c>
      <c r="BV292" s="122"/>
      <c r="BW292" s="121"/>
      <c r="BX292" s="121"/>
      <c r="BY292" s="121"/>
      <c r="BZ292" s="119">
        <f>BU293</f>
        <v>3033.7278258840324</v>
      </c>
      <c r="CA292" s="122"/>
      <c r="CB292" s="121"/>
      <c r="CC292" s="121"/>
      <c r="CD292" s="121"/>
      <c r="CE292" s="119">
        <f>BZ293</f>
        <v>2978.1615622056142</v>
      </c>
      <c r="CF292" s="122"/>
      <c r="CG292" s="121"/>
      <c r="CH292" s="121"/>
      <c r="CI292" s="121"/>
      <c r="CJ292" s="119">
        <f>CE293</f>
        <v>3126.796510051317</v>
      </c>
      <c r="CK292" s="221"/>
      <c r="CL292" s="242"/>
      <c r="CM292" s="703"/>
      <c r="CN292" s="703"/>
      <c r="CO292" s="703"/>
      <c r="CP292" s="1002"/>
      <c r="CQ292" s="707"/>
      <c r="CR292" s="707"/>
      <c r="CS292" s="707"/>
      <c r="CT292" s="707"/>
      <c r="CU292" s="703"/>
      <c r="CV292" s="703"/>
      <c r="CW292" s="233"/>
      <c r="CX292" s="134"/>
      <c r="CY292" s="134"/>
      <c r="CZ292"/>
      <c r="DA292"/>
      <c r="DB292"/>
      <c r="DC292"/>
      <c r="DD292"/>
    </row>
    <row r="293" spans="1:108" s="222" customFormat="1">
      <c r="A293" s="140" t="s">
        <v>74</v>
      </c>
      <c r="B293" s="139">
        <f t="shared" ref="B293:J293" si="753">B291+B292</f>
        <v>439</v>
      </c>
      <c r="C293" s="139">
        <f t="shared" si="753"/>
        <v>327</v>
      </c>
      <c r="D293" s="139">
        <f t="shared" si="753"/>
        <v>861</v>
      </c>
      <c r="E293" s="139">
        <f t="shared" si="753"/>
        <v>976</v>
      </c>
      <c r="F293" s="139">
        <f>F291+F292</f>
        <v>2331</v>
      </c>
      <c r="G293" s="139">
        <f t="shared" si="753"/>
        <v>1604</v>
      </c>
      <c r="H293" s="140">
        <f t="shared" si="753"/>
        <v>1492</v>
      </c>
      <c r="I293" s="140">
        <f t="shared" si="753"/>
        <v>1794</v>
      </c>
      <c r="J293" s="140">
        <f t="shared" si="753"/>
        <v>2033</v>
      </c>
      <c r="K293" s="140">
        <f>K292+K291</f>
        <v>2891</v>
      </c>
      <c r="L293" s="139">
        <f>L291+L292</f>
        <v>2891</v>
      </c>
      <c r="M293" s="140">
        <f>M291+M292</f>
        <v>2605</v>
      </c>
      <c r="N293" s="140">
        <f>N291+N292</f>
        <v>2740</v>
      </c>
      <c r="O293" s="140">
        <f>O291+O292</f>
        <v>2617</v>
      </c>
      <c r="P293" s="140">
        <f>P292+P291</f>
        <v>1621</v>
      </c>
      <c r="Q293" s="139">
        <f t="shared" ref="Q293:AL293" si="754">Q291+Q292</f>
        <v>1621</v>
      </c>
      <c r="R293" s="140">
        <f t="shared" si="754"/>
        <v>1126</v>
      </c>
      <c r="S293" s="140">
        <f t="shared" si="754"/>
        <v>1614</v>
      </c>
      <c r="T293" s="140">
        <f t="shared" si="754"/>
        <v>1409</v>
      </c>
      <c r="U293" s="140">
        <f t="shared" si="754"/>
        <v>2263</v>
      </c>
      <c r="V293" s="139">
        <f t="shared" si="754"/>
        <v>2263</v>
      </c>
      <c r="W293" s="140">
        <f t="shared" si="754"/>
        <v>2025</v>
      </c>
      <c r="X293" s="140">
        <f t="shared" si="754"/>
        <v>1853</v>
      </c>
      <c r="Y293" s="140">
        <f t="shared" si="754"/>
        <v>1843</v>
      </c>
      <c r="Z293" s="140">
        <f t="shared" si="754"/>
        <v>2613</v>
      </c>
      <c r="AA293" s="139">
        <f t="shared" si="754"/>
        <v>2613</v>
      </c>
      <c r="AB293" s="140">
        <f t="shared" si="754"/>
        <v>2484</v>
      </c>
      <c r="AC293" s="140">
        <f t="shared" si="754"/>
        <v>2157</v>
      </c>
      <c r="AD293" s="140">
        <f t="shared" si="754"/>
        <v>1537</v>
      </c>
      <c r="AE293" s="140">
        <f t="shared" si="754"/>
        <v>2649</v>
      </c>
      <c r="AF293" s="139">
        <f t="shared" si="754"/>
        <v>2649</v>
      </c>
      <c r="AG293" s="140">
        <f t="shared" si="754"/>
        <v>2632</v>
      </c>
      <c r="AH293" s="140">
        <f t="shared" si="754"/>
        <v>2540</v>
      </c>
      <c r="AI293" s="140">
        <f t="shared" si="754"/>
        <v>2874</v>
      </c>
      <c r="AJ293" s="140">
        <f t="shared" si="754"/>
        <v>3296</v>
      </c>
      <c r="AK293" s="139">
        <f t="shared" si="754"/>
        <v>3296</v>
      </c>
      <c r="AL293" s="140">
        <f t="shared" si="754"/>
        <v>3745</v>
      </c>
      <c r="AM293" s="140">
        <f t="shared" ref="AM293:AY293" si="755">AM291+AM292</f>
        <v>3757</v>
      </c>
      <c r="AN293" s="140">
        <f t="shared" si="755"/>
        <v>4065</v>
      </c>
      <c r="AO293" s="140">
        <f t="shared" si="755"/>
        <v>5301</v>
      </c>
      <c r="AP293" s="139">
        <f t="shared" si="755"/>
        <v>5301</v>
      </c>
      <c r="AQ293" s="140">
        <f t="shared" si="755"/>
        <v>4296</v>
      </c>
      <c r="AR293" s="140">
        <f>AR291+AR292</f>
        <v>3841</v>
      </c>
      <c r="AS293" s="140">
        <f t="shared" si="755"/>
        <v>5105</v>
      </c>
      <c r="AT293" s="140">
        <f t="shared" si="755"/>
        <v>4488</v>
      </c>
      <c r="AU293" s="139">
        <f>AU291+AU292</f>
        <v>4388</v>
      </c>
      <c r="AV293" s="141">
        <f t="shared" si="755"/>
        <v>4412</v>
      </c>
      <c r="AW293" s="140">
        <f t="shared" si="755"/>
        <v>4032</v>
      </c>
      <c r="AX293" s="140">
        <f t="shared" si="755"/>
        <v>3372</v>
      </c>
      <c r="AY293" s="140">
        <f t="shared" si="755"/>
        <v>2785</v>
      </c>
      <c r="AZ293" s="139">
        <f t="shared" ref="AZ293:BF293" si="756">AZ291+AZ292</f>
        <v>2785</v>
      </c>
      <c r="BA293" s="139">
        <f t="shared" ref="BA293" si="757">BA291+BA292</f>
        <v>2785</v>
      </c>
      <c r="BB293" s="141">
        <f t="shared" si="756"/>
        <v>1907</v>
      </c>
      <c r="BC293" s="140">
        <f t="shared" si="756"/>
        <v>1899</v>
      </c>
      <c r="BD293" s="140">
        <f t="shared" si="756"/>
        <v>2303</v>
      </c>
      <c r="BE293" s="140">
        <f t="shared" si="756"/>
        <v>2334</v>
      </c>
      <c r="BF293" s="139">
        <f t="shared" si="756"/>
        <v>2334</v>
      </c>
      <c r="BG293" s="141">
        <f t="shared" ref="BG293" si="758">BG291+BG292</f>
        <v>1907</v>
      </c>
      <c r="BH293" s="140">
        <f t="shared" ref="BH293" si="759">BH291+BH292</f>
        <v>1899</v>
      </c>
      <c r="BI293" s="140"/>
      <c r="BJ293" s="140"/>
      <c r="BK293" s="139">
        <v>2334</v>
      </c>
      <c r="BL293" s="141">
        <f t="shared" ref="BL293:BO293" si="760">BL291+BL292</f>
        <v>2168</v>
      </c>
      <c r="BM293" s="140">
        <f t="shared" si="760"/>
        <v>1856</v>
      </c>
      <c r="BN293" s="140">
        <f t="shared" si="760"/>
        <v>2722</v>
      </c>
      <c r="BO293" s="140">
        <f t="shared" si="760"/>
        <v>2983</v>
      </c>
      <c r="BP293" s="1050">
        <f>BP291+BP292</f>
        <v>2983</v>
      </c>
      <c r="BQ293" s="1187">
        <f t="shared" ref="BQ293:BT293" si="761">BQ291+BQ292</f>
        <v>3715.4504738018873</v>
      </c>
      <c r="BR293" s="140">
        <f t="shared" si="761"/>
        <v>1186.5326986916975</v>
      </c>
      <c r="BS293" s="140">
        <f t="shared" si="761"/>
        <v>1383.3281504822212</v>
      </c>
      <c r="BT293" s="140">
        <f t="shared" si="761"/>
        <v>3033.7278258840315</v>
      </c>
      <c r="BU293" s="1050">
        <f>BU291+BU292</f>
        <v>3033.7278258840324</v>
      </c>
      <c r="BV293" s="141"/>
      <c r="BW293" s="140"/>
      <c r="BX293" s="140"/>
      <c r="BY293" s="140"/>
      <c r="BZ293" s="139">
        <f>BZ291+BZ292</f>
        <v>2978.1615622056142</v>
      </c>
      <c r="CA293" s="141"/>
      <c r="CB293" s="140"/>
      <c r="CC293" s="140"/>
      <c r="CD293" s="140"/>
      <c r="CE293" s="139">
        <f>CE291+CE292</f>
        <v>3126.796510051317</v>
      </c>
      <c r="CF293" s="141"/>
      <c r="CG293" s="140"/>
      <c r="CH293" s="140"/>
      <c r="CI293" s="140"/>
      <c r="CJ293" s="139">
        <f>CJ291+CJ292</f>
        <v>3224.2382061848862</v>
      </c>
      <c r="CK293" s="221"/>
      <c r="CL293" s="242"/>
      <c r="CM293" s="703"/>
      <c r="CN293" s="703"/>
      <c r="CO293" s="703"/>
      <c r="CP293" s="1002"/>
      <c r="CQ293" s="703"/>
      <c r="CR293" s="703"/>
      <c r="CS293" s="703"/>
      <c r="CT293" s="703"/>
      <c r="CU293" s="703"/>
      <c r="CV293" s="703"/>
      <c r="CW293" s="233"/>
      <c r="CX293" s="134"/>
      <c r="CY293" s="134"/>
      <c r="CZ293"/>
      <c r="DA293"/>
      <c r="DB293"/>
      <c r="DC293"/>
      <c r="DD293"/>
    </row>
    <row r="294" spans="1:108" s="135" customFormat="1">
      <c r="A294" s="172"/>
      <c r="B294" s="185"/>
      <c r="C294" s="185"/>
      <c r="D294" s="185"/>
      <c r="E294" s="185"/>
      <c r="F294" s="185"/>
      <c r="G294" s="185"/>
      <c r="H294" s="172"/>
      <c r="I294" s="172"/>
      <c r="J294" s="172"/>
      <c r="K294" s="175"/>
      <c r="L294" s="185"/>
      <c r="M294" s="172"/>
      <c r="N294" s="172"/>
      <c r="O294" s="172"/>
      <c r="P294" s="175"/>
      <c r="Q294" s="185"/>
      <c r="R294" s="172"/>
      <c r="S294" s="172"/>
      <c r="T294" s="172"/>
      <c r="U294" s="175"/>
      <c r="V294" s="173"/>
      <c r="W294" s="172"/>
      <c r="X294" s="172"/>
      <c r="Y294" s="172"/>
      <c r="Z294" s="175"/>
      <c r="AA294" s="173"/>
      <c r="AB294" s="172"/>
      <c r="AC294" s="172"/>
      <c r="AD294" s="172"/>
      <c r="AE294" s="175"/>
      <c r="AF294" s="185"/>
      <c r="AG294" s="172"/>
      <c r="AH294" s="172"/>
      <c r="AI294" s="172"/>
      <c r="AJ294" s="175"/>
      <c r="AK294" s="185"/>
      <c r="AL294" s="172"/>
      <c r="AM294" s="172"/>
      <c r="AN294" s="172"/>
      <c r="AO294" s="175"/>
      <c r="AP294" s="185"/>
      <c r="AQ294" s="645"/>
      <c r="AR294" s="175"/>
      <c r="AS294" s="175"/>
      <c r="AT294" s="175"/>
      <c r="AU294" s="185"/>
      <c r="AV294" s="187"/>
      <c r="AW294" s="175"/>
      <c r="AX294" s="175"/>
      <c r="AY294" s="175"/>
      <c r="AZ294" s="185"/>
      <c r="BA294" s="185"/>
      <c r="BB294" s="187"/>
      <c r="BC294" s="175"/>
      <c r="BD294" s="175"/>
      <c r="BE294" s="175"/>
      <c r="BF294" s="185"/>
      <c r="BG294" s="187"/>
      <c r="BH294" s="175"/>
      <c r="BI294" s="175"/>
      <c r="BJ294" s="175"/>
      <c r="BK294" s="185"/>
      <c r="BL294" s="187"/>
      <c r="BM294" s="175"/>
      <c r="BN294" s="175"/>
      <c r="BO294" s="175"/>
      <c r="BP294" s="1079"/>
      <c r="BQ294" s="187"/>
      <c r="BR294" s="175"/>
      <c r="BS294" s="175"/>
      <c r="BT294" s="1157"/>
      <c r="BU294" s="185"/>
      <c r="BV294" s="187"/>
      <c r="BW294" s="175"/>
      <c r="BX294" s="175"/>
      <c r="BY294" s="175"/>
      <c r="BZ294" s="185"/>
      <c r="CA294" s="187"/>
      <c r="CB294" s="175"/>
      <c r="CC294" s="175"/>
      <c r="CD294" s="175"/>
      <c r="CE294" s="185"/>
      <c r="CF294" s="187"/>
      <c r="CG294" s="175"/>
      <c r="CH294" s="175"/>
      <c r="CI294" s="175"/>
      <c r="CJ294" s="185"/>
      <c r="CK294" s="132"/>
      <c r="CL294" s="240"/>
      <c r="CM294" s="622"/>
      <c r="CN294" s="622"/>
      <c r="CO294" s="622"/>
      <c r="CP294" s="1002"/>
      <c r="CQ294" s="703"/>
      <c r="CR294" s="572"/>
      <c r="CS294" s="572"/>
      <c r="CT294" s="572"/>
      <c r="CU294" s="622"/>
      <c r="CV294" s="622"/>
      <c r="CW294" s="230"/>
      <c r="CX294" s="133"/>
      <c r="CY294" s="133"/>
      <c r="CZ294"/>
      <c r="DA294"/>
      <c r="DB294"/>
      <c r="DC294"/>
      <c r="DD294"/>
    </row>
    <row r="295" spans="1:108" ht="12" customHeight="1">
      <c r="A295" s="13" t="s">
        <v>186</v>
      </c>
      <c r="B295" s="73"/>
      <c r="C295" s="73"/>
      <c r="D295" s="73"/>
      <c r="E295" s="73"/>
      <c r="F295" s="73"/>
      <c r="G295" s="73"/>
      <c r="H295" s="74"/>
      <c r="I295" s="74"/>
      <c r="J295" s="74"/>
      <c r="K295" s="75"/>
      <c r="L295" s="73"/>
      <c r="M295" s="74"/>
      <c r="N295" s="74"/>
      <c r="O295" s="74"/>
      <c r="P295" s="75"/>
      <c r="Q295" s="73"/>
      <c r="R295" s="74"/>
      <c r="S295" s="74"/>
      <c r="T295" s="74"/>
      <c r="U295" s="75"/>
      <c r="V295" s="73"/>
      <c r="W295" s="74"/>
      <c r="X295" s="74"/>
      <c r="Y295" s="74"/>
      <c r="Z295" s="75"/>
      <c r="AA295" s="73"/>
      <c r="AB295" s="74"/>
      <c r="AC295" s="74"/>
      <c r="AD295" s="74"/>
      <c r="AE295" s="75"/>
      <c r="AF295" s="73"/>
      <c r="AG295" s="74"/>
      <c r="AH295" s="74"/>
      <c r="AI295" s="74"/>
      <c r="AJ295" s="75"/>
      <c r="AK295" s="73"/>
      <c r="AL295" s="74"/>
      <c r="AM295" s="74"/>
      <c r="AN295" s="74"/>
      <c r="AO295" s="75"/>
      <c r="AP295" s="73"/>
      <c r="AQ295" s="76"/>
      <c r="AR295" s="75"/>
      <c r="AS295" s="75"/>
      <c r="AT295" s="75"/>
      <c r="AU295" s="73"/>
      <c r="AV295" s="76"/>
      <c r="AW295" s="75"/>
      <c r="AX295" s="75"/>
      <c r="AY295" s="75"/>
      <c r="AZ295" s="73"/>
      <c r="BA295" s="73"/>
      <c r="BB295" s="76"/>
      <c r="BC295" s="75"/>
      <c r="BD295" s="75"/>
      <c r="BE295" s="75"/>
      <c r="BF295" s="73"/>
      <c r="BG295" s="76"/>
      <c r="BH295" s="75"/>
      <c r="BI295" s="75"/>
      <c r="BJ295" s="75"/>
      <c r="BK295" s="73"/>
      <c r="BL295" s="76"/>
      <c r="BM295" s="75"/>
      <c r="BN295" s="75"/>
      <c r="BO295" s="75"/>
      <c r="BP295" s="1072"/>
      <c r="BQ295" s="76"/>
      <c r="BR295" s="75"/>
      <c r="BS295" s="75"/>
      <c r="BT295" s="1149"/>
      <c r="BU295" s="73"/>
      <c r="BV295" s="76"/>
      <c r="BW295" s="75"/>
      <c r="BX295" s="75"/>
      <c r="BY295" s="75"/>
      <c r="BZ295" s="73"/>
      <c r="CA295" s="76"/>
      <c r="CB295" s="75"/>
      <c r="CC295" s="75"/>
      <c r="CD295" s="75"/>
      <c r="CE295" s="73"/>
      <c r="CF295" s="76"/>
      <c r="CG295" s="75"/>
      <c r="CH295" s="75"/>
      <c r="CI295" s="75"/>
      <c r="CJ295" s="73"/>
      <c r="CK295" s="33"/>
      <c r="CL295" s="74"/>
      <c r="CM295" s="661"/>
      <c r="CN295" s="661"/>
      <c r="CO295" s="661"/>
      <c r="CP295" s="1002"/>
      <c r="CQ295" s="707"/>
      <c r="CR295" s="707"/>
      <c r="CS295" s="707"/>
      <c r="CT295" s="707"/>
      <c r="CU295" s="661"/>
      <c r="CV295" s="661"/>
      <c r="CW295" s="74"/>
      <c r="CX295" s="33"/>
      <c r="CY295" s="33"/>
    </row>
    <row r="296" spans="1:108" s="135" customFormat="1" ht="12" customHeight="1">
      <c r="A296" s="267" t="s">
        <v>212</v>
      </c>
      <c r="B296" s="265"/>
      <c r="C296" s="265"/>
      <c r="D296" s="265"/>
      <c r="E296" s="265"/>
      <c r="F296" s="265"/>
      <c r="G296" s="265"/>
      <c r="H296" s="252"/>
      <c r="I296" s="252"/>
      <c r="J296" s="252"/>
      <c r="K296" s="253"/>
      <c r="L296" s="265"/>
      <c r="M296" s="252"/>
      <c r="N296" s="252"/>
      <c r="O296" s="252"/>
      <c r="P296" s="253"/>
      <c r="Q296" s="265"/>
      <c r="R296" s="252"/>
      <c r="S296" s="252"/>
      <c r="T296" s="252"/>
      <c r="U296" s="253"/>
      <c r="V296" s="265"/>
      <c r="W296" s="252"/>
      <c r="X296" s="252"/>
      <c r="Y296" s="252"/>
      <c r="Z296" s="253"/>
      <c r="AA296" s="265"/>
      <c r="AB296" s="252"/>
      <c r="AC296" s="252"/>
      <c r="AD296" s="252"/>
      <c r="AE296" s="253"/>
      <c r="AF296" s="265"/>
      <c r="AG296" s="252"/>
      <c r="AH296" s="252"/>
      <c r="AI296" s="252"/>
      <c r="AJ296" s="253"/>
      <c r="AK296" s="265"/>
      <c r="AL296" s="252"/>
      <c r="AM296" s="252"/>
      <c r="AN296" s="252"/>
      <c r="AO296" s="253"/>
      <c r="AP296" s="265"/>
      <c r="AQ296" s="266"/>
      <c r="AR296" s="253"/>
      <c r="AS296" s="253"/>
      <c r="AT296" s="253"/>
      <c r="AU296" s="265"/>
      <c r="AV296" s="266"/>
      <c r="AW296" s="253"/>
      <c r="AX296" s="253"/>
      <c r="AY296" s="253"/>
      <c r="AZ296" s="421"/>
      <c r="BA296" s="421"/>
      <c r="BB296" s="422"/>
      <c r="BC296" s="405"/>
      <c r="BD296" s="405"/>
      <c r="BE296" s="405"/>
      <c r="BF296" s="421"/>
      <c r="BG296" s="422"/>
      <c r="BH296" s="405"/>
      <c r="BI296" s="405"/>
      <c r="BJ296" s="405"/>
      <c r="BK296" s="421"/>
      <c r="BL296" s="422"/>
      <c r="BM296" s="405"/>
      <c r="BN296" s="405"/>
      <c r="BO296" s="405"/>
      <c r="BP296" s="1080"/>
      <c r="BQ296" s="422"/>
      <c r="BR296" s="405"/>
      <c r="BS296" s="405"/>
      <c r="BT296" s="1158"/>
      <c r="BU296" s="421"/>
      <c r="BV296" s="422"/>
      <c r="BW296" s="405"/>
      <c r="BX296" s="405"/>
      <c r="BY296" s="405"/>
      <c r="BZ296" s="421"/>
      <c r="CA296" s="422"/>
      <c r="CB296" s="405"/>
      <c r="CC296" s="405"/>
      <c r="CD296" s="405"/>
      <c r="CE296" s="421"/>
      <c r="CF296" s="422"/>
      <c r="CG296" s="405"/>
      <c r="CH296" s="405"/>
      <c r="CI296" s="405"/>
      <c r="CJ296" s="421"/>
      <c r="CK296" s="132"/>
      <c r="CL296" s="240"/>
      <c r="CM296" s="622"/>
      <c r="CN296" s="622"/>
      <c r="CO296" s="622"/>
      <c r="CP296" s="1002"/>
      <c r="CQ296" s="707"/>
      <c r="CR296" s="707"/>
      <c r="CS296" s="707"/>
      <c r="CT296" s="707"/>
      <c r="CU296" s="622"/>
      <c r="CV296" s="622"/>
      <c r="CW296" s="230"/>
      <c r="CX296" s="133"/>
      <c r="CY296" s="133"/>
      <c r="CZ296"/>
      <c r="DA296"/>
      <c r="DB296"/>
      <c r="DC296"/>
      <c r="DD296"/>
    </row>
    <row r="297" spans="1:108" s="135" customFormat="1" ht="12" customHeight="1">
      <c r="A297" s="174" t="s">
        <v>75</v>
      </c>
      <c r="B297" s="185">
        <f t="shared" ref="B297:AO297" si="762">B293</f>
        <v>439</v>
      </c>
      <c r="C297" s="185">
        <f t="shared" si="762"/>
        <v>327</v>
      </c>
      <c r="D297" s="185">
        <f t="shared" si="762"/>
        <v>861</v>
      </c>
      <c r="E297" s="185">
        <f t="shared" si="762"/>
        <v>976</v>
      </c>
      <c r="F297" s="185">
        <f>F293</f>
        <v>2331</v>
      </c>
      <c r="G297" s="185">
        <f t="shared" si="762"/>
        <v>1604</v>
      </c>
      <c r="H297" s="172">
        <f t="shared" si="762"/>
        <v>1492</v>
      </c>
      <c r="I297" s="174">
        <f t="shared" si="762"/>
        <v>1794</v>
      </c>
      <c r="J297" s="172">
        <f t="shared" si="762"/>
        <v>2033</v>
      </c>
      <c r="K297" s="175">
        <f t="shared" si="762"/>
        <v>2891</v>
      </c>
      <c r="L297" s="185">
        <f>L293</f>
        <v>2891</v>
      </c>
      <c r="M297" s="172">
        <f t="shared" si="762"/>
        <v>2605</v>
      </c>
      <c r="N297" s="172">
        <f t="shared" si="762"/>
        <v>2740</v>
      </c>
      <c r="O297" s="172">
        <f t="shared" si="762"/>
        <v>2617</v>
      </c>
      <c r="P297" s="175">
        <f t="shared" si="762"/>
        <v>1621</v>
      </c>
      <c r="Q297" s="185">
        <f>Q293</f>
        <v>1621</v>
      </c>
      <c r="R297" s="172">
        <f t="shared" si="762"/>
        <v>1126</v>
      </c>
      <c r="S297" s="172">
        <f t="shared" si="762"/>
        <v>1614</v>
      </c>
      <c r="T297" s="172">
        <f t="shared" si="762"/>
        <v>1409</v>
      </c>
      <c r="U297" s="175">
        <f t="shared" si="762"/>
        <v>2263</v>
      </c>
      <c r="V297" s="185">
        <f>V293</f>
        <v>2263</v>
      </c>
      <c r="W297" s="172">
        <f t="shared" si="762"/>
        <v>2025</v>
      </c>
      <c r="X297" s="174">
        <f t="shared" si="762"/>
        <v>1853</v>
      </c>
      <c r="Y297" s="174">
        <f t="shared" si="762"/>
        <v>1843</v>
      </c>
      <c r="Z297" s="175">
        <f t="shared" si="762"/>
        <v>2613</v>
      </c>
      <c r="AA297" s="185">
        <f>AA293</f>
        <v>2613</v>
      </c>
      <c r="AB297" s="172">
        <f t="shared" si="762"/>
        <v>2484</v>
      </c>
      <c r="AC297" s="172">
        <f t="shared" si="762"/>
        <v>2157</v>
      </c>
      <c r="AD297" s="174">
        <f t="shared" si="762"/>
        <v>1537</v>
      </c>
      <c r="AE297" s="176">
        <f t="shared" si="762"/>
        <v>2649</v>
      </c>
      <c r="AF297" s="185">
        <f>AF293</f>
        <v>2649</v>
      </c>
      <c r="AG297" s="172">
        <f t="shared" si="762"/>
        <v>2632</v>
      </c>
      <c r="AH297" s="172">
        <f t="shared" si="762"/>
        <v>2540</v>
      </c>
      <c r="AI297" s="174">
        <f t="shared" si="762"/>
        <v>2874</v>
      </c>
      <c r="AJ297" s="176">
        <f t="shared" si="762"/>
        <v>3296</v>
      </c>
      <c r="AK297" s="185">
        <f>AK293</f>
        <v>3296</v>
      </c>
      <c r="AL297" s="174">
        <f t="shared" si="762"/>
        <v>3745</v>
      </c>
      <c r="AM297" s="174">
        <f t="shared" si="762"/>
        <v>3757</v>
      </c>
      <c r="AN297" s="174">
        <f>AN293</f>
        <v>4065</v>
      </c>
      <c r="AO297" s="176">
        <f t="shared" si="762"/>
        <v>5301</v>
      </c>
      <c r="AP297" s="185">
        <f t="shared" ref="AP297:BE297" si="763">AP293</f>
        <v>5301</v>
      </c>
      <c r="AQ297" s="187">
        <f>AQ293</f>
        <v>4296</v>
      </c>
      <c r="AR297" s="175">
        <f>AR293</f>
        <v>3841</v>
      </c>
      <c r="AS297" s="175">
        <f>AS293</f>
        <v>5105</v>
      </c>
      <c r="AT297" s="175">
        <f t="shared" si="763"/>
        <v>4488</v>
      </c>
      <c r="AU297" s="185">
        <f t="shared" si="763"/>
        <v>4388</v>
      </c>
      <c r="AV297" s="187">
        <f t="shared" si="763"/>
        <v>4412</v>
      </c>
      <c r="AW297" s="175">
        <f t="shared" si="763"/>
        <v>4032</v>
      </c>
      <c r="AX297" s="175">
        <f t="shared" si="763"/>
        <v>3372</v>
      </c>
      <c r="AY297" s="175">
        <f t="shared" si="763"/>
        <v>2785</v>
      </c>
      <c r="AZ297" s="185">
        <f>AZ293</f>
        <v>2785</v>
      </c>
      <c r="BA297" s="185">
        <f>BA293</f>
        <v>2785</v>
      </c>
      <c r="BB297" s="187">
        <f t="shared" si="763"/>
        <v>1907</v>
      </c>
      <c r="BC297" s="175">
        <f t="shared" si="763"/>
        <v>1899</v>
      </c>
      <c r="BD297" s="175">
        <f t="shared" si="763"/>
        <v>2303</v>
      </c>
      <c r="BE297" s="175">
        <f t="shared" si="763"/>
        <v>2334</v>
      </c>
      <c r="BF297" s="185">
        <f>BF293</f>
        <v>2334</v>
      </c>
      <c r="BG297" s="187"/>
      <c r="BH297" s="175"/>
      <c r="BI297" s="175"/>
      <c r="BJ297" s="175"/>
      <c r="BK297" s="185">
        <f>BK293</f>
        <v>2334</v>
      </c>
      <c r="BL297" s="187">
        <f t="shared" ref="BL297:BN297" si="764">BL293</f>
        <v>2168</v>
      </c>
      <c r="BM297" s="175">
        <f t="shared" si="764"/>
        <v>1856</v>
      </c>
      <c r="BN297" s="175">
        <f t="shared" si="764"/>
        <v>2722</v>
      </c>
      <c r="BO297" s="175">
        <f t="shared" ref="BO297:BU297" si="765">BO293</f>
        <v>2983</v>
      </c>
      <c r="BP297" s="1079">
        <f>BP293</f>
        <v>2983</v>
      </c>
      <c r="BQ297" s="177">
        <f t="shared" si="765"/>
        <v>3715.4504738018873</v>
      </c>
      <c r="BR297" s="175">
        <f t="shared" si="765"/>
        <v>1186.5326986916975</v>
      </c>
      <c r="BS297" s="175">
        <f t="shared" si="765"/>
        <v>1383.3281504822212</v>
      </c>
      <c r="BT297" s="1157">
        <f t="shared" si="765"/>
        <v>3033.7278258840315</v>
      </c>
      <c r="BU297" s="185">
        <f t="shared" si="765"/>
        <v>3033.7278258840324</v>
      </c>
      <c r="BV297" s="187"/>
      <c r="BW297" s="175"/>
      <c r="BX297" s="175"/>
      <c r="BY297" s="175"/>
      <c r="BZ297" s="185">
        <f>BZ293</f>
        <v>2978.1615622056142</v>
      </c>
      <c r="CA297" s="187"/>
      <c r="CB297" s="175"/>
      <c r="CC297" s="175"/>
      <c r="CD297" s="175"/>
      <c r="CE297" s="185">
        <f>CE293</f>
        <v>3126.796510051317</v>
      </c>
      <c r="CF297" s="187"/>
      <c r="CG297" s="175"/>
      <c r="CH297" s="175"/>
      <c r="CI297" s="175"/>
      <c r="CJ297" s="185">
        <f>CJ293</f>
        <v>3224.2382061848862</v>
      </c>
      <c r="CK297" s="132"/>
      <c r="CL297" s="240"/>
      <c r="CM297" s="622"/>
      <c r="CN297" s="622"/>
      <c r="CO297" s="622"/>
      <c r="CP297" s="1002"/>
      <c r="CQ297" s="622"/>
      <c r="CR297" s="622"/>
      <c r="CS297" s="622"/>
      <c r="CT297" s="622"/>
      <c r="CU297" s="622"/>
      <c r="CV297" s="622"/>
      <c r="CW297" s="230"/>
      <c r="CX297" s="133"/>
      <c r="CY297" s="133"/>
      <c r="CZ297"/>
      <c r="DA297"/>
      <c r="DB297"/>
      <c r="DC297"/>
      <c r="DD297"/>
    </row>
    <row r="298" spans="1:108" s="135" customFormat="1">
      <c r="A298" s="133" t="s">
        <v>102</v>
      </c>
      <c r="B298" s="180">
        <v>968</v>
      </c>
      <c r="C298" s="180">
        <v>1075</v>
      </c>
      <c r="D298" s="180">
        <v>1344</v>
      </c>
      <c r="E298" s="180">
        <v>1459</v>
      </c>
      <c r="F298" s="180">
        <v>2004</v>
      </c>
      <c r="G298" s="180">
        <v>2341</v>
      </c>
      <c r="H298" s="183">
        <v>2304</v>
      </c>
      <c r="I298" s="183">
        <v>2539</v>
      </c>
      <c r="J298" s="183">
        <v>2432</v>
      </c>
      <c r="K298" s="183">
        <v>2874</v>
      </c>
      <c r="L298" s="180">
        <f>K298</f>
        <v>2874</v>
      </c>
      <c r="M298" s="183">
        <v>2976</v>
      </c>
      <c r="N298" s="183">
        <v>2962</v>
      </c>
      <c r="O298" s="183">
        <v>3103</v>
      </c>
      <c r="P298" s="183">
        <v>3469</v>
      </c>
      <c r="Q298" s="180">
        <f>P298</f>
        <v>3469</v>
      </c>
      <c r="R298" s="183">
        <v>3795</v>
      </c>
      <c r="S298" s="183">
        <v>3649</v>
      </c>
      <c r="T298" s="179">
        <v>3851</v>
      </c>
      <c r="U298" s="183">
        <v>3678</v>
      </c>
      <c r="V298" s="180">
        <f>U298</f>
        <v>3678</v>
      </c>
      <c r="W298" s="183">
        <v>3738</v>
      </c>
      <c r="X298" s="183">
        <v>3545</v>
      </c>
      <c r="Y298" s="179">
        <v>3874</v>
      </c>
      <c r="Z298" s="183">
        <v>3848</v>
      </c>
      <c r="AA298" s="180">
        <f>Z298</f>
        <v>3848</v>
      </c>
      <c r="AB298" s="183">
        <v>4237</v>
      </c>
      <c r="AC298" s="183">
        <v>4229</v>
      </c>
      <c r="AD298" s="183">
        <v>4119</v>
      </c>
      <c r="AE298" s="183">
        <v>4452</v>
      </c>
      <c r="AF298" s="180">
        <f>AE298</f>
        <v>4452</v>
      </c>
      <c r="AG298" s="183">
        <v>4686</v>
      </c>
      <c r="AH298" s="183">
        <v>4571</v>
      </c>
      <c r="AI298" s="183">
        <v>4339</v>
      </c>
      <c r="AJ298" s="183">
        <v>4204</v>
      </c>
      <c r="AK298" s="180">
        <f>AJ298</f>
        <v>4204</v>
      </c>
      <c r="AL298" s="179">
        <v>4261</v>
      </c>
      <c r="AM298" s="179">
        <v>4289</v>
      </c>
      <c r="AN298" s="179">
        <v>4365</v>
      </c>
      <c r="AO298" s="179">
        <v>4402</v>
      </c>
      <c r="AP298" s="180">
        <f>AO298</f>
        <v>4402</v>
      </c>
      <c r="AQ298" s="179">
        <v>4286</v>
      </c>
      <c r="AR298" s="179">
        <v>4474</v>
      </c>
      <c r="AS298" s="179">
        <v>4181</v>
      </c>
      <c r="AT298" s="179">
        <v>4050</v>
      </c>
      <c r="AU298" s="180">
        <f>AT298</f>
        <v>4050</v>
      </c>
      <c r="AV298" s="182">
        <v>3661</v>
      </c>
      <c r="AW298" s="183">
        <v>3595</v>
      </c>
      <c r="AX298" s="183">
        <v>3796</v>
      </c>
      <c r="AY298" s="183">
        <v>3446</v>
      </c>
      <c r="AZ298" s="180">
        <f>AY298</f>
        <v>3446</v>
      </c>
      <c r="BA298" s="180">
        <f>AZ298</f>
        <v>3446</v>
      </c>
      <c r="BB298" s="182">
        <v>3654</v>
      </c>
      <c r="BC298" s="183">
        <v>3539</v>
      </c>
      <c r="BD298" s="183">
        <v>3502</v>
      </c>
      <c r="BE298" s="183">
        <v>3611</v>
      </c>
      <c r="BF298" s="180">
        <f>BE298</f>
        <v>3611</v>
      </c>
      <c r="BG298" s="182"/>
      <c r="BH298" s="183"/>
      <c r="BI298" s="183"/>
      <c r="BJ298" s="183"/>
      <c r="BK298" s="180">
        <v>3399</v>
      </c>
      <c r="BL298" s="182">
        <v>3483</v>
      </c>
      <c r="BM298" s="183">
        <v>3690</v>
      </c>
      <c r="BN298" s="183">
        <v>3391</v>
      </c>
      <c r="BO298" s="183">
        <v>3617</v>
      </c>
      <c r="BP298" s="1057">
        <f>+BO298</f>
        <v>3617</v>
      </c>
      <c r="BQ298" s="182">
        <f t="shared" ref="BQ298:BT298" si="766">(BQ215*BQ299)/360*4</f>
        <v>3428.1136965859823</v>
      </c>
      <c r="BR298" s="183">
        <f t="shared" si="766"/>
        <v>4224.877150440343</v>
      </c>
      <c r="BS298" s="183">
        <f t="shared" si="766"/>
        <v>3891.3407010163201</v>
      </c>
      <c r="BT298" s="668">
        <f t="shared" si="766"/>
        <v>4156.9928763239504</v>
      </c>
      <c r="BU298" s="1057">
        <f>+BT298</f>
        <v>4156.9928763239504</v>
      </c>
      <c r="BV298" s="182"/>
      <c r="BW298" s="183"/>
      <c r="BX298" s="183"/>
      <c r="BY298" s="183"/>
      <c r="BZ298" s="180">
        <f>(BZ215*BZ299)/360</f>
        <v>4495.7767583333334</v>
      </c>
      <c r="CA298" s="182"/>
      <c r="CB298" s="183"/>
      <c r="CC298" s="183"/>
      <c r="CD298" s="183"/>
      <c r="CE298" s="180">
        <f>(CE215*CE299)/360</f>
        <v>4769.647878644445</v>
      </c>
      <c r="CF298" s="182"/>
      <c r="CG298" s="183"/>
      <c r="CH298" s="183"/>
      <c r="CI298" s="183"/>
      <c r="CJ298" s="180">
        <f>(CJ215*CJ299)/360</f>
        <v>5060.513808125168</v>
      </c>
      <c r="CK298" s="132"/>
      <c r="CL298" s="240"/>
      <c r="CM298" s="733"/>
      <c r="CN298" s="734"/>
      <c r="CO298" s="734"/>
      <c r="CP298" s="734"/>
      <c r="CQ298" s="1189"/>
      <c r="CR298" s="1189"/>
      <c r="CS298" s="1189"/>
      <c r="CT298" s="1189"/>
      <c r="CU298" s="1189"/>
      <c r="CV298" s="622"/>
      <c r="CW298" s="230"/>
      <c r="CX298" s="133"/>
      <c r="CY298" s="133"/>
      <c r="CZ298"/>
      <c r="DA298"/>
      <c r="DB298"/>
      <c r="DC298"/>
      <c r="DD298"/>
    </row>
    <row r="299" spans="1:108" s="336" customFormat="1">
      <c r="A299" s="596" t="s">
        <v>147</v>
      </c>
      <c r="B299" s="1303">
        <f t="shared" ref="B299:G299" si="767">(B298/B215)*(360)</f>
        <v>29.587366276108</v>
      </c>
      <c r="C299" s="1303">
        <f t="shared" si="767"/>
        <v>28.893534418396296</v>
      </c>
      <c r="D299" s="1303">
        <f t="shared" si="767"/>
        <v>30.027927760193631</v>
      </c>
      <c r="E299" s="1303">
        <f t="shared" si="767"/>
        <v>27.839084115121643</v>
      </c>
      <c r="F299" s="1303">
        <f t="shared" si="767"/>
        <v>34.395232419547085</v>
      </c>
      <c r="G299" s="1303">
        <f t="shared" si="767"/>
        <v>35.023064455803514</v>
      </c>
      <c r="H299" s="598">
        <f>(H298/H215)*(360/4)</f>
        <v>32.914285714285711</v>
      </c>
      <c r="I299" s="598">
        <f>(I298/I215)*(360/4)</f>
        <v>34.670004551661357</v>
      </c>
      <c r="J299" s="598">
        <f>(J298/J215)*(360/4)</f>
        <v>32.028094820017557</v>
      </c>
      <c r="K299" s="598">
        <f>(K298/K215)*(360/4)</f>
        <v>34.419161676646709</v>
      </c>
      <c r="L299" s="1303">
        <f>(L298/L215)*(360)</f>
        <v>37.982378854625551</v>
      </c>
      <c r="M299" s="598">
        <f>(M298/M215)*(360/4)</f>
        <v>38.235546038543895</v>
      </c>
      <c r="N299" s="598">
        <f>(N298/N215)*(360/4)</f>
        <v>36.502807065589479</v>
      </c>
      <c r="O299" s="598">
        <f>(O298/O215)*(360/4)</f>
        <v>39.113445378151262</v>
      </c>
      <c r="P299" s="598">
        <f>(P298/P215)*(360/4)</f>
        <v>39.761844116148751</v>
      </c>
      <c r="Q299" s="1303">
        <f>(Q298/Q215)*(360)</f>
        <v>42.622525597269629</v>
      </c>
      <c r="R299" s="598">
        <f>(R298/R215)*(360/4)</f>
        <v>41.329864472410456</v>
      </c>
      <c r="S299" s="598">
        <f>(S298/S215)*(360/4)</f>
        <v>40.544444444444444</v>
      </c>
      <c r="T299" s="598">
        <f>(T298/T215)*(360/4)</f>
        <v>44.900893898173337</v>
      </c>
      <c r="U299" s="598">
        <f>(U298/U215)*(360/4)</f>
        <v>41.91187642441124</v>
      </c>
      <c r="V299" s="1303">
        <f>(V298/V215)*(360)</f>
        <v>41.402082486476345</v>
      </c>
      <c r="W299" s="598">
        <f>(W298/W215)*(360/4)</f>
        <v>43.409032258064521</v>
      </c>
      <c r="X299" s="598">
        <f>(X298/X215)*(360/4)</f>
        <v>39.369447186574533</v>
      </c>
      <c r="Y299" s="598">
        <f>(Y298/Y215)*(360/4)</f>
        <v>43.522656347522158</v>
      </c>
      <c r="Z299" s="598">
        <f>(Z298/Z215)*(360/4)</f>
        <v>40.26508545517963</v>
      </c>
      <c r="AA299" s="1303">
        <f>(AA298/AA215)*(360)</f>
        <v>42.668637959711695</v>
      </c>
      <c r="AB299" s="598">
        <f>(AB298/AB215)*(360/4)</f>
        <v>48.901000256476017</v>
      </c>
      <c r="AC299" s="598">
        <f>(AC298/AC215)*(360/4)</f>
        <v>48.306891737530144</v>
      </c>
      <c r="AD299" s="598">
        <f>(AD298/AD215)*(360/4)</f>
        <v>47.206163249713484</v>
      </c>
      <c r="AE299" s="598">
        <f>(AE298/AE215)*(360/4)</f>
        <v>43.804526074122663</v>
      </c>
      <c r="AF299" s="1303">
        <f>(AF298/AF215)*(360)</f>
        <v>49.047342167273619</v>
      </c>
      <c r="AG299" s="598">
        <f>(AG298/AG215)*(360/4)</f>
        <v>55.645863570391867</v>
      </c>
      <c r="AH299" s="598">
        <f>(AH298/AH215)*(360/4)</f>
        <v>51.930068164604897</v>
      </c>
      <c r="AI299" s="598">
        <f>(AI298/AI215)*(360/4)</f>
        <v>49.21981346105369</v>
      </c>
      <c r="AJ299" s="598">
        <f>(AJ298/AJ215)*(360/4)</f>
        <v>46.838326318395644</v>
      </c>
      <c r="AK299" s="1303">
        <f>(AK298/AK215)*(360)</f>
        <v>48.025894075460918</v>
      </c>
      <c r="AL299" s="598">
        <f>(AL298/AL215)*(360/4)</f>
        <v>51.794975688816855</v>
      </c>
      <c r="AM299" s="598">
        <f>(AM298/AM215)*(360/4)</f>
        <v>48.794084186575652</v>
      </c>
      <c r="AN299" s="598">
        <f>(AN298/AN215)*(360/4)</f>
        <v>50.39122626988199</v>
      </c>
      <c r="AO299" s="598">
        <f>(AO298/AO215)*(360/4)</f>
        <v>50.668883488937198</v>
      </c>
      <c r="AP299" s="1303">
        <f>(AP298/AP215)*(360)</f>
        <v>51.235693501454904</v>
      </c>
      <c r="AQ299" s="598">
        <f>(AQ298/AQ215)*(360/4)</f>
        <v>52.667941015838338</v>
      </c>
      <c r="AR299" s="598">
        <f>(AR298/AR215)*(360/4)</f>
        <v>53.874765854963876</v>
      </c>
      <c r="AS299" s="598">
        <f>(AS298/AS215)*(360/4)</f>
        <v>48.54728422139079</v>
      </c>
      <c r="AT299" s="598">
        <f>(AT298/AT215)*(360/4)</f>
        <v>43.899795254727209</v>
      </c>
      <c r="AU299" s="1303">
        <f>(AU298/AU215)*(360)</f>
        <v>47.257876312718786</v>
      </c>
      <c r="AV299" s="598">
        <f>(AV298/AV215)*(360/4)</f>
        <v>42.329136690647481</v>
      </c>
      <c r="AW299" s="598">
        <f>(AW298/AW215)*(360/4)</f>
        <v>41.04922608475006</v>
      </c>
      <c r="AX299" s="598">
        <f>(AX298/AX215)*(360/4)</f>
        <v>42.737052789592198</v>
      </c>
      <c r="AY299" s="598">
        <f>(AY298/AY215)*(360/4)</f>
        <v>39.715712639262392</v>
      </c>
      <c r="AZ299" s="1303">
        <f>(AZ298/AZ215)*(360)</f>
        <v>39.421653055387843</v>
      </c>
      <c r="BA299" s="597">
        <f>(BA298/BA215)*(360)</f>
        <v>39.034643340360596</v>
      </c>
      <c r="BB299" s="598">
        <f>(BB298/BB215)*(360/4)</f>
        <v>42.576385292594509</v>
      </c>
      <c r="BC299" s="598">
        <f>(BC298/BC215)*(360/4)</f>
        <v>41.55381604696673</v>
      </c>
      <c r="BD299" s="598">
        <f>(BD298/BD215)*(360/4)</f>
        <v>40.768335273573925</v>
      </c>
      <c r="BE299" s="598">
        <f>(BE298/BE215)*(360/4)</f>
        <v>39.474067776023325</v>
      </c>
      <c r="BF299" s="597">
        <f>(BF298/BF215)*(360)</f>
        <v>41.462061046789785</v>
      </c>
      <c r="BG299" s="598"/>
      <c r="BH299" s="598"/>
      <c r="BI299" s="598"/>
      <c r="BJ299" s="598"/>
      <c r="BK299" s="597">
        <f>(BK298/BK215)*(360)</f>
        <v>40.039265730833414</v>
      </c>
      <c r="BL299" s="598">
        <f>(BL298/BL215)*(360/4)</f>
        <v>42.127402230882943</v>
      </c>
      <c r="BM299" s="989">
        <f>(BM298/BM215)*(360/4)</f>
        <v>43.270358306188925</v>
      </c>
      <c r="BN299" s="989">
        <f>(BN298/BN215)*(360/4)</f>
        <v>40.262532981530342</v>
      </c>
      <c r="BO299" s="1255">
        <f>(BO298/BO215)*(360/4)</f>
        <v>39.32946719826024</v>
      </c>
      <c r="BP299" s="1081">
        <f>(BP298/BP215)*(360)</f>
        <v>42.040486875665898</v>
      </c>
      <c r="BQ299" s="599">
        <f>BL299-2</f>
        <v>40.127402230882943</v>
      </c>
      <c r="BR299" s="600">
        <f t="shared" ref="BR299" si="768">BM299-2</f>
        <v>41.270358306188925</v>
      </c>
      <c r="BS299" s="600">
        <f t="shared" ref="BS299" si="769">BN299-2</f>
        <v>38.262532981530342</v>
      </c>
      <c r="BT299" s="936">
        <f t="shared" ref="BT299" si="770">BO299-2</f>
        <v>37.32946719826024</v>
      </c>
      <c r="BU299" s="1081">
        <f>(BU298/BU215)*(360)</f>
        <v>41.480526705819933</v>
      </c>
      <c r="BV299" s="599"/>
      <c r="BW299" s="600"/>
      <c r="BX299" s="600"/>
      <c r="BY299" s="600"/>
      <c r="BZ299" s="601">
        <v>41</v>
      </c>
      <c r="CA299" s="599"/>
      <c r="CB299" s="600"/>
      <c r="CC299" s="600"/>
      <c r="CD299" s="600"/>
      <c r="CE299" s="601">
        <v>41</v>
      </c>
      <c r="CF299" s="599"/>
      <c r="CG299" s="600"/>
      <c r="CH299" s="600"/>
      <c r="CI299" s="600"/>
      <c r="CJ299" s="601">
        <v>41</v>
      </c>
      <c r="CK299" s="602"/>
      <c r="CL299" s="603"/>
      <c r="CM299" s="732"/>
      <c r="CN299" s="732"/>
      <c r="CO299" s="732"/>
      <c r="CP299" s="1261"/>
      <c r="CQ299" s="1262"/>
      <c r="CR299" s="1262"/>
      <c r="CS299" s="1262"/>
      <c r="CT299" s="1262"/>
      <c r="CU299" s="1262"/>
      <c r="CV299" s="1273"/>
      <c r="CW299" s="604"/>
      <c r="CX299" s="335"/>
      <c r="CY299" s="335"/>
      <c r="CZ299"/>
      <c r="DA299"/>
      <c r="DB299"/>
      <c r="DC299"/>
      <c r="DD299"/>
    </row>
    <row r="300" spans="1:108" s="222" customFormat="1">
      <c r="A300" s="438" t="s">
        <v>341</v>
      </c>
      <c r="B300" s="1304"/>
      <c r="C300" s="1304"/>
      <c r="D300" s="1304"/>
      <c r="E300" s="1304"/>
      <c r="F300" s="1304"/>
      <c r="G300" s="1304"/>
      <c r="H300" s="183"/>
      <c r="I300" s="183"/>
      <c r="J300" s="183"/>
      <c r="K300" s="183"/>
      <c r="L300" s="1304"/>
      <c r="M300" s="183"/>
      <c r="N300" s="183"/>
      <c r="O300" s="183"/>
      <c r="P300" s="183"/>
      <c r="Q300" s="1304"/>
      <c r="R300" s="183"/>
      <c r="S300" s="183"/>
      <c r="T300" s="183"/>
      <c r="U300" s="183"/>
      <c r="V300" s="1304"/>
      <c r="W300" s="183"/>
      <c r="X300" s="183"/>
      <c r="Y300" s="183"/>
      <c r="Z300" s="183"/>
      <c r="AA300" s="1304"/>
      <c r="AB300" s="183"/>
      <c r="AC300" s="183"/>
      <c r="AD300" s="183"/>
      <c r="AE300" s="183"/>
      <c r="AF300" s="1304"/>
      <c r="AG300" s="183"/>
      <c r="AH300" s="183"/>
      <c r="AI300" s="183"/>
      <c r="AJ300" s="183"/>
      <c r="AK300" s="1304"/>
      <c r="AL300" s="183"/>
      <c r="AM300" s="183"/>
      <c r="AN300" s="183"/>
      <c r="AO300" s="183"/>
      <c r="AP300" s="1304"/>
      <c r="AQ300" s="183"/>
      <c r="AR300" s="183"/>
      <c r="AS300" s="183"/>
      <c r="AT300" s="183"/>
      <c r="AU300" s="1304"/>
      <c r="AV300" s="1057"/>
      <c r="AW300" s="183"/>
      <c r="AX300" s="183"/>
      <c r="AY300" s="183"/>
      <c r="AZ300" s="1304"/>
      <c r="BA300" s="180"/>
      <c r="BB300" s="182"/>
      <c r="BC300" s="183"/>
      <c r="BD300" s="183"/>
      <c r="BE300" s="183"/>
      <c r="BF300" s="180"/>
      <c r="BG300" s="182"/>
      <c r="BH300" s="183"/>
      <c r="BI300" s="183"/>
      <c r="BJ300" s="183"/>
      <c r="BK300" s="180">
        <v>4212</v>
      </c>
      <c r="BL300" s="182">
        <v>4557</v>
      </c>
      <c r="BM300" s="183">
        <v>5045</v>
      </c>
      <c r="BN300" s="183">
        <v>5609</v>
      </c>
      <c r="BO300" s="183">
        <v>5240</v>
      </c>
      <c r="BP300" s="1057">
        <f>+BO300</f>
        <v>5240</v>
      </c>
      <c r="BQ300" s="182">
        <f>BQ215*BQ301/(360)*4</f>
        <v>4537.8752071356403</v>
      </c>
      <c r="BR300" s="183">
        <f>BR215*BR301/(360)*4</f>
        <v>5851.4715261189522</v>
      </c>
      <c r="BS300" s="183">
        <f>BS215*BS301/(360)*4</f>
        <v>6569.6478786768303</v>
      </c>
      <c r="BT300" s="668">
        <f>BT215*BT301/(360)*4</f>
        <v>6122.2327313438846</v>
      </c>
      <c r="BU300" s="1057">
        <f>+BT300</f>
        <v>6122.2327313438846</v>
      </c>
      <c r="BV300" s="182"/>
      <c r="BW300" s="183"/>
      <c r="BX300" s="183"/>
      <c r="BY300" s="183"/>
      <c r="BZ300" s="180">
        <f t="shared" ref="BZ300:CJ300" si="771">BZ215*BZ301/(360)</f>
        <v>6698.7797378399864</v>
      </c>
      <c r="CA300" s="182"/>
      <c r="CB300" s="183"/>
      <c r="CC300" s="183"/>
      <c r="CD300" s="183"/>
      <c r="CE300" s="180">
        <f t="shared" si="771"/>
        <v>7106.8521155707094</v>
      </c>
      <c r="CF300" s="182"/>
      <c r="CG300" s="183"/>
      <c r="CH300" s="183"/>
      <c r="CI300" s="183"/>
      <c r="CJ300" s="180">
        <f t="shared" si="771"/>
        <v>7540.2470325273498</v>
      </c>
      <c r="CK300" s="221"/>
      <c r="CL300" s="242"/>
      <c r="CM300" s="1188"/>
      <c r="CN300" s="1263"/>
      <c r="CO300" s="1263"/>
      <c r="CP300" s="1003"/>
      <c r="CQ300" s="1262"/>
      <c r="CR300" s="1262"/>
      <c r="CS300" s="1262"/>
      <c r="CT300" s="1262"/>
      <c r="CU300" s="1262"/>
      <c r="CV300" s="703"/>
      <c r="CW300" s="233"/>
      <c r="CX300" s="134"/>
      <c r="CY300" s="134"/>
      <c r="CZ300"/>
      <c r="DA300"/>
      <c r="DB300"/>
      <c r="DC300"/>
      <c r="DD300"/>
    </row>
    <row r="301" spans="1:108" s="337" customFormat="1">
      <c r="A301" s="605" t="s">
        <v>147</v>
      </c>
      <c r="B301" s="597"/>
      <c r="C301" s="597"/>
      <c r="D301" s="597"/>
      <c r="E301" s="597"/>
      <c r="F301" s="597"/>
      <c r="G301" s="597"/>
      <c r="H301" s="606"/>
      <c r="I301" s="606"/>
      <c r="J301" s="606"/>
      <c r="K301" s="606"/>
      <c r="L301" s="597"/>
      <c r="M301" s="606"/>
      <c r="N301" s="606"/>
      <c r="O301" s="606"/>
      <c r="P301" s="606"/>
      <c r="Q301" s="597"/>
      <c r="R301" s="606"/>
      <c r="S301" s="606"/>
      <c r="T301" s="606"/>
      <c r="U301" s="606"/>
      <c r="V301" s="597"/>
      <c r="W301" s="606"/>
      <c r="X301" s="606"/>
      <c r="Y301" s="606"/>
      <c r="Z301" s="606"/>
      <c r="AA301" s="597"/>
      <c r="AB301" s="606"/>
      <c r="AC301" s="606"/>
      <c r="AD301" s="606"/>
      <c r="AE301" s="606"/>
      <c r="AF301" s="597"/>
      <c r="AG301" s="606"/>
      <c r="AH301" s="606"/>
      <c r="AI301" s="606"/>
      <c r="AJ301" s="606"/>
      <c r="AK301" s="597"/>
      <c r="AL301" s="606"/>
      <c r="AM301" s="606"/>
      <c r="AN301" s="606"/>
      <c r="AO301" s="606"/>
      <c r="AP301" s="597"/>
      <c r="AQ301" s="606"/>
      <c r="AR301" s="606"/>
      <c r="AS301" s="606"/>
      <c r="AT301" s="606"/>
      <c r="AU301" s="597"/>
      <c r="AV301" s="606"/>
      <c r="AW301" s="606"/>
      <c r="AX301" s="606"/>
      <c r="AY301" s="606"/>
      <c r="AZ301" s="597"/>
      <c r="BA301" s="597"/>
      <c r="BB301" s="606"/>
      <c r="BC301" s="606"/>
      <c r="BD301" s="606"/>
      <c r="BE301" s="606"/>
      <c r="BF301" s="597"/>
      <c r="BG301" s="606"/>
      <c r="BH301" s="606"/>
      <c r="BI301" s="606"/>
      <c r="BJ301" s="606"/>
      <c r="BK301" s="597">
        <f>BK300/BK215*(360)</f>
        <v>49.616177481103371</v>
      </c>
      <c r="BL301" s="606">
        <f>BL300/BL215*(360)/4</f>
        <v>55.117591721542809</v>
      </c>
      <c r="BM301" s="989">
        <f>BM300/BM215*(360)/4</f>
        <v>59.159609120521175</v>
      </c>
      <c r="BN301" s="989">
        <f>BN300/BN215*(360)/4</f>
        <v>66.597625329815301</v>
      </c>
      <c r="BO301" s="1255">
        <f>BO300/BO215*(360)/4</f>
        <v>56.977165639724532</v>
      </c>
      <c r="BP301" s="1081">
        <f>BP300/BP215*(360)</f>
        <v>60.904658896458209</v>
      </c>
      <c r="BQ301" s="599">
        <f>BL301-2</f>
        <v>53.117591721542809</v>
      </c>
      <c r="BR301" s="600">
        <f t="shared" ref="BR301:BT301" si="772">BM301-2</f>
        <v>57.159609120521175</v>
      </c>
      <c r="BS301" s="600">
        <f t="shared" si="772"/>
        <v>64.597625329815301</v>
      </c>
      <c r="BT301" s="936">
        <f t="shared" si="772"/>
        <v>54.977165639724532</v>
      </c>
      <c r="BU301" s="1081">
        <f>BU300/BU215*(360)</f>
        <v>61.090659971572343</v>
      </c>
      <c r="BV301" s="599"/>
      <c r="BW301" s="600"/>
      <c r="BX301" s="600"/>
      <c r="BY301" s="600"/>
      <c r="BZ301" s="601">
        <f>+BU301</f>
        <v>61.090659971572343</v>
      </c>
      <c r="CA301" s="599"/>
      <c r="CB301" s="600"/>
      <c r="CC301" s="600"/>
      <c r="CD301" s="600"/>
      <c r="CE301" s="601">
        <f>+BZ301</f>
        <v>61.090659971572343</v>
      </c>
      <c r="CF301" s="599"/>
      <c r="CG301" s="600"/>
      <c r="CH301" s="600"/>
      <c r="CI301" s="600"/>
      <c r="CJ301" s="601">
        <f>+CE301</f>
        <v>61.090659971572343</v>
      </c>
      <c r="CK301" s="332"/>
      <c r="CL301" s="333"/>
      <c r="CM301" s="943"/>
      <c r="CN301" s="703"/>
      <c r="CO301" s="1263"/>
      <c r="CP301" s="1002"/>
      <c r="CQ301" s="1263"/>
      <c r="CR301" s="1263"/>
      <c r="CS301" s="1263"/>
      <c r="CT301" s="1263"/>
      <c r="CU301" s="1263"/>
      <c r="CV301" s="1263"/>
      <c r="CW301" s="334"/>
      <c r="CX301" s="329"/>
      <c r="CY301" s="329"/>
      <c r="CZ301"/>
      <c r="DA301"/>
      <c r="DB301"/>
      <c r="DC301"/>
      <c r="DD301"/>
    </row>
    <row r="302" spans="1:108" s="222" customFormat="1">
      <c r="A302" s="134" t="s">
        <v>89</v>
      </c>
      <c r="B302" s="180">
        <v>1732</v>
      </c>
      <c r="C302" s="180">
        <v>1914</v>
      </c>
      <c r="D302" s="180">
        <v>2473</v>
      </c>
      <c r="E302" s="180">
        <v>2895</v>
      </c>
      <c r="F302" s="180">
        <v>3152</v>
      </c>
      <c r="G302" s="180">
        <v>3988</v>
      </c>
      <c r="H302" s="183">
        <v>4160</v>
      </c>
      <c r="I302" s="183">
        <v>4233</v>
      </c>
      <c r="J302" s="183">
        <v>4192</v>
      </c>
      <c r="K302" s="183">
        <v>4337</v>
      </c>
      <c r="L302" s="180">
        <f>K302</f>
        <v>4337</v>
      </c>
      <c r="M302" s="183">
        <v>4381</v>
      </c>
      <c r="N302" s="183">
        <v>4505</v>
      </c>
      <c r="O302" s="183">
        <v>4364</v>
      </c>
      <c r="P302" s="183">
        <v>4341</v>
      </c>
      <c r="Q302" s="180">
        <f>P302</f>
        <v>4341</v>
      </c>
      <c r="R302" s="183">
        <v>4238</v>
      </c>
      <c r="S302" s="183">
        <v>4408</v>
      </c>
      <c r="T302" s="183">
        <v>4472</v>
      </c>
      <c r="U302" s="183">
        <v>4449</v>
      </c>
      <c r="V302" s="180">
        <f>U302</f>
        <v>4449</v>
      </c>
      <c r="W302" s="183">
        <v>4692</v>
      </c>
      <c r="X302" s="183">
        <v>4893</v>
      </c>
      <c r="Y302" s="183">
        <v>4986</v>
      </c>
      <c r="Z302" s="183">
        <v>4873</v>
      </c>
      <c r="AA302" s="180">
        <f>Z302</f>
        <v>4873</v>
      </c>
      <c r="AB302" s="183">
        <v>4896</v>
      </c>
      <c r="AC302" s="183">
        <v>5006</v>
      </c>
      <c r="AD302" s="183">
        <v>5137</v>
      </c>
      <c r="AE302" s="183">
        <v>5168</v>
      </c>
      <c r="AF302" s="180">
        <f>AE302</f>
        <v>5168</v>
      </c>
      <c r="AG302" s="183">
        <v>4929</v>
      </c>
      <c r="AH302" s="183">
        <v>4916</v>
      </c>
      <c r="AI302" s="183">
        <v>5031</v>
      </c>
      <c r="AJ302" s="183">
        <v>4964</v>
      </c>
      <c r="AK302" s="180">
        <f>AJ302</f>
        <v>4964</v>
      </c>
      <c r="AL302" s="183">
        <v>5073</v>
      </c>
      <c r="AM302" s="183">
        <v>5110</v>
      </c>
      <c r="AN302" s="183">
        <v>5113</v>
      </c>
      <c r="AO302" s="183">
        <v>4780</v>
      </c>
      <c r="AP302" s="180">
        <f>AO302</f>
        <v>4780</v>
      </c>
      <c r="AQ302" s="183">
        <v>4889</v>
      </c>
      <c r="AR302" s="183">
        <v>4934</v>
      </c>
      <c r="AS302" s="183">
        <v>4436</v>
      </c>
      <c r="AT302" s="183">
        <v>4591</v>
      </c>
      <c r="AU302" s="180">
        <f>AT302</f>
        <v>4591</v>
      </c>
      <c r="AV302" s="182">
        <v>4444</v>
      </c>
      <c r="AW302" s="183">
        <v>4273</v>
      </c>
      <c r="AX302" s="183">
        <v>4215</v>
      </c>
      <c r="AY302" s="183">
        <v>4357</v>
      </c>
      <c r="AZ302" s="180">
        <f>AY302</f>
        <v>4357</v>
      </c>
      <c r="BA302" s="180">
        <f>AZ302</f>
        <v>4357</v>
      </c>
      <c r="BB302" s="182">
        <v>4705</v>
      </c>
      <c r="BC302" s="183">
        <v>4996</v>
      </c>
      <c r="BD302" s="183">
        <v>5213</v>
      </c>
      <c r="BE302" s="183">
        <v>5282</v>
      </c>
      <c r="BF302" s="180">
        <f>BE302</f>
        <v>5282</v>
      </c>
      <c r="BG302" s="182"/>
      <c r="BH302" s="183"/>
      <c r="BI302" s="183"/>
      <c r="BJ302" s="183"/>
      <c r="BK302" s="180"/>
      <c r="BL302" s="182"/>
      <c r="BM302" s="183"/>
      <c r="BN302" s="183"/>
      <c r="BO302" s="183"/>
      <c r="BP302" s="1057"/>
      <c r="BQ302" s="182"/>
      <c r="BR302" s="183"/>
      <c r="BS302" s="183"/>
      <c r="BT302" s="668"/>
      <c r="BU302" s="180"/>
      <c r="BV302" s="182"/>
      <c r="BW302" s="183"/>
      <c r="BX302" s="183"/>
      <c r="BY302" s="183"/>
      <c r="BZ302" s="180"/>
      <c r="CA302" s="182"/>
      <c r="CB302" s="183"/>
      <c r="CC302" s="183"/>
      <c r="CD302" s="183"/>
      <c r="CE302" s="180"/>
      <c r="CF302" s="182"/>
      <c r="CG302" s="183"/>
      <c r="CH302" s="183"/>
      <c r="CI302" s="183"/>
      <c r="CJ302" s="180"/>
      <c r="CK302" s="221"/>
      <c r="CL302" s="242"/>
      <c r="CM302" s="707"/>
      <c r="CN302" s="707"/>
      <c r="CO302" s="1270"/>
      <c r="CP302" s="1002"/>
      <c r="CQ302" s="703"/>
      <c r="CR302" s="703"/>
      <c r="CS302" s="703"/>
      <c r="CT302" s="703"/>
      <c r="CU302" s="703"/>
      <c r="CV302" s="703"/>
      <c r="CW302" s="233"/>
      <c r="CX302" s="134"/>
      <c r="CY302" s="134"/>
      <c r="CZ302"/>
      <c r="DA302"/>
      <c r="DB302"/>
      <c r="DC302"/>
      <c r="DD302"/>
    </row>
    <row r="303" spans="1:108" s="337" customFormat="1">
      <c r="A303" s="605" t="s">
        <v>252</v>
      </c>
      <c r="B303" s="597">
        <f t="shared" ref="B303:G303" si="773">B302/B215*(360)</f>
        <v>52.939378502292413</v>
      </c>
      <c r="C303" s="597">
        <f t="shared" si="773"/>
        <v>51.443930117963262</v>
      </c>
      <c r="D303" s="597">
        <f t="shared" si="773"/>
        <v>55.252280767082482</v>
      </c>
      <c r="E303" s="597">
        <f t="shared" si="773"/>
        <v>55.239306726029575</v>
      </c>
      <c r="F303" s="597">
        <f t="shared" si="773"/>
        <v>54.098688915375448</v>
      </c>
      <c r="G303" s="597">
        <f t="shared" si="773"/>
        <v>59.66338361800274</v>
      </c>
      <c r="H303" s="606">
        <f>H302/H215*(360/4)</f>
        <v>59.428571428571431</v>
      </c>
      <c r="I303" s="606">
        <f>I302/I215*(360/4)</f>
        <v>57.801547564861174</v>
      </c>
      <c r="J303" s="606">
        <f>J302/J215*(360/4)</f>
        <v>55.206321334503947</v>
      </c>
      <c r="K303" s="606">
        <f>K302/K215*(360/4)</f>
        <v>51.940119760479043</v>
      </c>
      <c r="L303" s="597">
        <f>L302/L215*(360)</f>
        <v>57.317180616740089</v>
      </c>
      <c r="M303" s="606">
        <f>M302/M215*(360/4)</f>
        <v>56.286937901498931</v>
      </c>
      <c r="N303" s="606">
        <f>N302/N215*(360/4)</f>
        <v>55.518280158838827</v>
      </c>
      <c r="O303" s="606">
        <f>O302/O215*(360/4)</f>
        <v>55.008403361344541</v>
      </c>
      <c r="P303" s="606">
        <f>P302/P215*(360/4)</f>
        <v>49.756749872643908</v>
      </c>
      <c r="Q303" s="597">
        <f>Q302/Q215*(360)</f>
        <v>53.336518771331058</v>
      </c>
      <c r="R303" s="606">
        <f>R302/R215*(360/4)</f>
        <v>46.154404646660218</v>
      </c>
      <c r="S303" s="606">
        <f>S302/S215*(360/4)</f>
        <v>48.977777777777774</v>
      </c>
      <c r="T303" s="606">
        <f>T302/T215*(360/4)</f>
        <v>52.141469102215311</v>
      </c>
      <c r="U303" s="606">
        <f>U302/U215*(360/4)</f>
        <v>50.697644973410988</v>
      </c>
      <c r="V303" s="597">
        <f>V302/V215*(360)</f>
        <v>50.080985585191208</v>
      </c>
      <c r="W303" s="606">
        <f>W302/W215*(360/4)</f>
        <v>54.487741935483868</v>
      </c>
      <c r="X303" s="606">
        <f>X302/X215*(360/4)</f>
        <v>54.339832181638698</v>
      </c>
      <c r="Y303" s="606">
        <f>Y302/Y215*(360/4)</f>
        <v>56.015478716764449</v>
      </c>
      <c r="Z303" s="606">
        <f>Z302/Z215*(360/4)</f>
        <v>50.990582490408087</v>
      </c>
      <c r="AA303" s="597">
        <f>AA302/AA215*(360)</f>
        <v>54.034374422472737</v>
      </c>
      <c r="AB303" s="606">
        <f>AB302/AB215*(360/4)</f>
        <v>56.506796614516539</v>
      </c>
      <c r="AC303" s="606">
        <f>AC302/AC215*(360/4)</f>
        <v>57.182383551212084</v>
      </c>
      <c r="AD303" s="606">
        <f>AD302/AD215*(360/4)</f>
        <v>58.87304214949701</v>
      </c>
      <c r="AE303" s="606">
        <f>AE302/AE215*(360/4)</f>
        <v>50.849458838963592</v>
      </c>
      <c r="AF303" s="597">
        <f>AF302/AF215*(360)</f>
        <v>56.935459191480248</v>
      </c>
      <c r="AG303" s="606">
        <f>AG302/AG215*(360/4)</f>
        <v>58.531468531468526</v>
      </c>
      <c r="AH303" s="606">
        <f>AH302/AH215*(360/4)</f>
        <v>55.8495329462257</v>
      </c>
      <c r="AI303" s="606">
        <f>AI302/AI215*(360/4)</f>
        <v>57.069573985379378</v>
      </c>
      <c r="AJ303" s="606">
        <f>AJ302/AJ215*(360/4)</f>
        <v>55.305768754642237</v>
      </c>
      <c r="AK303" s="597">
        <f>AK302/AK215*(360)</f>
        <v>56.70802525941675</v>
      </c>
      <c r="AL303" s="606">
        <f>AL302/AL215*(360/4)</f>
        <v>61.665316045380877</v>
      </c>
      <c r="AM303" s="606">
        <f>AM302/AM215*(360/4)</f>
        <v>58.134243458475545</v>
      </c>
      <c r="AN303" s="606">
        <f>AN302/AN215*(360/4)</f>
        <v>59.026423807080548</v>
      </c>
      <c r="AO303" s="606">
        <f>AO302/AO215*(360/4)</f>
        <v>55.019823506842307</v>
      </c>
      <c r="AP303" s="597">
        <f>AP302/AP215*(360)</f>
        <v>55.635305528612996</v>
      </c>
      <c r="AQ303" s="606">
        <f>AQ302/AQ215*(360/4)</f>
        <v>60.077826324412889</v>
      </c>
      <c r="AR303" s="606">
        <f>AR302/AR215*(360/4)</f>
        <v>59.413968423869413</v>
      </c>
      <c r="AS303" s="606">
        <f>AS302/AS215*(360/4)</f>
        <v>51.508192491291446</v>
      </c>
      <c r="AT303" s="606">
        <f>AT302/AT215*(360/4)</f>
        <v>49.763940744309288</v>
      </c>
      <c r="AU303" s="597">
        <f>AU302/AU215*(360)</f>
        <v>53.570595099183201</v>
      </c>
      <c r="AV303" s="606">
        <f>AV302/AV215*(360/4)</f>
        <v>51.38232271325797</v>
      </c>
      <c r="AW303" s="606">
        <f>AW302/AW215*(360/4)</f>
        <v>48.790916011164676</v>
      </c>
      <c r="AX303" s="606">
        <f>AX302/AX215*(360/4)</f>
        <v>47.454340755566676</v>
      </c>
      <c r="AY303" s="606">
        <f>AY302/AY215*(360/4)</f>
        <v>50.215136381098738</v>
      </c>
      <c r="AZ303" s="597">
        <f>AZ302/AZ215*(360)</f>
        <v>49.843337888080335</v>
      </c>
      <c r="BA303" s="597">
        <f>BA302/BA215*(360)</f>
        <v>49.35401655076933</v>
      </c>
      <c r="BB303" s="606">
        <f>BB302/BB215*(360/4)</f>
        <v>54.822630761263596</v>
      </c>
      <c r="BC303" s="606">
        <f>BC302/BC215*(360/4)</f>
        <v>58.661448140900198</v>
      </c>
      <c r="BD303" s="606">
        <f>BD302/BD215*(360/4)</f>
        <v>60.686845168800929</v>
      </c>
      <c r="BE303" s="606">
        <f>BE302/BE215*(360/4)</f>
        <v>57.740799222640597</v>
      </c>
      <c r="BF303" s="597">
        <f>BF302/BF215*(360)</f>
        <v>60.648741747201228</v>
      </c>
      <c r="BG303" s="606"/>
      <c r="BH303" s="606"/>
      <c r="BI303" s="606"/>
      <c r="BJ303" s="606"/>
      <c r="BK303" s="597"/>
      <c r="BL303" s="606"/>
      <c r="BM303" s="606"/>
      <c r="BN303" s="606"/>
      <c r="BO303" s="606"/>
      <c r="BP303" s="1082"/>
      <c r="BQ303" s="599"/>
      <c r="BR303" s="600"/>
      <c r="BS303" s="600"/>
      <c r="BT303" s="936"/>
      <c r="BU303" s="601"/>
      <c r="BV303" s="599"/>
      <c r="BW303" s="600"/>
      <c r="BX303" s="600"/>
      <c r="BY303" s="600"/>
      <c r="BZ303" s="601"/>
      <c r="CA303" s="599"/>
      <c r="CB303" s="600"/>
      <c r="CC303" s="600"/>
      <c r="CD303" s="600"/>
      <c r="CE303" s="601"/>
      <c r="CF303" s="599"/>
      <c r="CG303" s="600"/>
      <c r="CH303" s="600"/>
      <c r="CI303" s="600"/>
      <c r="CJ303" s="601"/>
      <c r="CK303" s="332"/>
      <c r="CL303" s="333"/>
      <c r="CM303" s="943"/>
      <c r="CN303" s="703"/>
      <c r="CO303" s="1263"/>
      <c r="CP303" s="1002"/>
      <c r="CQ303" s="1263"/>
      <c r="CR303" s="1263"/>
      <c r="CS303" s="1263"/>
      <c r="CT303" s="1263"/>
      <c r="CU303" s="1263"/>
      <c r="CV303" s="1263"/>
      <c r="CW303" s="334"/>
      <c r="CX303" s="329"/>
      <c r="CY303" s="329"/>
      <c r="CZ303"/>
      <c r="DA303"/>
      <c r="DB303"/>
      <c r="DC303"/>
      <c r="DD303"/>
    </row>
    <row r="304" spans="1:108" s="222" customFormat="1">
      <c r="A304" s="134" t="s">
        <v>76</v>
      </c>
      <c r="B304" s="180">
        <v>1289</v>
      </c>
      <c r="C304" s="180">
        <v>1405</v>
      </c>
      <c r="D304" s="180">
        <v>1159</v>
      </c>
      <c r="E304" s="180">
        <v>1205</v>
      </c>
      <c r="F304" s="180">
        <v>1293</v>
      </c>
      <c r="G304" s="180">
        <v>1484</v>
      </c>
      <c r="H304" s="183">
        <v>1604</v>
      </c>
      <c r="I304" s="183">
        <v>1595</v>
      </c>
      <c r="J304" s="183">
        <v>1556</v>
      </c>
      <c r="K304" s="183">
        <v>1621</v>
      </c>
      <c r="L304" s="180">
        <f>K304</f>
        <v>1621</v>
      </c>
      <c r="M304" s="183">
        <v>1663</v>
      </c>
      <c r="N304" s="183">
        <v>1672</v>
      </c>
      <c r="O304" s="183">
        <v>1725</v>
      </c>
      <c r="P304" s="183">
        <v>2029</v>
      </c>
      <c r="Q304" s="180">
        <f>P304</f>
        <v>2029</v>
      </c>
      <c r="R304" s="183">
        <v>2083</v>
      </c>
      <c r="S304" s="183">
        <v>2138</v>
      </c>
      <c r="T304" s="183">
        <v>2112</v>
      </c>
      <c r="U304" s="183">
        <v>2126</v>
      </c>
      <c r="V304" s="180">
        <f>U304</f>
        <v>2126</v>
      </c>
      <c r="W304" s="183">
        <v>1985</v>
      </c>
      <c r="X304" s="183">
        <v>1967</v>
      </c>
      <c r="Y304" s="183">
        <v>1986</v>
      </c>
      <c r="Z304" s="183">
        <v>2158</v>
      </c>
      <c r="AA304" s="180">
        <f>Z304</f>
        <v>2158</v>
      </c>
      <c r="AB304" s="183">
        <v>2273</v>
      </c>
      <c r="AC304" s="183">
        <v>2382</v>
      </c>
      <c r="AD304" s="183">
        <v>2506</v>
      </c>
      <c r="AE304" s="183">
        <v>2310</v>
      </c>
      <c r="AF304" s="190">
        <v>2310</v>
      </c>
      <c r="AG304" s="183">
        <v>2444</v>
      </c>
      <c r="AH304" s="183">
        <v>2648</v>
      </c>
      <c r="AI304" s="183">
        <v>2661</v>
      </c>
      <c r="AJ304" s="183">
        <v>2776</v>
      </c>
      <c r="AK304" s="190">
        <f>AJ304</f>
        <v>2776</v>
      </c>
      <c r="AL304" s="183">
        <v>2863</v>
      </c>
      <c r="AM304" s="183">
        <v>2935</v>
      </c>
      <c r="AN304" s="183">
        <v>2986</v>
      </c>
      <c r="AO304" s="183">
        <v>2968</v>
      </c>
      <c r="AP304" s="190">
        <f>AO304</f>
        <v>2968</v>
      </c>
      <c r="AQ304" s="183">
        <v>2977</v>
      </c>
      <c r="AR304" s="183">
        <v>3158</v>
      </c>
      <c r="AS304" s="183">
        <v>3139</v>
      </c>
      <c r="AT304" s="183">
        <v>3221</v>
      </c>
      <c r="AU304" s="190">
        <f>AT304</f>
        <v>3221</v>
      </c>
      <c r="AV304" s="192">
        <v>3397</v>
      </c>
      <c r="AW304" s="179">
        <v>3359</v>
      </c>
      <c r="AX304" s="179">
        <v>3239</v>
      </c>
      <c r="AY304" s="179">
        <v>3366</v>
      </c>
      <c r="AZ304" s="190">
        <f>AY304</f>
        <v>3366</v>
      </c>
      <c r="BA304" s="190">
        <f>AZ304</f>
        <v>3366</v>
      </c>
      <c r="BB304" s="192">
        <f>2055+1346+32+71</f>
        <v>3504</v>
      </c>
      <c r="BC304" s="179">
        <v>3520</v>
      </c>
      <c r="BD304" s="179">
        <v>3657</v>
      </c>
      <c r="BE304" s="179">
        <v>3523</v>
      </c>
      <c r="BF304" s="190">
        <f>BE304</f>
        <v>3523</v>
      </c>
      <c r="BG304" s="192"/>
      <c r="BH304" s="179"/>
      <c r="BI304" s="179"/>
      <c r="BJ304" s="179"/>
      <c r="BK304" s="190">
        <v>5817</v>
      </c>
      <c r="BL304" s="192">
        <v>5822</v>
      </c>
      <c r="BM304" s="179">
        <v>5839</v>
      </c>
      <c r="BN304" s="179">
        <v>5781</v>
      </c>
      <c r="BO304" s="179">
        <v>5303</v>
      </c>
      <c r="BP304" s="1083">
        <f>+BO304</f>
        <v>5303</v>
      </c>
      <c r="BQ304" s="192">
        <f t="shared" ref="BQ304:BT304" si="774">BQ305*BQ215*4</f>
        <v>6015.8580208753301</v>
      </c>
      <c r="BR304" s="179">
        <f t="shared" si="774"/>
        <v>7009.3612985884911</v>
      </c>
      <c r="BS304" s="179">
        <f t="shared" si="774"/>
        <v>6980.7456240105548</v>
      </c>
      <c r="BT304" s="667">
        <f t="shared" si="774"/>
        <v>6421.2365688051232</v>
      </c>
      <c r="BU304" s="1083">
        <f>+BT304</f>
        <v>6421.2365688051232</v>
      </c>
      <c r="BV304" s="192"/>
      <c r="BW304" s="179"/>
      <c r="BX304" s="179"/>
      <c r="BY304" s="179"/>
      <c r="BZ304" s="190">
        <f>BZ305*BZ215</f>
        <v>6809.4569924999987</v>
      </c>
      <c r="CA304" s="192"/>
      <c r="CB304" s="179"/>
      <c r="CC304" s="179"/>
      <c r="CD304" s="179"/>
      <c r="CE304" s="190">
        <f>CE305*CE215</f>
        <v>7014.8723678600008</v>
      </c>
      <c r="CF304" s="192"/>
      <c r="CG304" s="179"/>
      <c r="CH304" s="179"/>
      <c r="CI304" s="179"/>
      <c r="CJ304" s="190">
        <f>CJ305*CJ215</f>
        <v>7220.4892140322527</v>
      </c>
      <c r="CK304" s="221"/>
      <c r="CL304" s="242"/>
      <c r="CM304" s="707"/>
      <c r="CN304" s="707"/>
      <c r="CO304" s="703"/>
      <c r="CP304" s="1002"/>
      <c r="CQ304" s="703"/>
      <c r="CR304" s="703"/>
      <c r="CS304" s="703"/>
      <c r="CT304" s="703"/>
      <c r="CU304" s="703"/>
      <c r="CV304" s="703"/>
      <c r="CW304" s="233"/>
      <c r="CX304" s="134"/>
      <c r="CY304" s="134"/>
      <c r="CZ304"/>
      <c r="DA304"/>
      <c r="DB304"/>
      <c r="DC304"/>
      <c r="DD304"/>
    </row>
    <row r="305" spans="1:108" s="322" customFormat="1">
      <c r="A305" s="581" t="s">
        <v>251</v>
      </c>
      <c r="B305" s="4">
        <f t="shared" ref="B305:G305" si="775">B304/B215</f>
        <v>0.10944133129563594</v>
      </c>
      <c r="C305" s="4">
        <f t="shared" si="775"/>
        <v>0.10489771539495296</v>
      </c>
      <c r="D305" s="4">
        <f t="shared" si="775"/>
        <v>7.1929497920933408E-2</v>
      </c>
      <c r="E305" s="4">
        <f t="shared" si="775"/>
        <v>6.3868129538347376E-2</v>
      </c>
      <c r="F305" s="4">
        <f t="shared" si="775"/>
        <v>6.1644815256257451E-2</v>
      </c>
      <c r="G305" s="4">
        <f t="shared" si="775"/>
        <v>6.1671445788139469E-2</v>
      </c>
      <c r="H305" s="582">
        <f>H304/H215/4</f>
        <v>6.3650793650793652E-2</v>
      </c>
      <c r="I305" s="582">
        <f>I304/I215/4</f>
        <v>6.0499165528751328E-2</v>
      </c>
      <c r="J305" s="582">
        <f>J304/J215/4</f>
        <v>5.6921275973075801E-2</v>
      </c>
      <c r="K305" s="582">
        <f>K304/K215/4</f>
        <v>5.3925482368596143E-2</v>
      </c>
      <c r="L305" s="4">
        <f>L304/L215</f>
        <v>5.9508076358296622E-2</v>
      </c>
      <c r="M305" s="582">
        <f>M304/M215/4</f>
        <v>5.9350463954318346E-2</v>
      </c>
      <c r="N305" s="582">
        <f>N304/N215/4</f>
        <v>5.7236752019717924E-2</v>
      </c>
      <c r="O305" s="582">
        <f>O304/O215/4</f>
        <v>6.0399159663865547E-2</v>
      </c>
      <c r="P305" s="582">
        <f>P304/P215/4</f>
        <v>6.4601375445746304E-2</v>
      </c>
      <c r="Q305" s="4">
        <f>Q304/Q215</f>
        <v>6.9249146757679181E-2</v>
      </c>
      <c r="R305" s="582">
        <f>R304/R215/4</f>
        <v>6.3014278799612772E-2</v>
      </c>
      <c r="S305" s="582">
        <f>S304/S215/4</f>
        <v>6.598765432098766E-2</v>
      </c>
      <c r="T305" s="582">
        <f>T304/T215/4</f>
        <v>6.8402642829382049E-2</v>
      </c>
      <c r="U305" s="582">
        <f>U304/U215/4</f>
        <v>6.7295517852620917E-2</v>
      </c>
      <c r="V305" s="4">
        <f>V304/V215</f>
        <v>6.647697070135393E-2</v>
      </c>
      <c r="W305" s="582">
        <f>W304/W215/4</f>
        <v>6.4032258064516123E-2</v>
      </c>
      <c r="X305" s="582">
        <f>X304/X215/4</f>
        <v>6.0679911154985194E-2</v>
      </c>
      <c r="Y305" s="582">
        <f>Y304/Y215/4</f>
        <v>6.1977281238297342E-2</v>
      </c>
      <c r="Z305" s="582">
        <f>Z304/Z215/4</f>
        <v>6.2725264504127423E-2</v>
      </c>
      <c r="AA305" s="4">
        <f>AA304/AA215</f>
        <v>6.6469537362163489E-2</v>
      </c>
      <c r="AB305" s="582">
        <f>AB304/AB215/4</f>
        <v>7.287124903821493E-2</v>
      </c>
      <c r="AC305" s="582">
        <f>AC304/AC215/4</f>
        <v>7.5580657443838045E-2</v>
      </c>
      <c r="AD305" s="582">
        <f>AD304/AD215/4</f>
        <v>7.9778428626002804E-2</v>
      </c>
      <c r="AE305" s="582">
        <f>AE304/AE215/4</f>
        <v>6.3135454247294193E-2</v>
      </c>
      <c r="AF305" s="4">
        <f>AF304/AF215</f>
        <v>7.0691923983229793E-2</v>
      </c>
      <c r="AG305" s="582">
        <f>AG304/AG215/4</f>
        <v>8.0617495711835338E-2</v>
      </c>
      <c r="AH305" s="582">
        <f>AH304/AH215/4</f>
        <v>8.3564756374652868E-2</v>
      </c>
      <c r="AI305" s="582">
        <f>AI304/AI215/4</f>
        <v>8.3847995966725486E-2</v>
      </c>
      <c r="AJ305" s="582">
        <f>AJ304/AJ215/4</f>
        <v>8.591235454320377E-2</v>
      </c>
      <c r="AK305" s="4">
        <f>AK304/AK215</f>
        <v>8.8090629264113221E-2</v>
      </c>
      <c r="AL305" s="582">
        <f>AL304/AL215/4</f>
        <v>9.6670718530524044E-2</v>
      </c>
      <c r="AM305" s="582">
        <f>AM304/AM215/4</f>
        <v>9.275060042978131E-2</v>
      </c>
      <c r="AN305" s="582">
        <f>AN304/AN215/4</f>
        <v>9.5754232939969208E-2</v>
      </c>
      <c r="AO305" s="582">
        <f>AO304/AO215/4</f>
        <v>9.4897045658012533E-2</v>
      </c>
      <c r="AP305" s="4">
        <f>AP304/AP215</f>
        <v>9.5958616230197219E-2</v>
      </c>
      <c r="AQ305" s="582">
        <f>AQ304/AQ215/4</f>
        <v>0.1016179683233206</v>
      </c>
      <c r="AR305" s="582">
        <f>AR304/AR215/4</f>
        <v>0.10563286058335564</v>
      </c>
      <c r="AS305" s="582">
        <f>AS304/AS215/4</f>
        <v>0.10124500064507805</v>
      </c>
      <c r="AT305" s="582">
        <f>AT304/AT215/4</f>
        <v>9.6983018186197756E-2</v>
      </c>
      <c r="AU305" s="4">
        <f>AU304/AU215</f>
        <v>0.10440165953584857</v>
      </c>
      <c r="AV305" s="582">
        <f>AV304/AV215/4</f>
        <v>0.10910200411099692</v>
      </c>
      <c r="AW305" s="582">
        <f>AW304/AW215/4</f>
        <v>0.10654021821872621</v>
      </c>
      <c r="AX305" s="582">
        <f>AX304/AX215/4</f>
        <v>0.10129472104078059</v>
      </c>
      <c r="AY305" s="582">
        <f>AY304/AY215/4</f>
        <v>0.10776027660391856</v>
      </c>
      <c r="AZ305" s="4">
        <f>AZ304/AZ215</f>
        <v>0.10696240744860021</v>
      </c>
      <c r="BA305" s="4">
        <f>BA304/BA215</f>
        <v>0.10591233756017747</v>
      </c>
      <c r="BB305" s="582">
        <f>BB304/BB215/4</f>
        <v>0.11341273951320559</v>
      </c>
      <c r="BC305" s="582">
        <f>BC304/BC215/4</f>
        <v>0.11480756686236138</v>
      </c>
      <c r="BD305" s="582">
        <f>BD304/BD215/4</f>
        <v>0.11825766395032984</v>
      </c>
      <c r="BE305" s="582">
        <f>BE304/BE215/4</f>
        <v>0.10697801530426333</v>
      </c>
      <c r="BF305" s="4">
        <f>BF304/BF215</f>
        <v>0.11236564284119542</v>
      </c>
      <c r="BG305" s="582"/>
      <c r="BH305" s="582"/>
      <c r="BI305" s="582"/>
      <c r="BJ305" s="582"/>
      <c r="BK305" s="4">
        <f>BK304/BK215</f>
        <v>0.19034063021497988</v>
      </c>
      <c r="BL305" s="582">
        <f>BL304/BL215/4</f>
        <v>0.19560542937777181</v>
      </c>
      <c r="BM305" s="990">
        <f>BM304/BM215/4</f>
        <v>0.19019543973941369</v>
      </c>
      <c r="BN305" s="990">
        <f>BN304/BN215/4</f>
        <v>0.19066622691292875</v>
      </c>
      <c r="BO305" s="1256">
        <f>BO304/BO215/4</f>
        <v>0.1601727679110789</v>
      </c>
      <c r="BP305" s="1084">
        <f>BP304/BP215</f>
        <v>0.17121363768443484</v>
      </c>
      <c r="BQ305" s="583">
        <f>BL305</f>
        <v>0.19560542937777181</v>
      </c>
      <c r="BR305" s="584">
        <f>BM305</f>
        <v>0.19019543973941369</v>
      </c>
      <c r="BS305" s="584">
        <f>BN305</f>
        <v>0.19066622691292875</v>
      </c>
      <c r="BT305" s="1159">
        <f>BO305</f>
        <v>0.1601727679110789</v>
      </c>
      <c r="BU305" s="1084">
        <f>BU304/BU215</f>
        <v>0.17798407734011956</v>
      </c>
      <c r="BV305" s="583"/>
      <c r="BW305" s="584"/>
      <c r="BX305" s="584"/>
      <c r="BY305" s="584"/>
      <c r="BZ305" s="374">
        <v>0.17249999999999999</v>
      </c>
      <c r="CA305" s="583"/>
      <c r="CB305" s="584"/>
      <c r="CC305" s="584"/>
      <c r="CD305" s="584"/>
      <c r="CE305" s="374">
        <v>0.16750000000000001</v>
      </c>
      <c r="CF305" s="583"/>
      <c r="CG305" s="584"/>
      <c r="CH305" s="584"/>
      <c r="CI305" s="584"/>
      <c r="CJ305" s="374">
        <v>0.16250000000000001</v>
      </c>
      <c r="CK305" s="319"/>
      <c r="CL305" s="320"/>
      <c r="CM305" s="1008"/>
      <c r="CN305" s="1008"/>
      <c r="CO305" s="1008"/>
      <c r="CP305" s="1002"/>
      <c r="CQ305" s="1008"/>
      <c r="CR305" s="1008"/>
      <c r="CS305" s="1008"/>
      <c r="CT305" s="1008"/>
      <c r="CU305" s="1008"/>
      <c r="CV305" s="1008"/>
      <c r="CW305" s="321"/>
      <c r="CX305" s="317"/>
      <c r="CY305" s="317"/>
      <c r="CZ305"/>
      <c r="DA305"/>
      <c r="DB305"/>
      <c r="DC305"/>
      <c r="DD305"/>
    </row>
    <row r="306" spans="1:108" s="222" customFormat="1">
      <c r="A306" s="176" t="s">
        <v>90</v>
      </c>
      <c r="B306" s="190">
        <f t="shared" ref="B306:AM306" si="776">B308-B297-B298-B304-B302</f>
        <v>517</v>
      </c>
      <c r="C306" s="190">
        <f t="shared" si="776"/>
        <v>377</v>
      </c>
      <c r="D306" s="190">
        <f t="shared" si="776"/>
        <v>787</v>
      </c>
      <c r="E306" s="190">
        <f t="shared" si="776"/>
        <v>752</v>
      </c>
      <c r="F306" s="190">
        <f t="shared" si="776"/>
        <v>669</v>
      </c>
      <c r="G306" s="190">
        <f t="shared" si="776"/>
        <v>463</v>
      </c>
      <c r="H306" s="179">
        <f t="shared" si="776"/>
        <v>398</v>
      </c>
      <c r="I306" s="179">
        <f t="shared" si="776"/>
        <v>390</v>
      </c>
      <c r="J306" s="179">
        <f t="shared" si="776"/>
        <v>674</v>
      </c>
      <c r="K306" s="179">
        <f t="shared" si="776"/>
        <v>575</v>
      </c>
      <c r="L306" s="190">
        <f t="shared" si="776"/>
        <v>575</v>
      </c>
      <c r="M306" s="179">
        <f t="shared" si="776"/>
        <v>565</v>
      </c>
      <c r="N306" s="179">
        <f t="shared" si="776"/>
        <v>569</v>
      </c>
      <c r="O306" s="179">
        <f t="shared" si="776"/>
        <v>450</v>
      </c>
      <c r="P306" s="183">
        <f t="shared" si="776"/>
        <v>490</v>
      </c>
      <c r="Q306" s="180">
        <f t="shared" si="776"/>
        <v>490</v>
      </c>
      <c r="R306" s="179">
        <f t="shared" si="776"/>
        <v>588</v>
      </c>
      <c r="S306" s="179">
        <f t="shared" si="776"/>
        <v>489</v>
      </c>
      <c r="T306" s="179">
        <f t="shared" si="776"/>
        <v>384</v>
      </c>
      <c r="U306" s="183">
        <f t="shared" si="776"/>
        <v>733</v>
      </c>
      <c r="V306" s="180">
        <f t="shared" si="776"/>
        <v>733</v>
      </c>
      <c r="W306" s="179">
        <f t="shared" si="776"/>
        <v>913</v>
      </c>
      <c r="X306" s="179">
        <f t="shared" si="776"/>
        <v>908</v>
      </c>
      <c r="Y306" s="179">
        <f t="shared" si="776"/>
        <v>701</v>
      </c>
      <c r="Z306" s="179">
        <f t="shared" si="776"/>
        <v>694</v>
      </c>
      <c r="AA306" s="190">
        <f t="shared" si="776"/>
        <v>694</v>
      </c>
      <c r="AB306" s="179">
        <f t="shared" si="776"/>
        <v>905</v>
      </c>
      <c r="AC306" s="179">
        <f t="shared" si="776"/>
        <v>899</v>
      </c>
      <c r="AD306" s="183">
        <f t="shared" si="776"/>
        <v>741</v>
      </c>
      <c r="AE306" s="183">
        <f t="shared" si="776"/>
        <v>789</v>
      </c>
      <c r="AF306" s="190">
        <f t="shared" si="776"/>
        <v>789</v>
      </c>
      <c r="AG306" s="183">
        <f t="shared" si="776"/>
        <v>819</v>
      </c>
      <c r="AH306" s="179">
        <f t="shared" si="776"/>
        <v>852</v>
      </c>
      <c r="AI306" s="179">
        <f t="shared" si="776"/>
        <v>688</v>
      </c>
      <c r="AJ306" s="179">
        <f t="shared" si="776"/>
        <v>504</v>
      </c>
      <c r="AK306" s="190">
        <f t="shared" si="776"/>
        <v>504</v>
      </c>
      <c r="AL306" s="179">
        <f t="shared" si="776"/>
        <v>408</v>
      </c>
      <c r="AM306" s="179">
        <f t="shared" si="776"/>
        <v>447</v>
      </c>
      <c r="AN306" s="179">
        <v>589</v>
      </c>
      <c r="AO306" s="179">
        <v>435</v>
      </c>
      <c r="AP306" s="190">
        <f>AO306</f>
        <v>435</v>
      </c>
      <c r="AQ306" s="179">
        <v>435</v>
      </c>
      <c r="AR306" s="179">
        <v>776</v>
      </c>
      <c r="AS306" s="179">
        <v>1308</v>
      </c>
      <c r="AT306" s="179">
        <v>1157</v>
      </c>
      <c r="AU306" s="190">
        <f>AT306</f>
        <v>1157</v>
      </c>
      <c r="AV306" s="192">
        <v>438</v>
      </c>
      <c r="AW306" s="179">
        <v>514</v>
      </c>
      <c r="AX306" s="179">
        <v>666</v>
      </c>
      <c r="AY306" s="179">
        <v>617</v>
      </c>
      <c r="AZ306" s="190">
        <f>AY306</f>
        <v>617</v>
      </c>
      <c r="BA306" s="190">
        <f>AZ306</f>
        <v>617</v>
      </c>
      <c r="BB306" s="192">
        <v>418</v>
      </c>
      <c r="BC306" s="179">
        <v>432</v>
      </c>
      <c r="BD306" s="179">
        <v>622</v>
      </c>
      <c r="BE306" s="179">
        <v>697</v>
      </c>
      <c r="BF306" s="190">
        <f>BE306</f>
        <v>697</v>
      </c>
      <c r="BG306" s="192"/>
      <c r="BH306" s="179"/>
      <c r="BI306" s="179"/>
      <c r="BJ306" s="179"/>
      <c r="BK306" s="190">
        <v>772</v>
      </c>
      <c r="BL306" s="192">
        <v>584</v>
      </c>
      <c r="BM306" s="179">
        <v>696</v>
      </c>
      <c r="BN306" s="179">
        <v>577</v>
      </c>
      <c r="BO306" s="179">
        <v>1185</v>
      </c>
      <c r="BP306" s="1083">
        <f>+BO306</f>
        <v>1185</v>
      </c>
      <c r="BQ306" s="192">
        <f t="shared" ref="BQ306:BT306" si="777">BQ215*BQ307*4</f>
        <v>603.44573758007436</v>
      </c>
      <c r="BR306" s="179">
        <f t="shared" si="777"/>
        <v>835.50530293159602</v>
      </c>
      <c r="BS306" s="179">
        <f t="shared" si="777"/>
        <v>696.74627660510123</v>
      </c>
      <c r="BT306" s="667">
        <f t="shared" si="777"/>
        <v>1434.8793765857195</v>
      </c>
      <c r="BU306" s="1083">
        <f>+BT306</f>
        <v>1434.8793765857195</v>
      </c>
      <c r="BV306" s="192"/>
      <c r="BW306" s="179"/>
      <c r="BX306" s="179"/>
      <c r="BY306" s="179"/>
      <c r="BZ306" s="190">
        <f>BZ215*BZ307</f>
        <v>1570.0057995029833</v>
      </c>
      <c r="CA306" s="192"/>
      <c r="CB306" s="179"/>
      <c r="CC306" s="179"/>
      <c r="CD306" s="179"/>
      <c r="CE306" s="190">
        <f>CE215*CE307</f>
        <v>1665.6465019484101</v>
      </c>
      <c r="CF306" s="192"/>
      <c r="CG306" s="179"/>
      <c r="CH306" s="179"/>
      <c r="CI306" s="179"/>
      <c r="CJ306" s="190">
        <f>CJ215*CJ307</f>
        <v>1767.2220962694801</v>
      </c>
      <c r="CK306" s="221"/>
      <c r="CL306" s="242"/>
      <c r="CM306" s="703"/>
      <c r="CN306" s="703"/>
      <c r="CO306" s="703"/>
      <c r="CP306" s="1002"/>
      <c r="CQ306" s="703"/>
      <c r="CR306" s="703"/>
      <c r="CS306" s="703"/>
      <c r="CT306" s="703"/>
      <c r="CU306" s="703"/>
      <c r="CV306" s="703"/>
      <c r="CW306" s="233"/>
      <c r="CX306" s="134"/>
      <c r="CY306" s="134"/>
      <c r="CZ306"/>
      <c r="DA306"/>
      <c r="DB306"/>
      <c r="DC306"/>
      <c r="DD306"/>
    </row>
    <row r="307" spans="1:108" s="594" customFormat="1">
      <c r="A307" s="581" t="s">
        <v>253</v>
      </c>
      <c r="B307" s="585">
        <f t="shared" ref="B307:G307" si="778">B306/B215</f>
        <v>4.3895398200033964E-2</v>
      </c>
      <c r="C307" s="585">
        <f t="shared" si="778"/>
        <v>2.8146931461848587E-2</v>
      </c>
      <c r="D307" s="585">
        <f t="shared" si="778"/>
        <v>4.8842549494197231E-2</v>
      </c>
      <c r="E307" s="585">
        <f t="shared" si="778"/>
        <v>3.9857953039698947E-2</v>
      </c>
      <c r="F307" s="585">
        <f t="shared" si="778"/>
        <v>3.1895113230035757E-2</v>
      </c>
      <c r="G307" s="585">
        <f t="shared" si="778"/>
        <v>1.9241158625275319E-2</v>
      </c>
      <c r="H307" s="586">
        <f>H306/H215/4</f>
        <v>1.5793650793650794E-2</v>
      </c>
      <c r="I307" s="586">
        <f>I306/I215/4</f>
        <v>1.4792899408284023E-2</v>
      </c>
      <c r="J307" s="586">
        <f>J306/J215/4</f>
        <v>2.4656131109160082E-2</v>
      </c>
      <c r="K307" s="586">
        <f>K306/K215/4</f>
        <v>1.912840984697272E-2</v>
      </c>
      <c r="L307" s="585">
        <f>L306/L215</f>
        <v>2.1108663729809105E-2</v>
      </c>
      <c r="M307" s="586">
        <f>M306/M215/4</f>
        <v>2.0164168451106353E-2</v>
      </c>
      <c r="N307" s="586">
        <f>N306/N215/4</f>
        <v>1.9478296590442284E-2</v>
      </c>
      <c r="O307" s="586">
        <f>O306/O215/4</f>
        <v>1.5756302521008403E-2</v>
      </c>
      <c r="P307" s="586">
        <f>P306/P215/4</f>
        <v>1.5601120733571065E-2</v>
      </c>
      <c r="Q307" s="585">
        <f>Q306/Q215</f>
        <v>1.6723549488054608E-2</v>
      </c>
      <c r="R307" s="587">
        <f>R306/R215/4</f>
        <v>1.7787996127783156E-2</v>
      </c>
      <c r="S307" s="587">
        <f>S306/S215/4</f>
        <v>1.5092592592592593E-2</v>
      </c>
      <c r="T307" s="587">
        <f>T306/T215/4</f>
        <v>1.2436844150796735E-2</v>
      </c>
      <c r="U307" s="587">
        <f>U306/U215/4</f>
        <v>2.3202076475056975E-2</v>
      </c>
      <c r="V307" s="588">
        <f>V306/V215</f>
        <v>2.2919858666082985E-2</v>
      </c>
      <c r="W307" s="587">
        <f>W306/W215/4</f>
        <v>2.9451612903225805E-2</v>
      </c>
      <c r="X307" s="587">
        <f>X306/X215/4</f>
        <v>2.8010858835143138E-2</v>
      </c>
      <c r="Y307" s="587">
        <f>Y306/Y215/4</f>
        <v>2.1876170265884409E-2</v>
      </c>
      <c r="Z307" s="587">
        <f>Z306/Z215/4</f>
        <v>2.0172073014765726E-2</v>
      </c>
      <c r="AA307" s="588">
        <f>AA306/AA215</f>
        <v>2.1376208957062773E-2</v>
      </c>
      <c r="AB307" s="587">
        <f>AB306/AB215/4</f>
        <v>2.9013849705052577E-2</v>
      </c>
      <c r="AC307" s="587">
        <f>AC306/AC215/4</f>
        <v>2.852519355248128E-2</v>
      </c>
      <c r="AD307" s="587">
        <f>AD306/AD215/4</f>
        <v>2.3589710938494844E-2</v>
      </c>
      <c r="AE307" s="587">
        <f>AE306/AE215/4</f>
        <v>2.1564447359790094E-2</v>
      </c>
      <c r="AF307" s="588">
        <f>AF306/AF215</f>
        <v>2.4145423386479788E-2</v>
      </c>
      <c r="AG307" s="587">
        <f>AG306/AG215/4</f>
        <v>2.7015437392795882E-2</v>
      </c>
      <c r="AH307" s="587">
        <f>AH306/AH215/4</f>
        <v>2.6887149709669274E-2</v>
      </c>
      <c r="AI307" s="587">
        <f>AI306/AI215/4</f>
        <v>2.1678850516763298E-2</v>
      </c>
      <c r="AJ307" s="587">
        <f>AJ306/AJ215/4</f>
        <v>1.5597920277296361E-2</v>
      </c>
      <c r="AK307" s="588">
        <f>AK306/AK215</f>
        <v>1.5993399549392315E-2</v>
      </c>
      <c r="AL307" s="587">
        <f>AL306/AL215/4</f>
        <v>1.3776337115072933E-2</v>
      </c>
      <c r="AM307" s="587">
        <f>AM306/AM215/4</f>
        <v>1.4125900644671976E-2</v>
      </c>
      <c r="AN307" s="587">
        <f>AN306/AN215/4</f>
        <v>1.8887891226269882E-2</v>
      </c>
      <c r="AO307" s="587">
        <f>AO306/AO215/4</f>
        <v>1.3908428187747793E-2</v>
      </c>
      <c r="AP307" s="595">
        <f>AP306/AP215</f>
        <v>1.4064015518913677E-2</v>
      </c>
      <c r="AQ307" s="595">
        <f>AQ306/AQ215/4</f>
        <v>1.4848443473511743E-2</v>
      </c>
      <c r="AR307" s="587">
        <f>AR306/AR215/4</f>
        <v>2.5956649719025955E-2</v>
      </c>
      <c r="AS307" s="587">
        <f>AS306/AS215/4</f>
        <v>4.218810476067604E-2</v>
      </c>
      <c r="AT307" s="587">
        <f>AT306/AT215/4</f>
        <v>3.4836805973744431E-2</v>
      </c>
      <c r="AU307" s="595">
        <f>AU306/AU215</f>
        <v>3.7501620640477115E-2</v>
      </c>
      <c r="AV307" s="595">
        <f>AV306/AV215/4</f>
        <v>1.4067317574511819E-2</v>
      </c>
      <c r="AW307" s="587">
        <f>AW306/AW215/4</f>
        <v>1.6302968789647296E-2</v>
      </c>
      <c r="AX307" s="587">
        <f>AX306/AX215/4</f>
        <v>2.0828121090818115E-2</v>
      </c>
      <c r="AY307" s="587">
        <f>AY306/AY215/4</f>
        <v>1.9752849276475862E-2</v>
      </c>
      <c r="AZ307" s="588">
        <f>AZ306/AZ215</f>
        <v>1.9606596968445137E-2</v>
      </c>
      <c r="BA307" s="588">
        <f>BA306/BA215</f>
        <v>1.9414115351939838E-2</v>
      </c>
      <c r="BB307" s="587">
        <f>BB306/BB215/4</f>
        <v>1.3529259451061626E-2</v>
      </c>
      <c r="BC307" s="587">
        <f>BC306/BC215/4</f>
        <v>1.4090019569471625E-2</v>
      </c>
      <c r="BD307" s="587">
        <f>BD306/BD215/4</f>
        <v>2.0113827447936876E-2</v>
      </c>
      <c r="BE307" s="587">
        <f>BE306/BE215/4</f>
        <v>2.1164824486821329E-2</v>
      </c>
      <c r="BF307" s="595">
        <f>BF306/BF215</f>
        <v>2.2230727522087202E-2</v>
      </c>
      <c r="BG307" s="587"/>
      <c r="BH307" s="587"/>
      <c r="BI307" s="587"/>
      <c r="BJ307" s="587"/>
      <c r="BK307" s="588">
        <f>BK306/BK215</f>
        <v>2.5260953502830405E-2</v>
      </c>
      <c r="BL307" s="587">
        <f>BL306/BL215/4</f>
        <v>1.9621018680284909E-2</v>
      </c>
      <c r="BM307" s="587">
        <f>BM306/BM215/4</f>
        <v>2.267100977198697E-2</v>
      </c>
      <c r="BN307" s="587">
        <f>BN306/BN215/4</f>
        <v>1.9030343007915566E-2</v>
      </c>
      <c r="BO307" s="1257">
        <f>BO306/BO215/4</f>
        <v>3.5791953606379122E-2</v>
      </c>
      <c r="BP307" s="1085">
        <f>BP306/BP215</f>
        <v>3.8259128918735674E-2</v>
      </c>
      <c r="BQ307" s="590">
        <f>BL307</f>
        <v>1.9621018680284909E-2</v>
      </c>
      <c r="BR307" s="591">
        <f>BM307</f>
        <v>2.267100977198697E-2</v>
      </c>
      <c r="BS307" s="591">
        <f>BN307</f>
        <v>1.9030343007915566E-2</v>
      </c>
      <c r="BT307" s="937">
        <f>BO307</f>
        <v>3.5791953606379122E-2</v>
      </c>
      <c r="BU307" s="1085">
        <f>BU306/BU215</f>
        <v>3.9772040665291657E-2</v>
      </c>
      <c r="BV307" s="590"/>
      <c r="BW307" s="591"/>
      <c r="BX307" s="591"/>
      <c r="BY307" s="591"/>
      <c r="BZ307" s="589">
        <f>BU307</f>
        <v>3.9772040665291657E-2</v>
      </c>
      <c r="CA307" s="590"/>
      <c r="CB307" s="591"/>
      <c r="CC307" s="591"/>
      <c r="CD307" s="591"/>
      <c r="CE307" s="589">
        <f>BZ307</f>
        <v>3.9772040665291657E-2</v>
      </c>
      <c r="CF307" s="590"/>
      <c r="CG307" s="591"/>
      <c r="CH307" s="591"/>
      <c r="CI307" s="591"/>
      <c r="CJ307" s="589">
        <f>CE307</f>
        <v>3.9772040665291657E-2</v>
      </c>
      <c r="CK307" s="589"/>
      <c r="CL307" s="592"/>
      <c r="CM307" s="1197"/>
      <c r="CN307" s="1197"/>
      <c r="CO307" s="1197"/>
      <c r="CP307" s="1002"/>
      <c r="CQ307" s="1197"/>
      <c r="CR307" s="1197"/>
      <c r="CS307" s="554"/>
      <c r="CT307" s="1190"/>
      <c r="CU307" s="1197"/>
      <c r="CV307" s="1197"/>
      <c r="CW307" s="593"/>
      <c r="CZ307"/>
      <c r="DA307"/>
      <c r="DB307"/>
      <c r="DC307"/>
      <c r="DD307"/>
    </row>
    <row r="308" spans="1:108" s="222" customFormat="1">
      <c r="A308" s="130" t="s">
        <v>77</v>
      </c>
      <c r="B308" s="129">
        <v>4945</v>
      </c>
      <c r="C308" s="129">
        <v>5098</v>
      </c>
      <c r="D308" s="129">
        <v>6624</v>
      </c>
      <c r="E308" s="129">
        <v>7287</v>
      </c>
      <c r="F308" s="129">
        <v>9449</v>
      </c>
      <c r="G308" s="129">
        <v>9880</v>
      </c>
      <c r="H308" s="130">
        <v>9958</v>
      </c>
      <c r="I308" s="130">
        <v>10551</v>
      </c>
      <c r="J308" s="130">
        <v>10887</v>
      </c>
      <c r="K308" s="130">
        <v>12298</v>
      </c>
      <c r="L308" s="129">
        <v>12298</v>
      </c>
      <c r="M308" s="130">
        <v>12190</v>
      </c>
      <c r="N308" s="130">
        <v>12448</v>
      </c>
      <c r="O308" s="130">
        <v>12259</v>
      </c>
      <c r="P308" s="130">
        <v>11950</v>
      </c>
      <c r="Q308" s="129">
        <v>11950</v>
      </c>
      <c r="R308" s="130">
        <v>11830</v>
      </c>
      <c r="S308" s="130">
        <v>12298</v>
      </c>
      <c r="T308" s="130">
        <v>12228</v>
      </c>
      <c r="U308" s="130">
        <v>13249</v>
      </c>
      <c r="V308" s="129">
        <v>13249</v>
      </c>
      <c r="W308" s="130">
        <v>13353</v>
      </c>
      <c r="X308" s="130">
        <v>13166</v>
      </c>
      <c r="Y308" s="130">
        <v>13390</v>
      </c>
      <c r="Z308" s="130">
        <v>14186</v>
      </c>
      <c r="AA308" s="129">
        <v>14186</v>
      </c>
      <c r="AB308" s="130">
        <v>14795</v>
      </c>
      <c r="AC308" s="130">
        <v>14673</v>
      </c>
      <c r="AD308" s="130">
        <v>14040</v>
      </c>
      <c r="AE308" s="130">
        <v>15368</v>
      </c>
      <c r="AF308" s="129">
        <v>15368</v>
      </c>
      <c r="AG308" s="130">
        <v>15510</v>
      </c>
      <c r="AH308" s="130">
        <v>15527</v>
      </c>
      <c r="AI308" s="130">
        <v>15593</v>
      </c>
      <c r="AJ308" s="130">
        <v>15744</v>
      </c>
      <c r="AK308" s="129">
        <v>15744</v>
      </c>
      <c r="AL308" s="130">
        <v>16350</v>
      </c>
      <c r="AM308" s="130">
        <v>16538</v>
      </c>
      <c r="AN308" s="130">
        <f t="shared" ref="AN308:AS308" si="779">AN297+AN298+AN304+AN302+AN306</f>
        <v>17118</v>
      </c>
      <c r="AO308" s="130">
        <f>AO297+AO298+AO304+AO302+AO306</f>
        <v>17886</v>
      </c>
      <c r="AP308" s="129">
        <f t="shared" si="779"/>
        <v>17886</v>
      </c>
      <c r="AQ308" s="130">
        <f>AQ297+AQ298+AQ304+AQ302+AQ306</f>
        <v>16883</v>
      </c>
      <c r="AR308" s="130">
        <f>AR297+AR298+AR304+AR302+AR306</f>
        <v>17183</v>
      </c>
      <c r="AS308" s="130">
        <f t="shared" si="779"/>
        <v>18169</v>
      </c>
      <c r="AT308" s="130">
        <f>AT297+AT298+AT304+AT302+AT306</f>
        <v>17507</v>
      </c>
      <c r="AU308" s="129">
        <f>AT308</f>
        <v>17507</v>
      </c>
      <c r="AV308" s="130">
        <f>AV297+AV298+AV304+AV302+AV306</f>
        <v>16352</v>
      </c>
      <c r="AW308" s="130">
        <f>AW297+AW298+AW304+AW302+AW306</f>
        <v>15773</v>
      </c>
      <c r="AX308" s="130">
        <f>AX297+AX298+AX304+AX302+AX306</f>
        <v>15288</v>
      </c>
      <c r="AY308" s="130">
        <f>AY297+AY298+AY304+AY302+AY306</f>
        <v>14571</v>
      </c>
      <c r="AZ308" s="129">
        <f t="shared" ref="AZ308:BA312" si="780">AY308</f>
        <v>14571</v>
      </c>
      <c r="BA308" s="129">
        <f t="shared" si="780"/>
        <v>14571</v>
      </c>
      <c r="BB308" s="130">
        <f>BB297+BB298+BB304+BB302+BB306</f>
        <v>14188</v>
      </c>
      <c r="BC308" s="130">
        <f>BC297+BC298+BC304+BC302+BC306</f>
        <v>14386</v>
      </c>
      <c r="BD308" s="130">
        <f>BD297+BD298+BD304+BD302+BD306</f>
        <v>15297</v>
      </c>
      <c r="BE308" s="130">
        <f>BE297+BE298+BE304+BE302+BE306</f>
        <v>15447</v>
      </c>
      <c r="BF308" s="129">
        <f>BE308</f>
        <v>15447</v>
      </c>
      <c r="BG308" s="130"/>
      <c r="BH308" s="130"/>
      <c r="BI308" s="130"/>
      <c r="BJ308" s="130"/>
      <c r="BK308" s="129">
        <f>BK297+BK298+BK304+BK302+BK306+BK300</f>
        <v>16534</v>
      </c>
      <c r="BL308" s="130">
        <f t="shared" ref="BL308:CJ308" si="781">BL297+BL298+BL304+BL302+BL306+BL300</f>
        <v>16614</v>
      </c>
      <c r="BM308" s="130">
        <f t="shared" si="781"/>
        <v>17126</v>
      </c>
      <c r="BN308" s="130">
        <f t="shared" si="781"/>
        <v>18080</v>
      </c>
      <c r="BO308" s="130">
        <f t="shared" ref="BO308" si="782">BO297+BO298+BO304+BO302+BO306+BO300</f>
        <v>18328</v>
      </c>
      <c r="BP308" s="1060">
        <f t="shared" si="781"/>
        <v>18328</v>
      </c>
      <c r="BQ308" s="131">
        <f t="shared" si="781"/>
        <v>18300.743135978915</v>
      </c>
      <c r="BR308" s="130">
        <f t="shared" si="781"/>
        <v>19107.747976771079</v>
      </c>
      <c r="BS308" s="130">
        <f t="shared" si="781"/>
        <v>19521.808630791027</v>
      </c>
      <c r="BT308" s="662">
        <f t="shared" si="781"/>
        <v>21169.06937894271</v>
      </c>
      <c r="BU308" s="129">
        <f t="shared" si="781"/>
        <v>21169.06937894271</v>
      </c>
      <c r="BV308" s="131"/>
      <c r="BW308" s="130"/>
      <c r="BX308" s="130"/>
      <c r="BY308" s="130"/>
      <c r="BZ308" s="129">
        <f t="shared" si="781"/>
        <v>22552.180850381916</v>
      </c>
      <c r="CA308" s="131"/>
      <c r="CB308" s="130"/>
      <c r="CC308" s="130"/>
      <c r="CD308" s="130"/>
      <c r="CE308" s="129">
        <f t="shared" si="781"/>
        <v>23683.815374074882</v>
      </c>
      <c r="CF308" s="131"/>
      <c r="CG308" s="130"/>
      <c r="CH308" s="130"/>
      <c r="CI308" s="130"/>
      <c r="CJ308" s="129">
        <f t="shared" si="781"/>
        <v>24812.710357139138</v>
      </c>
      <c r="CK308" s="221"/>
      <c r="CL308" s="242"/>
      <c r="CM308" s="703"/>
      <c r="CN308" s="703"/>
      <c r="CO308" s="703"/>
      <c r="CP308" s="1002"/>
      <c r="CQ308" s="703"/>
      <c r="CR308" s="703"/>
      <c r="CS308" s="554"/>
      <c r="CT308" s="1190"/>
      <c r="CU308" s="703"/>
      <c r="CV308" s="703"/>
      <c r="CW308" s="233"/>
      <c r="CX308" s="134"/>
      <c r="CY308" s="134"/>
      <c r="CZ308"/>
      <c r="DA308"/>
      <c r="DB308"/>
      <c r="DC308"/>
      <c r="DD308"/>
    </row>
    <row r="309" spans="1:108" s="222" customFormat="1">
      <c r="A309" s="176" t="s">
        <v>78</v>
      </c>
      <c r="B309" s="185">
        <v>1718</v>
      </c>
      <c r="C309" s="185">
        <v>1856</v>
      </c>
      <c r="D309" s="185">
        <v>2060</v>
      </c>
      <c r="E309" s="185">
        <v>2169</v>
      </c>
      <c r="F309" s="185">
        <v>2028</v>
      </c>
      <c r="G309" s="185">
        <v>2168</v>
      </c>
      <c r="H309" s="175">
        <v>2223</v>
      </c>
      <c r="I309" s="175">
        <v>2233</v>
      </c>
      <c r="J309" s="175">
        <v>2364</v>
      </c>
      <c r="K309" s="175">
        <v>2472</v>
      </c>
      <c r="L309" s="185">
        <f>K309</f>
        <v>2472</v>
      </c>
      <c r="M309" s="175">
        <v>2487</v>
      </c>
      <c r="N309" s="175">
        <v>2546</v>
      </c>
      <c r="O309" s="175">
        <v>2566</v>
      </c>
      <c r="P309" s="176">
        <v>2872</v>
      </c>
      <c r="Q309" s="173">
        <f>P309</f>
        <v>2872</v>
      </c>
      <c r="R309" s="175">
        <v>2840</v>
      </c>
      <c r="S309" s="175">
        <v>2857</v>
      </c>
      <c r="T309" s="176">
        <v>2874</v>
      </c>
      <c r="U309" s="176">
        <v>2912</v>
      </c>
      <c r="V309" s="173">
        <f>U309</f>
        <v>2912</v>
      </c>
      <c r="W309" s="175">
        <v>2850</v>
      </c>
      <c r="X309" s="175">
        <v>2850</v>
      </c>
      <c r="Y309" s="176">
        <v>2918</v>
      </c>
      <c r="Z309" s="176">
        <v>2971</v>
      </c>
      <c r="AA309" s="173">
        <f>Z309</f>
        <v>2971</v>
      </c>
      <c r="AB309" s="175">
        <v>2993</v>
      </c>
      <c r="AC309" s="175">
        <v>3048</v>
      </c>
      <c r="AD309" s="176">
        <v>3063</v>
      </c>
      <c r="AE309" s="176">
        <v>3284</v>
      </c>
      <c r="AF309" s="173">
        <f>AE309</f>
        <v>3284</v>
      </c>
      <c r="AG309" s="176">
        <v>3290</v>
      </c>
      <c r="AH309" s="175">
        <v>3248</v>
      </c>
      <c r="AI309" s="175">
        <v>3345</v>
      </c>
      <c r="AJ309" s="176">
        <v>3403</v>
      </c>
      <c r="AK309" s="173">
        <f>AJ309</f>
        <v>3403</v>
      </c>
      <c r="AL309" s="176">
        <v>3374</v>
      </c>
      <c r="AM309" s="176">
        <v>3351</v>
      </c>
      <c r="AN309" s="176">
        <v>3365</v>
      </c>
      <c r="AO309" s="176">
        <v>3415</v>
      </c>
      <c r="AP309" s="173">
        <f>AO309</f>
        <v>3415</v>
      </c>
      <c r="AQ309" s="176">
        <v>3408</v>
      </c>
      <c r="AR309" s="176">
        <v>3327</v>
      </c>
      <c r="AS309" s="176">
        <v>3322</v>
      </c>
      <c r="AT309" s="176">
        <v>3329</v>
      </c>
      <c r="AU309" s="173">
        <f>AT309</f>
        <v>3329</v>
      </c>
      <c r="AV309" s="177">
        <v>3323</v>
      </c>
      <c r="AW309" s="176">
        <v>3329</v>
      </c>
      <c r="AX309" s="176">
        <v>3370</v>
      </c>
      <c r="AY309" s="176">
        <v>3466</v>
      </c>
      <c r="AZ309" s="173">
        <f t="shared" si="780"/>
        <v>3466</v>
      </c>
      <c r="BA309" s="173">
        <f t="shared" si="780"/>
        <v>3466</v>
      </c>
      <c r="BB309" s="177">
        <v>3477</v>
      </c>
      <c r="BC309" s="176">
        <v>3440</v>
      </c>
      <c r="BD309" s="176">
        <v>3445</v>
      </c>
      <c r="BE309" s="176">
        <v>3467</v>
      </c>
      <c r="BF309" s="173">
        <f>BE309</f>
        <v>3467</v>
      </c>
      <c r="BG309" s="177"/>
      <c r="BH309" s="176"/>
      <c r="BI309" s="176"/>
      <c r="BJ309" s="176"/>
      <c r="BK309" s="173">
        <v>3477</v>
      </c>
      <c r="BL309" s="177">
        <v>3412</v>
      </c>
      <c r="BM309" s="176">
        <v>3424</v>
      </c>
      <c r="BN309" s="176">
        <v>3461</v>
      </c>
      <c r="BO309" s="176">
        <v>3517</v>
      </c>
      <c r="BP309" s="1073">
        <f>+BO309</f>
        <v>3517</v>
      </c>
      <c r="BQ309" s="177">
        <f t="shared" ref="BQ309:BT309" si="783">BP309-BQ279-BQ274-BQ268</f>
        <v>3584.3441000000003</v>
      </c>
      <c r="BR309" s="176">
        <f t="shared" si="783"/>
        <v>3569.7048000000004</v>
      </c>
      <c r="BS309" s="176">
        <f t="shared" si="783"/>
        <v>3553.7998300000004</v>
      </c>
      <c r="BT309" s="663">
        <f t="shared" si="783"/>
        <v>3556.1493900000005</v>
      </c>
      <c r="BU309" s="1073">
        <f>+BT309</f>
        <v>3556.1493900000005</v>
      </c>
      <c r="BV309" s="177"/>
      <c r="BW309" s="176"/>
      <c r="BX309" s="176"/>
      <c r="BY309" s="176"/>
      <c r="BZ309" s="173">
        <f>BU309-BZ279-BZ274-BZ268</f>
        <v>3527.9875630000001</v>
      </c>
      <c r="CA309" s="177"/>
      <c r="CB309" s="176"/>
      <c r="CC309" s="176"/>
      <c r="CD309" s="176"/>
      <c r="CE309" s="173">
        <f>BZ309-CE279-CE274-CE268</f>
        <v>3482.7994956400003</v>
      </c>
      <c r="CF309" s="177"/>
      <c r="CG309" s="176"/>
      <c r="CH309" s="176"/>
      <c r="CI309" s="176"/>
      <c r="CJ309" s="173">
        <f>CE309-CJ279-CJ274-CJ268</f>
        <v>3462.0189324932003</v>
      </c>
      <c r="CK309" s="221"/>
      <c r="CL309" s="242"/>
      <c r="CM309" s="703"/>
      <c r="CN309" s="703"/>
      <c r="CO309" s="703"/>
      <c r="CP309" s="1002"/>
      <c r="CQ309" s="703"/>
      <c r="CR309" s="703"/>
      <c r="CS309" s="703"/>
      <c r="CT309" s="703"/>
      <c r="CU309" s="703"/>
      <c r="CV309" s="703"/>
      <c r="CW309" s="233"/>
      <c r="CX309" s="134"/>
      <c r="CY309" s="134"/>
      <c r="CZ309"/>
      <c r="DA309"/>
      <c r="DB309"/>
      <c r="DC309"/>
      <c r="DD309"/>
    </row>
    <row r="310" spans="1:108" s="222" customFormat="1">
      <c r="A310" s="176" t="s">
        <v>63</v>
      </c>
      <c r="B310" s="185">
        <v>648</v>
      </c>
      <c r="C310" s="185">
        <v>560</v>
      </c>
      <c r="D310" s="185">
        <v>953</v>
      </c>
      <c r="E310" s="185">
        <v>954</v>
      </c>
      <c r="F310" s="185">
        <v>898</v>
      </c>
      <c r="G310" s="185">
        <v>1184</v>
      </c>
      <c r="H310" s="175">
        <v>1239</v>
      </c>
      <c r="I310" s="175">
        <v>1093</v>
      </c>
      <c r="J310" s="175">
        <v>1028</v>
      </c>
      <c r="K310" s="175">
        <v>972</v>
      </c>
      <c r="L310" s="173">
        <f>K310</f>
        <v>972</v>
      </c>
      <c r="M310" s="175">
        <v>954</v>
      </c>
      <c r="N310" s="175">
        <v>920</v>
      </c>
      <c r="O310" s="175">
        <v>924</v>
      </c>
      <c r="P310" s="176">
        <v>1617</v>
      </c>
      <c r="Q310" s="173">
        <f>P310</f>
        <v>1617</v>
      </c>
      <c r="R310" s="175">
        <v>1606</v>
      </c>
      <c r="S310" s="175">
        <v>1566</v>
      </c>
      <c r="T310" s="176">
        <v>1846</v>
      </c>
      <c r="U310" s="176">
        <v>2098</v>
      </c>
      <c r="V310" s="173">
        <f>U310</f>
        <v>2098</v>
      </c>
      <c r="W310" s="175">
        <v>2032</v>
      </c>
      <c r="X310" s="175">
        <v>2018</v>
      </c>
      <c r="Y310" s="176">
        <v>2011</v>
      </c>
      <c r="Z310" s="176">
        <v>1992</v>
      </c>
      <c r="AA310" s="173">
        <f>Z310</f>
        <v>1992</v>
      </c>
      <c r="AB310" s="175">
        <v>1943</v>
      </c>
      <c r="AC310" s="175">
        <v>1945</v>
      </c>
      <c r="AD310" s="176">
        <v>2044</v>
      </c>
      <c r="AE310" s="176">
        <v>1813</v>
      </c>
      <c r="AF310" s="173">
        <f>AE310</f>
        <v>1813</v>
      </c>
      <c r="AG310" s="176">
        <v>1783</v>
      </c>
      <c r="AH310" s="175">
        <v>1738</v>
      </c>
      <c r="AI310" s="175">
        <v>1734</v>
      </c>
      <c r="AJ310" s="176">
        <v>1383</v>
      </c>
      <c r="AK310" s="173">
        <f>AJ310</f>
        <v>1383</v>
      </c>
      <c r="AL310" s="176">
        <v>1310</v>
      </c>
      <c r="AM310" s="176">
        <v>1270</v>
      </c>
      <c r="AN310" s="176">
        <v>1248</v>
      </c>
      <c r="AO310" s="176">
        <v>1217</v>
      </c>
      <c r="AP310" s="173">
        <f>AO310</f>
        <v>1217</v>
      </c>
      <c r="AQ310" s="176">
        <v>1184</v>
      </c>
      <c r="AR310" s="176">
        <v>983</v>
      </c>
      <c r="AS310" s="176">
        <v>929</v>
      </c>
      <c r="AT310" s="176">
        <v>912</v>
      </c>
      <c r="AU310" s="173">
        <f>AT310</f>
        <v>912</v>
      </c>
      <c r="AV310" s="177">
        <v>893</v>
      </c>
      <c r="AW310" s="176">
        <v>841</v>
      </c>
      <c r="AX310" s="176">
        <v>800</v>
      </c>
      <c r="AY310" s="176">
        <v>763</v>
      </c>
      <c r="AZ310" s="173">
        <f t="shared" si="780"/>
        <v>763</v>
      </c>
      <c r="BA310" s="173">
        <f t="shared" si="780"/>
        <v>763</v>
      </c>
      <c r="BB310" s="177">
        <v>759</v>
      </c>
      <c r="BC310" s="176">
        <v>733</v>
      </c>
      <c r="BD310" s="176">
        <v>715</v>
      </c>
      <c r="BE310" s="176">
        <v>678</v>
      </c>
      <c r="BF310" s="173">
        <f>BE310</f>
        <v>678</v>
      </c>
      <c r="BG310" s="177"/>
      <c r="BH310" s="176"/>
      <c r="BI310" s="176"/>
      <c r="BJ310" s="176"/>
      <c r="BK310" s="173">
        <f>BF310</f>
        <v>678</v>
      </c>
      <c r="BL310" s="177">
        <v>679</v>
      </c>
      <c r="BM310" s="176">
        <v>685</v>
      </c>
      <c r="BN310" s="176">
        <v>715</v>
      </c>
      <c r="BO310" s="176">
        <v>702</v>
      </c>
      <c r="BP310" s="1073">
        <f>+BO310</f>
        <v>702</v>
      </c>
      <c r="BQ310" s="177">
        <f t="shared" ref="BQ310:BU310" si="784">+BP310</f>
        <v>702</v>
      </c>
      <c r="BR310" s="176">
        <f t="shared" si="784"/>
        <v>702</v>
      </c>
      <c r="BS310" s="176">
        <f t="shared" si="784"/>
        <v>702</v>
      </c>
      <c r="BT310" s="663">
        <f t="shared" si="784"/>
        <v>702</v>
      </c>
      <c r="BU310" s="173">
        <f t="shared" si="784"/>
        <v>702</v>
      </c>
      <c r="BV310" s="177"/>
      <c r="BW310" s="176"/>
      <c r="BX310" s="176"/>
      <c r="BY310" s="176"/>
      <c r="BZ310" s="173">
        <f>BU310</f>
        <v>702</v>
      </c>
      <c r="CA310" s="177"/>
      <c r="CB310" s="176"/>
      <c r="CC310" s="176"/>
      <c r="CD310" s="176"/>
      <c r="CE310" s="173">
        <f>BZ310</f>
        <v>702</v>
      </c>
      <c r="CF310" s="177"/>
      <c r="CG310" s="176"/>
      <c r="CH310" s="176"/>
      <c r="CI310" s="176"/>
      <c r="CJ310" s="173">
        <f>CE310</f>
        <v>702</v>
      </c>
      <c r="CK310" s="221"/>
      <c r="CL310" s="242"/>
      <c r="CM310" s="703"/>
      <c r="CN310" s="703"/>
      <c r="CO310" s="703"/>
      <c r="CP310" s="1002"/>
      <c r="CQ310" s="703"/>
      <c r="CR310" s="703"/>
      <c r="CS310" s="703"/>
      <c r="CT310" s="703"/>
      <c r="CU310" s="703"/>
      <c r="CV310" s="703"/>
      <c r="CW310" s="233"/>
      <c r="CX310" s="134"/>
      <c r="CY310" s="134"/>
      <c r="CZ310"/>
      <c r="DA310"/>
      <c r="DB310"/>
      <c r="DC310"/>
      <c r="DD310"/>
    </row>
    <row r="311" spans="1:108" s="222" customFormat="1">
      <c r="A311" s="176" t="s">
        <v>62</v>
      </c>
      <c r="B311" s="185">
        <v>3110</v>
      </c>
      <c r="C311" s="185">
        <v>3510</v>
      </c>
      <c r="D311" s="185">
        <v>5955</v>
      </c>
      <c r="E311" s="185">
        <v>6451</v>
      </c>
      <c r="F311" s="185">
        <v>6686</v>
      </c>
      <c r="G311" s="185">
        <v>8541</v>
      </c>
      <c r="H311" s="175">
        <v>8629</v>
      </c>
      <c r="I311" s="175">
        <v>8838</v>
      </c>
      <c r="J311" s="175">
        <v>8920</v>
      </c>
      <c r="K311" s="175">
        <v>8942</v>
      </c>
      <c r="L311" s="173">
        <f>K311</f>
        <v>8942</v>
      </c>
      <c r="M311" s="175">
        <v>8979</v>
      </c>
      <c r="N311" s="175">
        <v>8986</v>
      </c>
      <c r="O311" s="175">
        <v>9134</v>
      </c>
      <c r="P311" s="176">
        <v>11413</v>
      </c>
      <c r="Q311" s="173">
        <f>P311</f>
        <v>11413</v>
      </c>
      <c r="R311" s="175">
        <v>11529</v>
      </c>
      <c r="S311" s="175">
        <v>11739</v>
      </c>
      <c r="T311" s="176">
        <v>12410</v>
      </c>
      <c r="U311" s="176">
        <v>12269</v>
      </c>
      <c r="V311" s="173">
        <f>U311</f>
        <v>12269</v>
      </c>
      <c r="W311" s="175">
        <v>12288</v>
      </c>
      <c r="X311" s="175">
        <v>12316</v>
      </c>
      <c r="Y311" s="176">
        <v>12544</v>
      </c>
      <c r="Z311" s="176">
        <v>12649</v>
      </c>
      <c r="AA311" s="173">
        <f>Z311</f>
        <v>12649</v>
      </c>
      <c r="AB311" s="175">
        <v>12723</v>
      </c>
      <c r="AC311" s="175">
        <v>12888</v>
      </c>
      <c r="AD311" s="176">
        <v>13454</v>
      </c>
      <c r="AE311" s="176">
        <v>13576</v>
      </c>
      <c r="AF311" s="173">
        <f>AE311</f>
        <v>13576</v>
      </c>
      <c r="AG311" s="176">
        <v>13759</v>
      </c>
      <c r="AH311" s="175">
        <v>13762</v>
      </c>
      <c r="AI311" s="175">
        <v>13986</v>
      </c>
      <c r="AJ311" s="176">
        <v>12048</v>
      </c>
      <c r="AK311" s="173">
        <f>AJ311</f>
        <v>12048</v>
      </c>
      <c r="AL311" s="176">
        <v>11934</v>
      </c>
      <c r="AM311" s="176">
        <v>11909</v>
      </c>
      <c r="AN311" s="176">
        <v>12008</v>
      </c>
      <c r="AO311" s="176">
        <v>11977</v>
      </c>
      <c r="AP311" s="173">
        <f>AO311</f>
        <v>11977</v>
      </c>
      <c r="AQ311" s="176">
        <v>11946</v>
      </c>
      <c r="AR311" s="176">
        <v>11927</v>
      </c>
      <c r="AS311" s="176">
        <v>11756</v>
      </c>
      <c r="AT311" s="176">
        <v>11731</v>
      </c>
      <c r="AU311" s="173">
        <f>AT311</f>
        <v>11731</v>
      </c>
      <c r="AV311" s="177">
        <v>11699</v>
      </c>
      <c r="AW311" s="176">
        <v>11644</v>
      </c>
      <c r="AX311" s="176">
        <v>11533</v>
      </c>
      <c r="AY311" s="176">
        <v>11443</v>
      </c>
      <c r="AZ311" s="173">
        <f t="shared" si="780"/>
        <v>11443</v>
      </c>
      <c r="BA311" s="173">
        <f t="shared" si="780"/>
        <v>11443</v>
      </c>
      <c r="BB311" s="177">
        <v>11595</v>
      </c>
      <c r="BC311" s="176">
        <v>11572</v>
      </c>
      <c r="BD311" s="176">
        <v>11581</v>
      </c>
      <c r="BE311" s="176">
        <v>11445</v>
      </c>
      <c r="BF311" s="173">
        <f>BE311</f>
        <v>11445</v>
      </c>
      <c r="BG311" s="177"/>
      <c r="BH311" s="176"/>
      <c r="BI311" s="176"/>
      <c r="BJ311" s="176"/>
      <c r="BK311" s="173">
        <f>BF311</f>
        <v>11445</v>
      </c>
      <c r="BL311" s="177">
        <v>11532</v>
      </c>
      <c r="BM311" s="176">
        <v>11679</v>
      </c>
      <c r="BN311" s="176">
        <v>11918</v>
      </c>
      <c r="BO311" s="176">
        <v>11914</v>
      </c>
      <c r="BP311" s="1073">
        <f t="shared" ref="BP311:BU311" si="785">+BO311</f>
        <v>11914</v>
      </c>
      <c r="BQ311" s="177">
        <f t="shared" si="785"/>
        <v>11914</v>
      </c>
      <c r="BR311" s="176">
        <f t="shared" si="785"/>
        <v>11914</v>
      </c>
      <c r="BS311" s="176">
        <f t="shared" si="785"/>
        <v>11914</v>
      </c>
      <c r="BT311" s="663">
        <f t="shared" si="785"/>
        <v>11914</v>
      </c>
      <c r="BU311" s="173">
        <f t="shared" si="785"/>
        <v>11914</v>
      </c>
      <c r="BV311" s="177"/>
      <c r="BW311" s="176"/>
      <c r="BX311" s="176"/>
      <c r="BY311" s="176"/>
      <c r="BZ311" s="173">
        <f>BU311</f>
        <v>11914</v>
      </c>
      <c r="CA311" s="177"/>
      <c r="CB311" s="176"/>
      <c r="CC311" s="176"/>
      <c r="CD311" s="176"/>
      <c r="CE311" s="173">
        <f>BZ311</f>
        <v>11914</v>
      </c>
      <c r="CF311" s="177"/>
      <c r="CG311" s="176"/>
      <c r="CH311" s="176"/>
      <c r="CI311" s="176"/>
      <c r="CJ311" s="173">
        <f>CE311</f>
        <v>11914</v>
      </c>
      <c r="CK311" s="221"/>
      <c r="CL311" s="242"/>
      <c r="CM311" s="703"/>
      <c r="CN311" s="703"/>
      <c r="CO311" s="703"/>
      <c r="CP311" s="1002"/>
      <c r="CQ311" s="703"/>
      <c r="CR311" s="703"/>
      <c r="CS311" s="703"/>
      <c r="CT311" s="703"/>
      <c r="CU311" s="703"/>
      <c r="CV311" s="703"/>
      <c r="CW311" s="233"/>
      <c r="CX311" s="134"/>
      <c r="CY311" s="134"/>
      <c r="CZ311"/>
      <c r="DA311"/>
      <c r="DB311"/>
      <c r="DC311"/>
      <c r="DD311"/>
    </row>
    <row r="312" spans="1:108" s="222" customFormat="1">
      <c r="A312" s="176" t="s">
        <v>79</v>
      </c>
      <c r="B312" s="190">
        <f t="shared" ref="B312:AM312" si="786">B313-B308-B309-B310-B311</f>
        <v>648</v>
      </c>
      <c r="C312" s="190">
        <f t="shared" si="786"/>
        <v>707</v>
      </c>
      <c r="D312" s="190">
        <f t="shared" si="786"/>
        <v>591</v>
      </c>
      <c r="E312" s="190">
        <f t="shared" si="786"/>
        <v>683</v>
      </c>
      <c r="F312" s="190">
        <f t="shared" si="786"/>
        <v>639</v>
      </c>
      <c r="G312" s="190">
        <f t="shared" si="786"/>
        <v>603</v>
      </c>
      <c r="H312" s="179">
        <f t="shared" si="786"/>
        <v>683</v>
      </c>
      <c r="I312" s="179">
        <f t="shared" si="786"/>
        <v>692</v>
      </c>
      <c r="J312" s="179">
        <f t="shared" si="786"/>
        <v>684</v>
      </c>
      <c r="K312" s="179">
        <f t="shared" si="786"/>
        <v>1049</v>
      </c>
      <c r="L312" s="190">
        <f t="shared" si="786"/>
        <v>1049</v>
      </c>
      <c r="M312" s="179">
        <f t="shared" si="786"/>
        <v>1097</v>
      </c>
      <c r="N312" s="179">
        <f t="shared" si="786"/>
        <v>1189</v>
      </c>
      <c r="O312" s="179">
        <f t="shared" si="786"/>
        <v>1163</v>
      </c>
      <c r="P312" s="183">
        <f t="shared" si="786"/>
        <v>521</v>
      </c>
      <c r="Q312" s="180">
        <f t="shared" si="786"/>
        <v>521</v>
      </c>
      <c r="R312" s="179">
        <f t="shared" si="786"/>
        <v>474</v>
      </c>
      <c r="S312" s="179">
        <f t="shared" si="786"/>
        <v>398</v>
      </c>
      <c r="T312" s="179">
        <f t="shared" si="786"/>
        <v>417</v>
      </c>
      <c r="U312" s="183">
        <f t="shared" si="786"/>
        <v>549</v>
      </c>
      <c r="V312" s="180">
        <f t="shared" si="786"/>
        <v>549</v>
      </c>
      <c r="W312" s="179">
        <f t="shared" si="786"/>
        <v>536</v>
      </c>
      <c r="X312" s="179">
        <f t="shared" si="786"/>
        <v>522</v>
      </c>
      <c r="Y312" s="179">
        <f t="shared" si="786"/>
        <v>620</v>
      </c>
      <c r="Z312" s="183">
        <f t="shared" si="786"/>
        <v>747</v>
      </c>
      <c r="AA312" s="180">
        <f t="shared" si="786"/>
        <v>747</v>
      </c>
      <c r="AB312" s="179">
        <f t="shared" si="786"/>
        <v>650</v>
      </c>
      <c r="AC312" s="179">
        <f t="shared" si="786"/>
        <v>807</v>
      </c>
      <c r="AD312" s="183">
        <f t="shared" si="786"/>
        <v>807</v>
      </c>
      <c r="AE312" s="183">
        <f t="shared" si="786"/>
        <v>842</v>
      </c>
      <c r="AF312" s="180">
        <f t="shared" si="786"/>
        <v>842</v>
      </c>
      <c r="AG312" s="183">
        <f t="shared" si="786"/>
        <v>967</v>
      </c>
      <c r="AH312" s="179">
        <f t="shared" si="786"/>
        <v>928</v>
      </c>
      <c r="AI312" s="179">
        <f t="shared" si="786"/>
        <v>845</v>
      </c>
      <c r="AJ312" s="179">
        <f t="shared" si="786"/>
        <v>1731</v>
      </c>
      <c r="AK312" s="180">
        <f t="shared" si="786"/>
        <v>1731</v>
      </c>
      <c r="AL312" s="179">
        <f t="shared" si="786"/>
        <v>1641</v>
      </c>
      <c r="AM312" s="179">
        <f t="shared" si="786"/>
        <v>1663</v>
      </c>
      <c r="AN312" s="179">
        <f>AN313-AN308-AN309-AN310-AN311</f>
        <v>1732</v>
      </c>
      <c r="AO312" s="179">
        <v>953</v>
      </c>
      <c r="AP312" s="180">
        <f>AO312</f>
        <v>953</v>
      </c>
      <c r="AQ312" s="179">
        <f>AQ313-AQ308-AQ309-AQ310-AQ311</f>
        <v>961</v>
      </c>
      <c r="AR312" s="179">
        <f>AR313-AR308-AR309-AR310-AR311</f>
        <v>912</v>
      </c>
      <c r="AS312" s="179">
        <f>AS313-AS308-AS309-AS310-AS311</f>
        <v>1135</v>
      </c>
      <c r="AT312" s="179">
        <f>AT313-AT308-AT309-AT310-AT311</f>
        <v>1876</v>
      </c>
      <c r="AU312" s="180">
        <f>AT312</f>
        <v>1876</v>
      </c>
      <c r="AV312" s="179">
        <f>AV313-AV308-AV309-AV310-AV311</f>
        <v>2118</v>
      </c>
      <c r="AW312" s="179">
        <f>AW313-AW308-AW309-AW310-AW311</f>
        <v>2067</v>
      </c>
      <c r="AX312" s="183">
        <v>1989</v>
      </c>
      <c r="AY312" s="183">
        <v>1754</v>
      </c>
      <c r="AZ312" s="180">
        <f t="shared" si="780"/>
        <v>1754</v>
      </c>
      <c r="BA312" s="180">
        <f t="shared" si="780"/>
        <v>1754</v>
      </c>
      <c r="BB312" s="182">
        <v>1683</v>
      </c>
      <c r="BC312" s="183">
        <v>1638</v>
      </c>
      <c r="BD312" s="183">
        <v>1630</v>
      </c>
      <c r="BE312" s="668">
        <v>1835</v>
      </c>
      <c r="BF312" s="180">
        <f>BE312</f>
        <v>1835</v>
      </c>
      <c r="BG312" s="182"/>
      <c r="BH312" s="183"/>
      <c r="BI312" s="183"/>
      <c r="BJ312" s="668"/>
      <c r="BK312" s="180">
        <v>1038</v>
      </c>
      <c r="BL312" s="182">
        <v>974</v>
      </c>
      <c r="BM312" s="183">
        <v>879</v>
      </c>
      <c r="BN312" s="183">
        <v>740</v>
      </c>
      <c r="BO312" s="668">
        <v>585</v>
      </c>
      <c r="BP312" s="1057">
        <f>+BO312</f>
        <v>585</v>
      </c>
      <c r="BQ312" s="182">
        <v>567.82409751325019</v>
      </c>
      <c r="BR312" s="183">
        <v>550.64819502650028</v>
      </c>
      <c r="BS312" s="183">
        <v>533.47229253975036</v>
      </c>
      <c r="BT312" s="668">
        <v>516.29639005300044</v>
      </c>
      <c r="BU312" s="1057">
        <f>+BT312</f>
        <v>516.29639005300044</v>
      </c>
      <c r="BV312" s="182"/>
      <c r="BW312" s="183"/>
      <c r="BX312" s="183"/>
      <c r="BY312" s="183"/>
      <c r="BZ312" s="180">
        <v>468.28128137228526</v>
      </c>
      <c r="CA312" s="182"/>
      <c r="CB312" s="183"/>
      <c r="CC312" s="183"/>
      <c r="CD312" s="183"/>
      <c r="CE312" s="180">
        <v>415.42464835239491</v>
      </c>
      <c r="CF312" s="182"/>
      <c r="CG312" s="183"/>
      <c r="CH312" s="183"/>
      <c r="CI312" s="183"/>
      <c r="CJ312" s="180">
        <v>357.52180196369903</v>
      </c>
      <c r="CK312" s="221"/>
      <c r="CL312" s="242"/>
      <c r="CM312" s="703"/>
      <c r="CN312" s="703"/>
      <c r="CO312" s="703"/>
      <c r="CP312" s="1002"/>
      <c r="CQ312" s="703"/>
      <c r="CR312" s="703"/>
      <c r="CS312" s="703"/>
      <c r="CT312" s="703"/>
      <c r="CU312" s="703"/>
      <c r="CV312" s="703"/>
      <c r="CW312" s="233"/>
      <c r="CX312" s="134"/>
      <c r="CY312" s="134"/>
      <c r="CZ312"/>
      <c r="DA312"/>
      <c r="DB312"/>
      <c r="DC312"/>
      <c r="DD312"/>
    </row>
    <row r="313" spans="1:108" s="222" customFormat="1">
      <c r="A313" s="130" t="s">
        <v>57</v>
      </c>
      <c r="B313" s="129">
        <v>11069</v>
      </c>
      <c r="C313" s="129">
        <v>11731</v>
      </c>
      <c r="D313" s="129">
        <v>16183</v>
      </c>
      <c r="E313" s="129">
        <v>17544</v>
      </c>
      <c r="F313" s="129">
        <v>19700</v>
      </c>
      <c r="G313" s="129">
        <v>22376</v>
      </c>
      <c r="H313" s="130">
        <v>22732</v>
      </c>
      <c r="I313" s="130">
        <v>23407</v>
      </c>
      <c r="J313" s="130">
        <v>23883</v>
      </c>
      <c r="K313" s="130">
        <v>25733</v>
      </c>
      <c r="L313" s="129">
        <v>25733</v>
      </c>
      <c r="M313" s="130">
        <v>25707</v>
      </c>
      <c r="N313" s="130">
        <v>26089</v>
      </c>
      <c r="O313" s="130">
        <v>26046</v>
      </c>
      <c r="P313" s="130">
        <v>28373</v>
      </c>
      <c r="Q313" s="129">
        <v>28373</v>
      </c>
      <c r="R313" s="130">
        <v>28279</v>
      </c>
      <c r="S313" s="130">
        <v>28858</v>
      </c>
      <c r="T313" s="130">
        <v>29775</v>
      </c>
      <c r="U313" s="130">
        <v>31077</v>
      </c>
      <c r="V313" s="129">
        <v>31077</v>
      </c>
      <c r="W313" s="130">
        <v>31059</v>
      </c>
      <c r="X313" s="130">
        <v>30872</v>
      </c>
      <c r="Y313" s="130">
        <v>31483</v>
      </c>
      <c r="Z313" s="130">
        <v>32545</v>
      </c>
      <c r="AA313" s="129">
        <v>32545</v>
      </c>
      <c r="AB313" s="130">
        <v>33104</v>
      </c>
      <c r="AC313" s="130">
        <v>33361</v>
      </c>
      <c r="AD313" s="130">
        <v>33408</v>
      </c>
      <c r="AE313" s="130">
        <v>34883</v>
      </c>
      <c r="AF313" s="129">
        <v>34883</v>
      </c>
      <c r="AG313" s="130">
        <v>35309</v>
      </c>
      <c r="AH313" s="130">
        <v>35203</v>
      </c>
      <c r="AI313" s="130">
        <v>35503</v>
      </c>
      <c r="AJ313" s="130">
        <v>34309</v>
      </c>
      <c r="AK313" s="129">
        <v>34309</v>
      </c>
      <c r="AL313" s="130">
        <v>34609</v>
      </c>
      <c r="AM313" s="130">
        <v>34731</v>
      </c>
      <c r="AN313" s="130">
        <v>35471</v>
      </c>
      <c r="AO313" s="130">
        <f t="shared" ref="AO313:AY313" si="787">AO308+AO309+AO310+AO311+AO312</f>
        <v>35448</v>
      </c>
      <c r="AP313" s="129">
        <f t="shared" si="787"/>
        <v>35448</v>
      </c>
      <c r="AQ313" s="130">
        <v>34382</v>
      </c>
      <c r="AR313" s="130">
        <v>34332</v>
      </c>
      <c r="AS313" s="130">
        <v>35311</v>
      </c>
      <c r="AT313" s="130">
        <v>35355</v>
      </c>
      <c r="AU313" s="129">
        <f t="shared" si="787"/>
        <v>35355</v>
      </c>
      <c r="AV313" s="131">
        <v>34385</v>
      </c>
      <c r="AW313" s="130">
        <v>33654</v>
      </c>
      <c r="AX313" s="130">
        <f t="shared" si="787"/>
        <v>32980</v>
      </c>
      <c r="AY313" s="130">
        <f t="shared" si="787"/>
        <v>31997</v>
      </c>
      <c r="AZ313" s="129">
        <f t="shared" ref="AZ313:BK313" si="788">AZ308+AZ309+AZ310+AZ311+AZ312</f>
        <v>31997</v>
      </c>
      <c r="BA313" s="129">
        <f t="shared" ref="BA313" si="789">BA308+BA309+BA310+BA311+BA312</f>
        <v>31997</v>
      </c>
      <c r="BB313" s="130">
        <f t="shared" si="788"/>
        <v>31702</v>
      </c>
      <c r="BC313" s="130">
        <f t="shared" si="788"/>
        <v>31769</v>
      </c>
      <c r="BD313" s="130">
        <f t="shared" si="788"/>
        <v>32668</v>
      </c>
      <c r="BE313" s="662">
        <f t="shared" si="788"/>
        <v>32872</v>
      </c>
      <c r="BF313" s="129">
        <f t="shared" si="788"/>
        <v>32872</v>
      </c>
      <c r="BG313" s="130"/>
      <c r="BH313" s="130"/>
      <c r="BI313" s="130"/>
      <c r="BJ313" s="662"/>
      <c r="BK313" s="129">
        <f t="shared" si="788"/>
        <v>33172</v>
      </c>
      <c r="BL313" s="130">
        <f t="shared" ref="BL313:BO313" si="790">BL308+BL309+BL310+BL311+BL312</f>
        <v>33211</v>
      </c>
      <c r="BM313" s="130">
        <f t="shared" si="790"/>
        <v>33793</v>
      </c>
      <c r="BN313" s="130">
        <f t="shared" si="790"/>
        <v>34914</v>
      </c>
      <c r="BO313" s="662">
        <f t="shared" si="790"/>
        <v>35046</v>
      </c>
      <c r="BP313" s="1060">
        <f>BP308+BP309+BP310+BP311+BP312</f>
        <v>35046</v>
      </c>
      <c r="BQ313" s="131">
        <f t="shared" ref="BQ313:BU313" si="791">BQ308+BQ309+BQ310+BQ311+BQ312</f>
        <v>35068.911333492164</v>
      </c>
      <c r="BR313" s="130">
        <f t="shared" si="791"/>
        <v>35844.100971797583</v>
      </c>
      <c r="BS313" s="130">
        <f t="shared" si="791"/>
        <v>36225.080753330782</v>
      </c>
      <c r="BT313" s="662">
        <f t="shared" si="791"/>
        <v>37857.515158995709</v>
      </c>
      <c r="BU313" s="129">
        <f t="shared" si="791"/>
        <v>37857.515158995709</v>
      </c>
      <c r="BV313" s="131"/>
      <c r="BW313" s="130"/>
      <c r="BX313" s="130"/>
      <c r="BY313" s="130"/>
      <c r="BZ313" s="129">
        <f>BZ308+BZ309+BZ310+BZ311+BZ312</f>
        <v>39164.449694754199</v>
      </c>
      <c r="CA313" s="131"/>
      <c r="CB313" s="130"/>
      <c r="CC313" s="130"/>
      <c r="CD313" s="130"/>
      <c r="CE313" s="129">
        <f>CE308+CE309+CE310+CE311+CE312</f>
        <v>40198.039518067279</v>
      </c>
      <c r="CF313" s="131"/>
      <c r="CG313" s="130"/>
      <c r="CH313" s="130"/>
      <c r="CI313" s="130"/>
      <c r="CJ313" s="129">
        <f>CJ308+CJ309+CJ310+CJ311+CJ312</f>
        <v>41248.25109159603</v>
      </c>
      <c r="CK313" s="221"/>
      <c r="CL313" s="242"/>
      <c r="CM313" s="703"/>
      <c r="CN313" s="703"/>
      <c r="CO313" s="703"/>
      <c r="CP313" s="1002"/>
      <c r="CQ313" s="703"/>
      <c r="CR313" s="703"/>
      <c r="CS313" s="703"/>
      <c r="CT313" s="703"/>
      <c r="CU313" s="703"/>
      <c r="CV313" s="703"/>
      <c r="CW313" s="233"/>
      <c r="CX313" s="134"/>
      <c r="CY313" s="134"/>
      <c r="CZ313"/>
      <c r="DA313"/>
      <c r="DB313"/>
      <c r="DC313"/>
      <c r="DD313"/>
    </row>
    <row r="314" spans="1:108" s="135" customFormat="1" ht="12" customHeight="1">
      <c r="A314" s="267" t="s">
        <v>187</v>
      </c>
      <c r="B314" s="265"/>
      <c r="C314" s="265"/>
      <c r="D314" s="265"/>
      <c r="E314" s="265"/>
      <c r="F314" s="265"/>
      <c r="G314" s="265"/>
      <c r="H314" s="252"/>
      <c r="I314" s="252"/>
      <c r="J314" s="252"/>
      <c r="K314" s="253"/>
      <c r="L314" s="265"/>
      <c r="M314" s="252"/>
      <c r="N314" s="252"/>
      <c r="O314" s="252"/>
      <c r="P314" s="253"/>
      <c r="Q314" s="265"/>
      <c r="R314" s="252"/>
      <c r="S314" s="252"/>
      <c r="T314" s="252"/>
      <c r="U314" s="253"/>
      <c r="V314" s="265"/>
      <c r="W314" s="252"/>
      <c r="X314" s="252"/>
      <c r="Y314" s="252"/>
      <c r="Z314" s="253"/>
      <c r="AA314" s="265"/>
      <c r="AB314" s="252"/>
      <c r="AC314" s="252"/>
      <c r="AD314" s="252"/>
      <c r="AE314" s="253"/>
      <c r="AF314" s="265"/>
      <c r="AG314" s="252"/>
      <c r="AH314" s="252"/>
      <c r="AI314" s="252"/>
      <c r="AJ314" s="253"/>
      <c r="AK314" s="265"/>
      <c r="AL314" s="252"/>
      <c r="AM314" s="252"/>
      <c r="AN314" s="252"/>
      <c r="AO314" s="253"/>
      <c r="AP314" s="265"/>
      <c r="AQ314" s="266"/>
      <c r="AR314" s="253"/>
      <c r="AS314" s="253"/>
      <c r="AT314" s="253"/>
      <c r="AU314" s="265"/>
      <c r="AV314" s="266"/>
      <c r="AW314" s="253"/>
      <c r="AX314" s="253"/>
      <c r="AY314" s="253"/>
      <c r="AZ314" s="265"/>
      <c r="BA314" s="265"/>
      <c r="BB314" s="266"/>
      <c r="BC314" s="253"/>
      <c r="BD314" s="253"/>
      <c r="BE314" s="665"/>
      <c r="BF314" s="265"/>
      <c r="BG314" s="266"/>
      <c r="BH314" s="253"/>
      <c r="BI314" s="253"/>
      <c r="BJ314" s="665"/>
      <c r="BK314" s="265"/>
      <c r="BL314" s="266"/>
      <c r="BM314" s="253"/>
      <c r="BN314" s="253"/>
      <c r="BO314" s="665"/>
      <c r="BP314" s="1086"/>
      <c r="BQ314" s="266"/>
      <c r="BR314" s="253"/>
      <c r="BS314" s="253"/>
      <c r="BT314" s="665"/>
      <c r="BU314" s="265"/>
      <c r="BV314" s="266"/>
      <c r="BW314" s="253"/>
      <c r="BX314" s="253"/>
      <c r="BY314" s="253"/>
      <c r="BZ314" s="265"/>
      <c r="CA314" s="266"/>
      <c r="CB314" s="253"/>
      <c r="CC314" s="253"/>
      <c r="CD314" s="253"/>
      <c r="CE314" s="265"/>
      <c r="CF314" s="266"/>
      <c r="CG314" s="253"/>
      <c r="CH314" s="253"/>
      <c r="CI314" s="253"/>
      <c r="CJ314" s="265"/>
      <c r="CK314" s="132"/>
      <c r="CL314" s="240"/>
      <c r="CM314" s="622"/>
      <c r="CN314" s="622"/>
      <c r="CO314" s="622"/>
      <c r="CP314" s="1002"/>
      <c r="CQ314" s="622"/>
      <c r="CR314" s="622"/>
      <c r="CS314" s="622"/>
      <c r="CT314" s="622"/>
      <c r="CU314" s="622"/>
      <c r="CV314" s="622"/>
      <c r="CW314" s="230"/>
      <c r="CX314" s="133"/>
      <c r="CY314" s="133"/>
      <c r="CZ314"/>
      <c r="DA314"/>
      <c r="DB314"/>
      <c r="DC314"/>
      <c r="DD314"/>
    </row>
    <row r="315" spans="1:108" s="222" customFormat="1">
      <c r="A315" s="176" t="s">
        <v>132</v>
      </c>
      <c r="B315" s="190">
        <v>1211</v>
      </c>
      <c r="C315" s="173">
        <v>750</v>
      </c>
      <c r="D315" s="173">
        <v>747</v>
      </c>
      <c r="E315" s="173">
        <v>6</v>
      </c>
      <c r="F315" s="173">
        <v>509</v>
      </c>
      <c r="G315" s="173">
        <v>7</v>
      </c>
      <c r="H315" s="175">
        <v>8</v>
      </c>
      <c r="I315" s="175">
        <v>506</v>
      </c>
      <c r="J315" s="175">
        <v>656</v>
      </c>
      <c r="K315" s="176">
        <v>673</v>
      </c>
      <c r="L315" s="173">
        <f>K315</f>
        <v>673</v>
      </c>
      <c r="M315" s="175">
        <v>673</v>
      </c>
      <c r="N315" s="175">
        <v>172</v>
      </c>
      <c r="O315" s="175">
        <v>22</v>
      </c>
      <c r="P315" s="176">
        <v>911</v>
      </c>
      <c r="Q315" s="173">
        <f>P315</f>
        <v>911</v>
      </c>
      <c r="R315" s="175">
        <v>770</v>
      </c>
      <c r="S315" s="175">
        <v>55</v>
      </c>
      <c r="T315" s="176">
        <v>705</v>
      </c>
      <c r="U315" s="176">
        <v>705</v>
      </c>
      <c r="V315" s="173">
        <f>U315</f>
        <v>705</v>
      </c>
      <c r="W315" s="175">
        <v>704</v>
      </c>
      <c r="X315" s="175">
        <v>703</v>
      </c>
      <c r="Y315" s="176">
        <v>774</v>
      </c>
      <c r="Z315" s="176">
        <v>773</v>
      </c>
      <c r="AA315" s="173">
        <f>Z315</f>
        <v>773</v>
      </c>
      <c r="AB315" s="175">
        <v>792</v>
      </c>
      <c r="AC315" s="175">
        <v>772</v>
      </c>
      <c r="AD315" s="176">
        <v>222</v>
      </c>
      <c r="AE315" s="176">
        <v>23</v>
      </c>
      <c r="AF315" s="173">
        <f>AE315</f>
        <v>23</v>
      </c>
      <c r="AG315" s="176">
        <v>3</v>
      </c>
      <c r="AH315" s="176">
        <v>1028</v>
      </c>
      <c r="AI315" s="176">
        <v>1001</v>
      </c>
      <c r="AJ315" s="134">
        <v>0</v>
      </c>
      <c r="AK315" s="173">
        <f>AJ315</f>
        <v>0</v>
      </c>
      <c r="AL315" s="176">
        <v>0</v>
      </c>
      <c r="AM315" s="176">
        <v>0</v>
      </c>
      <c r="AN315" s="176">
        <v>0</v>
      </c>
      <c r="AO315" s="176">
        <f>AN315+AO284</f>
        <v>0</v>
      </c>
      <c r="AP315" s="173">
        <f>AO315</f>
        <v>0</v>
      </c>
      <c r="AQ315" s="177">
        <v>502</v>
      </c>
      <c r="AR315" s="176">
        <v>501</v>
      </c>
      <c r="AS315" s="176">
        <v>501</v>
      </c>
      <c r="AT315" s="176">
        <v>501</v>
      </c>
      <c r="AU315" s="173">
        <f>AT315</f>
        <v>501</v>
      </c>
      <c r="AV315" s="177">
        <v>1</v>
      </c>
      <c r="AW315" s="176">
        <v>2</v>
      </c>
      <c r="AX315" s="176">
        <v>501</v>
      </c>
      <c r="AY315" s="176">
        <v>501</v>
      </c>
      <c r="AZ315" s="173">
        <f>AY315</f>
        <v>501</v>
      </c>
      <c r="BA315" s="173">
        <f>AZ315</f>
        <v>501</v>
      </c>
      <c r="BB315" s="177">
        <v>501</v>
      </c>
      <c r="BC315" s="176">
        <v>537</v>
      </c>
      <c r="BD315" s="176">
        <v>1</v>
      </c>
      <c r="BE315" s="663">
        <v>900</v>
      </c>
      <c r="BF315" s="173">
        <f>BE315</f>
        <v>900</v>
      </c>
      <c r="BG315" s="177"/>
      <c r="BH315" s="176"/>
      <c r="BI315" s="176"/>
      <c r="BJ315" s="663"/>
      <c r="BK315" s="173">
        <f>BF315</f>
        <v>900</v>
      </c>
      <c r="BL315" s="177">
        <v>901</v>
      </c>
      <c r="BM315" s="176">
        <v>989</v>
      </c>
      <c r="BN315" s="176">
        <v>903</v>
      </c>
      <c r="BO315" s="663">
        <v>2</v>
      </c>
      <c r="BP315" s="1073">
        <f>+BO315</f>
        <v>2</v>
      </c>
      <c r="BQ315" s="177">
        <f t="shared" ref="BQ315" si="792">BP315+BQ284</f>
        <v>2</v>
      </c>
      <c r="BR315" s="176">
        <f t="shared" ref="BR315" si="793">BQ315+BR284</f>
        <v>2</v>
      </c>
      <c r="BS315" s="176">
        <f t="shared" ref="BS315" si="794">BR315+BS284</f>
        <v>2</v>
      </c>
      <c r="BT315" s="663">
        <f t="shared" ref="BT315" si="795">BS315+BT284</f>
        <v>2</v>
      </c>
      <c r="BU315" s="1073">
        <f>+BT315</f>
        <v>2</v>
      </c>
      <c r="BV315" s="177"/>
      <c r="BW315" s="176"/>
      <c r="BX315" s="176"/>
      <c r="BY315" s="176"/>
      <c r="BZ315" s="173">
        <f>BU315+BZ284</f>
        <v>2</v>
      </c>
      <c r="CA315" s="177"/>
      <c r="CB315" s="176"/>
      <c r="CC315" s="176"/>
      <c r="CD315" s="176"/>
      <c r="CE315" s="173">
        <f>BZ315+CE284+501</f>
        <v>503</v>
      </c>
      <c r="CF315" s="177"/>
      <c r="CG315" s="176"/>
      <c r="CH315" s="176"/>
      <c r="CI315" s="176"/>
      <c r="CJ315" s="173">
        <f>CE315+CJ284</f>
        <v>2</v>
      </c>
      <c r="CK315" s="221"/>
      <c r="CL315" s="242"/>
      <c r="CM315" s="703"/>
      <c r="CN315" s="703"/>
      <c r="CO315" s="703"/>
      <c r="CP315" s="1002"/>
      <c r="CQ315" s="703"/>
      <c r="CR315" s="703"/>
      <c r="CS315" s="703"/>
      <c r="CT315" s="703"/>
      <c r="CU315" s="703"/>
      <c r="CV315" s="703"/>
      <c r="CW315" s="233"/>
      <c r="CX315" s="134"/>
      <c r="CY315" s="134"/>
      <c r="CZ315"/>
      <c r="DA315"/>
      <c r="DB315"/>
      <c r="DC315"/>
      <c r="DD315"/>
    </row>
    <row r="316" spans="1:108" s="222" customFormat="1">
      <c r="A316" s="134" t="s">
        <v>68</v>
      </c>
      <c r="B316" s="190">
        <v>890</v>
      </c>
      <c r="C316" s="190">
        <v>1056</v>
      </c>
      <c r="D316" s="190">
        <v>1288</v>
      </c>
      <c r="E316" s="190">
        <v>1508</v>
      </c>
      <c r="F316" s="190">
        <v>1686</v>
      </c>
      <c r="G316" s="190">
        <v>1956</v>
      </c>
      <c r="H316" s="183">
        <v>1924</v>
      </c>
      <c r="I316" s="179">
        <v>1819</v>
      </c>
      <c r="J316" s="179">
        <v>1926</v>
      </c>
      <c r="K316" s="179">
        <v>2318</v>
      </c>
      <c r="L316" s="190">
        <f>K316</f>
        <v>2318</v>
      </c>
      <c r="M316" s="179">
        <v>2091</v>
      </c>
      <c r="N316" s="179">
        <v>2115</v>
      </c>
      <c r="O316" s="179">
        <v>2064</v>
      </c>
      <c r="P316" s="183">
        <v>2443</v>
      </c>
      <c r="Q316" s="180">
        <f>P316</f>
        <v>2443</v>
      </c>
      <c r="R316" s="179">
        <v>2596</v>
      </c>
      <c r="S316" s="179">
        <v>2427</v>
      </c>
      <c r="T316" s="179">
        <v>2316</v>
      </c>
      <c r="U316" s="183">
        <v>2365</v>
      </c>
      <c r="V316" s="180">
        <f>U316</f>
        <v>2365</v>
      </c>
      <c r="W316" s="179">
        <v>2250</v>
      </c>
      <c r="X316" s="179">
        <v>2396</v>
      </c>
      <c r="Y316" s="179">
        <v>2571</v>
      </c>
      <c r="Z316" s="183">
        <v>2736</v>
      </c>
      <c r="AA316" s="180">
        <f>Z316</f>
        <v>2736</v>
      </c>
      <c r="AB316" s="179">
        <v>2510</v>
      </c>
      <c r="AC316" s="179">
        <v>2630</v>
      </c>
      <c r="AD316" s="183">
        <v>2584</v>
      </c>
      <c r="AE316" s="183">
        <v>2895</v>
      </c>
      <c r="AF316" s="190">
        <f>AE316</f>
        <v>2895</v>
      </c>
      <c r="AG316" s="183">
        <v>2509</v>
      </c>
      <c r="AH316" s="179">
        <v>2559</v>
      </c>
      <c r="AI316" s="179">
        <v>2540</v>
      </c>
      <c r="AJ316" s="179">
        <v>2469</v>
      </c>
      <c r="AK316" s="190">
        <f>AJ316</f>
        <v>2469</v>
      </c>
      <c r="AL316" s="179">
        <v>2503</v>
      </c>
      <c r="AM316" s="179">
        <v>2444</v>
      </c>
      <c r="AN316" s="179">
        <v>2443</v>
      </c>
      <c r="AO316" s="179">
        <v>2248</v>
      </c>
      <c r="AP316" s="173">
        <f>AO316</f>
        <v>2248</v>
      </c>
      <c r="AQ316" s="179">
        <v>2215</v>
      </c>
      <c r="AR316" s="179">
        <v>2486</v>
      </c>
      <c r="AS316" s="179">
        <v>2390</v>
      </c>
      <c r="AT316" s="179">
        <v>2057</v>
      </c>
      <c r="AU316" s="190">
        <f>AT316</f>
        <v>2057</v>
      </c>
      <c r="AV316" s="192">
        <v>2266</v>
      </c>
      <c r="AW316" s="179">
        <v>2275</v>
      </c>
      <c r="AX316" s="179">
        <v>2387</v>
      </c>
      <c r="AY316" s="179">
        <v>1964</v>
      </c>
      <c r="AZ316" s="190">
        <f>AY316</f>
        <v>1964</v>
      </c>
      <c r="BA316" s="190">
        <f>AZ316</f>
        <v>1964</v>
      </c>
      <c r="BB316" s="192">
        <v>2150</v>
      </c>
      <c r="BC316" s="179">
        <v>2128</v>
      </c>
      <c r="BD316" s="179">
        <v>2276</v>
      </c>
      <c r="BE316" s="667">
        <v>2538</v>
      </c>
      <c r="BF316" s="190">
        <f>BE316</f>
        <v>2538</v>
      </c>
      <c r="BG316" s="192"/>
      <c r="BH316" s="179"/>
      <c r="BI316" s="179"/>
      <c r="BJ316" s="667"/>
      <c r="BK316" s="190">
        <f>BF316</f>
        <v>2538</v>
      </c>
      <c r="BL316" s="192">
        <v>2466</v>
      </c>
      <c r="BM316" s="179">
        <v>2620</v>
      </c>
      <c r="BN316" s="179">
        <v>2718</v>
      </c>
      <c r="BO316" s="667">
        <v>3207</v>
      </c>
      <c r="BP316" s="1083">
        <f>+BO316</f>
        <v>3207</v>
      </c>
      <c r="BQ316" s="192">
        <f t="shared" ref="BQ316:BT316" si="796">(BQ215*BQ317)/(360)*4</f>
        <v>2548.1116247816149</v>
      </c>
      <c r="BR316" s="179">
        <f t="shared" si="796"/>
        <v>3145.149272529859</v>
      </c>
      <c r="BS316" s="179">
        <f t="shared" si="796"/>
        <v>3282.0734485488138</v>
      </c>
      <c r="BT316" s="667">
        <f t="shared" si="796"/>
        <v>3883.2558318231249</v>
      </c>
      <c r="BU316" s="1083">
        <f>+BT316</f>
        <v>3883.2558318231249</v>
      </c>
      <c r="BV316" s="192"/>
      <c r="BW316" s="179"/>
      <c r="BX316" s="179"/>
      <c r="BY316" s="179"/>
      <c r="BZ316" s="190">
        <f>(BZ215*BZ317)/(360)</f>
        <v>4276.4705749999994</v>
      </c>
      <c r="CA316" s="192"/>
      <c r="CB316" s="179"/>
      <c r="CC316" s="179"/>
      <c r="CD316" s="179"/>
      <c r="CE316" s="190">
        <f>(CE215*CE317)/(360)</f>
        <v>4536.9821284666668</v>
      </c>
      <c r="CF316" s="192"/>
      <c r="CG316" s="179"/>
      <c r="CH316" s="179"/>
      <c r="CI316" s="179"/>
      <c r="CJ316" s="190">
        <f>(CJ215*CJ317)/(360)</f>
        <v>4813.6594760215012</v>
      </c>
      <c r="CK316" s="221"/>
      <c r="CL316" s="242"/>
      <c r="CM316" s="733"/>
      <c r="CN316" s="734"/>
      <c r="CO316" s="734"/>
      <c r="CP316" s="734"/>
      <c r="CQ316" s="1189"/>
      <c r="CR316" s="1189"/>
      <c r="CS316" s="1189"/>
      <c r="CT316" s="1189"/>
      <c r="CU316" s="1189"/>
      <c r="CV316" s="703"/>
      <c r="CW316" s="233"/>
      <c r="CX316" s="134"/>
      <c r="CY316" s="134"/>
      <c r="CZ316"/>
      <c r="DA316"/>
      <c r="DB316"/>
      <c r="DC316"/>
      <c r="DD316"/>
    </row>
    <row r="317" spans="1:108" s="337" customFormat="1">
      <c r="A317" s="596" t="s">
        <v>254</v>
      </c>
      <c r="B317" s="608">
        <f t="shared" ref="B317:G317" si="797">(B316/B215)*(360)</f>
        <v>27.203260315843096</v>
      </c>
      <c r="C317" s="608">
        <f t="shared" si="797"/>
        <v>28.382857996117664</v>
      </c>
      <c r="D317" s="608">
        <f t="shared" si="797"/>
        <v>28.776764103518897</v>
      </c>
      <c r="E317" s="608">
        <f t="shared" si="797"/>
        <v>28.774049928446491</v>
      </c>
      <c r="F317" s="608">
        <f t="shared" si="797"/>
        <v>28.937306317044097</v>
      </c>
      <c r="G317" s="608">
        <f t="shared" si="797"/>
        <v>29.263184141628226</v>
      </c>
      <c r="H317" s="598">
        <f>(H316/H215)*(360)/4</f>
        <v>27.485714285714284</v>
      </c>
      <c r="I317" s="598">
        <f>(I316/I215)*(360)/4</f>
        <v>24.838416021847976</v>
      </c>
      <c r="J317" s="598">
        <f>(J316/J215)*(360)/4</f>
        <v>25.364354697102723</v>
      </c>
      <c r="K317" s="598">
        <f>(K316/K215)*(360)/4</f>
        <v>27.760479041916167</v>
      </c>
      <c r="L317" s="608">
        <f>(L316/L215)*(360)</f>
        <v>30.634361233480178</v>
      </c>
      <c r="M317" s="598">
        <f>(M316/M215)*(360)/4</f>
        <v>26.865096359743038</v>
      </c>
      <c r="N317" s="598">
        <f>(N316/N215)*(360)/4</f>
        <v>26.064630973572502</v>
      </c>
      <c r="O317" s="598">
        <f>(O316/O215)*(360)/4</f>
        <v>26.016806722689079</v>
      </c>
      <c r="P317" s="598">
        <f>(P316/P215)*(360)/4</f>
        <v>28.001782985226694</v>
      </c>
      <c r="Q317" s="608">
        <f>(Q316/Q215)*(360)</f>
        <v>30.01638225255973</v>
      </c>
      <c r="R317" s="598">
        <f>(R316/R215)*(360)/4</f>
        <v>28.272023233301066</v>
      </c>
      <c r="S317" s="598">
        <f>(S316/S215)*(360)/4</f>
        <v>26.966666666666669</v>
      </c>
      <c r="T317" s="598">
        <f>(T316/T215)*(360)/4</f>
        <v>27.003497862417412</v>
      </c>
      <c r="U317" s="598">
        <f>(U316/U215)*(360)/4</f>
        <v>26.949860724233982</v>
      </c>
      <c r="V317" s="608">
        <f>(V316/V215)*(360)</f>
        <v>26.622056846252462</v>
      </c>
      <c r="W317" s="598">
        <f>(W316/W215)*(360)/4</f>
        <v>26.12903225806452</v>
      </c>
      <c r="X317" s="598">
        <f>(X316/X215)*(360)/4</f>
        <v>26.609081934846987</v>
      </c>
      <c r="Y317" s="598">
        <f>(Y316/Y215)*(360)/4</f>
        <v>28.884034452627638</v>
      </c>
      <c r="Z317" s="598">
        <f>(Z316/Z215)*(360)/4</f>
        <v>28.629229159400069</v>
      </c>
      <c r="AA317" s="608">
        <f>(AA316/AA215)*(360)</f>
        <v>30.338199963038257</v>
      </c>
      <c r="AB317" s="598">
        <f>(AB316/AB215)*(360)/4</f>
        <v>28.968966401641449</v>
      </c>
      <c r="AC317" s="598">
        <f>(AC316/AC215)*(360)/4</f>
        <v>30.041883487752255</v>
      </c>
      <c r="AD317" s="598">
        <f>(AD316/AD215)*(360)/4</f>
        <v>29.614160193556604</v>
      </c>
      <c r="AE317" s="598">
        <f>(AE316/AE215)*(360)/4</f>
        <v>28.484749098064938</v>
      </c>
      <c r="AF317" s="608">
        <f>(AF316/AF215)*(360)</f>
        <v>31.893992716589651</v>
      </c>
      <c r="AG317" s="598">
        <f>(AG316/AG215)*(360)/4</f>
        <v>29.794168096054889</v>
      </c>
      <c r="AH317" s="598">
        <f>(AH316/AH215)*(360)/4</f>
        <v>29.072203988891694</v>
      </c>
      <c r="AI317" s="598">
        <f>(AI316/AI215)*(360)/4</f>
        <v>28.81270481472145</v>
      </c>
      <c r="AJ317" s="598">
        <f>(AJ316/AJ215)*(360)/4</f>
        <v>27.508046546174793</v>
      </c>
      <c r="AK317" s="608">
        <f>(AK316/AK215)*(360)</f>
        <v>28.205502491035446</v>
      </c>
      <c r="AL317" s="598">
        <f>(AL316/AL215)*(360)/4</f>
        <v>30.425445705024313</v>
      </c>
      <c r="AM317" s="598">
        <f>(AM316/AM215)*(360)/4</f>
        <v>27.804323094425484</v>
      </c>
      <c r="AN317" s="598">
        <f>(AN316/AN215)*(360)/4</f>
        <v>28.202924576706</v>
      </c>
      <c r="AO317" s="598">
        <f>(AO316/AO215)*(360)/4</f>
        <v>25.87543164087479</v>
      </c>
      <c r="AP317" s="608">
        <f>(AP316/AP215)*(360)</f>
        <v>26.164888457807951</v>
      </c>
      <c r="AQ317" s="598">
        <f>(AQ316/AQ215)*(360)/4</f>
        <v>27.218732932823595</v>
      </c>
      <c r="AR317" s="598">
        <f>(AR316/AR215)*(360)/4</f>
        <v>29.935777361519936</v>
      </c>
      <c r="AS317" s="598">
        <f>(AS316/AS215)*(360)/4</f>
        <v>27.75125790220617</v>
      </c>
      <c r="AT317" s="598">
        <f>(AT316/AT215)*(360)/4</f>
        <v>22.296760207154041</v>
      </c>
      <c r="AU317" s="608">
        <f>(AU316/AU215)*(360)</f>
        <v>24.002333722287048</v>
      </c>
      <c r="AV317" s="598">
        <f>(AV316/AV215)*(360)/4</f>
        <v>26.199897225077081</v>
      </c>
      <c r="AW317" s="598">
        <f>(AW316/AW215)*(360)/4</f>
        <v>25.976909413854351</v>
      </c>
      <c r="AX317" s="598">
        <f>(AX316/AX215)*(360)/4</f>
        <v>26.873905429071804</v>
      </c>
      <c r="AY317" s="598">
        <f>(AY316/AY215)*(360)/4</f>
        <v>22.635420668459471</v>
      </c>
      <c r="AZ317" s="608">
        <f>(AZ316/AZ215)*(360)</f>
        <v>22.467825479042865</v>
      </c>
      <c r="BA317" s="608">
        <f>(BA316/BA215)*(360)</f>
        <v>22.247254649004123</v>
      </c>
      <c r="BB317" s="797">
        <f>(BB316/BB215)*(360)/4</f>
        <v>25.051786639047126</v>
      </c>
      <c r="BC317" s="598">
        <f>(BC316/BC215)*(360)/4</f>
        <v>24.986301369863014</v>
      </c>
      <c r="BD317" s="598">
        <f>(BD316/BD215)*(360)/4</f>
        <v>26.495925494761352</v>
      </c>
      <c r="BE317" s="598">
        <f>(BE316/BE215)*(360)/4</f>
        <v>27.744443094862138</v>
      </c>
      <c r="BF317" s="608">
        <f>(BF316/BF215)*(360)</f>
        <v>29.141708927375369</v>
      </c>
      <c r="BG317" s="797"/>
      <c r="BH317" s="598"/>
      <c r="BI317" s="598"/>
      <c r="BJ317" s="598"/>
      <c r="BK317" s="608">
        <f>(BK316/BK215)*(360)</f>
        <v>29.896927456562285</v>
      </c>
      <c r="BL317" s="797">
        <f>(BL316/BL215)*(360)/4</f>
        <v>29.82663620481118</v>
      </c>
      <c r="BM317" s="991">
        <f>(BM316/BM215)*(360)/4</f>
        <v>30.723127035830618</v>
      </c>
      <c r="BN317" s="991">
        <f>(BN316/BN215)*(360)/4</f>
        <v>32.27176781002639</v>
      </c>
      <c r="BO317" s="1258">
        <f>(BO316/BO215)*(360)/4</f>
        <v>34.87133019209859</v>
      </c>
      <c r="BP317" s="1087">
        <f>(BP316/BP215)*(360)</f>
        <v>37.275046007813259</v>
      </c>
      <c r="BQ317" s="609">
        <f>BL317</f>
        <v>29.82663620481118</v>
      </c>
      <c r="BR317" s="610">
        <f>BM317</f>
        <v>30.723127035830618</v>
      </c>
      <c r="BS317" s="610">
        <f>BN317</f>
        <v>32.27176781002639</v>
      </c>
      <c r="BT317" s="938">
        <f>BO317</f>
        <v>34.87133019209859</v>
      </c>
      <c r="BU317" s="1087">
        <f>(BU316/BU215)*(360)</f>
        <v>38.749043366154034</v>
      </c>
      <c r="BV317" s="609"/>
      <c r="BW317" s="610"/>
      <c r="BX317" s="610"/>
      <c r="BY317" s="610"/>
      <c r="BZ317" s="577">
        <v>39</v>
      </c>
      <c r="CA317" s="609"/>
      <c r="CB317" s="610"/>
      <c r="CC317" s="610"/>
      <c r="CD317" s="610"/>
      <c r="CE317" s="577">
        <v>39</v>
      </c>
      <c r="CF317" s="609"/>
      <c r="CG317" s="610"/>
      <c r="CH317" s="610"/>
      <c r="CI317" s="610"/>
      <c r="CJ317" s="577">
        <v>39</v>
      </c>
      <c r="CK317" s="332"/>
      <c r="CL317" s="333"/>
      <c r="CM317" s="732"/>
      <c r="CN317" s="732"/>
      <c r="CO317" s="732"/>
      <c r="CP317" s="1261"/>
      <c r="CQ317" s="1262"/>
      <c r="CR317" s="1262"/>
      <c r="CS317" s="1262"/>
      <c r="CT317" s="1262"/>
      <c r="CU317" s="1262"/>
      <c r="CV317" s="703"/>
      <c r="CW317" s="334"/>
      <c r="CX317" s="329"/>
      <c r="CY317" s="329"/>
      <c r="CZ317"/>
      <c r="DA317"/>
      <c r="DB317"/>
      <c r="DC317"/>
      <c r="DD317"/>
    </row>
    <row r="318" spans="1:108" s="222" customFormat="1">
      <c r="A318" s="134" t="s">
        <v>146</v>
      </c>
      <c r="B318" s="180">
        <v>0</v>
      </c>
      <c r="C318" s="180">
        <v>0</v>
      </c>
      <c r="D318" s="180">
        <v>0</v>
      </c>
      <c r="E318" s="180">
        <v>0</v>
      </c>
      <c r="F318" s="180">
        <v>2565</v>
      </c>
      <c r="G318" s="180">
        <v>2949</v>
      </c>
      <c r="H318" s="183">
        <v>2870</v>
      </c>
      <c r="I318" s="183">
        <v>3048</v>
      </c>
      <c r="J318" s="183">
        <v>2877</v>
      </c>
      <c r="K318" s="183">
        <v>3440</v>
      </c>
      <c r="L318" s="180">
        <v>3440</v>
      </c>
      <c r="M318" s="183">
        <v>3483</v>
      </c>
      <c r="N318" s="183">
        <v>3776</v>
      </c>
      <c r="O318" s="183">
        <v>3677</v>
      </c>
      <c r="P318" s="183">
        <v>4154</v>
      </c>
      <c r="Q318" s="180">
        <v>4154</v>
      </c>
      <c r="R318" s="183">
        <v>3679</v>
      </c>
      <c r="S318" s="183">
        <v>3862</v>
      </c>
      <c r="T318" s="183">
        <v>4078</v>
      </c>
      <c r="U318" s="183">
        <v>4313</v>
      </c>
      <c r="V318" s="180">
        <v>4313</v>
      </c>
      <c r="W318" s="183">
        <v>4102</v>
      </c>
      <c r="X318" s="183">
        <v>3740</v>
      </c>
      <c r="Y318" s="183">
        <v>4080</v>
      </c>
      <c r="Z318" s="183">
        <v>4465</v>
      </c>
      <c r="AA318" s="180">
        <v>4465</v>
      </c>
      <c r="AB318" s="183">
        <v>4731</v>
      </c>
      <c r="AC318" s="183">
        <v>4865</v>
      </c>
      <c r="AD318" s="183">
        <v>4690</v>
      </c>
      <c r="AE318" s="183">
        <v>5011</v>
      </c>
      <c r="AF318" s="180">
        <v>5011</v>
      </c>
      <c r="AG318" s="183">
        <v>5299</v>
      </c>
      <c r="AH318" s="183">
        <v>5398</v>
      </c>
      <c r="AI318" s="183">
        <v>5523</v>
      </c>
      <c r="AJ318" s="183">
        <v>6042</v>
      </c>
      <c r="AK318" s="180">
        <v>6042</v>
      </c>
      <c r="AL318" s="183">
        <v>5958</v>
      </c>
      <c r="AM318" s="183">
        <v>6113</v>
      </c>
      <c r="AN318" s="183">
        <v>6266</v>
      </c>
      <c r="AO318" s="183">
        <v>6584</v>
      </c>
      <c r="AP318" s="173">
        <f t="shared" ref="AP318:AP325" si="798">AO318</f>
        <v>6584</v>
      </c>
      <c r="AQ318" s="183">
        <v>6502</v>
      </c>
      <c r="AR318" s="183">
        <v>6694</v>
      </c>
      <c r="AS318" s="183">
        <v>7990</v>
      </c>
      <c r="AT318" s="183">
        <v>7335</v>
      </c>
      <c r="AU318" s="180">
        <f>AT318</f>
        <v>7335</v>
      </c>
      <c r="AV318" s="182">
        <v>6487</v>
      </c>
      <c r="AW318" s="183">
        <v>6104</v>
      </c>
      <c r="AX318" s="183">
        <v>5871</v>
      </c>
      <c r="AY318" s="183">
        <v>5674</v>
      </c>
      <c r="AZ318" s="180">
        <f>AY318</f>
        <v>5674</v>
      </c>
      <c r="BA318" s="180">
        <f>AZ318</f>
        <v>5674</v>
      </c>
      <c r="BB318" s="182">
        <v>5560</v>
      </c>
      <c r="BC318" s="183">
        <v>5365</v>
      </c>
      <c r="BD318" s="183">
        <v>5249</v>
      </c>
      <c r="BE318" s="668">
        <v>4939</v>
      </c>
      <c r="BF318" s="180">
        <f>BE318</f>
        <v>4939</v>
      </c>
      <c r="BG318" s="182"/>
      <c r="BH318" s="183"/>
      <c r="BI318" s="183"/>
      <c r="BJ318" s="668"/>
      <c r="BK318" s="180">
        <v>6827</v>
      </c>
      <c r="BL318" s="182">
        <v>6686</v>
      </c>
      <c r="BM318" s="183">
        <v>6822</v>
      </c>
      <c r="BN318" s="183">
        <v>6610</v>
      </c>
      <c r="BO318" s="668">
        <v>6992</v>
      </c>
      <c r="BP318" s="1057">
        <f>+BO318</f>
        <v>6992</v>
      </c>
      <c r="BQ318" s="182">
        <f t="shared" ref="BQ318:BT318" si="799">BQ215*(BQ319/360)*4</f>
        <v>6908.6270572951671</v>
      </c>
      <c r="BR318" s="183">
        <f t="shared" si="799"/>
        <v>8189.3924951140061</v>
      </c>
      <c r="BS318" s="183">
        <f t="shared" si="799"/>
        <v>7981.7901011433614</v>
      </c>
      <c r="BT318" s="668">
        <f t="shared" si="799"/>
        <v>8466.3937561918574</v>
      </c>
      <c r="BU318" s="1057">
        <f>+BT318</f>
        <v>8466.3937561918574</v>
      </c>
      <c r="BV318" s="182"/>
      <c r="BW318" s="183"/>
      <c r="BX318" s="183"/>
      <c r="BY318" s="183"/>
      <c r="BZ318" s="180">
        <f>BZ215*(BZ319/360)</f>
        <v>9210.8596999999991</v>
      </c>
      <c r="CA318" s="182"/>
      <c r="CB318" s="183"/>
      <c r="CC318" s="183"/>
      <c r="CD318" s="183"/>
      <c r="CE318" s="180">
        <f>CE215*(CE319/360)</f>
        <v>9771.9615074666672</v>
      </c>
      <c r="CF318" s="182"/>
      <c r="CG318" s="183"/>
      <c r="CH318" s="183"/>
      <c r="CI318" s="183"/>
      <c r="CJ318" s="180">
        <f>CJ215*(CJ319/360)</f>
        <v>10367.881948354003</v>
      </c>
      <c r="CK318" s="221"/>
      <c r="CL318" s="242"/>
      <c r="CM318" s="1188"/>
      <c r="CN318" s="1263"/>
      <c r="CO318" s="1263"/>
      <c r="CP318" s="1003"/>
      <c r="CQ318" s="1262"/>
      <c r="CR318" s="1262"/>
      <c r="CS318" s="1262"/>
      <c r="CT318" s="1262"/>
      <c r="CU318" s="1262"/>
      <c r="CV318" s="703"/>
      <c r="CW318" s="233"/>
      <c r="CX318" s="134"/>
      <c r="CY318" s="134"/>
      <c r="CZ318"/>
      <c r="DA318"/>
      <c r="DB318"/>
      <c r="DC318"/>
      <c r="DD318"/>
    </row>
    <row r="319" spans="1:108" s="621" customFormat="1">
      <c r="A319" s="611" t="s">
        <v>207</v>
      </c>
      <c r="B319" s="612">
        <f t="shared" ref="B319:G319" si="800">(B318/B215)*360</f>
        <v>0</v>
      </c>
      <c r="C319" s="612">
        <f t="shared" si="800"/>
        <v>0</v>
      </c>
      <c r="D319" s="612">
        <f t="shared" si="800"/>
        <v>0</v>
      </c>
      <c r="E319" s="612">
        <f t="shared" si="800"/>
        <v>0</v>
      </c>
      <c r="F319" s="612">
        <f t="shared" si="800"/>
        <v>44.023837902264603</v>
      </c>
      <c r="G319" s="612">
        <f t="shared" si="800"/>
        <v>44.119187133773849</v>
      </c>
      <c r="H319" s="613">
        <f>(H318/H215)*(360/4)</f>
        <v>41</v>
      </c>
      <c r="I319" s="613">
        <f>(I318/I215)*(360/4)</f>
        <v>41.620391442876652</v>
      </c>
      <c r="J319" s="613">
        <f>(J318/J215)*(360/4)</f>
        <v>37.88849868305531</v>
      </c>
      <c r="K319" s="613">
        <f>(K318/K215)*(360/4)</f>
        <v>41.197604790419163</v>
      </c>
      <c r="L319" s="612">
        <f>(L318/L215)*360</f>
        <v>45.462555066079297</v>
      </c>
      <c r="M319" s="613">
        <f>(M318/M215)*(360/4)</f>
        <v>44.74946466809422</v>
      </c>
      <c r="N319" s="613">
        <f>(N318/N215)*(360/4)</f>
        <v>46.534300972203205</v>
      </c>
      <c r="O319" s="613">
        <f>(O318/O215)*(360/4)</f>
        <v>46.348739495798313</v>
      </c>
      <c r="P319" s="613">
        <f>(P318/P215)*(360/4)</f>
        <v>47.613346917982682</v>
      </c>
      <c r="Q319" s="612">
        <f>(Q318/Q215)*360</f>
        <v>51.03890784982935</v>
      </c>
      <c r="R319" s="613">
        <f>(R318/R215)*(360/4)</f>
        <v>40.06655372700871</v>
      </c>
      <c r="S319" s="613">
        <f>(S318/S215)*(360/4)</f>
        <v>42.911111111111111</v>
      </c>
      <c r="T319" s="613">
        <f>(T318/T215)*(360/4)</f>
        <v>47.547609794014775</v>
      </c>
      <c r="U319" s="613">
        <f>(U318/U215)*(360/4)</f>
        <v>49.147885540643202</v>
      </c>
      <c r="V319" s="612">
        <f>(V318/V215)*360</f>
        <v>48.550076607985993</v>
      </c>
      <c r="W319" s="613">
        <f>(W318/W215)*(360/4)</f>
        <v>47.636129032258061</v>
      </c>
      <c r="X319" s="613">
        <f>(X318/X215)*(360/4)</f>
        <v>41.535044422507404</v>
      </c>
      <c r="Y319" s="613">
        <f>(Y318/Y215)*(360/4)</f>
        <v>45.836974160529273</v>
      </c>
      <c r="Z319" s="613">
        <f>(Z318/Z215)*(360/4)</f>
        <v>46.721311475409841</v>
      </c>
      <c r="AA319" s="612">
        <f>(AA318/AA215)*360</f>
        <v>49.510256884124928</v>
      </c>
      <c r="AB319" s="613">
        <f>(AB318/AB215)*(360/4)</f>
        <v>54.602462169787124</v>
      </c>
      <c r="AC319" s="613">
        <f>(AC318/AC215)*(360/4)</f>
        <v>55.571773067648174</v>
      </c>
      <c r="AD319" s="613">
        <f>(AD318/AD215)*(360/4)</f>
        <v>53.750159174837641</v>
      </c>
      <c r="AE319" s="613">
        <f>(AE318/AE215)*(360/4)</f>
        <v>49.304690062315515</v>
      </c>
      <c r="AF319" s="612">
        <f>(AF318/AF215)*360</f>
        <v>55.205802246228238</v>
      </c>
      <c r="AG319" s="613">
        <f>(AG318/AG215)*(360/4)</f>
        <v>62.925188019527639</v>
      </c>
      <c r="AH319" s="613">
        <f>(AH318/AH215)*(360/4)</f>
        <v>61.32542287301186</v>
      </c>
      <c r="AI319" s="613">
        <f>(AI318/AI215)*(360/4)</f>
        <v>62.650617595160071</v>
      </c>
      <c r="AJ319" s="613">
        <f>(AJ318/AJ215)*(360/4)</f>
        <v>67.316167368160436</v>
      </c>
      <c r="AK319" s="612">
        <f>(AK318/AK215)*360</f>
        <v>69.022942912448826</v>
      </c>
      <c r="AL319" s="613">
        <f>(AL318/AL215)*(360/4)</f>
        <v>72.423014586709883</v>
      </c>
      <c r="AM319" s="613">
        <f>(AM318/AM215)*(360/4)</f>
        <v>69.544937428896475</v>
      </c>
      <c r="AN319" s="613">
        <f>(AN318/AN215)*(360/4)</f>
        <v>72.337095946639309</v>
      </c>
      <c r="AO319" s="613">
        <f>(AO318/AO215)*(360/4)</f>
        <v>75.784627190177773</v>
      </c>
      <c r="AP319" s="612">
        <f>(AP318/AP215)*360</f>
        <v>76.632395732298747</v>
      </c>
      <c r="AQ319" s="613">
        <f>(AQ318/AQ215)*(360/4)</f>
        <v>79.898962315674495</v>
      </c>
      <c r="AR319" s="613">
        <f>(AR318/AR215)*(360/4)</f>
        <v>80.6074391222906</v>
      </c>
      <c r="AS319" s="613">
        <f>(AS318/AS215)*(360/4)</f>
        <v>92.775125790220613</v>
      </c>
      <c r="AT319" s="613">
        <f>(AT318/AT215)*(360/4)</f>
        <v>79.507406961339271</v>
      </c>
      <c r="AU319" s="614">
        <f>(AU318/AU215)*(360)</f>
        <v>85.589264877479579</v>
      </c>
      <c r="AV319" s="613">
        <f>(AV318/AV215)*(360/4)</f>
        <v>75.003854059609452</v>
      </c>
      <c r="AW319" s="613">
        <f>(AW318/AW215)*(360/4)</f>
        <v>69.698046181172288</v>
      </c>
      <c r="AX319" s="613">
        <f>(AX318/AX215)*(360/4)</f>
        <v>66.098323742807111</v>
      </c>
      <c r="AY319" s="613">
        <f>(AY318/AY215)*(360/4)</f>
        <v>65.393776411832505</v>
      </c>
      <c r="AZ319" s="614">
        <f>(AZ318/AZ215)*(360)</f>
        <v>64.909593568273536</v>
      </c>
      <c r="BA319" s="614">
        <f>(BA318/BA215)*(360)</f>
        <v>64.272363991063841</v>
      </c>
      <c r="BB319" s="796">
        <f>(BB318/BB215)*(360/4)</f>
        <v>64.78508544795443</v>
      </c>
      <c r="BC319" s="613">
        <f>(BC318/BC215)*(360/4)</f>
        <v>62.99412915851272</v>
      </c>
      <c r="BD319" s="613">
        <f>(BD318/BD215)*(360/4)</f>
        <v>61.105937136204886</v>
      </c>
      <c r="BE319" s="613">
        <f>(BE318/BE215)*(360/4)</f>
        <v>53.991254706668286</v>
      </c>
      <c r="BF319" s="614">
        <f>(BF318/BF215)*(360)</f>
        <v>56.710362644722998</v>
      </c>
      <c r="BG319" s="796"/>
      <c r="BH319" s="613"/>
      <c r="BI319" s="613"/>
      <c r="BJ319" s="613"/>
      <c r="BK319" s="614">
        <f>(BK318/BK215)*(360)</f>
        <v>80.420143319917543</v>
      </c>
      <c r="BL319" s="796">
        <f>(BL318/BL215)*(360/4)</f>
        <v>80.868162881333163</v>
      </c>
      <c r="BM319" s="303">
        <f>(BM318/BM215)*(360/4)</f>
        <v>79.997394136807813</v>
      </c>
      <c r="BN319" s="303">
        <f>(BN318/BN215)*(360/4)</f>
        <v>78.482849604221641</v>
      </c>
      <c r="BO319" s="896">
        <f>(BO318/BO215)*(360/4)</f>
        <v>76.027546212395805</v>
      </c>
      <c r="BP319" s="1088">
        <f>(BP318/BP215)*(360)</f>
        <v>81.268201336648048</v>
      </c>
      <c r="BQ319" s="616">
        <f>BL319</f>
        <v>80.868162881333163</v>
      </c>
      <c r="BR319" s="617">
        <f>BM319</f>
        <v>79.997394136807813</v>
      </c>
      <c r="BS319" s="617">
        <f>BN319</f>
        <v>78.482849604221641</v>
      </c>
      <c r="BT319" s="939">
        <f>BO319</f>
        <v>76.027546212395805</v>
      </c>
      <c r="BU319" s="1088">
        <f>(BU318/BU215)*(360)</f>
        <v>84.481855695712184</v>
      </c>
      <c r="BV319" s="616"/>
      <c r="BW319" s="617"/>
      <c r="BX319" s="617"/>
      <c r="BY319" s="617"/>
      <c r="BZ319" s="615">
        <v>84</v>
      </c>
      <c r="CA319" s="616"/>
      <c r="CB319" s="617"/>
      <c r="CC319" s="617"/>
      <c r="CD319" s="617"/>
      <c r="CE319" s="615">
        <v>84</v>
      </c>
      <c r="CF319" s="616"/>
      <c r="CG319" s="617"/>
      <c r="CH319" s="617"/>
      <c r="CI319" s="617"/>
      <c r="CJ319" s="615">
        <v>84</v>
      </c>
      <c r="CK319" s="618"/>
      <c r="CL319" s="619"/>
      <c r="CM319" s="1035"/>
      <c r="CN319" s="1035"/>
      <c r="CO319" s="703"/>
      <c r="CP319" s="1002"/>
      <c r="CQ319" s="703"/>
      <c r="CR319" s="703"/>
      <c r="CS319" s="703"/>
      <c r="CT319" s="703"/>
      <c r="CU319" s="703"/>
      <c r="CV319" s="703"/>
      <c r="CW319" s="620"/>
      <c r="CX319" s="510"/>
      <c r="CY319" s="510"/>
      <c r="CZ319"/>
      <c r="DA319"/>
      <c r="DB319"/>
      <c r="DC319"/>
      <c r="DD319"/>
    </row>
    <row r="320" spans="1:108" s="222" customFormat="1">
      <c r="A320" s="134" t="s">
        <v>91</v>
      </c>
      <c r="B320" s="180">
        <f>B322-B315-B316-B318</f>
        <v>2478</v>
      </c>
      <c r="C320" s="180">
        <f t="shared" ref="C320:AN320" si="801">C322-C315-C316-C318</f>
        <v>2776</v>
      </c>
      <c r="D320" s="180">
        <f t="shared" si="801"/>
        <v>3589</v>
      </c>
      <c r="E320" s="180">
        <f t="shared" si="801"/>
        <v>3860</v>
      </c>
      <c r="F320" s="180">
        <f t="shared" si="801"/>
        <v>2350</v>
      </c>
      <c r="G320" s="180">
        <f t="shared" si="801"/>
        <v>2912</v>
      </c>
      <c r="H320" s="183">
        <f t="shared" si="801"/>
        <v>2867</v>
      </c>
      <c r="I320" s="183">
        <f t="shared" si="801"/>
        <v>2765</v>
      </c>
      <c r="J320" s="183">
        <f t="shared" si="801"/>
        <v>2878</v>
      </c>
      <c r="K320" s="183">
        <f t="shared" si="801"/>
        <v>2733</v>
      </c>
      <c r="L320" s="180">
        <f t="shared" si="801"/>
        <v>2733</v>
      </c>
      <c r="M320" s="183">
        <f t="shared" si="801"/>
        <v>2809</v>
      </c>
      <c r="N320" s="183">
        <f t="shared" si="801"/>
        <v>2643</v>
      </c>
      <c r="O320" s="183">
        <f t="shared" si="801"/>
        <v>2790</v>
      </c>
      <c r="P320" s="183">
        <f t="shared" si="801"/>
        <v>2852</v>
      </c>
      <c r="Q320" s="180">
        <f t="shared" si="801"/>
        <v>2852</v>
      </c>
      <c r="R320" s="183">
        <f t="shared" si="801"/>
        <v>3035</v>
      </c>
      <c r="S320" s="183">
        <f t="shared" si="801"/>
        <v>2916</v>
      </c>
      <c r="T320" s="183">
        <f t="shared" si="801"/>
        <v>2728</v>
      </c>
      <c r="U320" s="183">
        <f t="shared" si="801"/>
        <v>2988</v>
      </c>
      <c r="V320" s="180">
        <f>V322-V315-V316-V318</f>
        <v>2988</v>
      </c>
      <c r="W320" s="183">
        <f t="shared" si="801"/>
        <v>2881</v>
      </c>
      <c r="X320" s="183">
        <f t="shared" si="801"/>
        <v>2956</v>
      </c>
      <c r="Y320" s="183">
        <f t="shared" si="801"/>
        <v>2886</v>
      </c>
      <c r="Z320" s="183">
        <f t="shared" si="801"/>
        <v>3203</v>
      </c>
      <c r="AA320" s="180">
        <f>AA322-AA315-AA316-AA318</f>
        <v>3203</v>
      </c>
      <c r="AB320" s="183">
        <f t="shared" si="801"/>
        <v>3219</v>
      </c>
      <c r="AC320" s="183">
        <f t="shared" si="801"/>
        <v>3226</v>
      </c>
      <c r="AD320" s="183">
        <f t="shared" si="801"/>
        <v>2986</v>
      </c>
      <c r="AE320" s="183">
        <f t="shared" si="801"/>
        <v>3216</v>
      </c>
      <c r="AF320" s="180">
        <f t="shared" si="801"/>
        <v>3216</v>
      </c>
      <c r="AG320" s="183">
        <f t="shared" si="801"/>
        <v>3142</v>
      </c>
      <c r="AH320" s="183">
        <f t="shared" si="801"/>
        <v>3194</v>
      </c>
      <c r="AI320" s="183">
        <f>AI322-AI315-AI316-AI318</f>
        <v>3129</v>
      </c>
      <c r="AJ320" s="183">
        <f>AJ322-AJ315-AJ316-AJ318</f>
        <v>3109</v>
      </c>
      <c r="AK320" s="180">
        <f t="shared" si="801"/>
        <v>3109</v>
      </c>
      <c r="AL320" s="183">
        <f t="shared" si="801"/>
        <v>3308</v>
      </c>
      <c r="AM320" s="183">
        <f t="shared" si="801"/>
        <v>3284</v>
      </c>
      <c r="AN320" s="183">
        <f t="shared" si="801"/>
        <v>3356</v>
      </c>
      <c r="AO320" s="183">
        <f>AO322-AO315-AO316-AO318</f>
        <v>3362</v>
      </c>
      <c r="AP320" s="173">
        <f t="shared" si="798"/>
        <v>3362</v>
      </c>
      <c r="AQ320" s="183">
        <f>AQ322-AQ315-AQ316-AQ318</f>
        <v>3404</v>
      </c>
      <c r="AR320" s="183">
        <v>3541</v>
      </c>
      <c r="AS320" s="183">
        <v>3789</v>
      </c>
      <c r="AT320" s="183">
        <v>3858</v>
      </c>
      <c r="AU320" s="180">
        <f>AT320</f>
        <v>3858</v>
      </c>
      <c r="AV320" s="183">
        <v>4358</v>
      </c>
      <c r="AW320" s="183">
        <v>4327</v>
      </c>
      <c r="AX320" s="183">
        <v>4419</v>
      </c>
      <c r="AY320" s="183">
        <v>4306</v>
      </c>
      <c r="AZ320" s="180">
        <f>AY320</f>
        <v>4306</v>
      </c>
      <c r="BA320" s="180">
        <f>AZ320</f>
        <v>4306</v>
      </c>
      <c r="BB320" s="182">
        <v>4212</v>
      </c>
      <c r="BC320" s="183">
        <v>4105</v>
      </c>
      <c r="BD320" s="183">
        <v>4367</v>
      </c>
      <c r="BE320" s="668">
        <v>4469</v>
      </c>
      <c r="BF320" s="180">
        <f>BE320</f>
        <v>4469</v>
      </c>
      <c r="BG320" s="182"/>
      <c r="BH320" s="183"/>
      <c r="BI320" s="183"/>
      <c r="BJ320" s="668"/>
      <c r="BK320" s="180">
        <v>3185</v>
      </c>
      <c r="BL320" s="182">
        <v>3112</v>
      </c>
      <c r="BM320" s="183">
        <v>3072</v>
      </c>
      <c r="BN320" s="183">
        <v>2978</v>
      </c>
      <c r="BO320" s="668">
        <v>2898</v>
      </c>
      <c r="BP320" s="1057">
        <f>+BO320</f>
        <v>2898</v>
      </c>
      <c r="BQ320" s="182">
        <f t="shared" ref="BQ320:BT320" si="802">BQ321*BQ215*4</f>
        <v>3215.6218071047797</v>
      </c>
      <c r="BR320" s="183">
        <f t="shared" si="802"/>
        <v>3687.7475439739414</v>
      </c>
      <c r="BS320" s="183">
        <f t="shared" si="802"/>
        <v>3596.0319094107303</v>
      </c>
      <c r="BT320" s="668">
        <f t="shared" si="802"/>
        <v>3509.0974121058357</v>
      </c>
      <c r="BU320" s="1057">
        <f>+BT320</f>
        <v>3509.0974121058357</v>
      </c>
      <c r="BV320" s="182"/>
      <c r="BW320" s="183"/>
      <c r="BX320" s="183"/>
      <c r="BY320" s="183"/>
      <c r="BZ320" s="180">
        <f>BZ321*BZ215</f>
        <v>3839.5584868857768</v>
      </c>
      <c r="CA320" s="182"/>
      <c r="CB320" s="183"/>
      <c r="CC320" s="183"/>
      <c r="CD320" s="183"/>
      <c r="CE320" s="180">
        <f>CE321*CE215</f>
        <v>4073.454483245986</v>
      </c>
      <c r="CF320" s="182"/>
      <c r="CG320" s="183"/>
      <c r="CH320" s="183"/>
      <c r="CI320" s="183"/>
      <c r="CJ320" s="180">
        <f>CJ321*CJ215</f>
        <v>4321.8646708767546</v>
      </c>
      <c r="CK320" s="221"/>
      <c r="CL320" s="242"/>
      <c r="CM320" s="703"/>
      <c r="CN320" s="703"/>
      <c r="CO320" s="703"/>
      <c r="CP320" s="1002"/>
      <c r="CQ320" s="703"/>
      <c r="CR320" s="703"/>
      <c r="CS320" s="703"/>
      <c r="CT320" s="703"/>
      <c r="CU320" s="703"/>
      <c r="CV320" s="703"/>
      <c r="CW320" s="233"/>
      <c r="CX320" s="134"/>
      <c r="CY320" s="134"/>
      <c r="CZ320"/>
      <c r="DA320"/>
      <c r="DB320"/>
      <c r="DC320"/>
      <c r="DD320"/>
    </row>
    <row r="321" spans="1:108" s="363" customFormat="1">
      <c r="A321" s="648" t="s">
        <v>253</v>
      </c>
      <c r="B321" s="649">
        <f t="shared" ref="B321:G321" si="803">B320/B215</f>
        <v>0.21039225674987264</v>
      </c>
      <c r="C321" s="649">
        <f t="shared" si="803"/>
        <v>0.20725698073764373</v>
      </c>
      <c r="D321" s="649">
        <f t="shared" si="803"/>
        <v>0.22273940296654876</v>
      </c>
      <c r="E321" s="649">
        <f t="shared" si="803"/>
        <v>0.20459002491122064</v>
      </c>
      <c r="F321" s="649">
        <f t="shared" si="803"/>
        <v>0.11203814064362336</v>
      </c>
      <c r="G321" s="649">
        <f t="shared" si="803"/>
        <v>0.12101566720691519</v>
      </c>
      <c r="H321" s="650">
        <f>H320/H215/4</f>
        <v>0.11376984126984127</v>
      </c>
      <c r="I321" s="650">
        <f>I320/I215/4</f>
        <v>0.1048778637536034</v>
      </c>
      <c r="J321" s="650">
        <f>J320/J215/4</f>
        <v>0.1052824114720515</v>
      </c>
      <c r="K321" s="650">
        <f>K320/K215/4</f>
        <v>9.0918163672654692E-2</v>
      </c>
      <c r="L321" s="649">
        <f>L320/L215</f>
        <v>0.10033039647577092</v>
      </c>
      <c r="M321" s="650">
        <f>M320/M215/4</f>
        <v>0.1002498215560314</v>
      </c>
      <c r="N321" s="650">
        <f>N320/N215/4</f>
        <v>9.0476516500068466E-2</v>
      </c>
      <c r="O321" s="650">
        <f>O320/O215/4</f>
        <v>9.7689075630252101E-2</v>
      </c>
      <c r="P321" s="650">
        <f>P320/P215/4</f>
        <v>9.0804890473764652E-2</v>
      </c>
      <c r="Q321" s="649">
        <f>Q320/Q215</f>
        <v>9.7337883959044372E-2</v>
      </c>
      <c r="R321" s="650">
        <f>R320/R215/4</f>
        <v>9.1813891577928367E-2</v>
      </c>
      <c r="S321" s="650">
        <f>S320/S215/4</f>
        <v>0.09</v>
      </c>
      <c r="T321" s="650">
        <f>T320/T215/4</f>
        <v>8.8353413654618476E-2</v>
      </c>
      <c r="U321" s="650">
        <f>U320/U215/4</f>
        <v>9.4580906558622432E-2</v>
      </c>
      <c r="V321" s="649">
        <f>V320/V215</f>
        <v>9.3430474344141839E-2</v>
      </c>
      <c r="W321" s="650">
        <f>W320/W215/4</f>
        <v>9.2935483870967742E-2</v>
      </c>
      <c r="X321" s="650">
        <f>X320/X215/4</f>
        <v>9.1189536031589344E-2</v>
      </c>
      <c r="Y321" s="650">
        <f>Y320/Y215/4</f>
        <v>9.0063662464111849E-2</v>
      </c>
      <c r="Z321" s="650">
        <f>Z320/Z215/4</f>
        <v>9.3099639576793403E-2</v>
      </c>
      <c r="AA321" s="649">
        <f>AA320/AA215</f>
        <v>9.8657056613072142E-2</v>
      </c>
      <c r="AB321" s="650">
        <f>AB320/AB215/4</f>
        <v>0.10319953834316492</v>
      </c>
      <c r="AC321" s="650">
        <f>AC320/AC215/4</f>
        <v>0.10236070567330879</v>
      </c>
      <c r="AD321" s="650">
        <f>AD320/AD215/4</f>
        <v>9.50592130396027E-2</v>
      </c>
      <c r="AE321" s="650">
        <f>AE320/AE215/4</f>
        <v>8.7897671367661523E-2</v>
      </c>
      <c r="AF321" s="649">
        <f>AF320/AF215</f>
        <v>9.8417847415613435E-2</v>
      </c>
      <c r="AG321" s="650">
        <f>AG320/AG215/4</f>
        <v>0.10364164137749043</v>
      </c>
      <c r="AH321" s="650">
        <f>AH320/AH215/4</f>
        <v>0.10079525372380711</v>
      </c>
      <c r="AI321" s="650">
        <f>AI320/AI215/4</f>
        <v>9.8594655911267967E-2</v>
      </c>
      <c r="AJ321" s="650">
        <f>AJ320/AJ215/4</f>
        <v>9.6218123297846E-2</v>
      </c>
      <c r="AK321" s="649">
        <f>AK320/AK215</f>
        <v>9.8657696823533148E-2</v>
      </c>
      <c r="AL321" s="650">
        <f>AL320/AL215/4</f>
        <v>0.11169638033495408</v>
      </c>
      <c r="AM321" s="650">
        <f>AM320/AM215/4</f>
        <v>0.10377954746555429</v>
      </c>
      <c r="AN321" s="650">
        <f>AN320/AN215/4</f>
        <v>0.10761929194458697</v>
      </c>
      <c r="AO321" s="650">
        <f>AO320/AO215/4</f>
        <v>0.10749456452231743</v>
      </c>
      <c r="AP321" s="356">
        <f>AP320/AP215</f>
        <v>0.10869705787261558</v>
      </c>
      <c r="AQ321" s="650">
        <f>AQ320/AQ215/4</f>
        <v>0.11619333697433097</v>
      </c>
      <c r="AR321" s="650">
        <f>AR320/AR215/4</f>
        <v>0.11844393898849344</v>
      </c>
      <c r="AS321" s="650">
        <f>AS320/AS215/4</f>
        <v>0.12221003741452716</v>
      </c>
      <c r="AT321" s="650">
        <f>AT320/AT215/4</f>
        <v>0.1161628327110683</v>
      </c>
      <c r="AU321" s="356">
        <f>AU320/AU215</f>
        <v>0.12504861921431348</v>
      </c>
      <c r="AV321" s="650">
        <f>AV320/AV215/4</f>
        <v>0.13996659815005139</v>
      </c>
      <c r="AW321" s="650">
        <f>AW320/AW215/4</f>
        <v>0.13724308551129155</v>
      </c>
      <c r="AX321" s="650">
        <f>AX320/AX215/4</f>
        <v>0.1381973980485364</v>
      </c>
      <c r="AY321" s="650">
        <f>AY320/AY215/4</f>
        <v>0.13785375848380074</v>
      </c>
      <c r="AZ321" s="356">
        <f>AZ320/AZ215</f>
        <v>0.13683307381867871</v>
      </c>
      <c r="BA321" s="356">
        <f>BA320/BA215</f>
        <v>0.13548975803152827</v>
      </c>
      <c r="BB321" s="795">
        <f>BB320/BB215/4</f>
        <v>0.13632832729155878</v>
      </c>
      <c r="BC321" s="650">
        <f>BC320/BC215/4</f>
        <v>0.13388780169602088</v>
      </c>
      <c r="BD321" s="650">
        <f>BD320/BD215/4</f>
        <v>0.14121717759668864</v>
      </c>
      <c r="BE321" s="794">
        <f>BE320/BE215/4</f>
        <v>0.13570387465079559</v>
      </c>
      <c r="BF321" s="793">
        <f>BF320/BF215</f>
        <v>0.14253819411220617</v>
      </c>
      <c r="BG321" s="795"/>
      <c r="BH321" s="650"/>
      <c r="BI321" s="650"/>
      <c r="BJ321" s="794"/>
      <c r="BK321" s="356">
        <f>BK320/BK215</f>
        <v>0.104217793920356</v>
      </c>
      <c r="BL321" s="795">
        <f>BL320/BL215/4</f>
        <v>0.10455583926891547</v>
      </c>
      <c r="BM321" s="992">
        <f>BM320/BM215/4</f>
        <v>0.10006514657980456</v>
      </c>
      <c r="BN321" s="992">
        <f>BN320/BN215/4</f>
        <v>9.8218997361477572E-2</v>
      </c>
      <c r="BO321" s="1259">
        <f>BO320/BO215/4</f>
        <v>8.7531714389271473E-2</v>
      </c>
      <c r="BP321" s="1089">
        <f>BP320/BP215</f>
        <v>9.3565363381009264E-2</v>
      </c>
      <c r="BQ321" s="653">
        <f>BL321</f>
        <v>0.10455583926891547</v>
      </c>
      <c r="BR321" s="651">
        <f>BM321</f>
        <v>0.10006514657980456</v>
      </c>
      <c r="BS321" s="651">
        <f>BN321</f>
        <v>9.8218997361477572E-2</v>
      </c>
      <c r="BT321" s="940">
        <f>BO321</f>
        <v>8.7531714389271473E-2</v>
      </c>
      <c r="BU321" s="1089">
        <f>BU320/BU215</f>
        <v>9.7265294386510742E-2</v>
      </c>
      <c r="BV321" s="653"/>
      <c r="BW321" s="651"/>
      <c r="BX321" s="651"/>
      <c r="BY321" s="651"/>
      <c r="BZ321" s="652">
        <f>BU321</f>
        <v>9.7265294386510742E-2</v>
      </c>
      <c r="CA321" s="653"/>
      <c r="CB321" s="651"/>
      <c r="CC321" s="651"/>
      <c r="CD321" s="651"/>
      <c r="CE321" s="652">
        <f>BZ321</f>
        <v>9.7265294386510742E-2</v>
      </c>
      <c r="CF321" s="653"/>
      <c r="CG321" s="651"/>
      <c r="CH321" s="651"/>
      <c r="CI321" s="651"/>
      <c r="CJ321" s="652">
        <f>CE321</f>
        <v>9.7265294386510742E-2</v>
      </c>
      <c r="CK321" s="359"/>
      <c r="CL321" s="360"/>
      <c r="CM321" s="1268"/>
      <c r="CN321" s="1268"/>
      <c r="CO321" s="1268"/>
      <c r="CP321" s="1002"/>
      <c r="CQ321" s="703"/>
      <c r="CR321" s="703"/>
      <c r="CS321" s="703"/>
      <c r="CT321" s="703"/>
      <c r="CU321" s="703"/>
      <c r="CV321" s="1268"/>
      <c r="CW321" s="361"/>
      <c r="CX321" s="362"/>
      <c r="CY321" s="362"/>
      <c r="CZ321"/>
      <c r="DA321"/>
      <c r="DB321"/>
      <c r="DC321"/>
      <c r="DD321"/>
    </row>
    <row r="322" spans="1:108" s="222" customFormat="1">
      <c r="A322" s="130" t="s">
        <v>58</v>
      </c>
      <c r="B322" s="129">
        <v>4579</v>
      </c>
      <c r="C322" s="129">
        <v>4582</v>
      </c>
      <c r="D322" s="129">
        <v>5624</v>
      </c>
      <c r="E322" s="129">
        <v>5374</v>
      </c>
      <c r="F322" s="129">
        <v>7110</v>
      </c>
      <c r="G322" s="129">
        <v>7824</v>
      </c>
      <c r="H322" s="130">
        <v>7669</v>
      </c>
      <c r="I322" s="130">
        <v>8138</v>
      </c>
      <c r="J322" s="130">
        <v>8337</v>
      </c>
      <c r="K322" s="130">
        <v>9164</v>
      </c>
      <c r="L322" s="129">
        <v>9164</v>
      </c>
      <c r="M322" s="130">
        <v>9056</v>
      </c>
      <c r="N322" s="130">
        <v>8706</v>
      </c>
      <c r="O322" s="130">
        <v>8553</v>
      </c>
      <c r="P322" s="130">
        <v>10360</v>
      </c>
      <c r="Q322" s="129">
        <v>10360</v>
      </c>
      <c r="R322" s="130">
        <v>10080</v>
      </c>
      <c r="S322" s="130">
        <v>9260</v>
      </c>
      <c r="T322" s="130">
        <v>9827</v>
      </c>
      <c r="U322" s="130">
        <v>10371</v>
      </c>
      <c r="V322" s="129">
        <v>10371</v>
      </c>
      <c r="W322" s="130">
        <v>9937</v>
      </c>
      <c r="X322" s="130">
        <v>9795</v>
      </c>
      <c r="Y322" s="130">
        <v>10311</v>
      </c>
      <c r="Z322" s="130">
        <v>11177</v>
      </c>
      <c r="AA322" s="129">
        <v>11177</v>
      </c>
      <c r="AB322" s="130">
        <v>11252</v>
      </c>
      <c r="AC322" s="130">
        <v>11493</v>
      </c>
      <c r="AD322" s="130">
        <v>10482</v>
      </c>
      <c r="AE322" s="130">
        <v>11145</v>
      </c>
      <c r="AF322" s="129">
        <v>11145</v>
      </c>
      <c r="AG322" s="130">
        <v>10953</v>
      </c>
      <c r="AH322" s="130">
        <v>12179</v>
      </c>
      <c r="AI322" s="130">
        <v>12193</v>
      </c>
      <c r="AJ322" s="130">
        <v>11620</v>
      </c>
      <c r="AK322" s="129">
        <v>11620</v>
      </c>
      <c r="AL322" s="130">
        <v>11769</v>
      </c>
      <c r="AM322" s="130">
        <v>11841</v>
      </c>
      <c r="AN322" s="130">
        <v>12065</v>
      </c>
      <c r="AO322" s="130">
        <v>12194</v>
      </c>
      <c r="AP322" s="129">
        <f>AO322</f>
        <v>12194</v>
      </c>
      <c r="AQ322" s="130">
        <v>12623</v>
      </c>
      <c r="AR322" s="130">
        <f t="shared" ref="AR322:BD322" si="804">AR315+AR316+AR318+AR320</f>
        <v>13222</v>
      </c>
      <c r="AS322" s="130">
        <f t="shared" si="804"/>
        <v>14670</v>
      </c>
      <c r="AT322" s="130">
        <f t="shared" si="804"/>
        <v>13751</v>
      </c>
      <c r="AU322" s="129">
        <f t="shared" si="804"/>
        <v>13751</v>
      </c>
      <c r="AV322" s="130">
        <f t="shared" si="804"/>
        <v>13112</v>
      </c>
      <c r="AW322" s="130">
        <f t="shared" si="804"/>
        <v>12708</v>
      </c>
      <c r="AX322" s="130">
        <f t="shared" si="804"/>
        <v>13178</v>
      </c>
      <c r="AY322" s="130">
        <f t="shared" si="804"/>
        <v>12445</v>
      </c>
      <c r="AZ322" s="129">
        <f t="shared" si="804"/>
        <v>12445</v>
      </c>
      <c r="BA322" s="129">
        <f t="shared" ref="BA322" si="805">BA315+BA316+BA318+BA320</f>
        <v>12445</v>
      </c>
      <c r="BB322" s="131">
        <f t="shared" si="804"/>
        <v>12423</v>
      </c>
      <c r="BC322" s="130">
        <f t="shared" si="804"/>
        <v>12135</v>
      </c>
      <c r="BD322" s="130">
        <f t="shared" si="804"/>
        <v>11893</v>
      </c>
      <c r="BE322" s="662">
        <f>BE315+BE316+BE318+BE320</f>
        <v>12846</v>
      </c>
      <c r="BF322" s="662">
        <f>BF315+BF316+BF318+BF320</f>
        <v>12846</v>
      </c>
      <c r="BG322" s="131"/>
      <c r="BH322" s="130"/>
      <c r="BI322" s="130"/>
      <c r="BJ322" s="662"/>
      <c r="BK322" s="129">
        <f t="shared" ref="BK322" si="806">BK315+BK316+BK318+BK320</f>
        <v>13450</v>
      </c>
      <c r="BL322" s="131">
        <f t="shared" ref="BL322:BN322" si="807">BL315+BL316+BL318+BL320</f>
        <v>13165</v>
      </c>
      <c r="BM322" s="130">
        <f t="shared" si="807"/>
        <v>13503</v>
      </c>
      <c r="BN322" s="130">
        <f t="shared" si="807"/>
        <v>13209</v>
      </c>
      <c r="BO322" s="662">
        <f t="shared" ref="BO322:BU322" si="808">BO315+BO316+BO318+BO320</f>
        <v>13099</v>
      </c>
      <c r="BP322" s="130">
        <f>BP315+BP316+BP318+BP320</f>
        <v>13099</v>
      </c>
      <c r="BQ322" s="131">
        <f t="shared" si="808"/>
        <v>12674.360489181563</v>
      </c>
      <c r="BR322" s="130">
        <f t="shared" si="808"/>
        <v>15024.289311617806</v>
      </c>
      <c r="BS322" s="130">
        <f t="shared" si="808"/>
        <v>14861.895459102905</v>
      </c>
      <c r="BT322" s="662">
        <f t="shared" si="808"/>
        <v>15860.747000120817</v>
      </c>
      <c r="BU322" s="662">
        <f t="shared" si="808"/>
        <v>15860.747000120817</v>
      </c>
      <c r="BV322" s="131"/>
      <c r="BW322" s="130"/>
      <c r="BX322" s="130"/>
      <c r="BY322" s="662"/>
      <c r="BZ322" s="662">
        <f>BZ315+BZ316+BZ318+BZ320</f>
        <v>17328.888761885777</v>
      </c>
      <c r="CA322" s="131"/>
      <c r="CB322" s="130"/>
      <c r="CC322" s="130"/>
      <c r="CD322" s="662"/>
      <c r="CE322" s="662">
        <f>CE315+CE316+CE318+CE320</f>
        <v>18885.398119179321</v>
      </c>
      <c r="CF322" s="131"/>
      <c r="CG322" s="130"/>
      <c r="CH322" s="130"/>
      <c r="CI322" s="662"/>
      <c r="CJ322" s="662">
        <f>CJ315+CJ316+CJ318+CJ320</f>
        <v>19505.40609525226</v>
      </c>
      <c r="CK322" s="221"/>
      <c r="CL322" s="242"/>
      <c r="CM322" s="703"/>
      <c r="CN322" s="703"/>
      <c r="CO322" s="703"/>
      <c r="CP322" s="1002"/>
      <c r="CQ322" s="703"/>
      <c r="CR322" s="703"/>
      <c r="CS322" s="703"/>
      <c r="CT322" s="703"/>
      <c r="CU322" s="703"/>
      <c r="CV322" s="703"/>
      <c r="CW322" s="233"/>
      <c r="CX322" s="134"/>
      <c r="CY322" s="134"/>
      <c r="CZ322"/>
      <c r="DA322"/>
      <c r="DB322"/>
      <c r="DC322"/>
      <c r="DD322"/>
    </row>
    <row r="323" spans="1:108" s="222" customFormat="1">
      <c r="A323" s="176" t="s">
        <v>87</v>
      </c>
      <c r="B323" s="190">
        <v>724</v>
      </c>
      <c r="C323" s="173">
        <v>721</v>
      </c>
      <c r="D323" s="173">
        <v>3296</v>
      </c>
      <c r="E323" s="173">
        <v>3291</v>
      </c>
      <c r="F323" s="173">
        <v>2778</v>
      </c>
      <c r="G323" s="173">
        <v>2774</v>
      </c>
      <c r="H323" s="176">
        <v>2782</v>
      </c>
      <c r="I323" s="175">
        <v>2283</v>
      </c>
      <c r="J323" s="175">
        <v>2140</v>
      </c>
      <c r="K323" s="176">
        <v>2118</v>
      </c>
      <c r="L323" s="173">
        <f>K323</f>
        <v>2118</v>
      </c>
      <c r="M323" s="175">
        <v>2117</v>
      </c>
      <c r="N323" s="175">
        <v>2117</v>
      </c>
      <c r="O323" s="175">
        <v>2117</v>
      </c>
      <c r="P323" s="176">
        <v>3113</v>
      </c>
      <c r="Q323" s="173">
        <f>P323</f>
        <v>3113</v>
      </c>
      <c r="R323" s="175">
        <v>3112</v>
      </c>
      <c r="S323" s="175">
        <v>3860</v>
      </c>
      <c r="T323" s="176">
        <v>3159</v>
      </c>
      <c r="U323" s="176">
        <v>3159</v>
      </c>
      <c r="V323" s="173">
        <f>U323</f>
        <v>3159</v>
      </c>
      <c r="W323" s="175">
        <v>3159</v>
      </c>
      <c r="X323" s="175">
        <v>3159</v>
      </c>
      <c r="Y323" s="176">
        <v>2430</v>
      </c>
      <c r="Z323" s="176">
        <v>2430</v>
      </c>
      <c r="AA323" s="173">
        <f>Z323</f>
        <v>2430</v>
      </c>
      <c r="AB323" s="175">
        <v>2411</v>
      </c>
      <c r="AC323" s="175">
        <v>2409</v>
      </c>
      <c r="AD323" s="176">
        <v>3907</v>
      </c>
      <c r="AE323" s="176">
        <v>3907</v>
      </c>
      <c r="AF323" s="173">
        <f>AE323</f>
        <v>3907</v>
      </c>
      <c r="AG323" s="175">
        <v>3905</v>
      </c>
      <c r="AH323" s="175">
        <v>2905</v>
      </c>
      <c r="AI323" s="175">
        <v>2924</v>
      </c>
      <c r="AJ323" s="176">
        <v>3908</v>
      </c>
      <c r="AK323" s="173">
        <f>AJ323</f>
        <v>3908</v>
      </c>
      <c r="AL323" s="176">
        <v>3909</v>
      </c>
      <c r="AM323" s="176">
        <v>3907</v>
      </c>
      <c r="AN323" s="176">
        <v>3908</v>
      </c>
      <c r="AO323" s="176">
        <v>3908</v>
      </c>
      <c r="AP323" s="190">
        <f t="shared" si="798"/>
        <v>3908</v>
      </c>
      <c r="AQ323" s="176">
        <v>3908</v>
      </c>
      <c r="AR323" s="176">
        <v>3409</v>
      </c>
      <c r="AS323" s="176">
        <v>3410</v>
      </c>
      <c r="AT323" s="176">
        <v>3410</v>
      </c>
      <c r="AU323" s="173">
        <f>AT323</f>
        <v>3410</v>
      </c>
      <c r="AV323" s="177">
        <v>3410</v>
      </c>
      <c r="AW323" s="176">
        <v>3411</v>
      </c>
      <c r="AX323" s="176">
        <v>2912</v>
      </c>
      <c r="AY323" s="663">
        <v>2898</v>
      </c>
      <c r="AZ323" s="663">
        <f>AY323</f>
        <v>2898</v>
      </c>
      <c r="BA323" s="663">
        <f>AZ323</f>
        <v>2898</v>
      </c>
      <c r="BB323" s="177">
        <v>2899</v>
      </c>
      <c r="BC323" s="176">
        <v>2899</v>
      </c>
      <c r="BD323" s="176">
        <v>3885</v>
      </c>
      <c r="BE323" s="663">
        <v>2988</v>
      </c>
      <c r="BF323" s="663">
        <f>BE323</f>
        <v>2988</v>
      </c>
      <c r="BG323" s="177"/>
      <c r="BH323" s="176"/>
      <c r="BI323" s="176"/>
      <c r="BJ323" s="663"/>
      <c r="BK323" s="663">
        <f>BF323</f>
        <v>2988</v>
      </c>
      <c r="BL323" s="177">
        <v>2988</v>
      </c>
      <c r="BM323" s="176">
        <v>2989</v>
      </c>
      <c r="BN323" s="176">
        <v>3979</v>
      </c>
      <c r="BO323" s="663">
        <v>3980</v>
      </c>
      <c r="BP323" s="176">
        <f>BO323</f>
        <v>3980</v>
      </c>
      <c r="BQ323" s="177">
        <f t="shared" ref="BQ323" si="809">BP323+BQ283+BQ286</f>
        <v>3980</v>
      </c>
      <c r="BR323" s="176">
        <f t="shared" ref="BR323" si="810">BQ323+BR283+BR286</f>
        <v>11480</v>
      </c>
      <c r="BS323" s="176">
        <f t="shared" ref="BS323" si="811">BR323+BS283+BS286</f>
        <v>11480</v>
      </c>
      <c r="BT323" s="663">
        <f t="shared" ref="BT323" si="812">BS323+BT283+BT286</f>
        <v>11480</v>
      </c>
      <c r="BU323" s="173">
        <f>BT323</f>
        <v>11480</v>
      </c>
      <c r="BV323" s="176"/>
      <c r="BW323" s="176"/>
      <c r="BX323" s="176"/>
      <c r="BY323" s="663"/>
      <c r="BZ323" s="663">
        <f>BU323+BZ283+BZ286</f>
        <v>8980</v>
      </c>
      <c r="CA323" s="177"/>
      <c r="CB323" s="176"/>
      <c r="CC323" s="176"/>
      <c r="CD323" s="663"/>
      <c r="CE323" s="663">
        <f>BZ323+CE283+CE286-501</f>
        <v>5979</v>
      </c>
      <c r="CF323" s="177"/>
      <c r="CG323" s="176"/>
      <c r="CH323" s="176"/>
      <c r="CI323" s="663"/>
      <c r="CJ323" s="663">
        <f>CE323+CJ283+CJ286</f>
        <v>5480</v>
      </c>
      <c r="CK323" s="221"/>
      <c r="CL323" s="242"/>
      <c r="CM323" s="703"/>
      <c r="CN323" s="703"/>
      <c r="CO323" s="703"/>
      <c r="CP323" s="1002"/>
      <c r="CQ323" s="703"/>
      <c r="CR323" s="703"/>
      <c r="CS323" s="703"/>
      <c r="CT323" s="703"/>
      <c r="CU323" s="703"/>
      <c r="CV323" s="703"/>
      <c r="CW323" s="233"/>
      <c r="CX323" s="134"/>
      <c r="CY323" s="134"/>
      <c r="CZ323"/>
      <c r="DA323"/>
      <c r="DB323"/>
      <c r="DC323"/>
      <c r="DD323"/>
    </row>
    <row r="324" spans="1:108" s="222" customFormat="1">
      <c r="A324" s="134" t="s">
        <v>80</v>
      </c>
      <c r="B324" s="190">
        <f t="shared" ref="B324:AL324" si="813">B325-B322-B323</f>
        <v>1238</v>
      </c>
      <c r="C324" s="190">
        <f t="shared" si="813"/>
        <v>1229</v>
      </c>
      <c r="D324" s="190">
        <f t="shared" si="813"/>
        <v>1342</v>
      </c>
      <c r="E324" s="190">
        <f t="shared" si="813"/>
        <v>1690</v>
      </c>
      <c r="F324" s="190">
        <f t="shared" si="813"/>
        <v>1667</v>
      </c>
      <c r="G324" s="190">
        <f t="shared" si="813"/>
        <v>1951</v>
      </c>
      <c r="H324" s="183">
        <f t="shared" si="813"/>
        <v>2206</v>
      </c>
      <c r="I324" s="179">
        <f t="shared" si="813"/>
        <v>2364</v>
      </c>
      <c r="J324" s="179">
        <f t="shared" si="813"/>
        <v>2496</v>
      </c>
      <c r="K324" s="179">
        <f t="shared" si="813"/>
        <v>2683</v>
      </c>
      <c r="L324" s="190">
        <f t="shared" si="813"/>
        <v>2683</v>
      </c>
      <c r="M324" s="179">
        <f t="shared" si="813"/>
        <v>2757</v>
      </c>
      <c r="N324" s="179">
        <f t="shared" si="813"/>
        <v>3082</v>
      </c>
      <c r="O324" s="179">
        <f t="shared" si="813"/>
        <v>3242</v>
      </c>
      <c r="P324" s="183">
        <f t="shared" si="813"/>
        <v>4847</v>
      </c>
      <c r="Q324" s="180">
        <f t="shared" si="813"/>
        <v>4847</v>
      </c>
      <c r="R324" s="179">
        <f t="shared" si="813"/>
        <v>4816</v>
      </c>
      <c r="S324" s="179">
        <f t="shared" si="813"/>
        <v>4737</v>
      </c>
      <c r="T324" s="179">
        <f t="shared" si="813"/>
        <v>5071</v>
      </c>
      <c r="U324" s="183">
        <f t="shared" si="813"/>
        <v>5124</v>
      </c>
      <c r="V324" s="180">
        <f t="shared" si="813"/>
        <v>5124</v>
      </c>
      <c r="W324" s="179">
        <f t="shared" si="813"/>
        <v>5184</v>
      </c>
      <c r="X324" s="179">
        <f t="shared" si="813"/>
        <v>5079</v>
      </c>
      <c r="Y324" s="179">
        <f t="shared" si="813"/>
        <v>5160</v>
      </c>
      <c r="Z324" s="179">
        <f t="shared" si="813"/>
        <v>5622</v>
      </c>
      <c r="AA324" s="190">
        <f t="shared" si="813"/>
        <v>5622</v>
      </c>
      <c r="AB324" s="179">
        <f t="shared" si="813"/>
        <v>5564</v>
      </c>
      <c r="AC324" s="179">
        <f t="shared" si="813"/>
        <v>5534</v>
      </c>
      <c r="AD324" s="183">
        <f t="shared" si="813"/>
        <v>5400</v>
      </c>
      <c r="AE324" s="183">
        <f t="shared" si="813"/>
        <v>6599</v>
      </c>
      <c r="AF324" s="190">
        <f t="shared" si="813"/>
        <v>6599</v>
      </c>
      <c r="AG324" s="183">
        <f t="shared" si="813"/>
        <v>6597</v>
      </c>
      <c r="AH324" s="179">
        <f t="shared" si="813"/>
        <v>6457</v>
      </c>
      <c r="AI324" s="179">
        <f t="shared" si="813"/>
        <v>6114</v>
      </c>
      <c r="AJ324" s="179">
        <f t="shared" si="813"/>
        <v>7391</v>
      </c>
      <c r="AK324" s="190">
        <f t="shared" si="813"/>
        <v>7391</v>
      </c>
      <c r="AL324" s="179">
        <f t="shared" si="813"/>
        <v>7349</v>
      </c>
      <c r="AM324" s="179">
        <f>AM325-AM322-AM323</f>
        <v>7227</v>
      </c>
      <c r="AN324" s="179">
        <f>AN325-AN322-AN323</f>
        <v>6893</v>
      </c>
      <c r="AO324" s="179">
        <f>AO325-AO322-AO323</f>
        <v>4845</v>
      </c>
      <c r="AP324" s="190">
        <f>AO324</f>
        <v>4845</v>
      </c>
      <c r="AQ324" s="179">
        <f>AQ325-AQ322-AQ323</f>
        <v>4161</v>
      </c>
      <c r="AR324" s="429">
        <v>4582</v>
      </c>
      <c r="AS324" s="429">
        <v>4221</v>
      </c>
      <c r="AT324" s="429">
        <v>6365</v>
      </c>
      <c r="AU324" s="428">
        <f>AT324</f>
        <v>6365</v>
      </c>
      <c r="AV324" s="430">
        <v>6343</v>
      </c>
      <c r="AW324" s="429">
        <v>6259</v>
      </c>
      <c r="AX324" s="429">
        <v>6156</v>
      </c>
      <c r="AY324" s="664">
        <v>5916</v>
      </c>
      <c r="AZ324" s="188">
        <f>AY324</f>
        <v>5916</v>
      </c>
      <c r="BA324" s="188">
        <f>AZ324</f>
        <v>5916</v>
      </c>
      <c r="BB324" s="189">
        <v>5798</v>
      </c>
      <c r="BC324" s="181">
        <v>5740</v>
      </c>
      <c r="BD324" s="181">
        <v>5573</v>
      </c>
      <c r="BE324" s="666">
        <v>6062</v>
      </c>
      <c r="BF324" s="666">
        <f>BE324</f>
        <v>6062</v>
      </c>
      <c r="BG324" s="189"/>
      <c r="BH324" s="181"/>
      <c r="BI324" s="181"/>
      <c r="BJ324" s="666"/>
      <c r="BK324" s="188">
        <v>6433</v>
      </c>
      <c r="BL324" s="189">
        <v>6475</v>
      </c>
      <c r="BM324" s="181">
        <v>6349</v>
      </c>
      <c r="BN324" s="181">
        <v>6162</v>
      </c>
      <c r="BO324" s="666">
        <v>6532</v>
      </c>
      <c r="BP324" s="181">
        <f>+BO324</f>
        <v>6532</v>
      </c>
      <c r="BQ324" s="189">
        <v>6482.9259928950005</v>
      </c>
      <c r="BR324" s="181">
        <v>6433.851985790001</v>
      </c>
      <c r="BS324" s="181">
        <v>6384.7779786850015</v>
      </c>
      <c r="BT324" s="666">
        <v>6335.703971580002</v>
      </c>
      <c r="BU324" s="188">
        <f>+BT324</f>
        <v>6335.703971580002</v>
      </c>
      <c r="BV324" s="181"/>
      <c r="BW324" s="181"/>
      <c r="BX324" s="181"/>
      <c r="BY324" s="666"/>
      <c r="BZ324" s="666">
        <v>6107.0605969099297</v>
      </c>
      <c r="CA324" s="181"/>
      <c r="CB324" s="181"/>
      <c r="CC324" s="181"/>
      <c r="CD324" s="666"/>
      <c r="CE324" s="666">
        <v>5855.3623444342611</v>
      </c>
      <c r="CF324" s="181"/>
      <c r="CG324" s="181"/>
      <c r="CH324" s="181"/>
      <c r="CI324" s="666"/>
      <c r="CJ324" s="666">
        <v>5579.6345044880909</v>
      </c>
      <c r="CK324" s="221"/>
      <c r="CL324" s="242"/>
      <c r="CM324" s="703"/>
      <c r="CN324" s="703"/>
      <c r="CO324" s="703"/>
      <c r="CP324" s="1002"/>
      <c r="CQ324" s="703"/>
      <c r="CR324" s="703"/>
      <c r="CS324" s="703"/>
      <c r="CT324" s="703"/>
      <c r="CU324" s="703"/>
      <c r="CV324" s="703"/>
      <c r="CW324" s="233"/>
      <c r="CX324" s="134"/>
      <c r="CY324" s="134"/>
      <c r="CZ324"/>
      <c r="DA324"/>
      <c r="DB324"/>
      <c r="DC324"/>
      <c r="DD324"/>
    </row>
    <row r="325" spans="1:108" s="222" customFormat="1">
      <c r="A325" s="130" t="s">
        <v>81</v>
      </c>
      <c r="B325" s="129">
        <v>6541</v>
      </c>
      <c r="C325" s="129">
        <v>6532</v>
      </c>
      <c r="D325" s="129">
        <v>10262</v>
      </c>
      <c r="E325" s="129">
        <v>10355</v>
      </c>
      <c r="F325" s="129">
        <v>11555</v>
      </c>
      <c r="G325" s="129">
        <v>12549</v>
      </c>
      <c r="H325" s="130">
        <v>12657</v>
      </c>
      <c r="I325" s="130">
        <v>12785</v>
      </c>
      <c r="J325" s="130">
        <v>12973</v>
      </c>
      <c r="K325" s="130">
        <v>13965</v>
      </c>
      <c r="L325" s="129">
        <v>13965</v>
      </c>
      <c r="M325" s="130">
        <v>13930</v>
      </c>
      <c r="N325" s="130">
        <v>13905</v>
      </c>
      <c r="O325" s="130">
        <v>13912</v>
      </c>
      <c r="P325" s="130">
        <v>18320</v>
      </c>
      <c r="Q325" s="129">
        <v>18320</v>
      </c>
      <c r="R325" s="130">
        <v>18008</v>
      </c>
      <c r="S325" s="130">
        <v>17857</v>
      </c>
      <c r="T325" s="130">
        <v>18057</v>
      </c>
      <c r="U325" s="130">
        <v>18654</v>
      </c>
      <c r="V325" s="129">
        <v>18654</v>
      </c>
      <c r="W325" s="130">
        <v>18280</v>
      </c>
      <c r="X325" s="130">
        <v>18033</v>
      </c>
      <c r="Y325" s="130">
        <v>17901</v>
      </c>
      <c r="Z325" s="130">
        <v>19229</v>
      </c>
      <c r="AA325" s="129">
        <v>19229</v>
      </c>
      <c r="AB325" s="130">
        <v>19227</v>
      </c>
      <c r="AC325" s="130">
        <v>19436</v>
      </c>
      <c r="AD325" s="130">
        <v>19789</v>
      </c>
      <c r="AE325" s="130">
        <v>21651</v>
      </c>
      <c r="AF325" s="129">
        <v>21651</v>
      </c>
      <c r="AG325" s="130">
        <v>21455</v>
      </c>
      <c r="AH325" s="130">
        <v>21541</v>
      </c>
      <c r="AI325" s="130">
        <v>21231</v>
      </c>
      <c r="AJ325" s="130">
        <v>22919</v>
      </c>
      <c r="AK325" s="129">
        <v>22919</v>
      </c>
      <c r="AL325" s="130">
        <v>23027</v>
      </c>
      <c r="AM325" s="130">
        <v>22975</v>
      </c>
      <c r="AN325" s="130">
        <v>22866</v>
      </c>
      <c r="AO325" s="130">
        <f>AO322+8753</f>
        <v>20947</v>
      </c>
      <c r="AP325" s="129">
        <f t="shared" si="798"/>
        <v>20947</v>
      </c>
      <c r="AQ325" s="130">
        <f>34382-13690</f>
        <v>20692</v>
      </c>
      <c r="AR325" s="130">
        <f t="shared" ref="AR325:BD325" si="814">AR322+AR323+AR324</f>
        <v>21213</v>
      </c>
      <c r="AS325" s="130">
        <f t="shared" si="814"/>
        <v>22301</v>
      </c>
      <c r="AT325" s="130">
        <f t="shared" si="814"/>
        <v>23526</v>
      </c>
      <c r="AU325" s="129">
        <f t="shared" si="814"/>
        <v>23526</v>
      </c>
      <c r="AV325" s="131">
        <f t="shared" si="814"/>
        <v>22865</v>
      </c>
      <c r="AW325" s="130">
        <f t="shared" si="814"/>
        <v>22378</v>
      </c>
      <c r="AX325" s="130">
        <f t="shared" si="814"/>
        <v>22246</v>
      </c>
      <c r="AY325" s="662">
        <f t="shared" si="814"/>
        <v>21259</v>
      </c>
      <c r="AZ325" s="662">
        <f t="shared" si="814"/>
        <v>21259</v>
      </c>
      <c r="BA325" s="662">
        <f t="shared" ref="BA325" si="815">BA322+BA323+BA324</f>
        <v>21259</v>
      </c>
      <c r="BB325" s="131">
        <f t="shared" si="814"/>
        <v>21120</v>
      </c>
      <c r="BC325" s="130">
        <f t="shared" si="814"/>
        <v>20774</v>
      </c>
      <c r="BD325" s="130">
        <f t="shared" si="814"/>
        <v>21351</v>
      </c>
      <c r="BE325" s="662">
        <f>BE322+BE323+BE324</f>
        <v>21896</v>
      </c>
      <c r="BF325" s="662">
        <f>BF322+BF323+BF324</f>
        <v>21896</v>
      </c>
      <c r="BG325" s="131"/>
      <c r="BH325" s="130"/>
      <c r="BI325" s="130"/>
      <c r="BJ325" s="662"/>
      <c r="BK325" s="662">
        <f t="shared" ref="BK325" si="816">BK322+BK323+BK324</f>
        <v>22871</v>
      </c>
      <c r="BL325" s="131">
        <f t="shared" ref="BL325:BN325" si="817">BL322+BL323+BL324</f>
        <v>22628</v>
      </c>
      <c r="BM325" s="130">
        <f t="shared" si="817"/>
        <v>22841</v>
      </c>
      <c r="BN325" s="130">
        <f t="shared" si="817"/>
        <v>23350</v>
      </c>
      <c r="BO325" s="662">
        <f>BO322+BO323+BO324</f>
        <v>23611</v>
      </c>
      <c r="BP325" s="130">
        <f>BP322+BP323+BP324</f>
        <v>23611</v>
      </c>
      <c r="BQ325" s="131">
        <f t="shared" ref="BQ325:BU325" si="818">BQ322+BQ323+BQ324</f>
        <v>23137.286482076564</v>
      </c>
      <c r="BR325" s="130">
        <f t="shared" si="818"/>
        <v>32938.141297407805</v>
      </c>
      <c r="BS325" s="130">
        <f t="shared" si="818"/>
        <v>32726.673437787904</v>
      </c>
      <c r="BT325" s="662">
        <f t="shared" si="818"/>
        <v>33676.450971700819</v>
      </c>
      <c r="BU325" s="662">
        <f t="shared" si="818"/>
        <v>33676.450971700819</v>
      </c>
      <c r="BV325" s="131"/>
      <c r="BW325" s="130"/>
      <c r="BX325" s="130"/>
      <c r="BY325" s="662"/>
      <c r="BZ325" s="662">
        <f>BZ322+BZ323+BZ324</f>
        <v>32415.949358795708</v>
      </c>
      <c r="CA325" s="131"/>
      <c r="CB325" s="130"/>
      <c r="CC325" s="130"/>
      <c r="CD325" s="662"/>
      <c r="CE325" s="662">
        <f>CE322+CE323+CE324</f>
        <v>30719.76046361358</v>
      </c>
      <c r="CF325" s="131"/>
      <c r="CG325" s="130"/>
      <c r="CH325" s="130"/>
      <c r="CI325" s="662"/>
      <c r="CJ325" s="662">
        <f>CJ322+CJ323+CJ324</f>
        <v>30565.04059974035</v>
      </c>
      <c r="CK325" s="221"/>
      <c r="CL325" s="242"/>
      <c r="CM325" s="703"/>
      <c r="CN325" s="703"/>
      <c r="CO325" s="703"/>
      <c r="CP325" s="1002"/>
      <c r="CQ325" s="703"/>
      <c r="CR325" s="703"/>
      <c r="CS325" s="703"/>
      <c r="CT325" s="703"/>
      <c r="CU325" s="703"/>
      <c r="CV325" s="703"/>
      <c r="CW325" s="233"/>
      <c r="CX325" s="134"/>
      <c r="CY325" s="134"/>
      <c r="CZ325"/>
      <c r="DA325"/>
      <c r="DB325"/>
      <c r="DC325"/>
      <c r="DD325"/>
    </row>
    <row r="326" spans="1:108" s="135" customFormat="1" ht="12" customHeight="1">
      <c r="A326" s="313" t="s">
        <v>189</v>
      </c>
      <c r="B326" s="265"/>
      <c r="C326" s="265"/>
      <c r="D326" s="265"/>
      <c r="E326" s="265"/>
      <c r="F326" s="265"/>
      <c r="G326" s="265"/>
      <c r="H326" s="252"/>
      <c r="I326" s="252"/>
      <c r="J326" s="252"/>
      <c r="K326" s="253"/>
      <c r="L326" s="265"/>
      <c r="M326" s="252"/>
      <c r="N326" s="252"/>
      <c r="O326" s="252"/>
      <c r="P326" s="253"/>
      <c r="Q326" s="265"/>
      <c r="R326" s="252"/>
      <c r="S326" s="252"/>
      <c r="T326" s="252"/>
      <c r="U326" s="253"/>
      <c r="V326" s="265"/>
      <c r="W326" s="252"/>
      <c r="X326" s="252"/>
      <c r="Y326" s="252"/>
      <c r="Z326" s="253"/>
      <c r="AA326" s="265"/>
      <c r="AB326" s="252"/>
      <c r="AC326" s="252"/>
      <c r="AD326" s="252"/>
      <c r="AE326" s="253"/>
      <c r="AF326" s="265"/>
      <c r="AG326" s="252"/>
      <c r="AH326" s="252"/>
      <c r="AI326" s="252"/>
      <c r="AJ326" s="253"/>
      <c r="AK326" s="265"/>
      <c r="AL326" s="252"/>
      <c r="AM326" s="252"/>
      <c r="AN326" s="252"/>
      <c r="AO326" s="253"/>
      <c r="AP326" s="265"/>
      <c r="AQ326" s="266"/>
      <c r="AR326" s="253"/>
      <c r="AS326" s="253"/>
      <c r="AT326" s="253"/>
      <c r="AU326" s="265"/>
      <c r="AV326" s="266"/>
      <c r="AW326" s="253"/>
      <c r="AX326" s="253"/>
      <c r="AY326" s="665"/>
      <c r="AZ326" s="665"/>
      <c r="BA326" s="665"/>
      <c r="BB326" s="266"/>
      <c r="BC326" s="253"/>
      <c r="BD326" s="253"/>
      <c r="BE326" s="665"/>
      <c r="BF326" s="665"/>
      <c r="BG326" s="266"/>
      <c r="BH326" s="253"/>
      <c r="BI326" s="253"/>
      <c r="BJ326" s="665"/>
      <c r="BK326" s="665"/>
      <c r="BL326" s="266"/>
      <c r="BM326" s="253"/>
      <c r="BN326" s="253"/>
      <c r="BO326" s="665"/>
      <c r="BP326" s="253"/>
      <c r="BQ326" s="266"/>
      <c r="BR326" s="253"/>
      <c r="BS326" s="253"/>
      <c r="BT326" s="665"/>
      <c r="BU326" s="665"/>
      <c r="BV326" s="266"/>
      <c r="BW326" s="253"/>
      <c r="BX326" s="253"/>
      <c r="BY326" s="665"/>
      <c r="BZ326" s="665"/>
      <c r="CA326" s="266"/>
      <c r="CB326" s="253"/>
      <c r="CC326" s="253"/>
      <c r="CD326" s="665"/>
      <c r="CE326" s="665"/>
      <c r="CF326" s="266"/>
      <c r="CG326" s="253"/>
      <c r="CH326" s="253"/>
      <c r="CI326" s="665"/>
      <c r="CJ326" s="665"/>
      <c r="CK326" s="132"/>
      <c r="CL326" s="240"/>
      <c r="CM326" s="622"/>
      <c r="CN326" s="622"/>
      <c r="CO326" s="622"/>
      <c r="CP326" s="1002"/>
      <c r="CQ326" s="622"/>
      <c r="CR326" s="622"/>
      <c r="CS326" s="622"/>
      <c r="CT326" s="622"/>
      <c r="CU326" s="622"/>
      <c r="CV326" s="622"/>
      <c r="CW326" s="230"/>
      <c r="CX326" s="133"/>
      <c r="CY326" s="133"/>
      <c r="CZ326"/>
      <c r="DA326"/>
      <c r="DB326"/>
      <c r="DC326"/>
      <c r="DD326"/>
    </row>
    <row r="327" spans="1:108" s="222" customFormat="1">
      <c r="A327" s="175" t="s">
        <v>9</v>
      </c>
      <c r="B327" s="190">
        <v>694</v>
      </c>
      <c r="C327" s="173">
        <v>757</v>
      </c>
      <c r="D327" s="173">
        <v>838</v>
      </c>
      <c r="E327" s="173">
        <v>998</v>
      </c>
      <c r="F327" s="173">
        <v>482</v>
      </c>
      <c r="G327" s="173">
        <v>482</v>
      </c>
      <c r="H327" s="175">
        <v>482</v>
      </c>
      <c r="I327" s="176">
        <v>482</v>
      </c>
      <c r="J327" s="175">
        <v>482</v>
      </c>
      <c r="K327" s="176">
        <v>482</v>
      </c>
      <c r="L327" s="173">
        <f>K327</f>
        <v>482</v>
      </c>
      <c r="M327" s="176">
        <v>482</v>
      </c>
      <c r="N327" s="175">
        <v>482</v>
      </c>
      <c r="O327" s="175">
        <v>482</v>
      </c>
      <c r="P327" s="176">
        <v>482</v>
      </c>
      <c r="Q327" s="173">
        <f>P327</f>
        <v>482</v>
      </c>
      <c r="R327" s="175">
        <v>482</v>
      </c>
      <c r="S327" s="175">
        <v>482</v>
      </c>
      <c r="T327" s="176">
        <v>482</v>
      </c>
      <c r="U327" s="176">
        <v>482</v>
      </c>
      <c r="V327" s="173">
        <f>U327</f>
        <v>482</v>
      </c>
      <c r="W327" s="175">
        <v>482</v>
      </c>
      <c r="X327" s="175">
        <v>482</v>
      </c>
      <c r="Y327" s="176">
        <v>482</v>
      </c>
      <c r="Z327" s="176">
        <v>482</v>
      </c>
      <c r="AA327" s="173">
        <f>Z327</f>
        <v>482</v>
      </c>
      <c r="AB327" s="175">
        <v>482</v>
      </c>
      <c r="AC327" s="175">
        <v>482</v>
      </c>
      <c r="AD327" s="176">
        <v>482</v>
      </c>
      <c r="AE327" s="176">
        <v>482</v>
      </c>
      <c r="AF327" s="173">
        <f>AE327</f>
        <v>482</v>
      </c>
      <c r="AG327" s="175">
        <v>482</v>
      </c>
      <c r="AH327" s="175">
        <v>482</v>
      </c>
      <c r="AI327" s="175">
        <v>482</v>
      </c>
      <c r="AJ327" s="176">
        <v>482</v>
      </c>
      <c r="AK327" s="173">
        <f>AJ327</f>
        <v>482</v>
      </c>
      <c r="AL327" s="176">
        <v>482</v>
      </c>
      <c r="AM327" s="176">
        <v>482</v>
      </c>
      <c r="AN327" s="176">
        <v>482</v>
      </c>
      <c r="AO327" s="176">
        <f>AN327</f>
        <v>482</v>
      </c>
      <c r="AP327" s="180">
        <f>AO327</f>
        <v>482</v>
      </c>
      <c r="AQ327" s="176">
        <v>482</v>
      </c>
      <c r="AR327" s="176">
        <v>482</v>
      </c>
      <c r="AS327" s="176">
        <v>482</v>
      </c>
      <c r="AT327" s="176">
        <v>482</v>
      </c>
      <c r="AU327" s="173">
        <f>AP327</f>
        <v>482</v>
      </c>
      <c r="AV327" s="177">
        <v>482</v>
      </c>
      <c r="AW327" s="176">
        <v>482</v>
      </c>
      <c r="AX327" s="176">
        <v>482</v>
      </c>
      <c r="AY327" s="663">
        <v>482</v>
      </c>
      <c r="AZ327" s="663">
        <f t="shared" ref="AZ327:BA331" si="819">AY327</f>
        <v>482</v>
      </c>
      <c r="BA327" s="663">
        <f t="shared" si="819"/>
        <v>482</v>
      </c>
      <c r="BB327" s="177">
        <v>482</v>
      </c>
      <c r="BC327" s="176">
        <v>482</v>
      </c>
      <c r="BD327" s="176">
        <v>482</v>
      </c>
      <c r="BE327" s="663">
        <v>482</v>
      </c>
      <c r="BF327" s="663">
        <f>BE327</f>
        <v>482</v>
      </c>
      <c r="BG327" s="177"/>
      <c r="BH327" s="176"/>
      <c r="BI327" s="176"/>
      <c r="BJ327" s="663"/>
      <c r="BK327" s="663">
        <f>BF327</f>
        <v>482</v>
      </c>
      <c r="BL327" s="177">
        <v>482</v>
      </c>
      <c r="BM327" s="176">
        <v>482</v>
      </c>
      <c r="BN327" s="176">
        <v>482</v>
      </c>
      <c r="BO327" s="176">
        <v>482</v>
      </c>
      <c r="BP327" s="1073">
        <f>+BO327</f>
        <v>482</v>
      </c>
      <c r="BQ327" s="177">
        <f t="shared" ref="BQ327:BU327" si="820">+BP327</f>
        <v>482</v>
      </c>
      <c r="BR327" s="176">
        <f t="shared" si="820"/>
        <v>482</v>
      </c>
      <c r="BS327" s="176">
        <f t="shared" si="820"/>
        <v>482</v>
      </c>
      <c r="BT327" s="663">
        <f t="shared" si="820"/>
        <v>482</v>
      </c>
      <c r="BU327" s="173">
        <f t="shared" si="820"/>
        <v>482</v>
      </c>
      <c r="BV327" s="177"/>
      <c r="BW327" s="176"/>
      <c r="BX327" s="176"/>
      <c r="BY327" s="663"/>
      <c r="BZ327" s="663">
        <f>BU327</f>
        <v>482</v>
      </c>
      <c r="CA327" s="177"/>
      <c r="CB327" s="176"/>
      <c r="CC327" s="176"/>
      <c r="CD327" s="663"/>
      <c r="CE327" s="663">
        <f>BZ327</f>
        <v>482</v>
      </c>
      <c r="CF327" s="177"/>
      <c r="CG327" s="176"/>
      <c r="CH327" s="176"/>
      <c r="CI327" s="663"/>
      <c r="CJ327" s="663">
        <f>CE327</f>
        <v>482</v>
      </c>
      <c r="CK327" s="221"/>
      <c r="CL327" s="242"/>
      <c r="CM327" s="703"/>
      <c r="CN327" s="703"/>
      <c r="CO327" s="703"/>
      <c r="CP327" s="1002"/>
      <c r="CQ327" s="703"/>
      <c r="CR327" s="703"/>
      <c r="CS327" s="703"/>
      <c r="CT327" s="703"/>
      <c r="CU327" s="703"/>
      <c r="CV327" s="703"/>
      <c r="CW327" s="233"/>
      <c r="CX327" s="134"/>
      <c r="CY327" s="134"/>
      <c r="CZ327"/>
      <c r="DA327"/>
      <c r="DB327"/>
      <c r="DC327"/>
      <c r="DD327"/>
    </row>
    <row r="328" spans="1:108" s="222" customFormat="1">
      <c r="A328" s="176" t="s">
        <v>115</v>
      </c>
      <c r="B328" s="180">
        <v>0</v>
      </c>
      <c r="C328" s="180">
        <v>0</v>
      </c>
      <c r="D328" s="180">
        <v>0</v>
      </c>
      <c r="E328" s="180">
        <v>0</v>
      </c>
      <c r="F328" s="180">
        <v>645</v>
      </c>
      <c r="G328" s="180">
        <v>880</v>
      </c>
      <c r="H328" s="183">
        <v>953</v>
      </c>
      <c r="I328" s="183">
        <v>1009</v>
      </c>
      <c r="J328" s="183">
        <v>1052</v>
      </c>
      <c r="K328" s="183">
        <v>1141</v>
      </c>
      <c r="L328" s="180">
        <f>K328</f>
        <v>1141</v>
      </c>
      <c r="M328" s="183">
        <v>1190</v>
      </c>
      <c r="N328" s="183">
        <v>1255</v>
      </c>
      <c r="O328" s="183">
        <v>1315</v>
      </c>
      <c r="P328" s="183">
        <v>1346</v>
      </c>
      <c r="Q328" s="180">
        <f>P328</f>
        <v>1346</v>
      </c>
      <c r="R328" s="183">
        <v>1383</v>
      </c>
      <c r="S328" s="183">
        <v>1414</v>
      </c>
      <c r="T328" s="183">
        <v>1457</v>
      </c>
      <c r="U328" s="183">
        <v>1518</v>
      </c>
      <c r="V328" s="180">
        <f>U328</f>
        <v>1518</v>
      </c>
      <c r="W328" s="183">
        <v>1599</v>
      </c>
      <c r="X328" s="183">
        <v>1631</v>
      </c>
      <c r="Y328" s="183">
        <v>1662</v>
      </c>
      <c r="Z328" s="183">
        <v>1729</v>
      </c>
      <c r="AA328" s="180">
        <f>Z328</f>
        <v>1729</v>
      </c>
      <c r="AB328" s="183">
        <v>1781</v>
      </c>
      <c r="AC328" s="183">
        <v>1820</v>
      </c>
      <c r="AD328" s="183">
        <v>1853</v>
      </c>
      <c r="AE328" s="183">
        <v>1888</v>
      </c>
      <c r="AF328" s="180">
        <f>AE328</f>
        <v>1888</v>
      </c>
      <c r="AG328" s="183">
        <v>1897</v>
      </c>
      <c r="AH328" s="183">
        <v>1939</v>
      </c>
      <c r="AI328" s="183">
        <v>1971</v>
      </c>
      <c r="AJ328" s="183">
        <v>1988</v>
      </c>
      <c r="AK328" s="180">
        <f>AJ328</f>
        <v>1988</v>
      </c>
      <c r="AL328" s="183">
        <v>1961</v>
      </c>
      <c r="AM328" s="183">
        <v>2043</v>
      </c>
      <c r="AN328" s="183">
        <v>2161</v>
      </c>
      <c r="AO328" s="183">
        <v>2226</v>
      </c>
      <c r="AP328" s="180">
        <f>AO328</f>
        <v>2226</v>
      </c>
      <c r="AQ328" s="183">
        <v>2325</v>
      </c>
      <c r="AR328" s="183">
        <v>2415</v>
      </c>
      <c r="AS328" s="183">
        <v>2467</v>
      </c>
      <c r="AT328" s="183">
        <v>2548</v>
      </c>
      <c r="AU328" s="188">
        <f>AT328</f>
        <v>2548</v>
      </c>
      <c r="AV328" s="189">
        <v>2588</v>
      </c>
      <c r="AW328" s="181">
        <v>2657</v>
      </c>
      <c r="AX328" s="181">
        <v>2697</v>
      </c>
      <c r="AY328" s="666">
        <v>2730</v>
      </c>
      <c r="AZ328" s="188">
        <f t="shared" si="819"/>
        <v>2730</v>
      </c>
      <c r="BA328" s="188">
        <f t="shared" si="819"/>
        <v>2730</v>
      </c>
      <c r="BB328" s="189">
        <v>2740</v>
      </c>
      <c r="BC328" s="181">
        <v>2756</v>
      </c>
      <c r="BD328" s="181">
        <v>2789</v>
      </c>
      <c r="BE328" s="181">
        <v>2819</v>
      </c>
      <c r="BF328" s="188">
        <f>BE328</f>
        <v>2819</v>
      </c>
      <c r="BG328" s="189"/>
      <c r="BH328" s="181"/>
      <c r="BI328" s="181"/>
      <c r="BJ328" s="181"/>
      <c r="BK328" s="188">
        <f>BF328</f>
        <v>2819</v>
      </c>
      <c r="BL328" s="189">
        <v>2762</v>
      </c>
      <c r="BM328" s="181">
        <v>2796</v>
      </c>
      <c r="BN328" s="181">
        <v>2841</v>
      </c>
      <c r="BO328" s="181">
        <v>2872</v>
      </c>
      <c r="BP328" s="1090">
        <f>+BO328</f>
        <v>2872</v>
      </c>
      <c r="BQ328" s="189">
        <f t="shared" ref="BQ328" si="821">BP328+BQ287</f>
        <v>2955.3610079161904</v>
      </c>
      <c r="BR328" s="181">
        <f t="shared" ref="BR328" si="822">BQ328+BR287</f>
        <v>3040.3892359907045</v>
      </c>
      <c r="BS328" s="181">
        <f t="shared" ref="BS328" si="823">BR328+BS287</f>
        <v>3127.118028626709</v>
      </c>
      <c r="BT328" s="666">
        <f t="shared" ref="BT328" si="824">BS328+BT287</f>
        <v>3215.5813971154339</v>
      </c>
      <c r="BU328" s="188">
        <f>+BT328</f>
        <v>3215.5813971154339</v>
      </c>
      <c r="BV328" s="189"/>
      <c r="BW328" s="181"/>
      <c r="BX328" s="181"/>
      <c r="BY328" s="666"/>
      <c r="BZ328" s="666">
        <f>BU328+BZ287</f>
        <v>3593.5209339424114</v>
      </c>
      <c r="CA328" s="189"/>
      <c r="CB328" s="181"/>
      <c r="CC328" s="181"/>
      <c r="CD328" s="666"/>
      <c r="CE328" s="666">
        <f>BZ328+CE287</f>
        <v>4009.2544244520868</v>
      </c>
      <c r="CF328" s="189"/>
      <c r="CG328" s="181"/>
      <c r="CH328" s="181"/>
      <c r="CI328" s="666"/>
      <c r="CJ328" s="666">
        <f>CE328+CJ287</f>
        <v>4466.5612640127301</v>
      </c>
      <c r="CK328" s="221"/>
      <c r="CL328" s="242"/>
      <c r="CM328" s="703"/>
      <c r="CN328" s="703"/>
      <c r="CO328" s="703"/>
      <c r="CP328" s="1002"/>
      <c r="CQ328" s="703"/>
      <c r="CR328" s="703"/>
      <c r="CS328" s="703"/>
      <c r="CT328" s="703"/>
      <c r="CU328" s="703"/>
      <c r="CV328" s="703"/>
      <c r="CW328" s="233"/>
      <c r="CX328" s="134"/>
      <c r="CY328" s="134"/>
      <c r="CZ328"/>
      <c r="DA328"/>
      <c r="DB328"/>
      <c r="DC328"/>
      <c r="DD328"/>
    </row>
    <row r="329" spans="1:108" s="222" customFormat="1">
      <c r="A329" s="175" t="s">
        <v>10</v>
      </c>
      <c r="B329" s="190">
        <v>4778</v>
      </c>
      <c r="C329" s="190">
        <v>5455</v>
      </c>
      <c r="D329" s="190">
        <v>6206</v>
      </c>
      <c r="E329" s="190">
        <v>7146</v>
      </c>
      <c r="F329" s="190">
        <v>8285</v>
      </c>
      <c r="G329" s="190">
        <v>9769</v>
      </c>
      <c r="H329" s="179">
        <v>10093</v>
      </c>
      <c r="I329" s="183">
        <v>10488</v>
      </c>
      <c r="J329" s="179">
        <v>10917</v>
      </c>
      <c r="K329" s="179">
        <v>11379</v>
      </c>
      <c r="L329" s="180">
        <f>K329</f>
        <v>11379</v>
      </c>
      <c r="M329" s="183">
        <v>11812</v>
      </c>
      <c r="N329" s="179">
        <v>12313</v>
      </c>
      <c r="O329" s="179">
        <v>12810</v>
      </c>
      <c r="P329" s="183">
        <v>13287</v>
      </c>
      <c r="Q329" s="180">
        <f>P329</f>
        <v>13287</v>
      </c>
      <c r="R329" s="179">
        <v>13730</v>
      </c>
      <c r="S329" s="179">
        <v>14201</v>
      </c>
      <c r="T329" s="179">
        <v>14626</v>
      </c>
      <c r="U329" s="183">
        <v>15093</v>
      </c>
      <c r="V329" s="180">
        <f>U329</f>
        <v>15093</v>
      </c>
      <c r="W329" s="179">
        <v>15527</v>
      </c>
      <c r="X329" s="179">
        <v>16014</v>
      </c>
      <c r="Y329" s="179">
        <v>16504</v>
      </c>
      <c r="Z329" s="179">
        <v>17076</v>
      </c>
      <c r="AA329" s="180">
        <f>Z329</f>
        <v>17076</v>
      </c>
      <c r="AB329" s="179">
        <v>17518</v>
      </c>
      <c r="AC329" s="179">
        <v>18000</v>
      </c>
      <c r="AD329" s="179">
        <v>18483</v>
      </c>
      <c r="AE329" s="183">
        <v>18917</v>
      </c>
      <c r="AF329" s="190">
        <f>AE329</f>
        <v>18917</v>
      </c>
      <c r="AG329" s="179">
        <v>19297</v>
      </c>
      <c r="AH329" s="179">
        <v>19751</v>
      </c>
      <c r="AI329" s="179">
        <v>20170</v>
      </c>
      <c r="AJ329" s="179">
        <v>17860</v>
      </c>
      <c r="AK329" s="190">
        <f>AJ329</f>
        <v>17860</v>
      </c>
      <c r="AL329" s="179">
        <v>18234</v>
      </c>
      <c r="AM329" s="179">
        <v>18677</v>
      </c>
      <c r="AN329" s="179">
        <v>19131</v>
      </c>
      <c r="AO329" s="179">
        <v>19428</v>
      </c>
      <c r="AP329" s="180">
        <f>AO329</f>
        <v>19428</v>
      </c>
      <c r="AQ329" s="179">
        <v>19809</v>
      </c>
      <c r="AR329" s="179">
        <v>20142</v>
      </c>
      <c r="AS329" s="179">
        <v>20631</v>
      </c>
      <c r="AT329" s="179">
        <v>21127</v>
      </c>
      <c r="AU329" s="188">
        <f>AT329</f>
        <v>21127</v>
      </c>
      <c r="AV329" s="192">
        <v>21615</v>
      </c>
      <c r="AW329" s="179">
        <v>22143</v>
      </c>
      <c r="AX329" s="179">
        <v>22655</v>
      </c>
      <c r="AY329" s="667">
        <v>23204</v>
      </c>
      <c r="AZ329" s="188">
        <f t="shared" si="819"/>
        <v>23204</v>
      </c>
      <c r="BA329" s="188">
        <f t="shared" si="819"/>
        <v>23204</v>
      </c>
      <c r="BB329" s="192">
        <v>23687</v>
      </c>
      <c r="BC329" s="179">
        <v>24213</v>
      </c>
      <c r="BD329" s="179">
        <v>24661</v>
      </c>
      <c r="BE329" s="179">
        <v>25227</v>
      </c>
      <c r="BF329" s="188">
        <f>BE329</f>
        <v>25227</v>
      </c>
      <c r="BG329" s="192"/>
      <c r="BH329" s="179"/>
      <c r="BI329" s="179"/>
      <c r="BJ329" s="179"/>
      <c r="BK329" s="188">
        <v>24543</v>
      </c>
      <c r="BL329" s="192">
        <v>25049</v>
      </c>
      <c r="BM329" s="179">
        <v>25546</v>
      </c>
      <c r="BN329" s="179">
        <v>26058</v>
      </c>
      <c r="BO329" s="179">
        <v>26444</v>
      </c>
      <c r="BP329" s="1083">
        <f>+BO329</f>
        <v>26444</v>
      </c>
      <c r="BQ329" s="192">
        <f t="shared" ref="BQ329" si="825">BP329+BQ238+BQ285</f>
        <v>26916.034853394649</v>
      </c>
      <c r="BR329" s="179">
        <f t="shared" ref="BR329" si="826">BQ329+BR238+BR285</f>
        <v>27466.196483387448</v>
      </c>
      <c r="BS329" s="179">
        <f t="shared" ref="BS329" si="827">BR329+BS238+BS285</f>
        <v>28034.89607269955</v>
      </c>
      <c r="BT329" s="667">
        <f t="shared" ref="BT329" si="828">BS329+BT238+BT285</f>
        <v>28694.23853657375</v>
      </c>
      <c r="BU329" s="190">
        <f>+BT329</f>
        <v>28694.23853657375</v>
      </c>
      <c r="BV329" s="192"/>
      <c r="BW329" s="179"/>
      <c r="BX329" s="179"/>
      <c r="BY329" s="667"/>
      <c r="BZ329" s="667">
        <f>BU329+BZ238+BZ285</f>
        <v>31161.7909694441</v>
      </c>
      <c r="CA329" s="192"/>
      <c r="CB329" s="179"/>
      <c r="CC329" s="179"/>
      <c r="CD329" s="667"/>
      <c r="CE329" s="667">
        <f>BZ329+CE238+CE285</f>
        <v>33801.134460566718</v>
      </c>
      <c r="CF329" s="192"/>
      <c r="CG329" s="179"/>
      <c r="CH329" s="179"/>
      <c r="CI329" s="667"/>
      <c r="CJ329" s="667">
        <f>CE329+CJ238+CJ285</f>
        <v>36623.204016178301</v>
      </c>
      <c r="CK329" s="221"/>
      <c r="CL329" s="242"/>
      <c r="CM329" s="703"/>
      <c r="CN329" s="703"/>
      <c r="CO329" s="703"/>
      <c r="CP329" s="1002"/>
      <c r="CQ329" s="703"/>
      <c r="CR329" s="703"/>
      <c r="CS329" s="703"/>
      <c r="CT329" s="703"/>
      <c r="CU329" s="703"/>
      <c r="CV329" s="703"/>
      <c r="CW329" s="233"/>
      <c r="CX329" s="134"/>
      <c r="CY329" s="134"/>
      <c r="CZ329"/>
      <c r="DA329"/>
      <c r="DB329"/>
      <c r="DC329"/>
      <c r="DD329"/>
    </row>
    <row r="330" spans="1:108" s="222" customFormat="1">
      <c r="A330" s="175" t="s">
        <v>83</v>
      </c>
      <c r="B330" s="190">
        <v>-930</v>
      </c>
      <c r="C330" s="190">
        <v>-1016</v>
      </c>
      <c r="D330" s="190">
        <v>-1279</v>
      </c>
      <c r="E330" s="190">
        <v>-1206</v>
      </c>
      <c r="F330" s="190">
        <v>-1493</v>
      </c>
      <c r="G330" s="190">
        <v>-1455</v>
      </c>
      <c r="H330" s="179">
        <v>-1613</v>
      </c>
      <c r="I330" s="183">
        <v>-1594</v>
      </c>
      <c r="J330" s="179">
        <v>-1892</v>
      </c>
      <c r="K330" s="179">
        <v>-1881</v>
      </c>
      <c r="L330" s="190">
        <f>K330</f>
        <v>-1881</v>
      </c>
      <c r="M330" s="183">
        <v>-2399</v>
      </c>
      <c r="N330" s="179">
        <v>-2545</v>
      </c>
      <c r="O330" s="179">
        <v>-3019</v>
      </c>
      <c r="P330" s="183">
        <v>-3349</v>
      </c>
      <c r="Q330" s="180">
        <f>P330</f>
        <v>-3349</v>
      </c>
      <c r="R330" s="179">
        <v>-3439</v>
      </c>
      <c r="S330" s="179">
        <v>-3437</v>
      </c>
      <c r="T330" s="179">
        <v>-3412</v>
      </c>
      <c r="U330" s="183">
        <v>-3463</v>
      </c>
      <c r="V330" s="180">
        <f>U330</f>
        <v>-3463</v>
      </c>
      <c r="W330" s="179">
        <v>-3560</v>
      </c>
      <c r="X330" s="179">
        <v>-3917</v>
      </c>
      <c r="Y330" s="179">
        <v>-4077</v>
      </c>
      <c r="Z330" s="179">
        <v>-4535</v>
      </c>
      <c r="AA330" s="190">
        <f>Z330</f>
        <v>-4535</v>
      </c>
      <c r="AB330" s="179">
        <v>-4647</v>
      </c>
      <c r="AC330" s="179">
        <v>-5417</v>
      </c>
      <c r="AD330" s="179">
        <v>-5758</v>
      </c>
      <c r="AE330" s="183">
        <v>-5743</v>
      </c>
      <c r="AF330" s="190">
        <f>AE330</f>
        <v>-5743</v>
      </c>
      <c r="AG330" s="179">
        <v>-5710</v>
      </c>
      <c r="AH330" s="179">
        <v>-6208</v>
      </c>
      <c r="AI330" s="179">
        <v>-6194</v>
      </c>
      <c r="AJ330" s="179">
        <v>-6165</v>
      </c>
      <c r="AK330" s="190">
        <f>AJ330</f>
        <v>-6165</v>
      </c>
      <c r="AL330" s="179">
        <v>-6201</v>
      </c>
      <c r="AM330" s="179">
        <v>-6557</v>
      </c>
      <c r="AN330" s="179">
        <v>-6500</v>
      </c>
      <c r="AO330" s="179">
        <v>-6450</v>
      </c>
      <c r="AP330" s="180">
        <f>AO330</f>
        <v>-6450</v>
      </c>
      <c r="AQ330" s="179">
        <v>-7723</v>
      </c>
      <c r="AR330" s="179">
        <v>-8816</v>
      </c>
      <c r="AS330" s="179">
        <v>-9233</v>
      </c>
      <c r="AT330" s="179">
        <v>-9396</v>
      </c>
      <c r="AU330" s="188">
        <f>AT330</f>
        <v>-9396</v>
      </c>
      <c r="AV330" s="179">
        <v>-9949</v>
      </c>
      <c r="AW330" s="179">
        <v>-10914</v>
      </c>
      <c r="AX330" s="179">
        <v>-11915</v>
      </c>
      <c r="AY330" s="179">
        <v>-12392</v>
      </c>
      <c r="AZ330" s="188">
        <f t="shared" si="819"/>
        <v>-12392</v>
      </c>
      <c r="BA330" s="188">
        <f t="shared" si="819"/>
        <v>-12392</v>
      </c>
      <c r="BB330" s="192">
        <v>-13386</v>
      </c>
      <c r="BC330" s="179">
        <v>-13491</v>
      </c>
      <c r="BD330" s="179">
        <v>-13724</v>
      </c>
      <c r="BE330" s="179">
        <v>-14156</v>
      </c>
      <c r="BF330" s="188">
        <f>BE330</f>
        <v>-14156</v>
      </c>
      <c r="BG330" s="192"/>
      <c r="BH330" s="179"/>
      <c r="BI330" s="179"/>
      <c r="BJ330" s="179"/>
      <c r="BK330" s="188">
        <f>BF330</f>
        <v>-14156</v>
      </c>
      <c r="BL330" s="192">
        <v>-14448</v>
      </c>
      <c r="BM330" s="179">
        <v>-14950</v>
      </c>
      <c r="BN330" s="179">
        <v>-15166</v>
      </c>
      <c r="BO330" s="179">
        <v>-15543</v>
      </c>
      <c r="BP330" s="1083">
        <f>+BO330</f>
        <v>-15543</v>
      </c>
      <c r="BQ330" s="192">
        <f t="shared" ref="BQ330" si="829">BP330+BQ282</f>
        <v>-15647.201259895239</v>
      </c>
      <c r="BR330" s="179">
        <f t="shared" ref="BR330" si="830">BQ330+BR282</f>
        <v>-15753.486544988382</v>
      </c>
      <c r="BS330" s="179">
        <f t="shared" ref="BS330" si="831">BR330+BS282</f>
        <v>-15861.897535783388</v>
      </c>
      <c r="BT330" s="667">
        <f t="shared" ref="BT330" si="832">BS330+BT282</f>
        <v>-15972.476746394294</v>
      </c>
      <c r="BU330" s="190">
        <f>+BT330</f>
        <v>-15972.476746394294</v>
      </c>
      <c r="BV330" s="192"/>
      <c r="BW330" s="179"/>
      <c r="BX330" s="179"/>
      <c r="BY330" s="667"/>
      <c r="BZ330" s="667">
        <f>BU330+BZ282</f>
        <v>-16444.901167428015</v>
      </c>
      <c r="CA330" s="192"/>
      <c r="CB330" s="179"/>
      <c r="CC330" s="179"/>
      <c r="CD330" s="667"/>
      <c r="CE330" s="667">
        <f>BZ330+CE282</f>
        <v>-16964.568030565111</v>
      </c>
      <c r="CF330" s="192"/>
      <c r="CG330" s="179"/>
      <c r="CH330" s="179"/>
      <c r="CI330" s="667"/>
      <c r="CJ330" s="667">
        <f>CE330+CJ282</f>
        <v>-19233.381588335349</v>
      </c>
      <c r="CK330" s="221"/>
      <c r="CL330" s="242"/>
      <c r="CM330" s="703"/>
      <c r="CN330" s="703"/>
      <c r="CO330" s="703"/>
      <c r="CP330" s="1002"/>
      <c r="CQ330" s="703"/>
      <c r="CR330" s="703"/>
      <c r="CS330" s="703"/>
      <c r="CT330" s="703"/>
      <c r="CU330" s="703"/>
      <c r="CV330" s="703"/>
      <c r="CW330" s="233"/>
      <c r="CX330" s="134"/>
      <c r="CY330" s="134"/>
      <c r="CZ330"/>
      <c r="DA330"/>
      <c r="DB330"/>
      <c r="DC330"/>
      <c r="DD330"/>
    </row>
    <row r="331" spans="1:108" s="222" customFormat="1">
      <c r="A331" s="175" t="s">
        <v>82</v>
      </c>
      <c r="B331" s="180">
        <v>-14</v>
      </c>
      <c r="C331" s="180">
        <v>3</v>
      </c>
      <c r="D331" s="180">
        <v>156</v>
      </c>
      <c r="E331" s="180">
        <v>251</v>
      </c>
      <c r="F331" s="180">
        <v>226</v>
      </c>
      <c r="G331" s="180">
        <v>151</v>
      </c>
      <c r="H331" s="179">
        <v>160</v>
      </c>
      <c r="I331" s="183">
        <v>237</v>
      </c>
      <c r="J331" s="179">
        <v>351</v>
      </c>
      <c r="K331" s="183">
        <v>647</v>
      </c>
      <c r="L331" s="180">
        <f>K331</f>
        <v>647</v>
      </c>
      <c r="M331" s="183">
        <v>692</v>
      </c>
      <c r="N331" s="179">
        <v>679</v>
      </c>
      <c r="O331" s="179">
        <v>546</v>
      </c>
      <c r="P331" s="183">
        <v>-1713</v>
      </c>
      <c r="Q331" s="180">
        <f>P331</f>
        <v>-1713</v>
      </c>
      <c r="R331" s="179">
        <v>-1885</v>
      </c>
      <c r="S331" s="179">
        <v>-1659</v>
      </c>
      <c r="T331" s="179">
        <v>-1435</v>
      </c>
      <c r="U331" s="183">
        <v>-1207</v>
      </c>
      <c r="V331" s="180">
        <f>U331</f>
        <v>-1207</v>
      </c>
      <c r="W331" s="179">
        <v>-1269</v>
      </c>
      <c r="X331" s="179">
        <v>-1371</v>
      </c>
      <c r="Y331" s="179">
        <v>-989</v>
      </c>
      <c r="Z331" s="183">
        <v>-1436</v>
      </c>
      <c r="AA331" s="180">
        <f>Z331</f>
        <v>-1436</v>
      </c>
      <c r="AB331" s="179">
        <v>-1257</v>
      </c>
      <c r="AC331" s="179">
        <v>-960</v>
      </c>
      <c r="AD331" s="179">
        <v>-1441</v>
      </c>
      <c r="AE331" s="183">
        <v>-2312</v>
      </c>
      <c r="AF331" s="180">
        <f>AE331</f>
        <v>-2312</v>
      </c>
      <c r="AG331" s="183">
        <v>-2112</v>
      </c>
      <c r="AH331" s="183">
        <v>-2302</v>
      </c>
      <c r="AI331" s="183">
        <v>-2157</v>
      </c>
      <c r="AJ331" s="183">
        <v>-2775</v>
      </c>
      <c r="AK331" s="180">
        <f>AJ331</f>
        <v>-2775</v>
      </c>
      <c r="AL331" s="183">
        <v>-2894</v>
      </c>
      <c r="AM331" s="183">
        <v>-2889</v>
      </c>
      <c r="AN331" s="183">
        <v>-2669</v>
      </c>
      <c r="AO331" s="183">
        <v>-1185</v>
      </c>
      <c r="AP331" s="180">
        <f>AO331</f>
        <v>-1185</v>
      </c>
      <c r="AQ331" s="183">
        <v>-1203</v>
      </c>
      <c r="AR331" s="183">
        <v>-1104</v>
      </c>
      <c r="AS331" s="183">
        <v>-1337</v>
      </c>
      <c r="AT331" s="183">
        <v>-2932</v>
      </c>
      <c r="AU331" s="188">
        <f>AT331</f>
        <v>-2932</v>
      </c>
      <c r="AV331" s="183">
        <v>-3216</v>
      </c>
      <c r="AW331" s="183">
        <v>-3092</v>
      </c>
      <c r="AX331" s="183">
        <v>-3185</v>
      </c>
      <c r="AY331" s="183">
        <v>-3286</v>
      </c>
      <c r="AZ331" s="180">
        <f t="shared" si="819"/>
        <v>-3286</v>
      </c>
      <c r="BA331" s="180">
        <f t="shared" si="819"/>
        <v>-3286</v>
      </c>
      <c r="BB331" s="182">
        <v>-2941</v>
      </c>
      <c r="BC331" s="183">
        <v>-2965</v>
      </c>
      <c r="BD331" s="183">
        <v>-2891</v>
      </c>
      <c r="BE331" s="183">
        <v>-3396</v>
      </c>
      <c r="BF331" s="180">
        <f>BE331</f>
        <v>-3396</v>
      </c>
      <c r="BG331" s="182"/>
      <c r="BH331" s="183"/>
      <c r="BI331" s="183"/>
      <c r="BJ331" s="183"/>
      <c r="BK331" s="180">
        <v>-3387</v>
      </c>
      <c r="BL331" s="182">
        <v>-3262</v>
      </c>
      <c r="BM331" s="183">
        <v>-2922</v>
      </c>
      <c r="BN331" s="183">
        <v>-2651</v>
      </c>
      <c r="BO331" s="183">
        <v>-2820</v>
      </c>
      <c r="BP331" s="1057">
        <f>+BO331</f>
        <v>-2820</v>
      </c>
      <c r="BQ331" s="182">
        <v>-2774.5697500000001</v>
      </c>
      <c r="BR331" s="183">
        <v>-12329.139500000001</v>
      </c>
      <c r="BS331" s="183">
        <v>-12283.709250000002</v>
      </c>
      <c r="BT331" s="668">
        <v>-12238.279000000002</v>
      </c>
      <c r="BU331" s="180">
        <f>+BT331</f>
        <v>-12238.279000000002</v>
      </c>
      <c r="BV331" s="182"/>
      <c r="BW331" s="183"/>
      <c r="BX331" s="183"/>
      <c r="BY331" s="668"/>
      <c r="BZ331" s="180">
        <v>-12043.910400000002</v>
      </c>
      <c r="CA331" s="182"/>
      <c r="CB331" s="183"/>
      <c r="CC331" s="183"/>
      <c r="CD331" s="668"/>
      <c r="CE331" s="180">
        <v>-11849.541800000003</v>
      </c>
      <c r="CF331" s="182"/>
      <c r="CG331" s="183"/>
      <c r="CH331" s="183"/>
      <c r="CI331" s="668"/>
      <c r="CJ331" s="180">
        <v>-11655.173200000003</v>
      </c>
      <c r="CK331" s="180"/>
      <c r="CL331" s="242"/>
      <c r="CM331" s="703"/>
      <c r="CN331" s="703"/>
      <c r="CO331" s="703"/>
      <c r="CP331" s="1002"/>
      <c r="CQ331" s="703"/>
      <c r="CR331" s="703"/>
      <c r="CS331" s="703"/>
      <c r="CT331" s="703"/>
      <c r="CU331" s="703"/>
      <c r="CV331" s="703"/>
      <c r="CW331" s="233"/>
      <c r="CX331" s="134"/>
      <c r="CY331" s="134"/>
      <c r="CZ331"/>
      <c r="DA331"/>
      <c r="DB331"/>
      <c r="DC331"/>
      <c r="DD331"/>
    </row>
    <row r="332" spans="1:108" s="222" customFormat="1">
      <c r="A332" s="130" t="s">
        <v>84</v>
      </c>
      <c r="B332" s="129">
        <f t="shared" ref="B332:AE332" si="833">SUM(B327:B331)</f>
        <v>4528</v>
      </c>
      <c r="C332" s="129">
        <f t="shared" si="833"/>
        <v>5199</v>
      </c>
      <c r="D332" s="129">
        <f t="shared" si="833"/>
        <v>5921</v>
      </c>
      <c r="E332" s="129">
        <f t="shared" si="833"/>
        <v>7189</v>
      </c>
      <c r="F332" s="129">
        <f t="shared" si="833"/>
        <v>8145</v>
      </c>
      <c r="G332" s="129">
        <f t="shared" si="833"/>
        <v>9827</v>
      </c>
      <c r="H332" s="130">
        <f t="shared" si="833"/>
        <v>10075</v>
      </c>
      <c r="I332" s="130">
        <f t="shared" si="833"/>
        <v>10622</v>
      </c>
      <c r="J332" s="130">
        <f t="shared" si="833"/>
        <v>10910</v>
      </c>
      <c r="K332" s="130">
        <f t="shared" si="833"/>
        <v>11768</v>
      </c>
      <c r="L332" s="129">
        <f>SUM(L327:L331)</f>
        <v>11768</v>
      </c>
      <c r="M332" s="130">
        <f t="shared" si="833"/>
        <v>11777</v>
      </c>
      <c r="N332" s="130">
        <f t="shared" si="833"/>
        <v>12184</v>
      </c>
      <c r="O332" s="130">
        <f t="shared" si="833"/>
        <v>12134</v>
      </c>
      <c r="P332" s="130">
        <f t="shared" si="833"/>
        <v>10053</v>
      </c>
      <c r="Q332" s="129">
        <f>SUM(Q327:Q331)</f>
        <v>10053</v>
      </c>
      <c r="R332" s="130">
        <f t="shared" si="833"/>
        <v>10271</v>
      </c>
      <c r="S332" s="130">
        <f t="shared" si="833"/>
        <v>11001</v>
      </c>
      <c r="T332" s="130">
        <f t="shared" si="833"/>
        <v>11718</v>
      </c>
      <c r="U332" s="130">
        <f>SUM(U327:U331)</f>
        <v>12423</v>
      </c>
      <c r="V332" s="129">
        <f>SUM(V327:V331)</f>
        <v>12423</v>
      </c>
      <c r="W332" s="130">
        <f t="shared" si="833"/>
        <v>12779</v>
      </c>
      <c r="X332" s="130">
        <f t="shared" si="833"/>
        <v>12839</v>
      </c>
      <c r="Y332" s="130">
        <f t="shared" si="833"/>
        <v>13582</v>
      </c>
      <c r="Z332" s="130">
        <f>SUM(Z327:Z331)</f>
        <v>13316</v>
      </c>
      <c r="AA332" s="129">
        <f>SUM(AA327:AA331)</f>
        <v>13316</v>
      </c>
      <c r="AB332" s="130">
        <f t="shared" si="833"/>
        <v>13877</v>
      </c>
      <c r="AC332" s="130">
        <f t="shared" si="833"/>
        <v>13925</v>
      </c>
      <c r="AD332" s="130">
        <f t="shared" si="833"/>
        <v>13619</v>
      </c>
      <c r="AE332" s="130">
        <f t="shared" si="833"/>
        <v>13232</v>
      </c>
      <c r="AF332" s="129">
        <f>SUM(AF327:AF331)</f>
        <v>13232</v>
      </c>
      <c r="AG332" s="130">
        <f t="shared" ref="AG332:AL332" si="834">SUM(AG327:AG331)</f>
        <v>13854</v>
      </c>
      <c r="AH332" s="130">
        <f t="shared" si="834"/>
        <v>13662</v>
      </c>
      <c r="AI332" s="130">
        <f t="shared" si="834"/>
        <v>14272</v>
      </c>
      <c r="AJ332" s="130">
        <f t="shared" si="834"/>
        <v>11390</v>
      </c>
      <c r="AK332" s="129">
        <f>SUM(AK327:AK331)</f>
        <v>11390</v>
      </c>
      <c r="AL332" s="130">
        <f t="shared" si="834"/>
        <v>11582</v>
      </c>
      <c r="AM332" s="130">
        <f>SUM(AM327:AM331)</f>
        <v>11756</v>
      </c>
      <c r="AN332" s="130">
        <f t="shared" ref="AN332:AS332" si="835">AN327+AN328+AN329+AN330+AN331</f>
        <v>12605</v>
      </c>
      <c r="AO332" s="130">
        <f t="shared" si="835"/>
        <v>14501</v>
      </c>
      <c r="AP332" s="129">
        <f t="shared" si="835"/>
        <v>14501</v>
      </c>
      <c r="AQ332" s="130">
        <f>AQ327+AQ328+AQ329+AQ330+AQ331</f>
        <v>13690</v>
      </c>
      <c r="AR332" s="130">
        <f>AR327+AR328+AR329+AR330+AR331</f>
        <v>13119</v>
      </c>
      <c r="AS332" s="130">
        <f t="shared" si="835"/>
        <v>13010</v>
      </c>
      <c r="AT332" s="130">
        <f t="shared" ref="AT332:BD332" si="836">AT327+AT328+AT329+AT330+AT331</f>
        <v>11829</v>
      </c>
      <c r="AU332" s="129">
        <f t="shared" si="836"/>
        <v>11829</v>
      </c>
      <c r="AV332" s="131">
        <f t="shared" si="836"/>
        <v>11520</v>
      </c>
      <c r="AW332" s="130">
        <f t="shared" si="836"/>
        <v>11276</v>
      </c>
      <c r="AX332" s="130">
        <f t="shared" si="836"/>
        <v>10734</v>
      </c>
      <c r="AY332" s="130">
        <f t="shared" si="836"/>
        <v>10738</v>
      </c>
      <c r="AZ332" s="129">
        <f t="shared" si="836"/>
        <v>10738</v>
      </c>
      <c r="BA332" s="129">
        <f t="shared" ref="BA332" si="837">BA327+BA328+BA329+BA330+BA331</f>
        <v>10738</v>
      </c>
      <c r="BB332" s="131">
        <f t="shared" si="836"/>
        <v>10582</v>
      </c>
      <c r="BC332" s="130">
        <f t="shared" si="836"/>
        <v>10995</v>
      </c>
      <c r="BD332" s="130">
        <f t="shared" si="836"/>
        <v>11317</v>
      </c>
      <c r="BE332" s="130">
        <f>BE327+BE328+BE329+BE330+BE331</f>
        <v>10976</v>
      </c>
      <c r="BF332" s="129">
        <f>BF327+BF328+BF329+BF330+BF331</f>
        <v>10976</v>
      </c>
      <c r="BG332" s="131"/>
      <c r="BH332" s="130"/>
      <c r="BI332" s="130"/>
      <c r="BJ332" s="130"/>
      <c r="BK332" s="129">
        <f t="shared" ref="BK332" si="838">BK327+BK328+BK329+BK330+BK331</f>
        <v>10301</v>
      </c>
      <c r="BL332" s="131">
        <f t="shared" ref="BL332:BN332" si="839">BL327+BL328+BL329+BL330+BL331</f>
        <v>10583</v>
      </c>
      <c r="BM332" s="130">
        <f t="shared" si="839"/>
        <v>10952</v>
      </c>
      <c r="BN332" s="130">
        <f t="shared" si="839"/>
        <v>11564</v>
      </c>
      <c r="BO332" s="130">
        <f>BO327+BO328+BO329+BO330+BO331</f>
        <v>11435</v>
      </c>
      <c r="BP332" s="1060">
        <f>BP327+BP328+BP329+BP330+BP331</f>
        <v>11435</v>
      </c>
      <c r="BQ332" s="131">
        <f t="shared" ref="BQ332:BU332" si="840">BQ327+BQ328+BQ329+BQ330+BQ331</f>
        <v>11931.624851415601</v>
      </c>
      <c r="BR332" s="130">
        <f t="shared" si="840"/>
        <v>2905.9596743897691</v>
      </c>
      <c r="BS332" s="130">
        <f t="shared" si="840"/>
        <v>3498.4073155428687</v>
      </c>
      <c r="BT332" s="662">
        <f t="shared" si="840"/>
        <v>4181.0641872948909</v>
      </c>
      <c r="BU332" s="129">
        <f t="shared" si="840"/>
        <v>4181.0641872948909</v>
      </c>
      <c r="BV332" s="131"/>
      <c r="BW332" s="130"/>
      <c r="BX332" s="130"/>
      <c r="BY332" s="662"/>
      <c r="BZ332" s="662">
        <f>BZ327+BZ328+BZ329+BZ330+BZ331</f>
        <v>6748.5003359584971</v>
      </c>
      <c r="CA332" s="131"/>
      <c r="CB332" s="130"/>
      <c r="CC332" s="130"/>
      <c r="CD332" s="662"/>
      <c r="CE332" s="662">
        <f>CE327+CE328+CE329+CE330+CE331</f>
        <v>9478.2790544536947</v>
      </c>
      <c r="CF332" s="131"/>
      <c r="CG332" s="130"/>
      <c r="CH332" s="130"/>
      <c r="CI332" s="662"/>
      <c r="CJ332" s="662">
        <f>CJ327+CJ328+CJ329+CJ330+CJ331</f>
        <v>10683.210491855678</v>
      </c>
      <c r="CK332" s="221"/>
      <c r="CL332" s="242"/>
      <c r="CM332" s="703"/>
      <c r="CN332" s="703"/>
      <c r="CO332" s="703"/>
      <c r="CP332" s="1002"/>
      <c r="CQ332" s="703"/>
      <c r="CR332" s="703"/>
      <c r="CS332" s="703"/>
      <c r="CT332" s="703"/>
      <c r="CU332" s="703"/>
      <c r="CV332" s="703"/>
      <c r="CW332" s="233"/>
      <c r="CX332" s="134"/>
      <c r="CY332" s="134"/>
      <c r="CZ332"/>
      <c r="DA332"/>
      <c r="DB332"/>
      <c r="DC332"/>
      <c r="DD332"/>
    </row>
    <row r="333" spans="1:108" s="222" customFormat="1" ht="12.75" customHeight="1">
      <c r="A333" s="130" t="s">
        <v>85</v>
      </c>
      <c r="B333" s="129">
        <f t="shared" ref="B333:AL333" si="841">SUM(B325,B332)</f>
        <v>11069</v>
      </c>
      <c r="C333" s="129">
        <f t="shared" si="841"/>
        <v>11731</v>
      </c>
      <c r="D333" s="129">
        <f t="shared" si="841"/>
        <v>16183</v>
      </c>
      <c r="E333" s="129">
        <f t="shared" si="841"/>
        <v>17544</v>
      </c>
      <c r="F333" s="129">
        <f t="shared" si="841"/>
        <v>19700</v>
      </c>
      <c r="G333" s="129">
        <f t="shared" si="841"/>
        <v>22376</v>
      </c>
      <c r="H333" s="130">
        <f t="shared" si="841"/>
        <v>22732</v>
      </c>
      <c r="I333" s="130">
        <f t="shared" si="841"/>
        <v>23407</v>
      </c>
      <c r="J333" s="130">
        <f t="shared" si="841"/>
        <v>23883</v>
      </c>
      <c r="K333" s="130">
        <f t="shared" si="841"/>
        <v>25733</v>
      </c>
      <c r="L333" s="129">
        <f t="shared" si="841"/>
        <v>25733</v>
      </c>
      <c r="M333" s="130">
        <f t="shared" si="841"/>
        <v>25707</v>
      </c>
      <c r="N333" s="130">
        <f t="shared" si="841"/>
        <v>26089</v>
      </c>
      <c r="O333" s="130">
        <f t="shared" si="841"/>
        <v>26046</v>
      </c>
      <c r="P333" s="130">
        <f t="shared" si="841"/>
        <v>28373</v>
      </c>
      <c r="Q333" s="129">
        <f t="shared" si="841"/>
        <v>28373</v>
      </c>
      <c r="R333" s="130">
        <f t="shared" si="841"/>
        <v>28279</v>
      </c>
      <c r="S333" s="130">
        <f t="shared" si="841"/>
        <v>28858</v>
      </c>
      <c r="T333" s="130">
        <f t="shared" si="841"/>
        <v>29775</v>
      </c>
      <c r="U333" s="130">
        <f t="shared" si="841"/>
        <v>31077</v>
      </c>
      <c r="V333" s="129">
        <f t="shared" si="841"/>
        <v>31077</v>
      </c>
      <c r="W333" s="130">
        <f t="shared" si="841"/>
        <v>31059</v>
      </c>
      <c r="X333" s="130">
        <f t="shared" si="841"/>
        <v>30872</v>
      </c>
      <c r="Y333" s="130">
        <f t="shared" si="841"/>
        <v>31483</v>
      </c>
      <c r="Z333" s="130">
        <f t="shared" si="841"/>
        <v>32545</v>
      </c>
      <c r="AA333" s="129">
        <f t="shared" si="841"/>
        <v>32545</v>
      </c>
      <c r="AB333" s="130">
        <f t="shared" si="841"/>
        <v>33104</v>
      </c>
      <c r="AC333" s="130">
        <f t="shared" si="841"/>
        <v>33361</v>
      </c>
      <c r="AD333" s="130">
        <f t="shared" si="841"/>
        <v>33408</v>
      </c>
      <c r="AE333" s="130">
        <f t="shared" si="841"/>
        <v>34883</v>
      </c>
      <c r="AF333" s="129">
        <f t="shared" si="841"/>
        <v>34883</v>
      </c>
      <c r="AG333" s="130">
        <f t="shared" si="841"/>
        <v>35309</v>
      </c>
      <c r="AH333" s="130">
        <f t="shared" si="841"/>
        <v>35203</v>
      </c>
      <c r="AI333" s="130">
        <f t="shared" si="841"/>
        <v>35503</v>
      </c>
      <c r="AJ333" s="130">
        <f t="shared" si="841"/>
        <v>34309</v>
      </c>
      <c r="AK333" s="129">
        <f t="shared" si="841"/>
        <v>34309</v>
      </c>
      <c r="AL333" s="130">
        <f t="shared" si="841"/>
        <v>34609</v>
      </c>
      <c r="AM333" s="130">
        <f t="shared" ref="AM333:AY333" si="842">SUM(AM325,AM332)</f>
        <v>34731</v>
      </c>
      <c r="AN333" s="130">
        <f t="shared" si="842"/>
        <v>35471</v>
      </c>
      <c r="AO333" s="130">
        <f t="shared" si="842"/>
        <v>35448</v>
      </c>
      <c r="AP333" s="129">
        <f t="shared" si="842"/>
        <v>35448</v>
      </c>
      <c r="AQ333" s="130">
        <f>SUM(AQ325,AQ332)</f>
        <v>34382</v>
      </c>
      <c r="AR333" s="130">
        <f>SUM(AR325,AR332)</f>
        <v>34332</v>
      </c>
      <c r="AS333" s="130">
        <f t="shared" si="842"/>
        <v>35311</v>
      </c>
      <c r="AT333" s="130">
        <f t="shared" si="842"/>
        <v>35355</v>
      </c>
      <c r="AU333" s="129">
        <f>SUM(AU325,AU332)</f>
        <v>35355</v>
      </c>
      <c r="AV333" s="131">
        <f t="shared" si="842"/>
        <v>34385</v>
      </c>
      <c r="AW333" s="130">
        <f t="shared" si="842"/>
        <v>33654</v>
      </c>
      <c r="AX333" s="130">
        <f t="shared" si="842"/>
        <v>32980</v>
      </c>
      <c r="AY333" s="130">
        <f t="shared" si="842"/>
        <v>31997</v>
      </c>
      <c r="AZ333" s="129">
        <f t="shared" ref="AZ333:BK333" si="843">SUM(AZ325,AZ332)</f>
        <v>31997</v>
      </c>
      <c r="BA333" s="129">
        <f t="shared" ref="BA333" si="844">SUM(BA325,BA332)</f>
        <v>31997</v>
      </c>
      <c r="BB333" s="131">
        <f t="shared" si="843"/>
        <v>31702</v>
      </c>
      <c r="BC333" s="130">
        <f t="shared" si="843"/>
        <v>31769</v>
      </c>
      <c r="BD333" s="130">
        <f t="shared" si="843"/>
        <v>32668</v>
      </c>
      <c r="BE333" s="130">
        <f t="shared" si="843"/>
        <v>32872</v>
      </c>
      <c r="BF333" s="129">
        <f t="shared" si="843"/>
        <v>32872</v>
      </c>
      <c r="BG333" s="131"/>
      <c r="BH333" s="130"/>
      <c r="BI333" s="130"/>
      <c r="BJ333" s="130"/>
      <c r="BK333" s="129">
        <f t="shared" si="843"/>
        <v>33172</v>
      </c>
      <c r="BL333" s="131">
        <f t="shared" ref="BL333:BU333" si="845">SUM(BL325,BL332)</f>
        <v>33211</v>
      </c>
      <c r="BM333" s="130">
        <f t="shared" si="845"/>
        <v>33793</v>
      </c>
      <c r="BN333" s="130">
        <f t="shared" si="845"/>
        <v>34914</v>
      </c>
      <c r="BO333" s="130">
        <f t="shared" si="845"/>
        <v>35046</v>
      </c>
      <c r="BP333" s="1060">
        <f t="shared" si="845"/>
        <v>35046</v>
      </c>
      <c r="BQ333" s="131">
        <f t="shared" si="845"/>
        <v>35068.911333492164</v>
      </c>
      <c r="BR333" s="130">
        <f>SUM(BR325,BR332)</f>
        <v>35844.100971797576</v>
      </c>
      <c r="BS333" s="130">
        <f t="shared" si="845"/>
        <v>36225.080753330774</v>
      </c>
      <c r="BT333" s="662">
        <f t="shared" si="845"/>
        <v>37857.515158995709</v>
      </c>
      <c r="BU333" s="129">
        <f t="shared" si="845"/>
        <v>37857.515158995709</v>
      </c>
      <c r="BV333" s="131"/>
      <c r="BW333" s="130"/>
      <c r="BX333" s="130"/>
      <c r="BY333" s="130"/>
      <c r="BZ333" s="129">
        <f>SUM(BZ325,BZ332)</f>
        <v>39164.449694754207</v>
      </c>
      <c r="CA333" s="131"/>
      <c r="CB333" s="130"/>
      <c r="CC333" s="130"/>
      <c r="CD333" s="130"/>
      <c r="CE333" s="129">
        <f>SUM(CE325,CE332)</f>
        <v>40198.039518067279</v>
      </c>
      <c r="CF333" s="131"/>
      <c r="CG333" s="130"/>
      <c r="CH333" s="130"/>
      <c r="CI333" s="130"/>
      <c r="CJ333" s="129">
        <f>SUM(CJ325,CJ332)</f>
        <v>41248.25109159603</v>
      </c>
      <c r="CK333" s="221"/>
      <c r="CL333" s="242"/>
      <c r="CM333" s="703"/>
      <c r="CN333" s="703"/>
      <c r="CO333" s="703"/>
      <c r="CP333" s="1002"/>
      <c r="CQ333" s="703"/>
      <c r="CR333" s="703"/>
      <c r="CS333" s="703"/>
      <c r="CT333" s="703"/>
      <c r="CU333" s="703"/>
      <c r="CV333" s="703"/>
      <c r="CW333" s="233"/>
      <c r="CX333" s="134"/>
      <c r="CY333" s="134"/>
      <c r="CZ333"/>
      <c r="DA333"/>
      <c r="DB333"/>
      <c r="DC333"/>
      <c r="DD333"/>
    </row>
    <row r="334" spans="1:108">
      <c r="A334" s="390" t="s">
        <v>56</v>
      </c>
      <c r="B334" s="391">
        <f t="shared" ref="B334:AT334" si="846">B313-B333</f>
        <v>0</v>
      </c>
      <c r="C334" s="391">
        <f t="shared" si="846"/>
        <v>0</v>
      </c>
      <c r="D334" s="391">
        <f t="shared" si="846"/>
        <v>0</v>
      </c>
      <c r="E334" s="392">
        <f t="shared" si="846"/>
        <v>0</v>
      </c>
      <c r="F334" s="392">
        <f t="shared" si="846"/>
        <v>0</v>
      </c>
      <c r="G334" s="392">
        <f t="shared" si="846"/>
        <v>0</v>
      </c>
      <c r="H334" s="390">
        <f t="shared" si="846"/>
        <v>0</v>
      </c>
      <c r="I334" s="390">
        <f t="shared" si="846"/>
        <v>0</v>
      </c>
      <c r="J334" s="390">
        <f t="shared" si="846"/>
        <v>0</v>
      </c>
      <c r="K334" s="393">
        <f t="shared" si="846"/>
        <v>0</v>
      </c>
      <c r="L334" s="392">
        <f t="shared" si="846"/>
        <v>0</v>
      </c>
      <c r="M334" s="390">
        <f t="shared" si="846"/>
        <v>0</v>
      </c>
      <c r="N334" s="390">
        <f t="shared" si="846"/>
        <v>0</v>
      </c>
      <c r="O334" s="390">
        <f t="shared" si="846"/>
        <v>0</v>
      </c>
      <c r="P334" s="393">
        <f t="shared" si="846"/>
        <v>0</v>
      </c>
      <c r="Q334" s="392">
        <f t="shared" si="846"/>
        <v>0</v>
      </c>
      <c r="R334" s="390">
        <f t="shared" si="846"/>
        <v>0</v>
      </c>
      <c r="S334" s="390">
        <f t="shared" si="846"/>
        <v>0</v>
      </c>
      <c r="T334" s="390">
        <f t="shared" si="846"/>
        <v>0</v>
      </c>
      <c r="U334" s="393">
        <f t="shared" si="846"/>
        <v>0</v>
      </c>
      <c r="V334" s="392">
        <f t="shared" si="846"/>
        <v>0</v>
      </c>
      <c r="W334" s="390">
        <f t="shared" si="846"/>
        <v>0</v>
      </c>
      <c r="X334" s="390">
        <f t="shared" si="846"/>
        <v>0</v>
      </c>
      <c r="Y334" s="390">
        <f t="shared" si="846"/>
        <v>0</v>
      </c>
      <c r="Z334" s="393">
        <f t="shared" si="846"/>
        <v>0</v>
      </c>
      <c r="AA334" s="392">
        <f t="shared" si="846"/>
        <v>0</v>
      </c>
      <c r="AB334" s="390">
        <f t="shared" si="846"/>
        <v>0</v>
      </c>
      <c r="AC334" s="390">
        <f t="shared" si="846"/>
        <v>0</v>
      </c>
      <c r="AD334" s="390">
        <f t="shared" si="846"/>
        <v>0</v>
      </c>
      <c r="AE334" s="393">
        <f t="shared" si="846"/>
        <v>0</v>
      </c>
      <c r="AF334" s="392">
        <f t="shared" si="846"/>
        <v>0</v>
      </c>
      <c r="AG334" s="390">
        <f t="shared" si="846"/>
        <v>0</v>
      </c>
      <c r="AH334" s="390">
        <f t="shared" si="846"/>
        <v>0</v>
      </c>
      <c r="AI334" s="390">
        <f t="shared" si="846"/>
        <v>0</v>
      </c>
      <c r="AJ334" s="393">
        <f t="shared" si="846"/>
        <v>0</v>
      </c>
      <c r="AK334" s="392">
        <f t="shared" si="846"/>
        <v>0</v>
      </c>
      <c r="AL334" s="390">
        <f t="shared" si="846"/>
        <v>0</v>
      </c>
      <c r="AM334" s="390">
        <f t="shared" si="846"/>
        <v>0</v>
      </c>
      <c r="AN334" s="390">
        <f t="shared" si="846"/>
        <v>0</v>
      </c>
      <c r="AO334" s="393">
        <f t="shared" si="846"/>
        <v>0</v>
      </c>
      <c r="AP334" s="392">
        <f t="shared" si="846"/>
        <v>0</v>
      </c>
      <c r="AQ334" s="390">
        <f>AQ313-AQ333</f>
        <v>0</v>
      </c>
      <c r="AR334" s="390">
        <f>AR313-AR333</f>
        <v>0</v>
      </c>
      <c r="AS334" s="390">
        <f t="shared" si="846"/>
        <v>0</v>
      </c>
      <c r="AT334" s="393">
        <f t="shared" si="846"/>
        <v>0</v>
      </c>
      <c r="AU334" s="392">
        <f t="shared" ref="AU334:BE334" si="847">AU313-AU333</f>
        <v>0</v>
      </c>
      <c r="AV334" s="390">
        <f t="shared" si="847"/>
        <v>0</v>
      </c>
      <c r="AW334" s="390">
        <f t="shared" si="847"/>
        <v>0</v>
      </c>
      <c r="AX334" s="390">
        <f t="shared" si="847"/>
        <v>0</v>
      </c>
      <c r="AY334" s="393">
        <f t="shared" si="847"/>
        <v>0</v>
      </c>
      <c r="AZ334" s="392">
        <f t="shared" si="847"/>
        <v>0</v>
      </c>
      <c r="BA334" s="392">
        <f t="shared" ref="BA334" si="848">BA313-BA333</f>
        <v>0</v>
      </c>
      <c r="BB334" s="390">
        <f t="shared" si="847"/>
        <v>0</v>
      </c>
      <c r="BC334" s="390">
        <f t="shared" si="847"/>
        <v>0</v>
      </c>
      <c r="BD334" s="390">
        <f t="shared" si="847"/>
        <v>0</v>
      </c>
      <c r="BE334" s="393">
        <f t="shared" si="847"/>
        <v>0</v>
      </c>
      <c r="BF334" s="392">
        <f>BF313-BF333</f>
        <v>0</v>
      </c>
      <c r="BG334" s="393"/>
      <c r="BH334" s="390"/>
      <c r="BI334" s="390"/>
      <c r="BJ334" s="393"/>
      <c r="BK334" s="392">
        <f>BK313-BK333</f>
        <v>0</v>
      </c>
      <c r="BL334" s="390">
        <f t="shared" ref="BL334:BN334" si="849">BL313-BL333</f>
        <v>0</v>
      </c>
      <c r="BM334" s="390">
        <f t="shared" si="849"/>
        <v>0</v>
      </c>
      <c r="BN334" s="390">
        <f t="shared" si="849"/>
        <v>0</v>
      </c>
      <c r="BO334" s="393">
        <f>BO313-BO333</f>
        <v>0</v>
      </c>
      <c r="BP334" s="1091">
        <f>BP313-BP333</f>
        <v>0</v>
      </c>
      <c r="BQ334" s="394">
        <f t="shared" ref="BQ334:BT334" si="850">BQ313-BQ333</f>
        <v>0</v>
      </c>
      <c r="BR334" s="393">
        <f>BR313-BR333</f>
        <v>0</v>
      </c>
      <c r="BS334" s="393">
        <f t="shared" si="850"/>
        <v>0</v>
      </c>
      <c r="BT334" s="1160">
        <f t="shared" si="850"/>
        <v>0</v>
      </c>
      <c r="BU334" s="392">
        <f>BU313-BU333</f>
        <v>0</v>
      </c>
      <c r="BV334" s="394"/>
      <c r="BW334" s="393"/>
      <c r="BX334" s="393"/>
      <c r="BY334" s="393"/>
      <c r="BZ334" s="392">
        <f>BZ313-BZ333</f>
        <v>0</v>
      </c>
      <c r="CA334" s="394"/>
      <c r="CB334" s="393"/>
      <c r="CC334" s="393"/>
      <c r="CD334" s="393"/>
      <c r="CE334" s="392">
        <f>CE313-CE333</f>
        <v>0</v>
      </c>
      <c r="CF334" s="394"/>
      <c r="CG334" s="393"/>
      <c r="CH334" s="393"/>
      <c r="CI334" s="393"/>
      <c r="CJ334" s="392">
        <f>CJ313-CJ333</f>
        <v>0</v>
      </c>
      <c r="CK334" s="33"/>
      <c r="CL334" s="74"/>
      <c r="CM334" s="661"/>
      <c r="CN334" s="661"/>
      <c r="CO334" s="661"/>
      <c r="CP334" s="1002"/>
      <c r="CQ334" s="661"/>
      <c r="CR334" s="661"/>
      <c r="CS334" s="661"/>
      <c r="CT334" s="661"/>
      <c r="CU334" s="661"/>
      <c r="CV334" s="661"/>
      <c r="CW334" s="74"/>
      <c r="CX334" s="33"/>
      <c r="CY334" s="33"/>
    </row>
    <row r="335" spans="1:108">
      <c r="A335" s="54"/>
      <c r="B335" s="55"/>
      <c r="C335" s="55"/>
      <c r="D335" s="55"/>
      <c r="E335" s="55"/>
      <c r="F335" s="55"/>
      <c r="G335" s="55"/>
      <c r="H335" s="54"/>
      <c r="I335" s="54"/>
      <c r="J335" s="54"/>
      <c r="K335" s="41"/>
      <c r="L335" s="55"/>
      <c r="M335" s="78"/>
      <c r="N335" s="69"/>
      <c r="O335" s="69"/>
      <c r="P335" s="60"/>
      <c r="Q335" s="55"/>
      <c r="R335" s="69"/>
      <c r="S335" s="69"/>
      <c r="T335" s="54"/>
      <c r="U335" s="83"/>
      <c r="V335" s="82"/>
      <c r="W335" s="69"/>
      <c r="X335" s="69"/>
      <c r="Y335" s="54"/>
      <c r="Z335" s="83"/>
      <c r="AA335" s="84"/>
      <c r="AB335" s="69"/>
      <c r="AC335" s="69"/>
      <c r="AD335" s="54"/>
      <c r="AE335" s="83"/>
      <c r="AF335" s="85"/>
      <c r="AG335" s="69"/>
      <c r="AH335" s="69"/>
      <c r="AI335" s="54"/>
      <c r="AJ335" s="83"/>
      <c r="AK335" s="85"/>
      <c r="AL335" s="54"/>
      <c r="AM335" s="54"/>
      <c r="AN335" s="54"/>
      <c r="AO335" s="83"/>
      <c r="AP335" s="85"/>
      <c r="AQ335" s="86"/>
      <c r="AR335" s="87"/>
      <c r="AS335" s="87"/>
      <c r="AT335" s="87"/>
      <c r="AU335" s="85"/>
      <c r="AV335" s="86"/>
      <c r="AW335" s="87"/>
      <c r="AX335" s="87"/>
      <c r="AY335" s="87"/>
      <c r="AZ335" s="85"/>
      <c r="BA335" s="85"/>
      <c r="BB335" s="86"/>
      <c r="BC335" s="87"/>
      <c r="BD335" s="87"/>
      <c r="BE335" s="87"/>
      <c r="BF335" s="85"/>
      <c r="BG335" s="86"/>
      <c r="BH335" s="87"/>
      <c r="BI335" s="87"/>
      <c r="BJ335" s="87"/>
      <c r="BK335" s="85"/>
      <c r="BL335" s="86"/>
      <c r="BM335" s="87"/>
      <c r="BN335" s="87"/>
      <c r="BO335" s="87"/>
      <c r="BP335" s="1092"/>
      <c r="BQ335" s="86"/>
      <c r="BR335" s="87"/>
      <c r="BS335" s="87"/>
      <c r="BT335" s="1161"/>
      <c r="BU335" s="85"/>
      <c r="BV335" s="86"/>
      <c r="BW335" s="87"/>
      <c r="BX335" s="87"/>
      <c r="BY335" s="87"/>
      <c r="BZ335" s="85"/>
      <c r="CA335" s="86"/>
      <c r="CB335" s="87"/>
      <c r="CC335" s="87"/>
      <c r="CD335" s="87"/>
      <c r="CE335" s="85"/>
      <c r="CF335" s="86"/>
      <c r="CG335" s="87"/>
      <c r="CH335" s="87"/>
      <c r="CI335" s="87"/>
      <c r="CJ335" s="85"/>
      <c r="CK335" s="32"/>
      <c r="CL335" s="14"/>
      <c r="CM335" s="661"/>
      <c r="CN335" s="661"/>
      <c r="CO335" s="661"/>
      <c r="CP335" s="661"/>
      <c r="CQ335" s="661"/>
      <c r="CR335" s="661"/>
      <c r="CS335" s="661"/>
      <c r="CT335" s="661"/>
      <c r="CU335" s="661"/>
      <c r="CV335" s="661"/>
      <c r="CW335" s="74"/>
      <c r="CX335" s="33"/>
      <c r="CY335" s="33"/>
    </row>
    <row r="336" spans="1:108" s="260" customFormat="1" ht="12" hidden="1" customHeight="1" outlineLevel="1">
      <c r="A336" s="88" t="s">
        <v>108</v>
      </c>
      <c r="B336" s="89"/>
      <c r="C336" s="89"/>
      <c r="D336" s="89"/>
      <c r="E336" s="89"/>
      <c r="F336" s="89"/>
      <c r="G336" s="89"/>
      <c r="H336" s="90"/>
      <c r="I336" s="90"/>
      <c r="J336" s="90"/>
      <c r="K336" s="91"/>
      <c r="L336" s="89"/>
      <c r="M336" s="90"/>
      <c r="N336" s="90"/>
      <c r="O336" s="90"/>
      <c r="P336" s="91"/>
      <c r="Q336" s="89"/>
      <c r="R336" s="90"/>
      <c r="S336" s="90"/>
      <c r="T336" s="90"/>
      <c r="U336" s="91"/>
      <c r="V336" s="89"/>
      <c r="W336" s="90"/>
      <c r="X336" s="90"/>
      <c r="Y336" s="90"/>
      <c r="Z336" s="91"/>
      <c r="AA336" s="89"/>
      <c r="AB336" s="90"/>
      <c r="AC336" s="90"/>
      <c r="AD336" s="90"/>
      <c r="AE336" s="91"/>
      <c r="AF336" s="89"/>
      <c r="AG336" s="90"/>
      <c r="AH336" s="90"/>
      <c r="AI336" s="90"/>
      <c r="AJ336" s="91"/>
      <c r="AK336" s="89"/>
      <c r="AL336" s="90"/>
      <c r="AM336" s="90"/>
      <c r="AN336" s="90"/>
      <c r="AO336" s="91"/>
      <c r="AP336" s="89"/>
      <c r="AQ336" s="92"/>
      <c r="AR336" s="91"/>
      <c r="AS336" s="91"/>
      <c r="AT336" s="91"/>
      <c r="AU336" s="89"/>
      <c r="AV336" s="92"/>
      <c r="AW336" s="91"/>
      <c r="AX336" s="91"/>
      <c r="AY336" s="91"/>
      <c r="AZ336" s="89"/>
      <c r="BA336" s="89"/>
      <c r="BB336" s="92"/>
      <c r="BC336" s="91"/>
      <c r="BD336" s="91"/>
      <c r="BE336" s="91"/>
      <c r="BF336" s="89"/>
      <c r="BG336" s="92"/>
      <c r="BH336" s="91"/>
      <c r="BI336" s="91"/>
      <c r="BJ336" s="91"/>
      <c r="BK336" s="89"/>
      <c r="BL336" s="92"/>
      <c r="BM336" s="91"/>
      <c r="BN336" s="91"/>
      <c r="BO336" s="91"/>
      <c r="BP336" s="1093"/>
      <c r="BQ336" s="92"/>
      <c r="BR336" s="91"/>
      <c r="BS336" s="91"/>
      <c r="BT336" s="1162"/>
      <c r="BU336" s="89"/>
      <c r="BV336" s="92"/>
      <c r="BW336" s="91"/>
      <c r="BX336" s="91"/>
      <c r="BY336" s="91"/>
      <c r="BZ336" s="89"/>
      <c r="CA336" s="92"/>
      <c r="CB336" s="91"/>
      <c r="CC336" s="91"/>
      <c r="CD336" s="91"/>
      <c r="CE336" s="89"/>
      <c r="CF336" s="92"/>
      <c r="CG336" s="91"/>
      <c r="CH336" s="91"/>
      <c r="CI336" s="91"/>
      <c r="CJ336" s="89"/>
      <c r="CK336" s="225"/>
      <c r="CL336" s="234"/>
      <c r="CM336" s="251"/>
      <c r="CN336" s="250"/>
      <c r="CO336" s="251"/>
      <c r="CP336" s="251"/>
      <c r="CQ336" s="251"/>
      <c r="CR336" s="251"/>
      <c r="CS336" s="251"/>
      <c r="CT336" s="251"/>
      <c r="CU336" s="251"/>
      <c r="CV336" s="251"/>
      <c r="CW336" s="234"/>
      <c r="CX336" s="225"/>
      <c r="CY336" s="225"/>
      <c r="CZ336"/>
      <c r="DA336"/>
      <c r="DB336"/>
      <c r="DC336"/>
      <c r="DD336"/>
    </row>
    <row r="337" spans="1:108" s="40" customFormat="1" ht="12" hidden="1" customHeight="1" outlineLevel="1">
      <c r="A337" s="41" t="s">
        <v>60</v>
      </c>
      <c r="B337" s="62">
        <f>(B329-AO329)-B246-B339</f>
        <v>-15374</v>
      </c>
      <c r="C337" s="62">
        <f>(C329-B329)-C246-C339</f>
        <v>-4</v>
      </c>
      <c r="D337" s="62">
        <f>(D329-C329)-D246-D339</f>
        <v>-4</v>
      </c>
      <c r="E337" s="62">
        <f>(E329-D329)-E246-E339</f>
        <v>-9</v>
      </c>
      <c r="F337" s="62">
        <f>(F329-E329)-F246-F339</f>
        <v>-8</v>
      </c>
      <c r="G337" s="62">
        <f>(G329-F329)-G246-G339</f>
        <v>-13</v>
      </c>
      <c r="H337" s="64"/>
      <c r="I337" s="64">
        <f>(I329-H329)-I246-I339</f>
        <v>-1</v>
      </c>
      <c r="J337" s="64">
        <f>(J329-I329)-J246-J339</f>
        <v>1</v>
      </c>
      <c r="K337" s="64">
        <f>(K329-J329)-K246-K339</f>
        <v>0</v>
      </c>
      <c r="L337" s="62">
        <f>(L329-G329)-L246-L339</f>
        <v>-17</v>
      </c>
      <c r="M337" s="64">
        <f>(M329-K329)-M246-M339</f>
        <v>-22</v>
      </c>
      <c r="N337" s="64">
        <f>(N329-M329)-N246-N339</f>
        <v>0</v>
      </c>
      <c r="O337" s="64">
        <f>(O329-N329)-O246-O339</f>
        <v>3</v>
      </c>
      <c r="P337" s="64">
        <f>(P329-O329)-P246-P339</f>
        <v>1</v>
      </c>
      <c r="Q337" s="62">
        <f>(Q329-L329)-Q246-Q339</f>
        <v>-18</v>
      </c>
      <c r="R337" s="64">
        <f>(R329-P329)-R246-R339</f>
        <v>-11.490000000000009</v>
      </c>
      <c r="S337" s="64">
        <f>(S329-R329)-S246-S339</f>
        <v>-0.49000000000000909</v>
      </c>
      <c r="T337" s="64">
        <f>(T329-S329)-T246-T339</f>
        <v>0</v>
      </c>
      <c r="U337" s="64">
        <f>(U329-T329)-U246-U339</f>
        <v>0</v>
      </c>
      <c r="V337" s="62">
        <f>(V329-Q329)-V246-V339</f>
        <v>-10.510000000000218</v>
      </c>
      <c r="W337" s="64">
        <f>(W329-U329)-W246-W339</f>
        <v>-16</v>
      </c>
      <c r="X337" s="64">
        <f>(X329-W329)-X246-X339</f>
        <v>2</v>
      </c>
      <c r="Y337" s="64">
        <f>(Y329-X329)-Y246-Y339</f>
        <v>1</v>
      </c>
      <c r="Z337" s="93">
        <f>(Z329-Y329)-Z246-Z339</f>
        <v>3</v>
      </c>
      <c r="AA337" s="62">
        <f>(AA329-V329)-AA246-AA339</f>
        <v>-10</v>
      </c>
      <c r="AB337" s="64">
        <f>(AB329-Z329)-AB246-AB339</f>
        <v>-19</v>
      </c>
      <c r="AC337" s="64">
        <f>(AC329-AB329)-AC246-AC339</f>
        <v>5</v>
      </c>
      <c r="AD337" s="64">
        <f>(AD329-AC329)-AD246-AD339</f>
        <v>2</v>
      </c>
      <c r="AE337" s="93">
        <f>(AE329-AD329)-AE246-AE339</f>
        <v>0</v>
      </c>
      <c r="AF337" s="62">
        <f>(AF329-AA329)-AF246-AF339</f>
        <v>-12</v>
      </c>
      <c r="AG337" s="64">
        <f>(AG329-AE329)-AG246-AG339</f>
        <v>-15</v>
      </c>
      <c r="AH337" s="64">
        <f>(AH329-AG329)-AH246-AH339</f>
        <v>4</v>
      </c>
      <c r="AI337" s="64">
        <f>(AI329-AH329)-AI246-AI339</f>
        <v>-1</v>
      </c>
      <c r="AJ337" s="93">
        <f>(AJ329-AI329)-AJ246-AJ339</f>
        <v>180</v>
      </c>
      <c r="AK337" s="62">
        <f>(AK329-AF329)-AK246-AK339</f>
        <v>168.48999999999978</v>
      </c>
      <c r="AL337" s="64">
        <f>(AL329-AJ329)-AL246-AL339</f>
        <v>-197</v>
      </c>
      <c r="AM337" s="64">
        <f>(AM329-AL329)-AM246-AM339</f>
        <v>1</v>
      </c>
      <c r="AN337" s="64">
        <f>(AN329-AM329)-AN246-AN339</f>
        <v>-1</v>
      </c>
      <c r="AO337" s="93">
        <f>(AO329-AN329)-AO246-AO339</f>
        <v>-1</v>
      </c>
      <c r="AP337" s="62">
        <f>(AP329-AK329)-AP246-AP339</f>
        <v>-198</v>
      </c>
      <c r="AQ337" s="64">
        <f>(AQ329-AO329)-AQ246-AQ339</f>
        <v>-16</v>
      </c>
      <c r="AR337" s="64">
        <f>(AR329-AQ329)-AR246-AR339</f>
        <v>5</v>
      </c>
      <c r="AS337" s="64">
        <f>(AS329-AR329)-AS246-AS339</f>
        <v>1</v>
      </c>
      <c r="AT337" s="93">
        <f>(AT329-AS329)-AT246-AT339</f>
        <v>1</v>
      </c>
      <c r="AU337" s="62">
        <f>(AU329-AP329)-AU246-AU339</f>
        <v>-12</v>
      </c>
      <c r="AV337" s="64">
        <f>(AV329-AT329)-AV246-AV339</f>
        <v>-22</v>
      </c>
      <c r="AW337" s="64">
        <f>(AW329-AV329)-AW246-AW339</f>
        <v>2</v>
      </c>
      <c r="AX337" s="64">
        <f>(AX329-AW329)-AX246-AX339</f>
        <v>2</v>
      </c>
      <c r="AY337" s="93">
        <f>(AY329-AX329)-AY246-AY339</f>
        <v>3</v>
      </c>
      <c r="AZ337" s="62">
        <f>(AZ329-AU329)-AZ246-AZ339</f>
        <v>-15</v>
      </c>
      <c r="BA337" s="62">
        <f>(BA329-AV329)-BA246-BA339</f>
        <v>-620</v>
      </c>
      <c r="BB337" s="64">
        <f>(BB329-AZ329)-BB246-BB339</f>
        <v>-19</v>
      </c>
      <c r="BC337" s="64">
        <f>(BC329-BB329)-BC246-BC339</f>
        <v>0</v>
      </c>
      <c r="BD337" s="64">
        <f>(BD329-BC329)-BD246-BD339</f>
        <v>-4</v>
      </c>
      <c r="BE337" s="93">
        <f>(BE329-BD329)-BE246-BE339</f>
        <v>2</v>
      </c>
      <c r="BF337" s="62">
        <f>(BF329-AZ329)-BF246-BF339</f>
        <v>-21</v>
      </c>
      <c r="BG337" s="63"/>
      <c r="BH337" s="64"/>
      <c r="BI337" s="64"/>
      <c r="BJ337" s="64"/>
      <c r="BK337" s="62">
        <f>(BK329-BB329)-BK246-BK339</f>
        <v>-843</v>
      </c>
      <c r="BL337" s="64">
        <f>(BL329-BK329)-BL246-BL339</f>
        <v>-27</v>
      </c>
      <c r="BM337" s="64">
        <f>(BM329-BL329)-BM246-BM339</f>
        <v>1</v>
      </c>
      <c r="BN337" s="64">
        <f>(BN329-BM329)-BN246-BN339</f>
        <v>0</v>
      </c>
      <c r="BO337" s="44">
        <f>(BO329-BN329)-BO246-BO339</f>
        <v>1</v>
      </c>
      <c r="BP337" s="1094">
        <f>(BP329-BF329)-BP246-BP339</f>
        <v>-709</v>
      </c>
      <c r="BQ337" s="63">
        <f t="shared" ref="BQ337:BT337" si="851">(BQ329-BP329)-BQ246-BQ339</f>
        <v>-1.1368683772161603E-12</v>
      </c>
      <c r="BR337" s="64">
        <f t="shared" si="851"/>
        <v>-6.8212102632969618E-13</v>
      </c>
      <c r="BS337" s="64">
        <f t="shared" si="851"/>
        <v>1.9326762412674725E-12</v>
      </c>
      <c r="BT337" s="1163">
        <f t="shared" si="851"/>
        <v>0</v>
      </c>
      <c r="BU337" s="1094">
        <f>(BU329-BP329)-BU246-BU339</f>
        <v>0</v>
      </c>
      <c r="BV337" s="63"/>
      <c r="BW337" s="64"/>
      <c r="BX337" s="64"/>
      <c r="BY337" s="64"/>
      <c r="BZ337" s="62">
        <f>(BZ329-BU329)-BZ246-BZ339</f>
        <v>0</v>
      </c>
      <c r="CA337" s="63"/>
      <c r="CB337" s="64"/>
      <c r="CC337" s="64"/>
      <c r="CD337" s="64"/>
      <c r="CE337" s="62">
        <f>(CE329-BZ329)-CE246-CE339</f>
        <v>0</v>
      </c>
      <c r="CF337" s="63"/>
      <c r="CG337" s="64"/>
      <c r="CH337" s="64"/>
      <c r="CI337" s="64"/>
      <c r="CJ337" s="62">
        <f>(CJ329-CE329)-CJ246-CJ339</f>
        <v>0</v>
      </c>
      <c r="CK337" s="39"/>
      <c r="CL337" s="7"/>
      <c r="CM337" s="439"/>
      <c r="CN337" s="1274"/>
      <c r="CO337" s="439"/>
      <c r="CP337" s="439"/>
      <c r="CQ337" s="439"/>
      <c r="CR337" s="439"/>
      <c r="CS337" s="439"/>
      <c r="CT337" s="439"/>
      <c r="CU337" s="439"/>
      <c r="CV337" s="439"/>
      <c r="CW337" s="75"/>
      <c r="CX337" s="38"/>
      <c r="CY337" s="38"/>
      <c r="CZ337"/>
      <c r="DA337"/>
      <c r="DB337"/>
      <c r="DC337"/>
      <c r="DD337"/>
    </row>
    <row r="338" spans="1:108" ht="11.25" hidden="1" customHeight="1" outlineLevel="1">
      <c r="A338" s="54" t="s">
        <v>60</v>
      </c>
      <c r="B338" s="62">
        <f>B327-AO327+B330-AO330+B328-AO328</f>
        <v>3506</v>
      </c>
      <c r="C338" s="62">
        <f>C327-B327+C330-B330+C328-B328</f>
        <v>-23</v>
      </c>
      <c r="D338" s="62">
        <f>D327-C327+D330-C330+D328-C328</f>
        <v>-182</v>
      </c>
      <c r="E338" s="62">
        <f>E327-D327+E330-D330+E328-D328</f>
        <v>233</v>
      </c>
      <c r="F338" s="62">
        <f>F327-E327+F330-E330+F328-E328</f>
        <v>-158</v>
      </c>
      <c r="G338" s="62">
        <f>G327-F327+G330-F330+G328-F328</f>
        <v>273</v>
      </c>
      <c r="H338" s="80"/>
      <c r="I338" s="80">
        <f>I327-H327+I330-H330+I328-H328</f>
        <v>75</v>
      </c>
      <c r="J338" s="80">
        <f>J327-I327+J330-I330+J328-I328</f>
        <v>-255</v>
      </c>
      <c r="K338" s="64">
        <f>K327-J327+K330-J330+K328-J328</f>
        <v>100</v>
      </c>
      <c r="L338" s="62">
        <f>L327-G327+L330-G330+L328-G328</f>
        <v>-165</v>
      </c>
      <c r="M338" s="80">
        <f>M327-K327+M330-K330+M328-K328</f>
        <v>-469</v>
      </c>
      <c r="N338" s="80">
        <f>N327-M327+N330-M330+N328-M328</f>
        <v>-81</v>
      </c>
      <c r="O338" s="80">
        <f>O327-N327+O330-N330+O328-N328</f>
        <v>-414</v>
      </c>
      <c r="P338" s="64">
        <f>P327-O327+P330-O330+P328-O328</f>
        <v>-299</v>
      </c>
      <c r="Q338" s="62">
        <f>Q327-L327+Q330-L330+Q328-L328</f>
        <v>-1263</v>
      </c>
      <c r="R338" s="80">
        <f>R327-P327+R330-P330+R328-P328</f>
        <v>-53</v>
      </c>
      <c r="S338" s="80">
        <f>S327-R327+S330-R330+S328-R328</f>
        <v>33</v>
      </c>
      <c r="T338" s="80">
        <f>T327-S327+T330-S330+T328-S328</f>
        <v>68</v>
      </c>
      <c r="U338" s="64">
        <f>U327-T327+U330-T330+U328-T328</f>
        <v>10</v>
      </c>
      <c r="V338" s="62">
        <f>V327-Q327+V330-Q330+V328-Q328</f>
        <v>58</v>
      </c>
      <c r="W338" s="80">
        <f>W327-U327+W330-U330+W328-U328</f>
        <v>-16</v>
      </c>
      <c r="X338" s="80">
        <f>X327-W327+X330-W330+X328-W328</f>
        <v>-325</v>
      </c>
      <c r="Y338" s="80">
        <f>Y327-X327+Y330-X330+Y328-X328</f>
        <v>-129</v>
      </c>
      <c r="Z338" s="93">
        <f>Z327-Y327+Z330-Y330+Z328-Y328</f>
        <v>-391</v>
      </c>
      <c r="AA338" s="62">
        <f>AA327-V327+AA330-V330+AA328-V328</f>
        <v>-861</v>
      </c>
      <c r="AB338" s="80">
        <f>AB327-Z327+AB330-Z330+AB328-Z328</f>
        <v>-60</v>
      </c>
      <c r="AC338" s="80">
        <f>AC327-AB327+AC330-AB330+AC328-AB328</f>
        <v>-731</v>
      </c>
      <c r="AD338" s="80">
        <f>AD327-AC327+AD330-AC330+AD328-AC328</f>
        <v>-308</v>
      </c>
      <c r="AE338" s="93">
        <f>AE327-AD327+AE330-AD330+AE328-AD328</f>
        <v>50</v>
      </c>
      <c r="AF338" s="62">
        <f>AF327-AA327+AF330-AA330+AF328-AA328</f>
        <v>-1049</v>
      </c>
      <c r="AG338" s="80">
        <f>AG327-AE327+AG330-AE330+AG328-AE328</f>
        <v>42</v>
      </c>
      <c r="AH338" s="80">
        <f>AH327-AG327+AH330-AG330+AH328-AG328</f>
        <v>-456</v>
      </c>
      <c r="AI338" s="80">
        <f>AI327-AH327+AI330-AH330+AI328-AH328</f>
        <v>46</v>
      </c>
      <c r="AJ338" s="93">
        <f>AJ327-AI327+AJ330-AI330+AJ328-AI328</f>
        <v>46</v>
      </c>
      <c r="AK338" s="62">
        <f>AK327-AF327+AK330-AF330+AK328-AF328</f>
        <v>-322</v>
      </c>
      <c r="AL338" s="80">
        <f>AL327-AJ327+AL330-AJ330+AL328-AJ328</f>
        <v>-63</v>
      </c>
      <c r="AM338" s="80">
        <f>AM327-AL327+AM330-AL330+AM328-AL328</f>
        <v>-274</v>
      </c>
      <c r="AN338" s="80">
        <f>AN327-AM327+AN330-AM330+AN328-AM328</f>
        <v>175</v>
      </c>
      <c r="AO338" s="93">
        <f>AO327-AN327+AO330-AN330+AO328-AN328</f>
        <v>115</v>
      </c>
      <c r="AP338" s="62">
        <f>AP327-AK327+AP330-AK330+AP328-AK328</f>
        <v>-47</v>
      </c>
      <c r="AQ338" s="80">
        <f>AQ327-AO327+AQ330-AO330+AQ328-AO328</f>
        <v>-1174</v>
      </c>
      <c r="AR338" s="80">
        <f>AR327-AQ327+AR330-AQ330+AR328-AQ328</f>
        <v>-1003</v>
      </c>
      <c r="AS338" s="80">
        <f>AS327-AR327+AS330-AR330+AS328-AR328</f>
        <v>-365</v>
      </c>
      <c r="AT338" s="93">
        <f>AT327-AS327+AT330-AS330+AT328-AS328</f>
        <v>-82</v>
      </c>
      <c r="AU338" s="62">
        <f>AU327-AP327+AU330-AP330+AU328-AP328</f>
        <v>-2624</v>
      </c>
      <c r="AV338" s="80">
        <f>AV327-AT327+AV330-AT330+AV328-AT328</f>
        <v>-513</v>
      </c>
      <c r="AW338" s="80">
        <f>AW327-AV327+AW330-AV330+AW328-AV328</f>
        <v>-896</v>
      </c>
      <c r="AX338" s="80">
        <f>AX327-AW327+AX330-AW330+AX328-AW328</f>
        <v>-961</v>
      </c>
      <c r="AY338" s="93">
        <f>AY327-AX327+AY330-AX330+AY328-AX328</f>
        <v>-444</v>
      </c>
      <c r="AZ338" s="62">
        <f>AZ327-AU327+AZ330-AU330+AZ328-AU328</f>
        <v>-2814</v>
      </c>
      <c r="BA338" s="62">
        <f>BA327-AV327+BA330-AV330+BA328-AV328</f>
        <v>-2301</v>
      </c>
      <c r="BB338" s="80">
        <f>BB327-AZ327+BB330-AZ330+BB328-AZ328</f>
        <v>-984</v>
      </c>
      <c r="BC338" s="80">
        <f>BC327-BB327+BC330-BB330+BC328-BB328</f>
        <v>-89</v>
      </c>
      <c r="BD338" s="80">
        <f>BD327-BC327+BD330-BC330+BD328-BC328</f>
        <v>-200</v>
      </c>
      <c r="BE338" s="93">
        <f>BE327-BD327+BE330-BD330+BE328-BD328</f>
        <v>-402</v>
      </c>
      <c r="BF338" s="62">
        <f>BF327-AZ327+BF330-AZ330+BF328-AZ328</f>
        <v>-1675</v>
      </c>
      <c r="BG338" s="63"/>
      <c r="BH338" s="64"/>
      <c r="BI338" s="64"/>
      <c r="BJ338" s="64"/>
      <c r="BK338" s="62">
        <f>BK327-BF327+BK330-BF330+BK328-BF328</f>
        <v>0</v>
      </c>
      <c r="BL338" s="80">
        <f>BL327-BK327+BL330-BK330+BL328-BK328</f>
        <v>-349</v>
      </c>
      <c r="BM338" s="80">
        <f>BM327-BL327+BM330-BL330+BM328-BL328</f>
        <v>-468</v>
      </c>
      <c r="BN338" s="80">
        <f>BN327-BM327+BN330-BM330+BN328-BM328</f>
        <v>-171</v>
      </c>
      <c r="BO338" s="93">
        <f>BO327-BN327+BO330-BN330+BO328-BN328</f>
        <v>-346</v>
      </c>
      <c r="BP338" s="1094">
        <f>BP327-BF327+BP330-BF330+BP328-BF328</f>
        <v>-1334</v>
      </c>
      <c r="BQ338" s="63">
        <f t="shared" ref="BQ338:BT338" si="852">BQ327-BP327+BQ330-BP330+BQ328-BP328</f>
        <v>-20.840251979048389</v>
      </c>
      <c r="BR338" s="64">
        <f t="shared" si="852"/>
        <v>-21.257057018628984</v>
      </c>
      <c r="BS338" s="64">
        <f t="shared" si="852"/>
        <v>-21.682198159001473</v>
      </c>
      <c r="BT338" s="1163">
        <f t="shared" si="852"/>
        <v>-22.115842122180766</v>
      </c>
      <c r="BU338" s="1094">
        <f>BU327-BK327+BU330-BK330+BU328-BK328</f>
        <v>-1419.8953492788596</v>
      </c>
      <c r="BV338" s="63"/>
      <c r="BW338" s="64"/>
      <c r="BX338" s="64"/>
      <c r="BY338" s="64"/>
      <c r="BZ338" s="62">
        <f>BZ327-BU327+BZ330-BU330+BZ328-BU328</f>
        <v>-94.484884206744482</v>
      </c>
      <c r="CA338" s="63"/>
      <c r="CB338" s="64"/>
      <c r="CC338" s="64"/>
      <c r="CD338" s="64"/>
      <c r="CE338" s="62">
        <f>CE327-BZ327+CE330-BZ330+CE328-BZ328</f>
        <v>-103.93337262742034</v>
      </c>
      <c r="CF338" s="63"/>
      <c r="CG338" s="64"/>
      <c r="CH338" s="64"/>
      <c r="CI338" s="64"/>
      <c r="CJ338" s="62">
        <f>CJ327-CE327+CJ330-CE330+CJ328-CE328</f>
        <v>-1811.5067182095945</v>
      </c>
      <c r="CK338" s="32"/>
      <c r="CL338" s="14"/>
      <c r="CM338" s="248"/>
      <c r="CN338" s="249"/>
      <c r="CO338" s="248"/>
      <c r="CP338" s="248"/>
      <c r="CQ338" s="248"/>
      <c r="CR338" s="248"/>
      <c r="CS338" s="248"/>
      <c r="CT338" s="248"/>
      <c r="CU338" s="248"/>
      <c r="CV338" s="248"/>
      <c r="CW338" s="74"/>
      <c r="CX338" s="33"/>
      <c r="CY338" s="33"/>
    </row>
    <row r="339" spans="1:108" ht="11.25" hidden="1" customHeight="1" outlineLevel="1">
      <c r="A339" s="54" t="s">
        <v>71</v>
      </c>
      <c r="B339" s="62">
        <f t="shared" ref="B339:AP339" si="853">B285</f>
        <v>-219</v>
      </c>
      <c r="C339" s="62">
        <f t="shared" si="853"/>
        <v>-236</v>
      </c>
      <c r="D339" s="62">
        <f t="shared" si="853"/>
        <v>-249</v>
      </c>
      <c r="E339" s="62">
        <f t="shared" si="853"/>
        <v>-278</v>
      </c>
      <c r="F339" s="62">
        <f t="shared" si="853"/>
        <v>-314</v>
      </c>
      <c r="G339" s="62">
        <f t="shared" si="853"/>
        <v>-359</v>
      </c>
      <c r="H339" s="80">
        <f t="shared" si="853"/>
        <v>-93</v>
      </c>
      <c r="I339" s="80">
        <f t="shared" si="853"/>
        <v>-117</v>
      </c>
      <c r="J339" s="80">
        <f t="shared" si="853"/>
        <v>-118</v>
      </c>
      <c r="K339" s="64">
        <f t="shared" si="853"/>
        <v>-117</v>
      </c>
      <c r="L339" s="62">
        <f t="shared" si="853"/>
        <v>-445</v>
      </c>
      <c r="M339" s="80">
        <f t="shared" si="853"/>
        <v>-117</v>
      </c>
      <c r="N339" s="80">
        <f t="shared" si="853"/>
        <v>-140</v>
      </c>
      <c r="O339" s="80">
        <f t="shared" si="853"/>
        <v>-140</v>
      </c>
      <c r="P339" s="64">
        <f t="shared" si="853"/>
        <v>-136</v>
      </c>
      <c r="Q339" s="71">
        <f t="shared" si="853"/>
        <v>-533</v>
      </c>
      <c r="R339" s="80">
        <f t="shared" si="853"/>
        <v>-136</v>
      </c>
      <c r="S339" s="80">
        <f t="shared" si="853"/>
        <v>-147</v>
      </c>
      <c r="T339" s="80">
        <f t="shared" si="853"/>
        <v>-147</v>
      </c>
      <c r="U339" s="64">
        <f t="shared" si="853"/>
        <v>-147</v>
      </c>
      <c r="V339" s="71">
        <f t="shared" si="853"/>
        <v>-577</v>
      </c>
      <c r="W339" s="80">
        <f t="shared" si="853"/>
        <v>-147</v>
      </c>
      <c r="X339" s="80">
        <f t="shared" si="853"/>
        <v>-163</v>
      </c>
      <c r="Y339" s="80">
        <f t="shared" si="853"/>
        <v>-161</v>
      </c>
      <c r="Z339" s="93">
        <f t="shared" si="853"/>
        <v>-160</v>
      </c>
      <c r="AA339" s="71">
        <f t="shared" si="853"/>
        <v>-631</v>
      </c>
      <c r="AB339" s="80">
        <f t="shared" si="853"/>
        <v>-157</v>
      </c>
      <c r="AC339" s="80">
        <f t="shared" si="853"/>
        <v>-176</v>
      </c>
      <c r="AD339" s="80">
        <f t="shared" si="853"/>
        <v>-171</v>
      </c>
      <c r="AE339" s="93">
        <f t="shared" si="853"/>
        <v>-169</v>
      </c>
      <c r="AF339" s="71">
        <f t="shared" si="853"/>
        <v>-673</v>
      </c>
      <c r="AG339" s="80">
        <f t="shared" si="853"/>
        <v>-169</v>
      </c>
      <c r="AH339" s="80">
        <f t="shared" si="853"/>
        <v>-184</v>
      </c>
      <c r="AI339" s="80">
        <f t="shared" si="853"/>
        <v>-180</v>
      </c>
      <c r="AJ339" s="93">
        <f t="shared" si="853"/>
        <v>-360</v>
      </c>
      <c r="AK339" s="71">
        <f t="shared" si="853"/>
        <v>-893</v>
      </c>
      <c r="AL339" s="80">
        <f t="shared" si="853"/>
        <v>0</v>
      </c>
      <c r="AM339" s="80">
        <f t="shared" si="853"/>
        <v>-198</v>
      </c>
      <c r="AN339" s="80">
        <f t="shared" si="853"/>
        <v>-196</v>
      </c>
      <c r="AO339" s="93">
        <f t="shared" si="853"/>
        <v>-197</v>
      </c>
      <c r="AP339" s="71">
        <f t="shared" si="853"/>
        <v>-591</v>
      </c>
      <c r="AQ339" s="80">
        <f t="shared" ref="AQ339:AZ339" si="854">AQ285</f>
        <v>-198</v>
      </c>
      <c r="AR339" s="80">
        <f t="shared" si="854"/>
        <v>-213</v>
      </c>
      <c r="AS339" s="80">
        <f t="shared" si="854"/>
        <v>-207</v>
      </c>
      <c r="AT339" s="93">
        <f t="shared" si="854"/>
        <v>-204</v>
      </c>
      <c r="AU339" s="71">
        <f t="shared" si="854"/>
        <v>-822</v>
      </c>
      <c r="AV339" s="80">
        <f t="shared" si="854"/>
        <v>-206</v>
      </c>
      <c r="AW339" s="80">
        <f t="shared" si="854"/>
        <v>-226</v>
      </c>
      <c r="AX339" s="80">
        <f t="shared" si="854"/>
        <v>-223</v>
      </c>
      <c r="AY339" s="93">
        <f t="shared" si="854"/>
        <v>-218</v>
      </c>
      <c r="AZ339" s="71">
        <f t="shared" si="854"/>
        <v>-873</v>
      </c>
      <c r="BA339" s="71">
        <f t="shared" ref="BA339:BE339" si="855">BA285</f>
        <v>-873</v>
      </c>
      <c r="BB339" s="80">
        <f t="shared" si="855"/>
        <v>-215</v>
      </c>
      <c r="BC339" s="80">
        <f t="shared" si="855"/>
        <v>-232</v>
      </c>
      <c r="BD339" s="80">
        <f t="shared" si="855"/>
        <v>-231</v>
      </c>
      <c r="BE339" s="93">
        <f t="shared" si="855"/>
        <v>-233</v>
      </c>
      <c r="BF339" s="71">
        <f>BF285</f>
        <v>-911</v>
      </c>
      <c r="BG339" s="79"/>
      <c r="BH339" s="44"/>
      <c r="BI339" s="44"/>
      <c r="BJ339" s="44"/>
      <c r="BK339" s="71">
        <f t="shared" ref="BK339:BO339" si="856">BK285</f>
        <v>-873</v>
      </c>
      <c r="BL339" s="80">
        <f t="shared" si="856"/>
        <v>-230</v>
      </c>
      <c r="BM339" s="80">
        <f t="shared" si="856"/>
        <v>-253</v>
      </c>
      <c r="BN339" s="80">
        <f t="shared" si="856"/>
        <v>-252</v>
      </c>
      <c r="BO339" s="93">
        <f t="shared" si="856"/>
        <v>-251</v>
      </c>
      <c r="BP339" s="1063">
        <f>BP285</f>
        <v>-986</v>
      </c>
      <c r="BQ339" s="79">
        <f t="shared" ref="BQ339:BT339" si="857">BQ285</f>
        <v>-292.11839999999995</v>
      </c>
      <c r="BR339" s="44">
        <f t="shared" si="857"/>
        <v>-292.11839999999995</v>
      </c>
      <c r="BS339" s="44">
        <f t="shared" si="857"/>
        <v>-292.11839999999995</v>
      </c>
      <c r="BT339" s="1164">
        <f t="shared" si="857"/>
        <v>-292.11839999999995</v>
      </c>
      <c r="BU339" s="1063">
        <f>BU285</f>
        <v>-1168.4735999999998</v>
      </c>
      <c r="BV339" s="79"/>
      <c r="BW339" s="44"/>
      <c r="BX339" s="44"/>
      <c r="BY339" s="44"/>
      <c r="BZ339" s="71">
        <f>BZ285</f>
        <v>-1285.3209599999998</v>
      </c>
      <c r="CA339" s="79"/>
      <c r="CB339" s="44"/>
      <c r="CC339" s="44"/>
      <c r="CD339" s="44"/>
      <c r="CE339" s="71">
        <f>CE285</f>
        <v>-1413.8530559999999</v>
      </c>
      <c r="CF339" s="79"/>
      <c r="CG339" s="44"/>
      <c r="CH339" s="44"/>
      <c r="CI339" s="44"/>
      <c r="CJ339" s="71">
        <f>CJ285</f>
        <v>-1524.1335943679999</v>
      </c>
      <c r="CK339" s="32"/>
      <c r="CL339" s="14"/>
      <c r="CM339" s="248"/>
      <c r="CN339" s="249"/>
      <c r="CO339" s="248"/>
      <c r="CP339" s="248"/>
      <c r="CQ339" s="248"/>
      <c r="CR339" s="248"/>
      <c r="CS339" s="248"/>
      <c r="CT339" s="248"/>
      <c r="CU339" s="248"/>
      <c r="CV339" s="248"/>
      <c r="CW339" s="14"/>
      <c r="CX339" s="32"/>
      <c r="CY339" s="32"/>
    </row>
    <row r="340" spans="1:108" ht="11.25" hidden="1" customHeight="1" outlineLevel="1">
      <c r="A340" s="54" t="s">
        <v>86</v>
      </c>
      <c r="B340" s="58">
        <f t="shared" ref="B340:AG340" si="858">(B128-B213)</f>
        <v>10292</v>
      </c>
      <c r="C340" s="58">
        <f t="shared" si="858"/>
        <v>11827</v>
      </c>
      <c r="D340" s="58">
        <f t="shared" si="858"/>
        <v>14668</v>
      </c>
      <c r="E340" s="58">
        <f t="shared" si="858"/>
        <v>16936</v>
      </c>
      <c r="F340" s="58">
        <f t="shared" si="858"/>
        <v>18796</v>
      </c>
      <c r="G340" s="58">
        <f t="shared" si="858"/>
        <v>21438</v>
      </c>
      <c r="H340" s="69">
        <f t="shared" si="858"/>
        <v>5619</v>
      </c>
      <c r="I340" s="69">
        <f t="shared" si="858"/>
        <v>5831</v>
      </c>
      <c r="J340" s="69">
        <f t="shared" si="858"/>
        <v>6033</v>
      </c>
      <c r="K340" s="60">
        <f t="shared" si="858"/>
        <v>6644</v>
      </c>
      <c r="L340" s="58">
        <f t="shared" si="858"/>
        <v>24127</v>
      </c>
      <c r="M340" s="69">
        <f t="shared" si="858"/>
        <v>6144</v>
      </c>
      <c r="N340" s="69">
        <f t="shared" si="858"/>
        <v>6382</v>
      </c>
      <c r="O340" s="69">
        <f t="shared" si="858"/>
        <v>6207</v>
      </c>
      <c r="P340" s="60">
        <f t="shared" si="858"/>
        <v>6914</v>
      </c>
      <c r="Q340" s="58">
        <f t="shared" si="858"/>
        <v>25647</v>
      </c>
      <c r="R340" s="69">
        <f t="shared" si="858"/>
        <v>7359</v>
      </c>
      <c r="S340" s="69">
        <f t="shared" si="858"/>
        <v>7155</v>
      </c>
      <c r="T340" s="69">
        <f t="shared" si="858"/>
        <v>6845</v>
      </c>
      <c r="U340" s="60">
        <f t="shared" si="858"/>
        <v>6947</v>
      </c>
      <c r="V340" s="58">
        <f t="shared" si="858"/>
        <v>28306</v>
      </c>
      <c r="W340" s="69">
        <f t="shared" si="858"/>
        <v>6832</v>
      </c>
      <c r="X340" s="69">
        <f t="shared" si="858"/>
        <v>7119</v>
      </c>
      <c r="Y340" s="69">
        <f t="shared" si="858"/>
        <v>7045</v>
      </c>
      <c r="Z340" s="94">
        <f t="shared" si="858"/>
        <v>7525</v>
      </c>
      <c r="AA340" s="58">
        <f t="shared" si="858"/>
        <v>28521</v>
      </c>
      <c r="AB340" s="69">
        <f t="shared" si="858"/>
        <v>6869</v>
      </c>
      <c r="AC340" s="69">
        <f t="shared" si="858"/>
        <v>6930</v>
      </c>
      <c r="AD340" s="69">
        <f t="shared" si="858"/>
        <v>6855</v>
      </c>
      <c r="AE340" s="94">
        <f t="shared" si="858"/>
        <v>8197</v>
      </c>
      <c r="AF340" s="58">
        <f t="shared" si="858"/>
        <v>28851</v>
      </c>
      <c r="AG340" s="69">
        <f t="shared" si="858"/>
        <v>6719</v>
      </c>
      <c r="AH340" s="69">
        <f t="shared" ref="AH340:BA340" si="859">(AH128-AH213)</f>
        <v>6952</v>
      </c>
      <c r="AI340" s="69">
        <f t="shared" si="859"/>
        <v>7029</v>
      </c>
      <c r="AJ340" s="94">
        <f t="shared" si="859"/>
        <v>7242</v>
      </c>
      <c r="AK340" s="58">
        <f t="shared" si="859"/>
        <v>27942</v>
      </c>
      <c r="AL340" s="69">
        <f t="shared" si="859"/>
        <v>6557</v>
      </c>
      <c r="AM340" s="69">
        <f t="shared" si="859"/>
        <v>6951</v>
      </c>
      <c r="AN340" s="69">
        <f t="shared" si="859"/>
        <v>6839</v>
      </c>
      <c r="AO340" s="94">
        <f t="shared" si="859"/>
        <v>6894</v>
      </c>
      <c r="AP340" s="58">
        <f t="shared" si="859"/>
        <v>27241</v>
      </c>
      <c r="AQ340" s="69">
        <f t="shared" si="859"/>
        <v>6453</v>
      </c>
      <c r="AR340" s="69">
        <f t="shared" si="859"/>
        <v>6525</v>
      </c>
      <c r="AS340" s="69">
        <f t="shared" si="859"/>
        <v>6752</v>
      </c>
      <c r="AT340" s="94">
        <f t="shared" si="859"/>
        <v>7236</v>
      </c>
      <c r="AU340" s="58">
        <f t="shared" si="859"/>
        <v>26963</v>
      </c>
      <c r="AV340" s="69">
        <f t="shared" si="859"/>
        <v>6757</v>
      </c>
      <c r="AW340" s="69">
        <f t="shared" si="859"/>
        <v>6801</v>
      </c>
      <c r="AX340" s="69">
        <f t="shared" si="859"/>
        <v>6960</v>
      </c>
      <c r="AY340" s="94">
        <f t="shared" si="859"/>
        <v>6773</v>
      </c>
      <c r="AZ340" s="58">
        <f t="shared" si="859"/>
        <v>27291</v>
      </c>
      <c r="BA340" s="58">
        <f t="shared" si="859"/>
        <v>27486</v>
      </c>
      <c r="BB340" s="69">
        <f t="shared" ref="BB340:BE340" si="860">(BB128-BB213)</f>
        <v>6671</v>
      </c>
      <c r="BC340" s="69">
        <f t="shared" si="860"/>
        <v>6595</v>
      </c>
      <c r="BD340" s="69">
        <f t="shared" si="860"/>
        <v>6662</v>
      </c>
      <c r="BE340" s="94">
        <f t="shared" si="860"/>
        <v>7116</v>
      </c>
      <c r="BF340" s="58">
        <f>(BF128-BF213)</f>
        <v>27044</v>
      </c>
      <c r="BG340" s="59"/>
      <c r="BH340" s="60"/>
      <c r="BI340" s="60"/>
      <c r="BJ340" s="60"/>
      <c r="BK340" s="58">
        <f>(BK128-BK213)</f>
        <v>26827</v>
      </c>
      <c r="BL340" s="69">
        <f t="shared" ref="BL340:BO340" si="861">(BL128-BL213)</f>
        <v>6406</v>
      </c>
      <c r="BM340" s="69">
        <f t="shared" si="861"/>
        <v>6619</v>
      </c>
      <c r="BN340" s="69">
        <f t="shared" si="861"/>
        <v>6528</v>
      </c>
      <c r="BO340" s="94">
        <f t="shared" si="861"/>
        <v>7243</v>
      </c>
      <c r="BP340" s="1095">
        <f>(BP128-BP213)</f>
        <v>26796</v>
      </c>
      <c r="BQ340" s="59">
        <f t="shared" ref="BQ340:BT340" si="862">(BQ128-BQ213)</f>
        <v>6694.8675884016666</v>
      </c>
      <c r="BR340" s="60">
        <f t="shared" si="862"/>
        <v>8123.0147777866669</v>
      </c>
      <c r="BS340" s="60">
        <f t="shared" si="862"/>
        <v>8039.8584082566686</v>
      </c>
      <c r="BT340" s="1165">
        <f t="shared" si="862"/>
        <v>8797.2169581800008</v>
      </c>
      <c r="BU340" s="1095">
        <f>(BU128-BU213)</f>
        <v>31654.957732624996</v>
      </c>
      <c r="BV340" s="59"/>
      <c r="BW340" s="60"/>
      <c r="BX340" s="60"/>
      <c r="BY340" s="60"/>
      <c r="BZ340" s="58">
        <f>(BZ128-BZ213)</f>
        <v>34573.935971765</v>
      </c>
      <c r="CA340" s="59"/>
      <c r="CB340" s="60"/>
      <c r="CC340" s="60"/>
      <c r="CD340" s="60"/>
      <c r="CE340" s="58">
        <f>(CE128-CE213)</f>
        <v>36673.888677527633</v>
      </c>
      <c r="CF340" s="59"/>
      <c r="CG340" s="60"/>
      <c r="CH340" s="60"/>
      <c r="CI340" s="60"/>
      <c r="CJ340" s="58">
        <f>(CJ128-CJ213)</f>
        <v>38911.096877450655</v>
      </c>
      <c r="CK340" s="32"/>
      <c r="CL340" s="14"/>
      <c r="CM340" s="248"/>
      <c r="CN340" s="249"/>
      <c r="CO340" s="248"/>
      <c r="CP340" s="248"/>
      <c r="CQ340" s="248"/>
      <c r="CR340" s="248"/>
      <c r="CS340" s="248"/>
      <c r="CT340" s="248"/>
      <c r="CU340" s="248"/>
      <c r="CV340" s="248"/>
      <c r="CW340" s="74"/>
      <c r="CX340" s="33"/>
      <c r="CY340" s="33"/>
    </row>
    <row r="341" spans="1:108" ht="11.25" hidden="1" customHeight="1" outlineLevel="1">
      <c r="A341" s="54" t="s">
        <v>109</v>
      </c>
      <c r="B341" s="42">
        <v>9</v>
      </c>
      <c r="C341" s="42">
        <v>10</v>
      </c>
      <c r="D341" s="42">
        <v>11</v>
      </c>
      <c r="E341" s="42">
        <v>12</v>
      </c>
      <c r="F341" s="42">
        <v>13</v>
      </c>
      <c r="G341" s="42">
        <v>14</v>
      </c>
      <c r="H341" s="68">
        <v>0</v>
      </c>
      <c r="I341" s="68">
        <v>0</v>
      </c>
      <c r="J341" s="68">
        <v>0</v>
      </c>
      <c r="K341" s="47">
        <v>0</v>
      </c>
      <c r="L341" s="42">
        <v>15</v>
      </c>
      <c r="M341" s="68">
        <v>0</v>
      </c>
      <c r="N341" s="68">
        <v>0</v>
      </c>
      <c r="O341" s="68">
        <v>0</v>
      </c>
      <c r="P341" s="47">
        <v>0</v>
      </c>
      <c r="Q341" s="42">
        <v>16</v>
      </c>
      <c r="R341" s="68">
        <v>0</v>
      </c>
      <c r="S341" s="68">
        <v>0</v>
      </c>
      <c r="T341" s="68">
        <v>0</v>
      </c>
      <c r="U341" s="47">
        <v>0</v>
      </c>
      <c r="V341" s="42">
        <v>17</v>
      </c>
      <c r="W341" s="68">
        <v>0</v>
      </c>
      <c r="X341" s="68">
        <v>0</v>
      </c>
      <c r="Y341" s="68">
        <v>0</v>
      </c>
      <c r="Z341" s="95">
        <v>0</v>
      </c>
      <c r="AA341" s="42">
        <v>18</v>
      </c>
      <c r="AB341" s="68">
        <v>0</v>
      </c>
      <c r="AC341" s="68">
        <v>0</v>
      </c>
      <c r="AD341" s="68">
        <v>0</v>
      </c>
      <c r="AE341" s="95">
        <v>0</v>
      </c>
      <c r="AF341" s="42">
        <v>0</v>
      </c>
      <c r="AG341" s="68">
        <v>0</v>
      </c>
      <c r="AH341" s="68">
        <v>0</v>
      </c>
      <c r="AI341" s="68">
        <v>0</v>
      </c>
      <c r="AJ341" s="95">
        <v>0</v>
      </c>
      <c r="AK341" s="42">
        <v>0</v>
      </c>
      <c r="AL341" s="68">
        <v>0</v>
      </c>
      <c r="AM341" s="68">
        <v>0</v>
      </c>
      <c r="AN341" s="68">
        <v>0</v>
      </c>
      <c r="AO341" s="95">
        <v>0</v>
      </c>
      <c r="AP341" s="42">
        <v>0</v>
      </c>
      <c r="AQ341" s="68">
        <v>0</v>
      </c>
      <c r="AR341" s="68">
        <v>0</v>
      </c>
      <c r="AS341" s="68">
        <v>0</v>
      </c>
      <c r="AT341" s="95">
        <v>0</v>
      </c>
      <c r="AU341" s="42">
        <v>0</v>
      </c>
      <c r="AV341" s="46"/>
      <c r="AW341" s="47"/>
      <c r="AX341" s="47"/>
      <c r="AY341" s="47"/>
      <c r="AZ341" s="42">
        <v>0</v>
      </c>
      <c r="BA341" s="42">
        <v>0</v>
      </c>
      <c r="BB341" s="68">
        <v>0</v>
      </c>
      <c r="BC341" s="68">
        <v>0</v>
      </c>
      <c r="BD341" s="68">
        <v>0</v>
      </c>
      <c r="BE341" s="95">
        <v>0</v>
      </c>
      <c r="BF341" s="42">
        <v>0</v>
      </c>
      <c r="BG341" s="46"/>
      <c r="BH341" s="47"/>
      <c r="BI341" s="47"/>
      <c r="BJ341" s="47"/>
      <c r="BK341" s="42">
        <v>0</v>
      </c>
      <c r="BL341" s="68">
        <v>0</v>
      </c>
      <c r="BM341" s="68">
        <v>0</v>
      </c>
      <c r="BN341" s="68">
        <v>0</v>
      </c>
      <c r="BO341" s="95">
        <v>0</v>
      </c>
      <c r="BP341" s="1096">
        <v>0</v>
      </c>
      <c r="BQ341" s="46">
        <v>0</v>
      </c>
      <c r="BR341" s="47">
        <v>0</v>
      </c>
      <c r="BS341" s="47">
        <v>0</v>
      </c>
      <c r="BT341" s="1166">
        <v>0</v>
      </c>
      <c r="BU341" s="42">
        <v>0</v>
      </c>
      <c r="BV341" s="46"/>
      <c r="BW341" s="47"/>
      <c r="BX341" s="47"/>
      <c r="BY341" s="47"/>
      <c r="BZ341" s="42">
        <v>0</v>
      </c>
      <c r="CA341" s="46"/>
      <c r="CB341" s="47"/>
      <c r="CC341" s="47"/>
      <c r="CD341" s="47"/>
      <c r="CE341" s="42">
        <v>0</v>
      </c>
      <c r="CF341" s="46"/>
      <c r="CG341" s="47"/>
      <c r="CH341" s="47"/>
      <c r="CI341" s="47"/>
      <c r="CJ341" s="42">
        <v>0</v>
      </c>
      <c r="CK341" s="32"/>
      <c r="CL341" s="14"/>
      <c r="CM341" s="248"/>
      <c r="CN341" s="249"/>
      <c r="CO341" s="248"/>
      <c r="CP341" s="248"/>
      <c r="CQ341" s="248"/>
      <c r="CR341" s="248"/>
      <c r="CS341" s="248"/>
      <c r="CT341" s="248"/>
      <c r="CU341" s="248"/>
      <c r="CV341" s="248"/>
      <c r="CW341" s="74"/>
      <c r="CX341" s="33"/>
      <c r="CY341" s="33"/>
    </row>
    <row r="342" spans="1:108" ht="11.25" hidden="1" customHeight="1" outlineLevel="1">
      <c r="A342" s="54"/>
      <c r="B342" s="55"/>
      <c r="C342" s="55"/>
      <c r="D342" s="55"/>
      <c r="E342" s="55"/>
      <c r="F342" s="55"/>
      <c r="G342" s="55"/>
      <c r="H342" s="54"/>
      <c r="I342" s="54"/>
      <c r="J342" s="54"/>
      <c r="K342" s="41"/>
      <c r="L342" s="55"/>
      <c r="M342" s="54"/>
      <c r="N342" s="54"/>
      <c r="O342" s="54"/>
      <c r="P342" s="41"/>
      <c r="Q342" s="55"/>
      <c r="R342" s="54"/>
      <c r="S342" s="54"/>
      <c r="T342" s="54"/>
      <c r="U342" s="41"/>
      <c r="V342" s="55"/>
      <c r="W342" s="54"/>
      <c r="X342" s="54"/>
      <c r="Y342" s="54"/>
      <c r="Z342" s="38"/>
      <c r="AA342" s="55"/>
      <c r="AB342" s="54"/>
      <c r="AC342" s="54"/>
      <c r="AD342" s="54"/>
      <c r="AE342" s="38"/>
      <c r="AF342" s="55"/>
      <c r="AG342" s="54"/>
      <c r="AH342" s="54"/>
      <c r="AI342" s="54"/>
      <c r="AJ342" s="38"/>
      <c r="AK342" s="55"/>
      <c r="AL342" s="54"/>
      <c r="AM342" s="54"/>
      <c r="AN342" s="54"/>
      <c r="AO342" s="38"/>
      <c r="AP342" s="55"/>
      <c r="AQ342" s="56"/>
      <c r="AR342" s="41"/>
      <c r="AS342" s="41"/>
      <c r="AT342" s="41"/>
      <c r="AU342" s="55"/>
      <c r="AV342" s="56"/>
      <c r="AW342" s="41"/>
      <c r="AX342" s="41"/>
      <c r="AY342" s="41"/>
      <c r="AZ342" s="55"/>
      <c r="BA342" s="55"/>
      <c r="BB342" s="56"/>
      <c r="BC342" s="41"/>
      <c r="BD342" s="41"/>
      <c r="BE342" s="41"/>
      <c r="BF342" s="55"/>
      <c r="BG342" s="56"/>
      <c r="BH342" s="41"/>
      <c r="BI342" s="41"/>
      <c r="BJ342" s="41"/>
      <c r="BK342" s="55"/>
      <c r="BL342" s="56"/>
      <c r="BM342" s="41"/>
      <c r="BN342" s="41"/>
      <c r="BO342" s="41"/>
      <c r="BP342" s="1097"/>
      <c r="BQ342" s="56"/>
      <c r="BR342" s="41"/>
      <c r="BS342" s="41"/>
      <c r="BT342" s="1167"/>
      <c r="BU342" s="55"/>
      <c r="BV342" s="56"/>
      <c r="BW342" s="41"/>
      <c r="BX342" s="41"/>
      <c r="BY342" s="41"/>
      <c r="BZ342" s="55"/>
      <c r="CA342" s="56"/>
      <c r="CB342" s="41"/>
      <c r="CC342" s="41"/>
      <c r="CD342" s="41"/>
      <c r="CE342" s="55"/>
      <c r="CF342" s="56"/>
      <c r="CG342" s="41"/>
      <c r="CH342" s="41"/>
      <c r="CI342" s="41"/>
      <c r="CJ342" s="55"/>
      <c r="CK342" s="33"/>
      <c r="CL342" s="74"/>
      <c r="CM342" s="248"/>
      <c r="CN342" s="249"/>
      <c r="CO342" s="248"/>
      <c r="CP342" s="248"/>
      <c r="CQ342" s="248"/>
      <c r="CR342" s="248"/>
      <c r="CS342" s="248"/>
      <c r="CT342" s="248"/>
      <c r="CU342" s="248"/>
      <c r="CV342" s="248"/>
      <c r="CW342" s="74"/>
      <c r="CX342" s="33"/>
      <c r="CY342" s="33"/>
    </row>
    <row r="343" spans="1:108" customFormat="1" collapsed="1"/>
    <row r="344" spans="1:108">
      <c r="A344" s="33"/>
      <c r="B344" s="97"/>
      <c r="C344" s="97"/>
      <c r="D344" s="97"/>
      <c r="E344" s="97"/>
      <c r="F344" s="97"/>
      <c r="G344" s="97"/>
      <c r="H344" s="33"/>
      <c r="I344" s="33"/>
      <c r="J344" s="33"/>
      <c r="K344" s="38"/>
      <c r="L344" s="97"/>
      <c r="M344" s="33"/>
      <c r="N344" s="33"/>
      <c r="O344" s="33"/>
      <c r="P344" s="38"/>
      <c r="Q344" s="97"/>
      <c r="R344" s="33"/>
      <c r="S344" s="33"/>
      <c r="T344" s="98"/>
      <c r="U344" s="99"/>
      <c r="V344" s="97"/>
      <c r="W344" s="33"/>
      <c r="X344" s="33"/>
      <c r="Y344" s="98"/>
      <c r="Z344" s="99"/>
      <c r="AA344" s="97"/>
      <c r="AB344" s="33"/>
      <c r="AC344" s="33"/>
      <c r="AD344" s="98"/>
      <c r="AE344" s="99"/>
      <c r="AF344" s="97"/>
      <c r="AG344" s="33"/>
      <c r="AH344" s="33"/>
      <c r="AI344" s="98"/>
      <c r="AJ344" s="99"/>
      <c r="AK344" s="97"/>
      <c r="AL344" s="33"/>
      <c r="AM344" s="33"/>
      <c r="AN344" s="98"/>
      <c r="AO344" s="99"/>
      <c r="AP344" s="97"/>
      <c r="AQ344" s="100"/>
      <c r="AR344" s="38"/>
      <c r="AS344" s="38"/>
      <c r="AT344" s="38"/>
      <c r="AU344" s="97"/>
      <c r="AV344" s="100"/>
      <c r="AW344" s="38"/>
      <c r="AX344" s="38"/>
      <c r="AY344" s="38"/>
      <c r="AZ344" s="97"/>
      <c r="BA344" s="97"/>
      <c r="BB344" s="100"/>
      <c r="BC344" s="38"/>
      <c r="BD344" s="38"/>
      <c r="BE344" s="38"/>
      <c r="BF344" s="97"/>
      <c r="BG344" s="100"/>
      <c r="BH344" s="38"/>
      <c r="BI344" s="38"/>
      <c r="BJ344" s="38"/>
      <c r="BK344" s="97"/>
      <c r="BL344" s="100"/>
      <c r="BM344" s="38"/>
      <c r="BN344" s="38"/>
      <c r="BO344" s="38"/>
      <c r="BP344" s="1098"/>
      <c r="BQ344" s="100"/>
      <c r="BR344" s="38"/>
      <c r="BS344" s="38"/>
      <c r="BT344" s="1168"/>
      <c r="BU344" s="97"/>
      <c r="BV344" s="100"/>
      <c r="BW344" s="38"/>
      <c r="BX344" s="38"/>
      <c r="BY344" s="38"/>
      <c r="BZ344" s="97"/>
      <c r="CA344" s="100"/>
      <c r="CB344" s="38"/>
      <c r="CC344" s="38"/>
      <c r="CD344" s="38"/>
      <c r="CE344" s="97"/>
      <c r="CF344" s="100"/>
      <c r="CG344" s="38"/>
      <c r="CH344" s="38"/>
      <c r="CI344" s="38"/>
      <c r="CJ344" s="97"/>
      <c r="CK344" s="33"/>
      <c r="CL344" s="74"/>
      <c r="CM344" s="248"/>
      <c r="CN344" s="249"/>
      <c r="CO344" s="248"/>
      <c r="CP344" s="248"/>
      <c r="CQ344" s="248"/>
      <c r="CR344" s="248"/>
      <c r="CS344" s="248"/>
      <c r="CT344" s="248"/>
      <c r="CU344" s="248"/>
      <c r="CV344" s="248"/>
      <c r="CW344" s="74"/>
      <c r="CX344" s="33"/>
      <c r="CY344" s="33"/>
    </row>
    <row r="345" spans="1:108">
      <c r="A345" s="33"/>
      <c r="B345" s="97"/>
      <c r="C345" s="97"/>
      <c r="D345" s="97"/>
      <c r="E345" s="97"/>
      <c r="F345" s="97"/>
      <c r="G345" s="97"/>
      <c r="H345" s="33"/>
      <c r="I345" s="33"/>
      <c r="J345" s="33"/>
      <c r="K345" s="38"/>
      <c r="L345" s="97"/>
      <c r="M345" s="33"/>
      <c r="N345" s="33"/>
      <c r="O345" s="33"/>
      <c r="P345" s="38"/>
      <c r="Q345" s="97"/>
      <c r="R345" s="33"/>
      <c r="S345" s="33"/>
      <c r="T345" s="98"/>
      <c r="U345" s="99"/>
      <c r="V345" s="97"/>
      <c r="W345" s="33"/>
      <c r="X345" s="33"/>
      <c r="Y345" s="98"/>
      <c r="Z345" s="99"/>
      <c r="AA345" s="97"/>
      <c r="AB345" s="33"/>
      <c r="AC345" s="33"/>
      <c r="AD345" s="98"/>
      <c r="AE345" s="99"/>
      <c r="AF345" s="97"/>
      <c r="AG345" s="33"/>
      <c r="AH345" s="33"/>
      <c r="AI345" s="98"/>
      <c r="AJ345" s="99"/>
      <c r="AK345" s="97"/>
      <c r="AL345" s="33"/>
      <c r="AM345" s="33"/>
      <c r="AN345" s="98"/>
      <c r="AO345" s="99"/>
      <c r="AP345" s="97"/>
      <c r="AQ345" s="100"/>
      <c r="AR345" s="38"/>
      <c r="AS345" s="38"/>
      <c r="AT345" s="38"/>
      <c r="AU345" s="97"/>
      <c r="AV345" s="100"/>
      <c r="AW345" s="38"/>
      <c r="AX345" s="38"/>
      <c r="AY345" s="38"/>
      <c r="AZ345" s="97"/>
      <c r="BA345" s="97"/>
      <c r="BB345" s="100"/>
      <c r="BC345" s="38"/>
      <c r="BD345" s="38"/>
      <c r="BE345" s="38"/>
      <c r="BF345" s="97"/>
      <c r="BG345" s="100"/>
      <c r="BH345" s="38"/>
      <c r="BI345" s="38"/>
      <c r="BJ345" s="38"/>
      <c r="BK345" s="97"/>
      <c r="BL345" s="100"/>
      <c r="BM345" s="38"/>
      <c r="BN345" s="38"/>
      <c r="BO345" s="38"/>
      <c r="BP345" s="1098"/>
      <c r="BQ345" s="100"/>
      <c r="BR345" s="38"/>
      <c r="BS345" s="38"/>
      <c r="BT345" s="1168"/>
      <c r="BU345" s="97"/>
      <c r="BV345" s="100"/>
      <c r="BW345" s="38"/>
      <c r="BX345" s="38"/>
      <c r="BY345" s="38"/>
      <c r="BZ345" s="97"/>
      <c r="CA345" s="100"/>
      <c r="CB345" s="38"/>
      <c r="CC345" s="38"/>
      <c r="CD345" s="38"/>
      <c r="CE345" s="97"/>
      <c r="CF345" s="100"/>
      <c r="CG345" s="38"/>
      <c r="CH345" s="38"/>
      <c r="CI345" s="38"/>
      <c r="CJ345" s="97"/>
      <c r="CK345" s="33"/>
      <c r="CL345" s="74"/>
      <c r="CM345" s="248"/>
      <c r="CN345" s="249"/>
      <c r="CO345" s="248"/>
      <c r="CP345" s="248"/>
      <c r="CQ345" s="248"/>
      <c r="CR345" s="248"/>
      <c r="CS345" s="248"/>
      <c r="CT345" s="248"/>
      <c r="CU345" s="248"/>
      <c r="CV345" s="248"/>
      <c r="CW345" s="74"/>
      <c r="CX345" s="33"/>
      <c r="CY345" s="33"/>
    </row>
    <row r="346" spans="1:108">
      <c r="BO346" s="1025"/>
      <c r="BP346" s="1099"/>
      <c r="BT346" s="1025"/>
      <c r="CF346" s="1099"/>
      <c r="CI346" s="1296"/>
      <c r="CM346" s="440"/>
      <c r="CN346" s="442"/>
      <c r="CO346" s="440"/>
      <c r="CP346" s="440"/>
      <c r="CQ346" s="440"/>
      <c r="CR346" s="440"/>
      <c r="CS346" s="440"/>
      <c r="CT346" s="440"/>
      <c r="CU346" s="440"/>
      <c r="CV346" s="440"/>
    </row>
    <row r="347" spans="1:108">
      <c r="A347" s="966" t="str">
        <f>A282</f>
        <v>Purchases of common stock</v>
      </c>
      <c r="G347" s="180">
        <f>-G282</f>
        <v>85</v>
      </c>
      <c r="H347" s="180">
        <f t="shared" ref="H347:BS347" si="863">-H282</f>
        <v>153</v>
      </c>
      <c r="I347" s="180">
        <f t="shared" si="863"/>
        <v>0</v>
      </c>
      <c r="J347" s="180">
        <f t="shared" si="863"/>
        <v>313</v>
      </c>
      <c r="K347" s="180">
        <f t="shared" si="863"/>
        <v>39</v>
      </c>
      <c r="L347" s="180">
        <f t="shared" si="863"/>
        <v>505</v>
      </c>
      <c r="M347" s="180">
        <f t="shared" si="863"/>
        <v>519</v>
      </c>
      <c r="N347" s="180">
        <f t="shared" si="863"/>
        <v>141</v>
      </c>
      <c r="O347" s="180">
        <f t="shared" si="863"/>
        <v>387</v>
      </c>
      <c r="P347" s="180">
        <f t="shared" si="863"/>
        <v>475</v>
      </c>
      <c r="Q347" s="180">
        <f t="shared" si="863"/>
        <v>1522</v>
      </c>
      <c r="R347" s="180">
        <f t="shared" si="863"/>
        <v>109</v>
      </c>
      <c r="S347" s="180">
        <f t="shared" si="863"/>
        <v>0</v>
      </c>
      <c r="T347" s="180">
        <f t="shared" si="863"/>
        <v>0</v>
      </c>
      <c r="U347" s="180">
        <f t="shared" si="863"/>
        <v>100</v>
      </c>
      <c r="V347" s="180">
        <f t="shared" si="863"/>
        <v>209</v>
      </c>
      <c r="W347" s="180">
        <f t="shared" si="863"/>
        <v>200</v>
      </c>
      <c r="X347" s="180">
        <f t="shared" si="863"/>
        <v>311</v>
      </c>
      <c r="Y347" s="180">
        <f t="shared" si="863"/>
        <v>215</v>
      </c>
      <c r="Z347" s="180">
        <f t="shared" si="863"/>
        <v>459</v>
      </c>
      <c r="AA347" s="180">
        <f t="shared" si="863"/>
        <v>1185</v>
      </c>
      <c r="AB347" s="180">
        <f t="shared" si="863"/>
        <v>314</v>
      </c>
      <c r="AC347" s="180">
        <f t="shared" si="863"/>
        <v>807</v>
      </c>
      <c r="AD347" s="180">
        <f t="shared" si="863"/>
        <v>328</v>
      </c>
      <c r="AE347" s="180">
        <f t="shared" si="863"/>
        <v>19</v>
      </c>
      <c r="AF347" s="180">
        <f t="shared" si="863"/>
        <v>1468</v>
      </c>
      <c r="AG347" s="180">
        <f t="shared" si="863"/>
        <v>76</v>
      </c>
      <c r="AH347" s="180">
        <f t="shared" si="863"/>
        <v>516</v>
      </c>
      <c r="AI347" s="180">
        <f t="shared" si="863"/>
        <v>10</v>
      </c>
      <c r="AJ347" s="180">
        <f t="shared" si="863"/>
        <v>0</v>
      </c>
      <c r="AK347" s="180">
        <f t="shared" si="863"/>
        <v>602</v>
      </c>
      <c r="AL347" s="180">
        <f t="shared" si="863"/>
        <v>0</v>
      </c>
      <c r="AM347" s="180">
        <f t="shared" si="863"/>
        <v>485</v>
      </c>
      <c r="AN347" s="180">
        <f t="shared" si="863"/>
        <v>211</v>
      </c>
      <c r="AO347" s="180">
        <f t="shared" si="863"/>
        <v>44</v>
      </c>
      <c r="AP347" s="180">
        <f t="shared" si="863"/>
        <v>740</v>
      </c>
      <c r="AQ347" s="180">
        <f t="shared" si="863"/>
        <v>1430</v>
      </c>
      <c r="AR347" s="180">
        <f t="shared" si="863"/>
        <v>1261</v>
      </c>
      <c r="AS347" s="180">
        <f t="shared" si="863"/>
        <v>426</v>
      </c>
      <c r="AT347" s="180">
        <f t="shared" si="863"/>
        <v>265</v>
      </c>
      <c r="AU347" s="180">
        <f t="shared" si="863"/>
        <v>3382</v>
      </c>
      <c r="AV347" s="180">
        <f t="shared" si="863"/>
        <v>620</v>
      </c>
      <c r="AW347" s="180">
        <f t="shared" si="863"/>
        <v>945</v>
      </c>
      <c r="AX347" s="180">
        <f t="shared" si="863"/>
        <v>1164</v>
      </c>
      <c r="AY347" s="180">
        <f t="shared" si="863"/>
        <v>504</v>
      </c>
      <c r="AZ347" s="180">
        <f t="shared" si="863"/>
        <v>3233</v>
      </c>
      <c r="BA347" s="180">
        <f t="shared" si="863"/>
        <v>3233</v>
      </c>
      <c r="BB347" s="180">
        <f t="shared" si="863"/>
        <v>1026</v>
      </c>
      <c r="BC347" s="180">
        <f t="shared" si="863"/>
        <v>163</v>
      </c>
      <c r="BD347" s="180">
        <f t="shared" si="863"/>
        <v>325</v>
      </c>
      <c r="BE347" s="180">
        <f t="shared" si="863"/>
        <v>482</v>
      </c>
      <c r="BF347" s="180">
        <f t="shared" si="863"/>
        <v>1996</v>
      </c>
      <c r="BG347" s="180">
        <f t="shared" si="863"/>
        <v>1026</v>
      </c>
      <c r="BH347" s="180">
        <f t="shared" si="863"/>
        <v>163</v>
      </c>
      <c r="BI347" s="180">
        <f t="shared" si="863"/>
        <v>0</v>
      </c>
      <c r="BJ347" s="180">
        <f t="shared" si="863"/>
        <v>0</v>
      </c>
      <c r="BK347" s="180">
        <f t="shared" si="863"/>
        <v>3233</v>
      </c>
      <c r="BL347" s="182">
        <f t="shared" si="863"/>
        <v>354</v>
      </c>
      <c r="BM347" s="183">
        <f t="shared" si="863"/>
        <v>547</v>
      </c>
      <c r="BN347" s="183">
        <f t="shared" si="863"/>
        <v>271</v>
      </c>
      <c r="BO347" s="668">
        <f t="shared" si="863"/>
        <v>386</v>
      </c>
      <c r="BP347" s="1057">
        <f t="shared" si="863"/>
        <v>1558</v>
      </c>
      <c r="BQ347" s="182">
        <f t="shared" si="863"/>
        <v>104.20125989523814</v>
      </c>
      <c r="BR347" s="183">
        <f t="shared" si="863"/>
        <v>106.2852850931429</v>
      </c>
      <c r="BS347" s="183">
        <f t="shared" si="863"/>
        <v>108.41099079500576</v>
      </c>
      <c r="BT347" s="668">
        <f t="shared" ref="BT347:CJ347" si="864">-BT282</f>
        <v>110.57921061090588</v>
      </c>
      <c r="BU347" s="180">
        <f t="shared" si="864"/>
        <v>429.47674639429266</v>
      </c>
      <c r="BV347" s="1057">
        <f t="shared" si="864"/>
        <v>0</v>
      </c>
      <c r="BW347" s="183">
        <f t="shared" si="864"/>
        <v>0</v>
      </c>
      <c r="BX347" s="183">
        <f t="shared" si="864"/>
        <v>0</v>
      </c>
      <c r="BY347" s="1294">
        <f t="shared" si="864"/>
        <v>0</v>
      </c>
      <c r="BZ347" s="180">
        <f t="shared" si="864"/>
        <v>472.42442103372196</v>
      </c>
      <c r="CA347" s="1057">
        <f t="shared" si="864"/>
        <v>0</v>
      </c>
      <c r="CB347" s="183">
        <f t="shared" si="864"/>
        <v>0</v>
      </c>
      <c r="CC347" s="183">
        <f t="shared" si="864"/>
        <v>0</v>
      </c>
      <c r="CD347" s="1294">
        <f t="shared" si="864"/>
        <v>0</v>
      </c>
      <c r="CE347" s="180">
        <f t="shared" si="864"/>
        <v>519.6668631370942</v>
      </c>
      <c r="CF347" s="1057">
        <f t="shared" si="864"/>
        <v>0</v>
      </c>
      <c r="CG347" s="183">
        <f t="shared" si="864"/>
        <v>0</v>
      </c>
      <c r="CH347" s="183">
        <f t="shared" si="864"/>
        <v>0</v>
      </c>
      <c r="CI347" s="1294">
        <f t="shared" si="864"/>
        <v>0</v>
      </c>
      <c r="CJ347" s="180">
        <f t="shared" si="864"/>
        <v>2268.8135577702365</v>
      </c>
      <c r="CM347" s="440"/>
      <c r="CN347" s="442"/>
      <c r="CO347" s="440"/>
      <c r="CP347" s="440"/>
      <c r="CQ347" s="440"/>
      <c r="CR347" s="440"/>
      <c r="CS347" s="440"/>
      <c r="CT347" s="440"/>
      <c r="CU347" s="440"/>
      <c r="CV347" s="440"/>
    </row>
    <row r="348" spans="1:108">
      <c r="A348" s="966" t="str">
        <f>A285</f>
        <v>Dividends paid</v>
      </c>
      <c r="G348" s="180">
        <f>-G285</f>
        <v>359</v>
      </c>
      <c r="H348" s="180">
        <f t="shared" ref="H348:BS348" si="865">-H285</f>
        <v>93</v>
      </c>
      <c r="I348" s="180">
        <f t="shared" si="865"/>
        <v>117</v>
      </c>
      <c r="J348" s="180">
        <f t="shared" si="865"/>
        <v>118</v>
      </c>
      <c r="K348" s="180">
        <f t="shared" si="865"/>
        <v>117</v>
      </c>
      <c r="L348" s="180">
        <f t="shared" si="865"/>
        <v>445</v>
      </c>
      <c r="M348" s="180">
        <f t="shared" si="865"/>
        <v>117</v>
      </c>
      <c r="N348" s="180">
        <f t="shared" si="865"/>
        <v>140</v>
      </c>
      <c r="O348" s="180">
        <f t="shared" si="865"/>
        <v>140</v>
      </c>
      <c r="P348" s="180">
        <f t="shared" si="865"/>
        <v>136</v>
      </c>
      <c r="Q348" s="180">
        <f t="shared" si="865"/>
        <v>533</v>
      </c>
      <c r="R348" s="180">
        <f t="shared" si="865"/>
        <v>136</v>
      </c>
      <c r="S348" s="180">
        <f t="shared" si="865"/>
        <v>147</v>
      </c>
      <c r="T348" s="180">
        <f t="shared" si="865"/>
        <v>147</v>
      </c>
      <c r="U348" s="180">
        <f t="shared" si="865"/>
        <v>147</v>
      </c>
      <c r="V348" s="180">
        <f t="shared" si="865"/>
        <v>577</v>
      </c>
      <c r="W348" s="180">
        <f t="shared" si="865"/>
        <v>147</v>
      </c>
      <c r="X348" s="180">
        <f t="shared" si="865"/>
        <v>163</v>
      </c>
      <c r="Y348" s="180">
        <f t="shared" si="865"/>
        <v>161</v>
      </c>
      <c r="Z348" s="180">
        <f t="shared" si="865"/>
        <v>160</v>
      </c>
      <c r="AA348" s="180">
        <f t="shared" si="865"/>
        <v>631</v>
      </c>
      <c r="AB348" s="180">
        <f t="shared" si="865"/>
        <v>157</v>
      </c>
      <c r="AC348" s="180">
        <f t="shared" si="865"/>
        <v>176</v>
      </c>
      <c r="AD348" s="180">
        <f t="shared" si="865"/>
        <v>171</v>
      </c>
      <c r="AE348" s="180">
        <f t="shared" si="865"/>
        <v>169</v>
      </c>
      <c r="AF348" s="180">
        <f t="shared" si="865"/>
        <v>673</v>
      </c>
      <c r="AG348" s="180">
        <f t="shared" si="865"/>
        <v>169</v>
      </c>
      <c r="AH348" s="180">
        <f t="shared" si="865"/>
        <v>184</v>
      </c>
      <c r="AI348" s="180">
        <f t="shared" si="865"/>
        <v>180</v>
      </c>
      <c r="AJ348" s="180">
        <f t="shared" si="865"/>
        <v>360</v>
      </c>
      <c r="AK348" s="180">
        <f t="shared" si="865"/>
        <v>893</v>
      </c>
      <c r="AL348" s="180">
        <f t="shared" si="865"/>
        <v>0</v>
      </c>
      <c r="AM348" s="180">
        <f t="shared" si="865"/>
        <v>198</v>
      </c>
      <c r="AN348" s="180">
        <f t="shared" si="865"/>
        <v>196</v>
      </c>
      <c r="AO348" s="180">
        <f t="shared" si="865"/>
        <v>197</v>
      </c>
      <c r="AP348" s="180">
        <f t="shared" si="865"/>
        <v>591</v>
      </c>
      <c r="AQ348" s="180">
        <f t="shared" si="865"/>
        <v>198</v>
      </c>
      <c r="AR348" s="180">
        <f t="shared" si="865"/>
        <v>213</v>
      </c>
      <c r="AS348" s="180">
        <f t="shared" si="865"/>
        <v>207</v>
      </c>
      <c r="AT348" s="180">
        <f t="shared" si="865"/>
        <v>204</v>
      </c>
      <c r="AU348" s="180">
        <f t="shared" si="865"/>
        <v>822</v>
      </c>
      <c r="AV348" s="180">
        <f t="shared" si="865"/>
        <v>206</v>
      </c>
      <c r="AW348" s="180">
        <f t="shared" si="865"/>
        <v>226</v>
      </c>
      <c r="AX348" s="180">
        <f t="shared" si="865"/>
        <v>223</v>
      </c>
      <c r="AY348" s="180">
        <f t="shared" si="865"/>
        <v>218</v>
      </c>
      <c r="AZ348" s="180">
        <f t="shared" si="865"/>
        <v>873</v>
      </c>
      <c r="BA348" s="180">
        <f t="shared" si="865"/>
        <v>873</v>
      </c>
      <c r="BB348" s="180">
        <f t="shared" si="865"/>
        <v>215</v>
      </c>
      <c r="BC348" s="180">
        <f t="shared" si="865"/>
        <v>232</v>
      </c>
      <c r="BD348" s="180">
        <f t="shared" si="865"/>
        <v>231</v>
      </c>
      <c r="BE348" s="180">
        <f t="shared" si="865"/>
        <v>233</v>
      </c>
      <c r="BF348" s="180">
        <f t="shared" si="865"/>
        <v>911</v>
      </c>
      <c r="BG348" s="180">
        <f t="shared" si="865"/>
        <v>215</v>
      </c>
      <c r="BH348" s="180">
        <f t="shared" si="865"/>
        <v>15</v>
      </c>
      <c r="BI348" s="180">
        <f t="shared" si="865"/>
        <v>0</v>
      </c>
      <c r="BJ348" s="180">
        <f t="shared" si="865"/>
        <v>0</v>
      </c>
      <c r="BK348" s="180">
        <f t="shared" si="865"/>
        <v>873</v>
      </c>
      <c r="BL348" s="182">
        <f t="shared" si="865"/>
        <v>230</v>
      </c>
      <c r="BM348" s="183">
        <f t="shared" si="865"/>
        <v>253</v>
      </c>
      <c r="BN348" s="183">
        <f t="shared" si="865"/>
        <v>252</v>
      </c>
      <c r="BO348" s="668">
        <f t="shared" si="865"/>
        <v>251</v>
      </c>
      <c r="BP348" s="1057">
        <f t="shared" si="865"/>
        <v>986</v>
      </c>
      <c r="BQ348" s="182">
        <f t="shared" si="865"/>
        <v>292.11839999999995</v>
      </c>
      <c r="BR348" s="183">
        <f t="shared" si="865"/>
        <v>292.11839999999995</v>
      </c>
      <c r="BS348" s="183">
        <f t="shared" si="865"/>
        <v>292.11839999999995</v>
      </c>
      <c r="BT348" s="668">
        <f t="shared" ref="BT348:CJ348" si="866">-BT285</f>
        <v>292.11839999999995</v>
      </c>
      <c r="BU348" s="180">
        <f t="shared" si="866"/>
        <v>1168.4735999999998</v>
      </c>
      <c r="BV348" s="1057">
        <f t="shared" si="866"/>
        <v>0</v>
      </c>
      <c r="BW348" s="183">
        <f t="shared" si="866"/>
        <v>0</v>
      </c>
      <c r="BX348" s="183">
        <f t="shared" si="866"/>
        <v>0</v>
      </c>
      <c r="BY348" s="1294">
        <f t="shared" si="866"/>
        <v>0</v>
      </c>
      <c r="BZ348" s="180">
        <f t="shared" si="866"/>
        <v>1285.3209599999998</v>
      </c>
      <c r="CA348" s="1057">
        <f t="shared" si="866"/>
        <v>0</v>
      </c>
      <c r="CB348" s="183">
        <f t="shared" si="866"/>
        <v>0</v>
      </c>
      <c r="CC348" s="183">
        <f t="shared" si="866"/>
        <v>0</v>
      </c>
      <c r="CD348" s="1294">
        <f t="shared" si="866"/>
        <v>0</v>
      </c>
      <c r="CE348" s="180">
        <f t="shared" si="866"/>
        <v>1413.8530559999999</v>
      </c>
      <c r="CF348" s="1057">
        <f t="shared" si="866"/>
        <v>0</v>
      </c>
      <c r="CG348" s="183">
        <f t="shared" si="866"/>
        <v>0</v>
      </c>
      <c r="CH348" s="183">
        <f t="shared" si="866"/>
        <v>0</v>
      </c>
      <c r="CI348" s="1294">
        <f t="shared" si="866"/>
        <v>0</v>
      </c>
      <c r="CJ348" s="180">
        <f t="shared" si="866"/>
        <v>1524.1335943679999</v>
      </c>
      <c r="CM348" s="440"/>
      <c r="CN348" s="442"/>
      <c r="CO348" s="440"/>
      <c r="CP348" s="440"/>
      <c r="CQ348" s="440"/>
      <c r="CR348" s="440"/>
      <c r="CS348" s="440"/>
      <c r="CT348" s="440"/>
      <c r="CU348" s="440"/>
      <c r="CV348" s="440"/>
    </row>
    <row r="349" spans="1:108">
      <c r="A349" s="968" t="s">
        <v>350</v>
      </c>
      <c r="B349" s="969"/>
      <c r="C349" s="969"/>
      <c r="D349" s="969"/>
      <c r="E349" s="969"/>
      <c r="F349" s="969"/>
      <c r="G349" s="970">
        <f>G347+G348</f>
        <v>444</v>
      </c>
      <c r="H349" s="970"/>
      <c r="I349" s="970"/>
      <c r="J349" s="970"/>
      <c r="K349" s="970"/>
      <c r="L349" s="970">
        <f t="shared" ref="L349:BW349" si="867">L347+L348</f>
        <v>950</v>
      </c>
      <c r="M349" s="970">
        <f t="shared" si="867"/>
        <v>636</v>
      </c>
      <c r="N349" s="970">
        <f t="shared" si="867"/>
        <v>281</v>
      </c>
      <c r="O349" s="970">
        <f t="shared" si="867"/>
        <v>527</v>
      </c>
      <c r="P349" s="970">
        <f t="shared" si="867"/>
        <v>611</v>
      </c>
      <c r="Q349" s="970">
        <f t="shared" si="867"/>
        <v>2055</v>
      </c>
      <c r="R349" s="970">
        <f t="shared" si="867"/>
        <v>245</v>
      </c>
      <c r="S349" s="970">
        <f t="shared" si="867"/>
        <v>147</v>
      </c>
      <c r="T349" s="970">
        <f t="shared" si="867"/>
        <v>147</v>
      </c>
      <c r="U349" s="970">
        <f t="shared" si="867"/>
        <v>247</v>
      </c>
      <c r="V349" s="970">
        <f t="shared" si="867"/>
        <v>786</v>
      </c>
      <c r="W349" s="970">
        <f t="shared" si="867"/>
        <v>347</v>
      </c>
      <c r="X349" s="970">
        <f t="shared" si="867"/>
        <v>474</v>
      </c>
      <c r="Y349" s="970">
        <f t="shared" si="867"/>
        <v>376</v>
      </c>
      <c r="Z349" s="970">
        <f t="shared" si="867"/>
        <v>619</v>
      </c>
      <c r="AA349" s="970">
        <f t="shared" si="867"/>
        <v>1816</v>
      </c>
      <c r="AB349" s="970">
        <f t="shared" si="867"/>
        <v>471</v>
      </c>
      <c r="AC349" s="970">
        <f t="shared" si="867"/>
        <v>983</v>
      </c>
      <c r="AD349" s="970">
        <f t="shared" si="867"/>
        <v>499</v>
      </c>
      <c r="AE349" s="970">
        <f t="shared" si="867"/>
        <v>188</v>
      </c>
      <c r="AF349" s="970">
        <f t="shared" si="867"/>
        <v>2141</v>
      </c>
      <c r="AG349" s="970">
        <f t="shared" si="867"/>
        <v>245</v>
      </c>
      <c r="AH349" s="970">
        <f t="shared" si="867"/>
        <v>700</v>
      </c>
      <c r="AI349" s="970">
        <f t="shared" si="867"/>
        <v>190</v>
      </c>
      <c r="AJ349" s="970">
        <f t="shared" si="867"/>
        <v>360</v>
      </c>
      <c r="AK349" s="970">
        <f t="shared" si="867"/>
        <v>1495</v>
      </c>
      <c r="AL349" s="970">
        <f t="shared" si="867"/>
        <v>0</v>
      </c>
      <c r="AM349" s="970">
        <f t="shared" si="867"/>
        <v>683</v>
      </c>
      <c r="AN349" s="970">
        <f t="shared" si="867"/>
        <v>407</v>
      </c>
      <c r="AO349" s="970">
        <f t="shared" si="867"/>
        <v>241</v>
      </c>
      <c r="AP349" s="970">
        <f t="shared" si="867"/>
        <v>1331</v>
      </c>
      <c r="AQ349" s="970">
        <f t="shared" si="867"/>
        <v>1628</v>
      </c>
      <c r="AR349" s="970">
        <f t="shared" si="867"/>
        <v>1474</v>
      </c>
      <c r="AS349" s="970">
        <f t="shared" si="867"/>
        <v>633</v>
      </c>
      <c r="AT349" s="970">
        <f t="shared" si="867"/>
        <v>469</v>
      </c>
      <c r="AU349" s="970">
        <f t="shared" si="867"/>
        <v>4204</v>
      </c>
      <c r="AV349" s="970">
        <f t="shared" si="867"/>
        <v>826</v>
      </c>
      <c r="AW349" s="970">
        <f t="shared" si="867"/>
        <v>1171</v>
      </c>
      <c r="AX349" s="970">
        <f t="shared" si="867"/>
        <v>1387</v>
      </c>
      <c r="AY349" s="970">
        <f t="shared" si="867"/>
        <v>722</v>
      </c>
      <c r="AZ349" s="970">
        <f t="shared" si="867"/>
        <v>4106</v>
      </c>
      <c r="BA349" s="970">
        <f t="shared" si="867"/>
        <v>4106</v>
      </c>
      <c r="BB349" s="970">
        <f t="shared" si="867"/>
        <v>1241</v>
      </c>
      <c r="BC349" s="970">
        <f t="shared" si="867"/>
        <v>395</v>
      </c>
      <c r="BD349" s="970">
        <f t="shared" si="867"/>
        <v>556</v>
      </c>
      <c r="BE349" s="970">
        <f t="shared" si="867"/>
        <v>715</v>
      </c>
      <c r="BF349" s="970">
        <f t="shared" si="867"/>
        <v>2907</v>
      </c>
      <c r="BG349" s="970">
        <f t="shared" si="867"/>
        <v>1241</v>
      </c>
      <c r="BH349" s="970">
        <f t="shared" si="867"/>
        <v>178</v>
      </c>
      <c r="BI349" s="970">
        <f t="shared" si="867"/>
        <v>0</v>
      </c>
      <c r="BJ349" s="970">
        <f t="shared" si="867"/>
        <v>0</v>
      </c>
      <c r="BK349" s="970">
        <f t="shared" si="867"/>
        <v>4106</v>
      </c>
      <c r="BL349" s="1026">
        <f t="shared" si="867"/>
        <v>584</v>
      </c>
      <c r="BM349" s="1027">
        <f t="shared" si="867"/>
        <v>800</v>
      </c>
      <c r="BN349" s="1027">
        <f t="shared" si="867"/>
        <v>523</v>
      </c>
      <c r="BO349" s="1028">
        <f t="shared" si="867"/>
        <v>637</v>
      </c>
      <c r="BP349" s="1100">
        <f t="shared" si="867"/>
        <v>2544</v>
      </c>
      <c r="BQ349" s="1026">
        <f t="shared" si="867"/>
        <v>396.31965989523809</v>
      </c>
      <c r="BR349" s="1027">
        <f t="shared" si="867"/>
        <v>398.40368509314283</v>
      </c>
      <c r="BS349" s="1027">
        <f t="shared" si="867"/>
        <v>400.52939079500572</v>
      </c>
      <c r="BT349" s="1028">
        <f t="shared" si="867"/>
        <v>402.69761061090583</v>
      </c>
      <c r="BU349" s="970">
        <f t="shared" si="867"/>
        <v>1597.9503463942924</v>
      </c>
      <c r="BV349" s="1100">
        <f t="shared" si="867"/>
        <v>0</v>
      </c>
      <c r="BW349" s="1027">
        <f t="shared" si="867"/>
        <v>0</v>
      </c>
      <c r="BX349" s="1027">
        <f t="shared" ref="BX349:CJ349" si="868">BX347+BX348</f>
        <v>0</v>
      </c>
      <c r="BY349" s="1295">
        <f t="shared" si="868"/>
        <v>0</v>
      </c>
      <c r="BZ349" s="970">
        <f t="shared" si="868"/>
        <v>1757.7453810337217</v>
      </c>
      <c r="CA349" s="1100">
        <f t="shared" si="868"/>
        <v>0</v>
      </c>
      <c r="CB349" s="1027">
        <f t="shared" si="868"/>
        <v>0</v>
      </c>
      <c r="CC349" s="1027">
        <f t="shared" si="868"/>
        <v>0</v>
      </c>
      <c r="CD349" s="1295">
        <f t="shared" si="868"/>
        <v>0</v>
      </c>
      <c r="CE349" s="970">
        <f t="shared" si="868"/>
        <v>1933.5199191370941</v>
      </c>
      <c r="CF349" s="1100">
        <f t="shared" si="868"/>
        <v>0</v>
      </c>
      <c r="CG349" s="1027">
        <f t="shared" si="868"/>
        <v>0</v>
      </c>
      <c r="CH349" s="1027">
        <f t="shared" si="868"/>
        <v>0</v>
      </c>
      <c r="CI349" s="1295">
        <f t="shared" si="868"/>
        <v>0</v>
      </c>
      <c r="CJ349" s="970">
        <f t="shared" si="868"/>
        <v>3792.9471521382366</v>
      </c>
      <c r="CM349" s="440"/>
      <c r="CN349" s="442"/>
      <c r="CO349" s="440"/>
      <c r="CP349" s="440"/>
      <c r="CQ349" s="440"/>
      <c r="CR349" s="440"/>
      <c r="CS349" s="440"/>
      <c r="CT349" s="440"/>
      <c r="CU349" s="440"/>
      <c r="CV349" s="440"/>
    </row>
    <row r="350" spans="1:108">
      <c r="BO350" s="1025"/>
      <c r="BP350" s="1099"/>
      <c r="BT350" s="1025"/>
      <c r="BV350" s="1099"/>
      <c r="BY350" s="1296"/>
      <c r="CA350" s="1099"/>
      <c r="CD350" s="1296"/>
      <c r="CF350" s="1099"/>
      <c r="CI350" s="1296"/>
      <c r="CM350" s="440"/>
      <c r="CN350" s="442"/>
      <c r="CO350" s="440"/>
      <c r="CP350" s="440"/>
      <c r="CQ350" s="440"/>
      <c r="CR350" s="440"/>
      <c r="CS350" s="440"/>
      <c r="CT350" s="440"/>
      <c r="CU350" s="440"/>
      <c r="CV350" s="440"/>
    </row>
    <row r="351" spans="1:108">
      <c r="A351" s="967" t="s">
        <v>300</v>
      </c>
      <c r="G351" s="180">
        <f>(G315+G323)-G297</f>
        <v>1177</v>
      </c>
      <c r="H351" s="180">
        <f t="shared" ref="H351:BS351" si="869">(H315+H323)-H297</f>
        <v>1298</v>
      </c>
      <c r="I351" s="180">
        <f t="shared" si="869"/>
        <v>995</v>
      </c>
      <c r="J351" s="180">
        <f t="shared" si="869"/>
        <v>763</v>
      </c>
      <c r="K351" s="180">
        <f t="shared" si="869"/>
        <v>-100</v>
      </c>
      <c r="L351" s="180">
        <f t="shared" si="869"/>
        <v>-100</v>
      </c>
      <c r="M351" s="180">
        <f t="shared" si="869"/>
        <v>185</v>
      </c>
      <c r="N351" s="180">
        <f t="shared" si="869"/>
        <v>-451</v>
      </c>
      <c r="O351" s="180">
        <f t="shared" si="869"/>
        <v>-478</v>
      </c>
      <c r="P351" s="180">
        <f t="shared" si="869"/>
        <v>2403</v>
      </c>
      <c r="Q351" s="180">
        <f t="shared" si="869"/>
        <v>2403</v>
      </c>
      <c r="R351" s="180">
        <f t="shared" si="869"/>
        <v>2756</v>
      </c>
      <c r="S351" s="180">
        <f t="shared" si="869"/>
        <v>2301</v>
      </c>
      <c r="T351" s="180">
        <f t="shared" si="869"/>
        <v>2455</v>
      </c>
      <c r="U351" s="180">
        <f t="shared" si="869"/>
        <v>1601</v>
      </c>
      <c r="V351" s="180">
        <f t="shared" si="869"/>
        <v>1601</v>
      </c>
      <c r="W351" s="180">
        <f t="shared" si="869"/>
        <v>1838</v>
      </c>
      <c r="X351" s="180">
        <f t="shared" si="869"/>
        <v>2009</v>
      </c>
      <c r="Y351" s="180">
        <f t="shared" si="869"/>
        <v>1361</v>
      </c>
      <c r="Z351" s="180">
        <f t="shared" si="869"/>
        <v>590</v>
      </c>
      <c r="AA351" s="180">
        <f t="shared" si="869"/>
        <v>590</v>
      </c>
      <c r="AB351" s="180">
        <f t="shared" si="869"/>
        <v>719</v>
      </c>
      <c r="AC351" s="180">
        <f t="shared" si="869"/>
        <v>1024</v>
      </c>
      <c r="AD351" s="180">
        <f t="shared" si="869"/>
        <v>2592</v>
      </c>
      <c r="AE351" s="180">
        <f t="shared" si="869"/>
        <v>1281</v>
      </c>
      <c r="AF351" s="180">
        <f t="shared" si="869"/>
        <v>1281</v>
      </c>
      <c r="AG351" s="180">
        <f t="shared" si="869"/>
        <v>1276</v>
      </c>
      <c r="AH351" s="180">
        <f t="shared" si="869"/>
        <v>1393</v>
      </c>
      <c r="AI351" s="180">
        <f t="shared" si="869"/>
        <v>1051</v>
      </c>
      <c r="AJ351" s="180">
        <f t="shared" si="869"/>
        <v>612</v>
      </c>
      <c r="AK351" s="180">
        <f t="shared" si="869"/>
        <v>612</v>
      </c>
      <c r="AL351" s="180">
        <f t="shared" si="869"/>
        <v>164</v>
      </c>
      <c r="AM351" s="180">
        <f t="shared" si="869"/>
        <v>150</v>
      </c>
      <c r="AN351" s="180">
        <f t="shared" si="869"/>
        <v>-157</v>
      </c>
      <c r="AO351" s="180">
        <f t="shared" si="869"/>
        <v>-1393</v>
      </c>
      <c r="AP351" s="180">
        <f t="shared" si="869"/>
        <v>-1393</v>
      </c>
      <c r="AQ351" s="180">
        <f t="shared" si="869"/>
        <v>114</v>
      </c>
      <c r="AR351" s="180">
        <f t="shared" si="869"/>
        <v>69</v>
      </c>
      <c r="AS351" s="180">
        <f t="shared" si="869"/>
        <v>-1194</v>
      </c>
      <c r="AT351" s="180">
        <f t="shared" si="869"/>
        <v>-577</v>
      </c>
      <c r="AU351" s="180">
        <f t="shared" si="869"/>
        <v>-477</v>
      </c>
      <c r="AV351" s="180">
        <f t="shared" si="869"/>
        <v>-1001</v>
      </c>
      <c r="AW351" s="180">
        <f t="shared" si="869"/>
        <v>-619</v>
      </c>
      <c r="AX351" s="180">
        <f t="shared" si="869"/>
        <v>41</v>
      </c>
      <c r="AY351" s="180">
        <f t="shared" si="869"/>
        <v>614</v>
      </c>
      <c r="AZ351" s="180">
        <f t="shared" si="869"/>
        <v>614</v>
      </c>
      <c r="BA351" s="180">
        <f t="shared" si="869"/>
        <v>614</v>
      </c>
      <c r="BB351" s="180">
        <f t="shared" si="869"/>
        <v>1493</v>
      </c>
      <c r="BC351" s="180">
        <f t="shared" si="869"/>
        <v>1537</v>
      </c>
      <c r="BD351" s="180">
        <f t="shared" si="869"/>
        <v>1583</v>
      </c>
      <c r="BE351" s="180">
        <f t="shared" si="869"/>
        <v>1554</v>
      </c>
      <c r="BF351" s="180">
        <f t="shared" si="869"/>
        <v>1554</v>
      </c>
      <c r="BG351" s="180">
        <f t="shared" si="869"/>
        <v>0</v>
      </c>
      <c r="BH351" s="180">
        <f t="shared" si="869"/>
        <v>0</v>
      </c>
      <c r="BI351" s="180">
        <f t="shared" si="869"/>
        <v>0</v>
      </c>
      <c r="BJ351" s="180">
        <f t="shared" si="869"/>
        <v>0</v>
      </c>
      <c r="BK351" s="180">
        <f t="shared" si="869"/>
        <v>1554</v>
      </c>
      <c r="BL351" s="182">
        <f t="shared" si="869"/>
        <v>1721</v>
      </c>
      <c r="BM351" s="183">
        <f t="shared" si="869"/>
        <v>2122</v>
      </c>
      <c r="BN351" s="183">
        <f t="shared" si="869"/>
        <v>2160</v>
      </c>
      <c r="BO351" s="668">
        <f t="shared" si="869"/>
        <v>999</v>
      </c>
      <c r="BP351" s="1057">
        <f t="shared" si="869"/>
        <v>999</v>
      </c>
      <c r="BQ351" s="182">
        <f t="shared" si="869"/>
        <v>266.54952619811274</v>
      </c>
      <c r="BR351" s="183">
        <f t="shared" si="869"/>
        <v>10295.467301308303</v>
      </c>
      <c r="BS351" s="183">
        <f t="shared" si="869"/>
        <v>10098.671849517779</v>
      </c>
      <c r="BT351" s="668">
        <f t="shared" ref="BT351:CJ351" si="870">(BT315+BT323)-BT297</f>
        <v>8448.2721741159694</v>
      </c>
      <c r="BU351" s="180">
        <f t="shared" si="870"/>
        <v>8448.2721741159676</v>
      </c>
      <c r="BV351" s="1057">
        <f t="shared" si="870"/>
        <v>0</v>
      </c>
      <c r="BW351" s="183">
        <f t="shared" si="870"/>
        <v>0</v>
      </c>
      <c r="BX351" s="183">
        <f t="shared" si="870"/>
        <v>0</v>
      </c>
      <c r="BY351" s="1294">
        <f t="shared" si="870"/>
        <v>0</v>
      </c>
      <c r="BZ351" s="180">
        <f t="shared" si="870"/>
        <v>6003.8384377943858</v>
      </c>
      <c r="CA351" s="1057">
        <f t="shared" si="870"/>
        <v>0</v>
      </c>
      <c r="CB351" s="183">
        <f t="shared" si="870"/>
        <v>0</v>
      </c>
      <c r="CC351" s="183">
        <f t="shared" si="870"/>
        <v>0</v>
      </c>
      <c r="CD351" s="1294">
        <f t="shared" si="870"/>
        <v>0</v>
      </c>
      <c r="CE351" s="180">
        <f t="shared" si="870"/>
        <v>3355.203489948683</v>
      </c>
      <c r="CF351" s="1057">
        <f t="shared" si="870"/>
        <v>0</v>
      </c>
      <c r="CG351" s="183">
        <f t="shared" si="870"/>
        <v>0</v>
      </c>
      <c r="CH351" s="183">
        <f t="shared" si="870"/>
        <v>0</v>
      </c>
      <c r="CI351" s="1294">
        <f t="shared" si="870"/>
        <v>0</v>
      </c>
      <c r="CJ351" s="180">
        <f t="shared" si="870"/>
        <v>2257.7617938151138</v>
      </c>
      <c r="CM351" s="440"/>
      <c r="CN351" s="442"/>
      <c r="CO351" s="440"/>
      <c r="CP351" s="440"/>
      <c r="CQ351" s="440"/>
      <c r="CR351" s="440"/>
      <c r="CS351" s="440"/>
      <c r="CT351" s="440"/>
      <c r="CU351" s="440"/>
      <c r="CV351" s="440"/>
    </row>
    <row r="357" spans="71:71">
      <c r="BS357" s="1313"/>
    </row>
  </sheetData>
  <phoneticPr fontId="4" type="noConversion"/>
  <conditionalFormatting sqref="B334:AZ334 BP334">
    <cfRule type="cellIs" dxfId="12" priority="24" stopIfTrue="1" operator="notEqual">
      <formula>0</formula>
    </cfRule>
  </conditionalFormatting>
  <conditionalFormatting sqref="BB334:BE334">
    <cfRule type="cellIs" dxfId="11" priority="15" stopIfTrue="1" operator="notEqual">
      <formula>0</formula>
    </cfRule>
  </conditionalFormatting>
  <conditionalFormatting sqref="BF334">
    <cfRule type="cellIs" dxfId="10" priority="16" stopIfTrue="1" operator="notEqual">
      <formula>0</formula>
    </cfRule>
  </conditionalFormatting>
  <conditionalFormatting sqref="BQ334:BU334">
    <cfRule type="cellIs" dxfId="9" priority="13" stopIfTrue="1" operator="notEqual">
      <formula>0</formula>
    </cfRule>
  </conditionalFormatting>
  <conditionalFormatting sqref="BV334:BZ334">
    <cfRule type="cellIs" dxfId="8" priority="11" stopIfTrue="1" operator="notEqual">
      <formula>0</formula>
    </cfRule>
  </conditionalFormatting>
  <conditionalFormatting sqref="CA334:CE334">
    <cfRule type="cellIs" dxfId="7" priority="9" stopIfTrue="1" operator="notEqual">
      <formula>0</formula>
    </cfRule>
  </conditionalFormatting>
  <conditionalFormatting sqref="CF334:CJ334">
    <cfRule type="cellIs" dxfId="6" priority="8" stopIfTrue="1" operator="notEqual">
      <formula>0</formula>
    </cfRule>
  </conditionalFormatting>
  <conditionalFormatting sqref="BL334:BM334 BO334">
    <cfRule type="cellIs" dxfId="5" priority="7" stopIfTrue="1" operator="notEqual">
      <formula>0</formula>
    </cfRule>
  </conditionalFormatting>
  <conditionalFormatting sqref="BA334">
    <cfRule type="cellIs" dxfId="4" priority="6" stopIfTrue="1" operator="notEqual">
      <formula>0</formula>
    </cfRule>
  </conditionalFormatting>
  <conditionalFormatting sqref="BH334:BJ334">
    <cfRule type="cellIs" dxfId="3" priority="4" stopIfTrue="1" operator="notEqual">
      <formula>0</formula>
    </cfRule>
  </conditionalFormatting>
  <conditionalFormatting sqref="BG334">
    <cfRule type="cellIs" dxfId="2" priority="3" stopIfTrue="1" operator="notEqual">
      <formula>0</formula>
    </cfRule>
  </conditionalFormatting>
  <conditionalFormatting sqref="BK334">
    <cfRule type="cellIs" dxfId="1" priority="2" stopIfTrue="1" operator="notEqual">
      <formula>0</formula>
    </cfRule>
  </conditionalFormatting>
  <conditionalFormatting sqref="BN334">
    <cfRule type="cellIs" dxfId="0" priority="1" stopIfTrue="1" operator="notEqual">
      <formula>0</formula>
    </cfRule>
  </conditionalFormatting>
  <pageMargins left="0.75" right="0.75" top="0.5" bottom="0.5" header="0.5" footer="0.5"/>
  <pageSetup scale="65" orientation="landscape" r:id="rId1"/>
  <headerFooter alignWithMargins="0"/>
  <colBreaks count="1" manualBreakCount="1">
    <brk id="92" max="1048575" man="1"/>
  </colBreaks>
  <ignoredErrors>
    <ignoredError sqref="BP9 BL9 BN117 BN93 BN63 BO241" formula="1"/>
    <ignoredError sqref="BP12:BP13" formulaRange="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980" bestFit="1" customWidth="1"/>
    <col min="2" max="2" width="19.85546875" style="1380" customWidth="1"/>
    <col min="3" max="3" width="12" style="980" bestFit="1" customWidth="1"/>
    <col min="4" max="256" width="9.140625" style="980"/>
    <col min="257" max="257" width="29.5703125" style="980" bestFit="1" customWidth="1"/>
    <col min="258" max="258" width="19.85546875" style="980" customWidth="1"/>
    <col min="259" max="259" width="12" style="980" bestFit="1" customWidth="1"/>
    <col min="260" max="512" width="9.140625" style="980"/>
    <col min="513" max="513" width="29.5703125" style="980" bestFit="1" customWidth="1"/>
    <col min="514" max="514" width="19.85546875" style="980" customWidth="1"/>
    <col min="515" max="515" width="12" style="980" bestFit="1" customWidth="1"/>
    <col min="516" max="768" width="9.140625" style="980"/>
    <col min="769" max="769" width="29.5703125" style="980" bestFit="1" customWidth="1"/>
    <col min="770" max="770" width="19.85546875" style="980" customWidth="1"/>
    <col min="771" max="771" width="12" style="980" bestFit="1" customWidth="1"/>
    <col min="772" max="1024" width="9.140625" style="980"/>
    <col min="1025" max="1025" width="29.5703125" style="980" bestFit="1" customWidth="1"/>
    <col min="1026" max="1026" width="19.85546875" style="980" customWidth="1"/>
    <col min="1027" max="1027" width="12" style="980" bestFit="1" customWidth="1"/>
    <col min="1028" max="1280" width="9.140625" style="980"/>
    <col min="1281" max="1281" width="29.5703125" style="980" bestFit="1" customWidth="1"/>
    <col min="1282" max="1282" width="19.85546875" style="980" customWidth="1"/>
    <col min="1283" max="1283" width="12" style="980" bestFit="1" customWidth="1"/>
    <col min="1284" max="1536" width="9.140625" style="980"/>
    <col min="1537" max="1537" width="29.5703125" style="980" bestFit="1" customWidth="1"/>
    <col min="1538" max="1538" width="19.85546875" style="980" customWidth="1"/>
    <col min="1539" max="1539" width="12" style="980" bestFit="1" customWidth="1"/>
    <col min="1540" max="1792" width="9.140625" style="980"/>
    <col min="1793" max="1793" width="29.5703125" style="980" bestFit="1" customWidth="1"/>
    <col min="1794" max="1794" width="19.85546875" style="980" customWidth="1"/>
    <col min="1795" max="1795" width="12" style="980" bestFit="1" customWidth="1"/>
    <col min="1796" max="2048" width="9.140625" style="980"/>
    <col min="2049" max="2049" width="29.5703125" style="980" bestFit="1" customWidth="1"/>
    <col min="2050" max="2050" width="19.85546875" style="980" customWidth="1"/>
    <col min="2051" max="2051" width="12" style="980" bestFit="1" customWidth="1"/>
    <col min="2052" max="2304" width="9.140625" style="980"/>
    <col min="2305" max="2305" width="29.5703125" style="980" bestFit="1" customWidth="1"/>
    <col min="2306" max="2306" width="19.85546875" style="980" customWidth="1"/>
    <col min="2307" max="2307" width="12" style="980" bestFit="1" customWidth="1"/>
    <col min="2308" max="2560" width="9.140625" style="980"/>
    <col min="2561" max="2561" width="29.5703125" style="980" bestFit="1" customWidth="1"/>
    <col min="2562" max="2562" width="19.85546875" style="980" customWidth="1"/>
    <col min="2563" max="2563" width="12" style="980" bestFit="1" customWidth="1"/>
    <col min="2564" max="2816" width="9.140625" style="980"/>
    <col min="2817" max="2817" width="29.5703125" style="980" bestFit="1" customWidth="1"/>
    <col min="2818" max="2818" width="19.85546875" style="980" customWidth="1"/>
    <col min="2819" max="2819" width="12" style="980" bestFit="1" customWidth="1"/>
    <col min="2820" max="3072" width="9.140625" style="980"/>
    <col min="3073" max="3073" width="29.5703125" style="980" bestFit="1" customWidth="1"/>
    <col min="3074" max="3074" width="19.85546875" style="980" customWidth="1"/>
    <col min="3075" max="3075" width="12" style="980" bestFit="1" customWidth="1"/>
    <col min="3076" max="3328" width="9.140625" style="980"/>
    <col min="3329" max="3329" width="29.5703125" style="980" bestFit="1" customWidth="1"/>
    <col min="3330" max="3330" width="19.85546875" style="980" customWidth="1"/>
    <col min="3331" max="3331" width="12" style="980" bestFit="1" customWidth="1"/>
    <col min="3332" max="3584" width="9.140625" style="980"/>
    <col min="3585" max="3585" width="29.5703125" style="980" bestFit="1" customWidth="1"/>
    <col min="3586" max="3586" width="19.85546875" style="980" customWidth="1"/>
    <col min="3587" max="3587" width="12" style="980" bestFit="1" customWidth="1"/>
    <col min="3588" max="3840" width="9.140625" style="980"/>
    <col min="3841" max="3841" width="29.5703125" style="980" bestFit="1" customWidth="1"/>
    <col min="3842" max="3842" width="19.85546875" style="980" customWidth="1"/>
    <col min="3843" max="3843" width="12" style="980" bestFit="1" customWidth="1"/>
    <col min="3844" max="4096" width="9.140625" style="980"/>
    <col min="4097" max="4097" width="29.5703125" style="980" bestFit="1" customWidth="1"/>
    <col min="4098" max="4098" width="19.85546875" style="980" customWidth="1"/>
    <col min="4099" max="4099" width="12" style="980" bestFit="1" customWidth="1"/>
    <col min="4100" max="4352" width="9.140625" style="980"/>
    <col min="4353" max="4353" width="29.5703125" style="980" bestFit="1" customWidth="1"/>
    <col min="4354" max="4354" width="19.85546875" style="980" customWidth="1"/>
    <col min="4355" max="4355" width="12" style="980" bestFit="1" customWidth="1"/>
    <col min="4356" max="4608" width="9.140625" style="980"/>
    <col min="4609" max="4609" width="29.5703125" style="980" bestFit="1" customWidth="1"/>
    <col min="4610" max="4610" width="19.85546875" style="980" customWidth="1"/>
    <col min="4611" max="4611" width="12" style="980" bestFit="1" customWidth="1"/>
    <col min="4612" max="4864" width="9.140625" style="980"/>
    <col min="4865" max="4865" width="29.5703125" style="980" bestFit="1" customWidth="1"/>
    <col min="4866" max="4866" width="19.85546875" style="980" customWidth="1"/>
    <col min="4867" max="4867" width="12" style="980" bestFit="1" customWidth="1"/>
    <col min="4868" max="5120" width="9.140625" style="980"/>
    <col min="5121" max="5121" width="29.5703125" style="980" bestFit="1" customWidth="1"/>
    <col min="5122" max="5122" width="19.85546875" style="980" customWidth="1"/>
    <col min="5123" max="5123" width="12" style="980" bestFit="1" customWidth="1"/>
    <col min="5124" max="5376" width="9.140625" style="980"/>
    <col min="5377" max="5377" width="29.5703125" style="980" bestFit="1" customWidth="1"/>
    <col min="5378" max="5378" width="19.85546875" style="980" customWidth="1"/>
    <col min="5379" max="5379" width="12" style="980" bestFit="1" customWidth="1"/>
    <col min="5380" max="5632" width="9.140625" style="980"/>
    <col min="5633" max="5633" width="29.5703125" style="980" bestFit="1" customWidth="1"/>
    <col min="5634" max="5634" width="19.85546875" style="980" customWidth="1"/>
    <col min="5635" max="5635" width="12" style="980" bestFit="1" customWidth="1"/>
    <col min="5636" max="5888" width="9.140625" style="980"/>
    <col min="5889" max="5889" width="29.5703125" style="980" bestFit="1" customWidth="1"/>
    <col min="5890" max="5890" width="19.85546875" style="980" customWidth="1"/>
    <col min="5891" max="5891" width="12" style="980" bestFit="1" customWidth="1"/>
    <col min="5892" max="6144" width="9.140625" style="980"/>
    <col min="6145" max="6145" width="29.5703125" style="980" bestFit="1" customWidth="1"/>
    <col min="6146" max="6146" width="19.85546875" style="980" customWidth="1"/>
    <col min="6147" max="6147" width="12" style="980" bestFit="1" customWidth="1"/>
    <col min="6148" max="6400" width="9.140625" style="980"/>
    <col min="6401" max="6401" width="29.5703125" style="980" bestFit="1" customWidth="1"/>
    <col min="6402" max="6402" width="19.85546875" style="980" customWidth="1"/>
    <col min="6403" max="6403" width="12" style="980" bestFit="1" customWidth="1"/>
    <col min="6404" max="6656" width="9.140625" style="980"/>
    <col min="6657" max="6657" width="29.5703125" style="980" bestFit="1" customWidth="1"/>
    <col min="6658" max="6658" width="19.85546875" style="980" customWidth="1"/>
    <col min="6659" max="6659" width="12" style="980" bestFit="1" customWidth="1"/>
    <col min="6660" max="6912" width="9.140625" style="980"/>
    <col min="6913" max="6913" width="29.5703125" style="980" bestFit="1" customWidth="1"/>
    <col min="6914" max="6914" width="19.85546875" style="980" customWidth="1"/>
    <col min="6915" max="6915" width="12" style="980" bestFit="1" customWidth="1"/>
    <col min="6916" max="7168" width="9.140625" style="980"/>
    <col min="7169" max="7169" width="29.5703125" style="980" bestFit="1" customWidth="1"/>
    <col min="7170" max="7170" width="19.85546875" style="980" customWidth="1"/>
    <col min="7171" max="7171" width="12" style="980" bestFit="1" customWidth="1"/>
    <col min="7172" max="7424" width="9.140625" style="980"/>
    <col min="7425" max="7425" width="29.5703125" style="980" bestFit="1" customWidth="1"/>
    <col min="7426" max="7426" width="19.85546875" style="980" customWidth="1"/>
    <col min="7427" max="7427" width="12" style="980" bestFit="1" customWidth="1"/>
    <col min="7428" max="7680" width="9.140625" style="980"/>
    <col min="7681" max="7681" width="29.5703125" style="980" bestFit="1" customWidth="1"/>
    <col min="7682" max="7682" width="19.85546875" style="980" customWidth="1"/>
    <col min="7683" max="7683" width="12" style="980" bestFit="1" customWidth="1"/>
    <col min="7684" max="7936" width="9.140625" style="980"/>
    <col min="7937" max="7937" width="29.5703125" style="980" bestFit="1" customWidth="1"/>
    <col min="7938" max="7938" width="19.85546875" style="980" customWidth="1"/>
    <col min="7939" max="7939" width="12" style="980" bestFit="1" customWidth="1"/>
    <col min="7940" max="8192" width="9.140625" style="980"/>
    <col min="8193" max="8193" width="29.5703125" style="980" bestFit="1" customWidth="1"/>
    <col min="8194" max="8194" width="19.85546875" style="980" customWidth="1"/>
    <col min="8195" max="8195" width="12" style="980" bestFit="1" customWidth="1"/>
    <col min="8196" max="8448" width="9.140625" style="980"/>
    <col min="8449" max="8449" width="29.5703125" style="980" bestFit="1" customWidth="1"/>
    <col min="8450" max="8450" width="19.85546875" style="980" customWidth="1"/>
    <col min="8451" max="8451" width="12" style="980" bestFit="1" customWidth="1"/>
    <col min="8452" max="8704" width="9.140625" style="980"/>
    <col min="8705" max="8705" width="29.5703125" style="980" bestFit="1" customWidth="1"/>
    <col min="8706" max="8706" width="19.85546875" style="980" customWidth="1"/>
    <col min="8707" max="8707" width="12" style="980" bestFit="1" customWidth="1"/>
    <col min="8708" max="8960" width="9.140625" style="980"/>
    <col min="8961" max="8961" width="29.5703125" style="980" bestFit="1" customWidth="1"/>
    <col min="8962" max="8962" width="19.85546875" style="980" customWidth="1"/>
    <col min="8963" max="8963" width="12" style="980" bestFit="1" customWidth="1"/>
    <col min="8964" max="9216" width="9.140625" style="980"/>
    <col min="9217" max="9217" width="29.5703125" style="980" bestFit="1" customWidth="1"/>
    <col min="9218" max="9218" width="19.85546875" style="980" customWidth="1"/>
    <col min="9219" max="9219" width="12" style="980" bestFit="1" customWidth="1"/>
    <col min="9220" max="9472" width="9.140625" style="980"/>
    <col min="9473" max="9473" width="29.5703125" style="980" bestFit="1" customWidth="1"/>
    <col min="9474" max="9474" width="19.85546875" style="980" customWidth="1"/>
    <col min="9475" max="9475" width="12" style="980" bestFit="1" customWidth="1"/>
    <col min="9476" max="9728" width="9.140625" style="980"/>
    <col min="9729" max="9729" width="29.5703125" style="980" bestFit="1" customWidth="1"/>
    <col min="9730" max="9730" width="19.85546875" style="980" customWidth="1"/>
    <col min="9731" max="9731" width="12" style="980" bestFit="1" customWidth="1"/>
    <col min="9732" max="9984" width="9.140625" style="980"/>
    <col min="9985" max="9985" width="29.5703125" style="980" bestFit="1" customWidth="1"/>
    <col min="9986" max="9986" width="19.85546875" style="980" customWidth="1"/>
    <col min="9987" max="9987" width="12" style="980" bestFit="1" customWidth="1"/>
    <col min="9988" max="10240" width="9.140625" style="980"/>
    <col min="10241" max="10241" width="29.5703125" style="980" bestFit="1" customWidth="1"/>
    <col min="10242" max="10242" width="19.85546875" style="980" customWidth="1"/>
    <col min="10243" max="10243" width="12" style="980" bestFit="1" customWidth="1"/>
    <col min="10244" max="10496" width="9.140625" style="980"/>
    <col min="10497" max="10497" width="29.5703125" style="980" bestFit="1" customWidth="1"/>
    <col min="10498" max="10498" width="19.85546875" style="980" customWidth="1"/>
    <col min="10499" max="10499" width="12" style="980" bestFit="1" customWidth="1"/>
    <col min="10500" max="10752" width="9.140625" style="980"/>
    <col min="10753" max="10753" width="29.5703125" style="980" bestFit="1" customWidth="1"/>
    <col min="10754" max="10754" width="19.85546875" style="980" customWidth="1"/>
    <col min="10755" max="10755" width="12" style="980" bestFit="1" customWidth="1"/>
    <col min="10756" max="11008" width="9.140625" style="980"/>
    <col min="11009" max="11009" width="29.5703125" style="980" bestFit="1" customWidth="1"/>
    <col min="11010" max="11010" width="19.85546875" style="980" customWidth="1"/>
    <col min="11011" max="11011" width="12" style="980" bestFit="1" customWidth="1"/>
    <col min="11012" max="11264" width="9.140625" style="980"/>
    <col min="11265" max="11265" width="29.5703125" style="980" bestFit="1" customWidth="1"/>
    <col min="11266" max="11266" width="19.85546875" style="980" customWidth="1"/>
    <col min="11267" max="11267" width="12" style="980" bestFit="1" customWidth="1"/>
    <col min="11268" max="11520" width="9.140625" style="980"/>
    <col min="11521" max="11521" width="29.5703125" style="980" bestFit="1" customWidth="1"/>
    <col min="11522" max="11522" width="19.85546875" style="980" customWidth="1"/>
    <col min="11523" max="11523" width="12" style="980" bestFit="1" customWidth="1"/>
    <col min="11524" max="11776" width="9.140625" style="980"/>
    <col min="11777" max="11777" width="29.5703125" style="980" bestFit="1" customWidth="1"/>
    <col min="11778" max="11778" width="19.85546875" style="980" customWidth="1"/>
    <col min="11779" max="11779" width="12" style="980" bestFit="1" customWidth="1"/>
    <col min="11780" max="12032" width="9.140625" style="980"/>
    <col min="12033" max="12033" width="29.5703125" style="980" bestFit="1" customWidth="1"/>
    <col min="12034" max="12034" width="19.85546875" style="980" customWidth="1"/>
    <col min="12035" max="12035" width="12" style="980" bestFit="1" customWidth="1"/>
    <col min="12036" max="12288" width="9.140625" style="980"/>
    <col min="12289" max="12289" width="29.5703125" style="980" bestFit="1" customWidth="1"/>
    <col min="12290" max="12290" width="19.85546875" style="980" customWidth="1"/>
    <col min="12291" max="12291" width="12" style="980" bestFit="1" customWidth="1"/>
    <col min="12292" max="12544" width="9.140625" style="980"/>
    <col min="12545" max="12545" width="29.5703125" style="980" bestFit="1" customWidth="1"/>
    <col min="12546" max="12546" width="19.85546875" style="980" customWidth="1"/>
    <col min="12547" max="12547" width="12" style="980" bestFit="1" customWidth="1"/>
    <col min="12548" max="12800" width="9.140625" style="980"/>
    <col min="12801" max="12801" width="29.5703125" style="980" bestFit="1" customWidth="1"/>
    <col min="12802" max="12802" width="19.85546875" style="980" customWidth="1"/>
    <col min="12803" max="12803" width="12" style="980" bestFit="1" customWidth="1"/>
    <col min="12804" max="13056" width="9.140625" style="980"/>
    <col min="13057" max="13057" width="29.5703125" style="980" bestFit="1" customWidth="1"/>
    <col min="13058" max="13058" width="19.85546875" style="980" customWidth="1"/>
    <col min="13059" max="13059" width="12" style="980" bestFit="1" customWidth="1"/>
    <col min="13060" max="13312" width="9.140625" style="980"/>
    <col min="13313" max="13313" width="29.5703125" style="980" bestFit="1" customWidth="1"/>
    <col min="13314" max="13314" width="19.85546875" style="980" customWidth="1"/>
    <col min="13315" max="13315" width="12" style="980" bestFit="1" customWidth="1"/>
    <col min="13316" max="13568" width="9.140625" style="980"/>
    <col min="13569" max="13569" width="29.5703125" style="980" bestFit="1" customWidth="1"/>
    <col min="13570" max="13570" width="19.85546875" style="980" customWidth="1"/>
    <col min="13571" max="13571" width="12" style="980" bestFit="1" customWidth="1"/>
    <col min="13572" max="13824" width="9.140625" style="980"/>
    <col min="13825" max="13825" width="29.5703125" style="980" bestFit="1" customWidth="1"/>
    <col min="13826" max="13826" width="19.85546875" style="980" customWidth="1"/>
    <col min="13827" max="13827" width="12" style="980" bestFit="1" customWidth="1"/>
    <col min="13828" max="14080" width="9.140625" style="980"/>
    <col min="14081" max="14081" width="29.5703125" style="980" bestFit="1" customWidth="1"/>
    <col min="14082" max="14082" width="19.85546875" style="980" customWidth="1"/>
    <col min="14083" max="14083" width="12" style="980" bestFit="1" customWidth="1"/>
    <col min="14084" max="14336" width="9.140625" style="980"/>
    <col min="14337" max="14337" width="29.5703125" style="980" bestFit="1" customWidth="1"/>
    <col min="14338" max="14338" width="19.85546875" style="980" customWidth="1"/>
    <col min="14339" max="14339" width="12" style="980" bestFit="1" customWidth="1"/>
    <col min="14340" max="14592" width="9.140625" style="980"/>
    <col min="14593" max="14593" width="29.5703125" style="980" bestFit="1" customWidth="1"/>
    <col min="14594" max="14594" width="19.85546875" style="980" customWidth="1"/>
    <col min="14595" max="14595" width="12" style="980" bestFit="1" customWidth="1"/>
    <col min="14596" max="14848" width="9.140625" style="980"/>
    <col min="14849" max="14849" width="29.5703125" style="980" bestFit="1" customWidth="1"/>
    <col min="14850" max="14850" width="19.85546875" style="980" customWidth="1"/>
    <col min="14851" max="14851" width="12" style="980" bestFit="1" customWidth="1"/>
    <col min="14852" max="15104" width="9.140625" style="980"/>
    <col min="15105" max="15105" width="29.5703125" style="980" bestFit="1" customWidth="1"/>
    <col min="15106" max="15106" width="19.85546875" style="980" customWidth="1"/>
    <col min="15107" max="15107" width="12" style="980" bestFit="1" customWidth="1"/>
    <col min="15108" max="15360" width="9.140625" style="980"/>
    <col min="15361" max="15361" width="29.5703125" style="980" bestFit="1" customWidth="1"/>
    <col min="15362" max="15362" width="19.85546875" style="980" customWidth="1"/>
    <col min="15363" max="15363" width="12" style="980" bestFit="1" customWidth="1"/>
    <col min="15364" max="15616" width="9.140625" style="980"/>
    <col min="15617" max="15617" width="29.5703125" style="980" bestFit="1" customWidth="1"/>
    <col min="15618" max="15618" width="19.85546875" style="980" customWidth="1"/>
    <col min="15619" max="15619" width="12" style="980" bestFit="1" customWidth="1"/>
    <col min="15620" max="15872" width="9.140625" style="980"/>
    <col min="15873" max="15873" width="29.5703125" style="980" bestFit="1" customWidth="1"/>
    <col min="15874" max="15874" width="19.85546875" style="980" customWidth="1"/>
    <col min="15875" max="15875" width="12" style="980" bestFit="1" customWidth="1"/>
    <col min="15876" max="16128" width="9.140625" style="980"/>
    <col min="16129" max="16129" width="29.5703125" style="980" bestFit="1" customWidth="1"/>
    <col min="16130" max="16130" width="19.85546875" style="980" customWidth="1"/>
    <col min="16131" max="16131" width="12" style="980" bestFit="1" customWidth="1"/>
    <col min="16132" max="16384" width="9.140625" style="980"/>
  </cols>
  <sheetData>
    <row r="1" spans="1:2">
      <c r="A1" s="980" t="s">
        <v>722</v>
      </c>
      <c r="B1" s="1379">
        <v>6.1</v>
      </c>
    </row>
    <row r="2" spans="1:2">
      <c r="A2" s="980" t="s">
        <v>723</v>
      </c>
      <c r="B2" s="1383">
        <v>43201.522604166668</v>
      </c>
    </row>
    <row r="3" spans="1:2">
      <c r="A3" s="980" t="s">
        <v>724</v>
      </c>
      <c r="B3" s="1380" t="s">
        <v>428</v>
      </c>
    </row>
    <row r="4" spans="1:2">
      <c r="A4" s="980" t="s">
        <v>725</v>
      </c>
      <c r="B4" s="1380" t="s">
        <v>726</v>
      </c>
    </row>
    <row r="5" spans="1:2">
      <c r="A5" s="980" t="s">
        <v>727</v>
      </c>
      <c r="B5" s="1380" t="s">
        <v>728</v>
      </c>
    </row>
    <row r="6" spans="1:2">
      <c r="A6" s="980" t="s">
        <v>729</v>
      </c>
    </row>
    <row r="7" spans="1:2">
      <c r="A7" s="980" t="s">
        <v>730</v>
      </c>
      <c r="B7" s="1380" t="s">
        <v>775</v>
      </c>
    </row>
    <row r="8" spans="1:2">
      <c r="A8" s="980" t="s">
        <v>731</v>
      </c>
      <c r="B8" s="1380" t="s">
        <v>732</v>
      </c>
    </row>
    <row r="9" spans="1:2">
      <c r="A9" s="980" t="s">
        <v>733</v>
      </c>
      <c r="B9" s="1380" t="s">
        <v>771</v>
      </c>
    </row>
    <row r="10" spans="1:2">
      <c r="A10" s="980" t="s">
        <v>734</v>
      </c>
    </row>
    <row r="11" spans="1:2">
      <c r="A11" s="980" t="s">
        <v>735</v>
      </c>
    </row>
    <row r="12" spans="1:2">
      <c r="A12" s="980" t="s">
        <v>736</v>
      </c>
    </row>
    <row r="13" spans="1:2">
      <c r="A13" s="980" t="s">
        <v>737</v>
      </c>
    </row>
    <row r="14" spans="1:2">
      <c r="A14" s="980" t="s">
        <v>738</v>
      </c>
    </row>
    <row r="15" spans="1:2">
      <c r="A15" s="980" t="s">
        <v>739</v>
      </c>
    </row>
    <row r="16" spans="1:2">
      <c r="A16" s="980" t="s">
        <v>740</v>
      </c>
    </row>
    <row r="17" spans="1:4">
      <c r="A17" s="980" t="s">
        <v>741</v>
      </c>
      <c r="B17" s="1380" t="s">
        <v>772</v>
      </c>
    </row>
    <row r="18" spans="1:4">
      <c r="A18" s="980" t="s">
        <v>742</v>
      </c>
      <c r="B18" s="1380" t="s">
        <v>429</v>
      </c>
    </row>
    <row r="19" spans="1:4">
      <c r="A19" s="980" t="s">
        <v>743</v>
      </c>
      <c r="B19" s="1380" t="s">
        <v>134</v>
      </c>
    </row>
    <row r="20" spans="1:4">
      <c r="A20" s="980" t="s">
        <v>744</v>
      </c>
      <c r="B20" s="1381">
        <v>369550108</v>
      </c>
    </row>
    <row r="21" spans="1:4">
      <c r="A21" s="980" t="s">
        <v>745</v>
      </c>
      <c r="B21" s="1380" t="s">
        <v>134</v>
      </c>
    </row>
    <row r="22" spans="1:4">
      <c r="A22" s="980" t="s">
        <v>746</v>
      </c>
      <c r="B22" s="1381">
        <v>2365161</v>
      </c>
    </row>
    <row r="23" spans="1:4">
      <c r="A23" s="980" t="s">
        <v>142</v>
      </c>
      <c r="B23" s="1379">
        <v>217.16</v>
      </c>
    </row>
    <row r="24" spans="1:4">
      <c r="A24" s="980" t="s">
        <v>138</v>
      </c>
      <c r="B24" s="1380" t="s">
        <v>64</v>
      </c>
      <c r="D24" s="980" t="s">
        <v>747</v>
      </c>
    </row>
    <row r="25" spans="1:4">
      <c r="A25" s="980" t="s">
        <v>748</v>
      </c>
      <c r="B25" s="1380" t="s">
        <v>776</v>
      </c>
    </row>
    <row r="26" spans="1:4">
      <c r="A26" s="980" t="s">
        <v>749</v>
      </c>
      <c r="B26" s="1380">
        <v>0</v>
      </c>
    </row>
    <row r="27" spans="1:4">
      <c r="A27" s="980" t="s">
        <v>750</v>
      </c>
      <c r="B27" s="1380" t="s">
        <v>751</v>
      </c>
    </row>
    <row r="28" spans="1:4">
      <c r="A28" s="980" t="s">
        <v>752</v>
      </c>
      <c r="B28" s="1380" t="s">
        <v>753</v>
      </c>
    </row>
    <row r="29" spans="1:4">
      <c r="A29" s="980" t="s">
        <v>754</v>
      </c>
    </row>
    <row r="30" spans="1:4">
      <c r="A30" s="980" t="s">
        <v>755</v>
      </c>
    </row>
    <row r="31" spans="1:4">
      <c r="A31" s="980" t="s">
        <v>756</v>
      </c>
    </row>
    <row r="32" spans="1:4">
      <c r="A32" s="980" t="s">
        <v>757</v>
      </c>
      <c r="B32" s="1379"/>
    </row>
    <row r="33" spans="1:2">
      <c r="A33" s="980" t="s">
        <v>758</v>
      </c>
      <c r="B33" s="1379"/>
    </row>
    <row r="34" spans="1:2">
      <c r="A34" s="980" t="s">
        <v>759</v>
      </c>
      <c r="B34" s="1379"/>
    </row>
    <row r="35" spans="1:2">
      <c r="A35" s="980" t="s">
        <v>760</v>
      </c>
      <c r="B35" s="1380">
        <v>1000000</v>
      </c>
    </row>
    <row r="36" spans="1:2">
      <c r="A36" s="980" t="s">
        <v>761</v>
      </c>
      <c r="B36" s="1380" t="s">
        <v>773</v>
      </c>
    </row>
    <row r="37" spans="1:2">
      <c r="A37" s="980" t="s">
        <v>762</v>
      </c>
      <c r="B37" s="1380" t="s">
        <v>763</v>
      </c>
    </row>
    <row r="38" spans="1:2">
      <c r="A38" s="980" t="s">
        <v>764</v>
      </c>
      <c r="B38" s="1380" t="s">
        <v>765</v>
      </c>
    </row>
    <row r="39" spans="1:2">
      <c r="A39" s="980" t="s">
        <v>766</v>
      </c>
      <c r="B39" s="1380" t="s">
        <v>774</v>
      </c>
    </row>
    <row r="40" spans="1:2">
      <c r="A40" s="980" t="s">
        <v>767</v>
      </c>
      <c r="B40" s="1380">
        <v>1500004845</v>
      </c>
    </row>
    <row r="41" spans="1:2">
      <c r="A41" s="980" t="s">
        <v>768</v>
      </c>
      <c r="B41" s="1380">
        <v>1</v>
      </c>
    </row>
    <row r="42" spans="1:2">
      <c r="A42" s="1382" t="s">
        <v>769</v>
      </c>
    </row>
    <row r="43" spans="1:2">
      <c r="A43" s="980" t="s">
        <v>770</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980" bestFit="1" customWidth="1"/>
    <col min="2" max="256" width="9.140625" style="980"/>
    <col min="257" max="257" width="28.5703125" style="980" bestFit="1" customWidth="1"/>
    <col min="258" max="512" width="9.140625" style="980"/>
    <col min="513" max="513" width="28.5703125" style="980" bestFit="1" customWidth="1"/>
    <col min="514" max="768" width="9.140625" style="980"/>
    <col min="769" max="769" width="28.5703125" style="980" bestFit="1" customWidth="1"/>
    <col min="770" max="1024" width="9.140625" style="980"/>
    <col min="1025" max="1025" width="28.5703125" style="980" bestFit="1" customWidth="1"/>
    <col min="1026" max="1280" width="9.140625" style="980"/>
    <col min="1281" max="1281" width="28.5703125" style="980" bestFit="1" customWidth="1"/>
    <col min="1282" max="1536" width="9.140625" style="980"/>
    <col min="1537" max="1537" width="28.5703125" style="980" bestFit="1" customWidth="1"/>
    <col min="1538" max="1792" width="9.140625" style="980"/>
    <col min="1793" max="1793" width="28.5703125" style="980" bestFit="1" customWidth="1"/>
    <col min="1794" max="2048" width="9.140625" style="980"/>
    <col min="2049" max="2049" width="28.5703125" style="980" bestFit="1" customWidth="1"/>
    <col min="2050" max="2304" width="9.140625" style="980"/>
    <col min="2305" max="2305" width="28.5703125" style="980" bestFit="1" customWidth="1"/>
    <col min="2306" max="2560" width="9.140625" style="980"/>
    <col min="2561" max="2561" width="28.5703125" style="980" bestFit="1" customWidth="1"/>
    <col min="2562" max="2816" width="9.140625" style="980"/>
    <col min="2817" max="2817" width="28.5703125" style="980" bestFit="1" customWidth="1"/>
    <col min="2818" max="3072" width="9.140625" style="980"/>
    <col min="3073" max="3073" width="28.5703125" style="980" bestFit="1" customWidth="1"/>
    <col min="3074" max="3328" width="9.140625" style="980"/>
    <col min="3329" max="3329" width="28.5703125" style="980" bestFit="1" customWidth="1"/>
    <col min="3330" max="3584" width="9.140625" style="980"/>
    <col min="3585" max="3585" width="28.5703125" style="980" bestFit="1" customWidth="1"/>
    <col min="3586" max="3840" width="9.140625" style="980"/>
    <col min="3841" max="3841" width="28.5703125" style="980" bestFit="1" customWidth="1"/>
    <col min="3842" max="4096" width="9.140625" style="980"/>
    <col min="4097" max="4097" width="28.5703125" style="980" bestFit="1" customWidth="1"/>
    <col min="4098" max="4352" width="9.140625" style="980"/>
    <col min="4353" max="4353" width="28.5703125" style="980" bestFit="1" customWidth="1"/>
    <col min="4354" max="4608" width="9.140625" style="980"/>
    <col min="4609" max="4609" width="28.5703125" style="980" bestFit="1" customWidth="1"/>
    <col min="4610" max="4864" width="9.140625" style="980"/>
    <col min="4865" max="4865" width="28.5703125" style="980" bestFit="1" customWidth="1"/>
    <col min="4866" max="5120" width="9.140625" style="980"/>
    <col min="5121" max="5121" width="28.5703125" style="980" bestFit="1" customWidth="1"/>
    <col min="5122" max="5376" width="9.140625" style="980"/>
    <col min="5377" max="5377" width="28.5703125" style="980" bestFit="1" customWidth="1"/>
    <col min="5378" max="5632" width="9.140625" style="980"/>
    <col min="5633" max="5633" width="28.5703125" style="980" bestFit="1" customWidth="1"/>
    <col min="5634" max="5888" width="9.140625" style="980"/>
    <col min="5889" max="5889" width="28.5703125" style="980" bestFit="1" customWidth="1"/>
    <col min="5890" max="6144" width="9.140625" style="980"/>
    <col min="6145" max="6145" width="28.5703125" style="980" bestFit="1" customWidth="1"/>
    <col min="6146" max="6400" width="9.140625" style="980"/>
    <col min="6401" max="6401" width="28.5703125" style="980" bestFit="1" customWidth="1"/>
    <col min="6402" max="6656" width="9.140625" style="980"/>
    <col min="6657" max="6657" width="28.5703125" style="980" bestFit="1" customWidth="1"/>
    <col min="6658" max="6912" width="9.140625" style="980"/>
    <col min="6913" max="6913" width="28.5703125" style="980" bestFit="1" customWidth="1"/>
    <col min="6914" max="7168" width="9.140625" style="980"/>
    <col min="7169" max="7169" width="28.5703125" style="980" bestFit="1" customWidth="1"/>
    <col min="7170" max="7424" width="9.140625" style="980"/>
    <col min="7425" max="7425" width="28.5703125" style="980" bestFit="1" customWidth="1"/>
    <col min="7426" max="7680" width="9.140625" style="980"/>
    <col min="7681" max="7681" width="28.5703125" style="980" bestFit="1" customWidth="1"/>
    <col min="7682" max="7936" width="9.140625" style="980"/>
    <col min="7937" max="7937" width="28.5703125" style="980" bestFit="1" customWidth="1"/>
    <col min="7938" max="8192" width="9.140625" style="980"/>
    <col min="8193" max="8193" width="28.5703125" style="980" bestFit="1" customWidth="1"/>
    <col min="8194" max="8448" width="9.140625" style="980"/>
    <col min="8449" max="8449" width="28.5703125" style="980" bestFit="1" customWidth="1"/>
    <col min="8450" max="8704" width="9.140625" style="980"/>
    <col min="8705" max="8705" width="28.5703125" style="980" bestFit="1" customWidth="1"/>
    <col min="8706" max="8960" width="9.140625" style="980"/>
    <col min="8961" max="8961" width="28.5703125" style="980" bestFit="1" customWidth="1"/>
    <col min="8962" max="9216" width="9.140625" style="980"/>
    <col min="9217" max="9217" width="28.5703125" style="980" bestFit="1" customWidth="1"/>
    <col min="9218" max="9472" width="9.140625" style="980"/>
    <col min="9473" max="9473" width="28.5703125" style="980" bestFit="1" customWidth="1"/>
    <col min="9474" max="9728" width="9.140625" style="980"/>
    <col min="9729" max="9729" width="28.5703125" style="980" bestFit="1" customWidth="1"/>
    <col min="9730" max="9984" width="9.140625" style="980"/>
    <col min="9985" max="9985" width="28.5703125" style="980" bestFit="1" customWidth="1"/>
    <col min="9986" max="10240" width="9.140625" style="980"/>
    <col min="10241" max="10241" width="28.5703125" style="980" bestFit="1" customWidth="1"/>
    <col min="10242" max="10496" width="9.140625" style="980"/>
    <col min="10497" max="10497" width="28.5703125" style="980" bestFit="1" customWidth="1"/>
    <col min="10498" max="10752" width="9.140625" style="980"/>
    <col min="10753" max="10753" width="28.5703125" style="980" bestFit="1" customWidth="1"/>
    <col min="10754" max="11008" width="9.140625" style="980"/>
    <col min="11009" max="11009" width="28.5703125" style="980" bestFit="1" customWidth="1"/>
    <col min="11010" max="11264" width="9.140625" style="980"/>
    <col min="11265" max="11265" width="28.5703125" style="980" bestFit="1" customWidth="1"/>
    <col min="11266" max="11520" width="9.140625" style="980"/>
    <col min="11521" max="11521" width="28.5703125" style="980" bestFit="1" customWidth="1"/>
    <col min="11522" max="11776" width="9.140625" style="980"/>
    <col min="11777" max="11777" width="28.5703125" style="980" bestFit="1" customWidth="1"/>
    <col min="11778" max="12032" width="9.140625" style="980"/>
    <col min="12033" max="12033" width="28.5703125" style="980" bestFit="1" customWidth="1"/>
    <col min="12034" max="12288" width="9.140625" style="980"/>
    <col min="12289" max="12289" width="28.5703125" style="980" bestFit="1" customWidth="1"/>
    <col min="12290" max="12544" width="9.140625" style="980"/>
    <col min="12545" max="12545" width="28.5703125" style="980" bestFit="1" customWidth="1"/>
    <col min="12546" max="12800" width="9.140625" style="980"/>
    <col min="12801" max="12801" width="28.5703125" style="980" bestFit="1" customWidth="1"/>
    <col min="12802" max="13056" width="9.140625" style="980"/>
    <col min="13057" max="13057" width="28.5703125" style="980" bestFit="1" customWidth="1"/>
    <col min="13058" max="13312" width="9.140625" style="980"/>
    <col min="13313" max="13313" width="28.5703125" style="980" bestFit="1" customWidth="1"/>
    <col min="13314" max="13568" width="9.140625" style="980"/>
    <col min="13569" max="13569" width="28.5703125" style="980" bestFit="1" customWidth="1"/>
    <col min="13570" max="13824" width="9.140625" style="980"/>
    <col min="13825" max="13825" width="28.5703125" style="980" bestFit="1" customWidth="1"/>
    <col min="13826" max="14080" width="9.140625" style="980"/>
    <col min="14081" max="14081" width="28.5703125" style="980" bestFit="1" customWidth="1"/>
    <col min="14082" max="14336" width="9.140625" style="980"/>
    <col min="14337" max="14337" width="28.5703125" style="980" bestFit="1" customWidth="1"/>
    <col min="14338" max="14592" width="9.140625" style="980"/>
    <col min="14593" max="14593" width="28.5703125" style="980" bestFit="1" customWidth="1"/>
    <col min="14594" max="14848" width="9.140625" style="980"/>
    <col min="14849" max="14849" width="28.5703125" style="980" bestFit="1" customWidth="1"/>
    <col min="14850" max="15104" width="9.140625" style="980"/>
    <col min="15105" max="15105" width="28.5703125" style="980" bestFit="1" customWidth="1"/>
    <col min="15106" max="15360" width="9.140625" style="980"/>
    <col min="15361" max="15361" width="28.5703125" style="980" bestFit="1" customWidth="1"/>
    <col min="15362" max="15616" width="9.140625" style="980"/>
    <col min="15617" max="15617" width="28.5703125" style="980" bestFit="1" customWidth="1"/>
    <col min="15618" max="15872" width="9.140625" style="980"/>
    <col min="15873" max="15873" width="28.5703125" style="980" bestFit="1" customWidth="1"/>
    <col min="15874" max="16128" width="9.140625" style="980"/>
    <col min="16129" max="16129" width="28.5703125" style="980" bestFit="1" customWidth="1"/>
    <col min="16130" max="16384" width="9.140625" style="980"/>
  </cols>
  <sheetData>
    <row r="1" spans="1:1">
      <c r="A1" s="1384" t="s">
        <v>777</v>
      </c>
    </row>
    <row r="2" spans="1:1">
      <c r="A2" s="1384" t="s">
        <v>782</v>
      </c>
    </row>
    <row r="3" spans="1:1">
      <c r="A3" s="1384" t="s">
        <v>783</v>
      </c>
    </row>
    <row r="4" spans="1:1">
      <c r="A4" s="1384" t="s">
        <v>784</v>
      </c>
    </row>
    <row r="5" spans="1:1">
      <c r="A5" s="1384" t="s">
        <v>785</v>
      </c>
    </row>
    <row r="6" spans="1:1">
      <c r="A6" s="1384" t="s">
        <v>778</v>
      </c>
    </row>
    <row r="7" spans="1:1">
      <c r="A7" s="1384" t="s">
        <v>786</v>
      </c>
    </row>
    <row r="8" spans="1:1">
      <c r="A8" s="1384" t="s">
        <v>787</v>
      </c>
    </row>
    <row r="9" spans="1:1">
      <c r="A9" s="1384" t="s">
        <v>788</v>
      </c>
    </row>
    <row r="10" spans="1:1">
      <c r="A10" s="1384" t="s">
        <v>779</v>
      </c>
    </row>
    <row r="11" spans="1:1">
      <c r="A11" s="1384" t="s">
        <v>789</v>
      </c>
    </row>
    <row r="12" spans="1:1">
      <c r="A12" s="1384" t="s">
        <v>780</v>
      </c>
    </row>
    <row r="13" spans="1:1">
      <c r="A13" s="1384" t="s">
        <v>781</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4"/>
  <sheetViews>
    <sheetView workbookViewId="0"/>
  </sheetViews>
  <sheetFormatPr defaultRowHeight="12.75"/>
  <sheetData>
    <row r="1" spans="1:2">
      <c r="B1" t="s">
        <v>159</v>
      </c>
    </row>
    <row r="2" spans="1:2"/>
    <row r="3" spans="1:2"/>
    <row r="4" spans="1:2"/>
  </sheetData>
  <phoneticPr fontId="4"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A7C52B2B-A4B1-4144-966B-A6447F79FF38}">
  <ds:schemaRefs>
    <ds:schemaRef ds:uri="thomsonreuters.linking.metadata"/>
  </ds:schemaRefs>
</ds:datastoreItem>
</file>

<file path=customXml/itemProps2.xml><?xml version="1.0" encoding="utf-8"?>
<ds:datastoreItem xmlns:ds="http://schemas.openxmlformats.org/officeDocument/2006/customXml" ds:itemID="{86D93DE5-CCEA-4ED7-8C71-7969FD2DC813}">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79</vt:i4>
      </vt:variant>
    </vt:vector>
  </HeadingPairs>
  <TitlesOfParts>
    <vt:vector size="85" baseType="lpstr">
      <vt:lpstr>ImportantDisclosures</vt:lpstr>
      <vt:lpstr>Cover </vt:lpstr>
      <vt:lpstr>Valuation</vt:lpstr>
      <vt:lpstr>Model</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Linking_Range_10</vt:lpstr>
      <vt:lpstr>Linking_Range_11</vt:lpstr>
      <vt:lpstr>Linking_Range_12</vt:lpstr>
      <vt:lpstr>Linking_Range_13</vt:lpstr>
      <vt:lpstr>Linking_Range_7</vt:lpstr>
      <vt:lpstr>Linking_Range_8</vt:lpstr>
      <vt:lpstr>Linking_Range_9</vt:lpstr>
      <vt:lpstr>Linking_Text_1</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Model!Print_Area</vt:lpstr>
      <vt:lpstr>Valuation!Print_Area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2000-04-25T22:28:13Z</dcterms:created>
  <dc:creator>fraserc</dc:creator>
  <cp:lastModifiedBy>Sharpe, Matt (Research)</cp:lastModifiedBy>
  <cp:lastPrinted>2018-02-20T20:58:10Z</cp:lastPrinted>
  <dcterms:modified xsi:type="dcterms:W3CDTF">2018-04-11T16:32:34Z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_NewReviewCycle" pid="2">
    <vt:lpwstr/>
  </property>
  <property fmtid="{D5CDD505-2E9C-101B-9397-08002B2CF9AE}" name="LinkingAutoNameNumberLinking_Range_" pid="3">
    <vt:lpwstr>13</vt:lpwstr>
  </property>
  <property fmtid="{D5CDD505-2E9C-101B-9397-08002B2CF9AE}" name="LinkingAutoNameNumberLinking_Text_" pid="4">
    <vt:lpwstr>1</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761034</vt:lpwstr>
  </property>
  <property fmtid="{D5CDD505-2E9C-101B-9397-08002B2CF9AE}" name="ERModPubCompanyName" pid="8">
    <vt:lpwstr>General Dynamics Corp.</vt:lpwstr>
  </property>
  <property fmtid="{D5CDD505-2E9C-101B-9397-08002B2CF9AE}" name="MSDH34TAG" pid="9">
    <vt:lpwstr>.TEZUF76X5TAHATHESADREYAK-00-INB160+*94600-06=f383e346/-3da5/-11e8/-b3f7/-7a79cfe26848,MD=20180411123545/-0400,ZZ=000Z-274a.</vt:lpwstr>
  </property>
</Properties>
</file>